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roject1\"/>
    </mc:Choice>
  </mc:AlternateContent>
  <xr:revisionPtr revIDLastSave="0" documentId="13_ncr:1_{3A56D227-ECF2-4115-A119-9625C7F9A361}" xr6:coauthVersionLast="47" xr6:coauthVersionMax="47" xr10:uidLastSave="{00000000-0000-0000-0000-000000000000}"/>
  <bookViews>
    <workbookView xWindow="-108" yWindow="-108" windowWidth="23256" windowHeight="12456" firstSheet="6" activeTab="11" xr2:uid="{C3327BBF-5D7E-B842-AC68-8C3DBE1DE0AE}"/>
  </bookViews>
  <sheets>
    <sheet name="Project Details" sheetId="20" r:id="rId1"/>
    <sheet name="Session Details" sheetId="1" r:id="rId2"/>
    <sheet name="Channel wise traffic" sheetId="2" r:id="rId3"/>
    <sheet name="Supporting Data" sheetId="3" r:id="rId4"/>
    <sheet name="my calculations 1" sheetId="8" state="hidden" r:id="rId5"/>
    <sheet name="Data Validation" sheetId="12" state="hidden" r:id="rId6"/>
    <sheet name="Changeinordervalue detailed" sheetId="11" r:id="rId7"/>
    <sheet name="% change in channel traffic" sheetId="17" r:id="rId8"/>
    <sheet name="Change in ordervalue analysis" sheetId="10" state="hidden" r:id="rId9"/>
    <sheet name="Change due to conversion" sheetId="18" r:id="rId10"/>
    <sheet name="pivot1" sheetId="22" state="hidden" r:id="rId11"/>
    <sheet name="Reasons" sheetId="16" r:id="rId12"/>
    <sheet name="Reasons (2)" sheetId="19" state="hidden" r:id="rId13"/>
  </sheets>
  <definedNames>
    <definedName name="_xlnm._FilterDatabase" localSheetId="9" hidden="1">'Change due to conversion'!$A$2:$R$368</definedName>
    <definedName name="_xlnm._FilterDatabase" localSheetId="8" hidden="1">'Change in ordervalue analysis'!$A$2:$U$38</definedName>
    <definedName name="_xlnm._FilterDatabase" localSheetId="6" hidden="1">'Changeinordervalue detailed'!$A$2:$L$38</definedName>
    <definedName name="_xlnm._FilterDatabase" localSheetId="4" hidden="1">'my calculations 1'!$A$2:$U$368</definedName>
    <definedName name="_xlnm._FilterDatabase" localSheetId="11" hidden="1">Reasons!$A$4:$C$7</definedName>
    <definedName name="_xlnm._FilterDatabase" localSheetId="12" hidden="1">'Reasons (2)'!$A$4:$C$7</definedName>
    <definedName name="_xlnm._FilterDatabase" localSheetId="1" hidden="1">'Session Details'!$A$2:$O$368</definedName>
  </definedName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M69" i="3"/>
  <c r="F45" i="19"/>
  <c r="C45" i="19"/>
  <c r="B45" i="19"/>
  <c r="C44" i="19"/>
  <c r="B44" i="19"/>
  <c r="C43" i="19"/>
  <c r="B43" i="19"/>
  <c r="G42" i="19"/>
  <c r="C42" i="19"/>
  <c r="B42" i="19"/>
  <c r="G41" i="19"/>
  <c r="C41" i="19"/>
  <c r="B41" i="19"/>
  <c r="C40" i="19"/>
  <c r="B40" i="19"/>
  <c r="C39" i="19"/>
  <c r="B39" i="19"/>
  <c r="C38" i="19"/>
  <c r="B38" i="19"/>
  <c r="G37" i="19"/>
  <c r="C37" i="19"/>
  <c r="B37" i="19"/>
  <c r="G36" i="19"/>
  <c r="C36" i="19"/>
  <c r="B36" i="19"/>
  <c r="H35" i="19"/>
  <c r="C35" i="19"/>
  <c r="B35" i="19"/>
  <c r="H34" i="19"/>
  <c r="C34" i="19"/>
  <c r="B34" i="19"/>
  <c r="F33" i="19"/>
  <c r="C33" i="19"/>
  <c r="B33" i="19"/>
  <c r="F32" i="19"/>
  <c r="C32" i="19"/>
  <c r="B32" i="19"/>
  <c r="G31" i="19"/>
  <c r="C31" i="19"/>
  <c r="B31" i="19"/>
  <c r="C30" i="19"/>
  <c r="B30" i="19"/>
  <c r="G29" i="19"/>
  <c r="C29" i="19"/>
  <c r="B29" i="19"/>
  <c r="C28" i="19"/>
  <c r="B28" i="19"/>
  <c r="C27" i="19"/>
  <c r="B27" i="19"/>
  <c r="G26" i="19"/>
  <c r="C26" i="19"/>
  <c r="B26" i="19"/>
  <c r="G25" i="19"/>
  <c r="C25" i="19"/>
  <c r="B25" i="19"/>
  <c r="I24" i="19"/>
  <c r="C24" i="19"/>
  <c r="B24" i="19"/>
  <c r="C23" i="19"/>
  <c r="B23" i="19"/>
  <c r="I22" i="19"/>
  <c r="C22" i="19"/>
  <c r="B22" i="19"/>
  <c r="H21" i="19"/>
  <c r="C21" i="19"/>
  <c r="B21" i="19"/>
  <c r="H20" i="19"/>
  <c r="C20" i="19"/>
  <c r="B20" i="19"/>
  <c r="C19" i="19"/>
  <c r="B19" i="19"/>
  <c r="G18" i="19"/>
  <c r="C18" i="19"/>
  <c r="B18" i="19"/>
  <c r="G17" i="19"/>
  <c r="C17" i="19"/>
  <c r="B17" i="19"/>
  <c r="F16" i="19"/>
  <c r="C16" i="19"/>
  <c r="B16" i="19"/>
  <c r="C15" i="19"/>
  <c r="B15" i="19"/>
  <c r="I9" i="19"/>
  <c r="H9" i="19"/>
  <c r="G9" i="19"/>
  <c r="F9" i="19"/>
  <c r="C9" i="19"/>
  <c r="B9" i="19"/>
  <c r="I8" i="19"/>
  <c r="H8" i="19"/>
  <c r="G8" i="19"/>
  <c r="F8" i="19"/>
  <c r="C8" i="19"/>
  <c r="B8" i="19"/>
  <c r="I7" i="19"/>
  <c r="H7" i="19"/>
  <c r="G7" i="19"/>
  <c r="F7" i="19"/>
  <c r="C7" i="19"/>
  <c r="B7" i="19"/>
  <c r="I6" i="19"/>
  <c r="H6" i="19"/>
  <c r="G6" i="19"/>
  <c r="F6" i="19"/>
  <c r="C6" i="19"/>
  <c r="B6" i="19"/>
  <c r="I5" i="19"/>
  <c r="H5" i="19"/>
  <c r="G5" i="19"/>
  <c r="F5" i="19"/>
  <c r="C5" i="19"/>
  <c r="B5" i="19"/>
  <c r="F42" i="16"/>
  <c r="F41" i="16"/>
  <c r="F37" i="16"/>
  <c r="F36" i="16"/>
  <c r="F35" i="16"/>
  <c r="F34" i="16"/>
  <c r="F33" i="16"/>
  <c r="F32" i="16"/>
  <c r="F31" i="16"/>
  <c r="F29" i="16"/>
  <c r="F26" i="16"/>
  <c r="F25" i="16"/>
  <c r="F24" i="16"/>
  <c r="F22" i="16"/>
  <c r="F21" i="16"/>
  <c r="F20" i="16"/>
  <c r="F18" i="16"/>
  <c r="F16" i="16"/>
  <c r="F17" i="16"/>
  <c r="F45" i="16"/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4" i="1"/>
  <c r="O5" i="1"/>
  <c r="O6" i="1"/>
  <c r="O7" i="1"/>
  <c r="O8" i="1"/>
  <c r="O9" i="1"/>
  <c r="R368" i="3"/>
  <c r="P368" i="3"/>
  <c r="N368" i="3"/>
  <c r="L368" i="3"/>
  <c r="J368" i="3"/>
  <c r="H368" i="3"/>
  <c r="F368" i="3"/>
  <c r="C368" i="3"/>
  <c r="D368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9" i="3"/>
  <c r="E10" i="18"/>
  <c r="I5" i="16"/>
  <c r="I8" i="16"/>
  <c r="I9" i="16"/>
  <c r="G9" i="16"/>
  <c r="F9" i="16"/>
  <c r="O11" i="18"/>
  <c r="P11" i="18"/>
  <c r="Q11" i="18"/>
  <c r="R11" i="18"/>
  <c r="O12" i="18"/>
  <c r="P12" i="18"/>
  <c r="Q12" i="18"/>
  <c r="R12" i="18"/>
  <c r="O13" i="18"/>
  <c r="P13" i="18"/>
  <c r="Q13" i="18"/>
  <c r="R13" i="18"/>
  <c r="O14" i="18"/>
  <c r="P14" i="18"/>
  <c r="Q14" i="18"/>
  <c r="R14" i="18"/>
  <c r="O15" i="18"/>
  <c r="P15" i="18"/>
  <c r="Q15" i="18"/>
  <c r="R15" i="18"/>
  <c r="O16" i="18"/>
  <c r="P16" i="18"/>
  <c r="Q16" i="18"/>
  <c r="R16" i="18"/>
  <c r="O17" i="18"/>
  <c r="P17" i="18"/>
  <c r="Q17" i="18"/>
  <c r="R17" i="18"/>
  <c r="O18" i="18"/>
  <c r="P18" i="18"/>
  <c r="Q18" i="18"/>
  <c r="R18" i="18"/>
  <c r="O19" i="18"/>
  <c r="P19" i="18"/>
  <c r="Q19" i="18"/>
  <c r="R19" i="18"/>
  <c r="O20" i="18"/>
  <c r="P20" i="18"/>
  <c r="Q20" i="18"/>
  <c r="R20" i="18"/>
  <c r="O21" i="18"/>
  <c r="P21" i="18"/>
  <c r="Q21" i="18"/>
  <c r="R21" i="18"/>
  <c r="O22" i="18"/>
  <c r="P22" i="18"/>
  <c r="Q22" i="18"/>
  <c r="R22" i="18"/>
  <c r="O23" i="18"/>
  <c r="P23" i="18"/>
  <c r="Q23" i="18"/>
  <c r="R23" i="18"/>
  <c r="O24" i="18"/>
  <c r="P24" i="18"/>
  <c r="Q24" i="18"/>
  <c r="R24" i="18"/>
  <c r="O25" i="18"/>
  <c r="P25" i="18"/>
  <c r="Q25" i="18"/>
  <c r="R25" i="18"/>
  <c r="O26" i="18"/>
  <c r="P26" i="18"/>
  <c r="Q26" i="18"/>
  <c r="R26" i="18"/>
  <c r="O27" i="18"/>
  <c r="P27" i="18"/>
  <c r="Q27" i="18"/>
  <c r="R27" i="18"/>
  <c r="O28" i="18"/>
  <c r="P28" i="18"/>
  <c r="Q28" i="18"/>
  <c r="R28" i="18"/>
  <c r="O29" i="18"/>
  <c r="P29" i="18"/>
  <c r="Q29" i="18"/>
  <c r="R29" i="18"/>
  <c r="O30" i="18"/>
  <c r="P30" i="18"/>
  <c r="Q30" i="18"/>
  <c r="R30" i="18"/>
  <c r="O31" i="18"/>
  <c r="P31" i="18"/>
  <c r="Q31" i="18"/>
  <c r="R31" i="18"/>
  <c r="O32" i="18"/>
  <c r="P32" i="18"/>
  <c r="Q32" i="18"/>
  <c r="R32" i="18"/>
  <c r="O33" i="18"/>
  <c r="P33" i="18"/>
  <c r="Q33" i="18"/>
  <c r="R33" i="18"/>
  <c r="O34" i="18"/>
  <c r="P34" i="18"/>
  <c r="Q34" i="18"/>
  <c r="R34" i="18"/>
  <c r="O35" i="18"/>
  <c r="P35" i="18"/>
  <c r="Q35" i="18"/>
  <c r="R35" i="18"/>
  <c r="O36" i="18"/>
  <c r="P36" i="18"/>
  <c r="Q36" i="18"/>
  <c r="R36" i="18"/>
  <c r="O37" i="18"/>
  <c r="P37" i="18"/>
  <c r="Q37" i="18"/>
  <c r="R37" i="18"/>
  <c r="O38" i="18"/>
  <c r="P38" i="18"/>
  <c r="Q38" i="18"/>
  <c r="R38" i="18"/>
  <c r="O39" i="18"/>
  <c r="P39" i="18"/>
  <c r="Q39" i="18"/>
  <c r="R39" i="18"/>
  <c r="O40" i="18"/>
  <c r="P40" i="18"/>
  <c r="Q40" i="18"/>
  <c r="R40" i="18"/>
  <c r="O41" i="18"/>
  <c r="P41" i="18"/>
  <c r="Q41" i="18"/>
  <c r="R41" i="18"/>
  <c r="O42" i="18"/>
  <c r="P42" i="18"/>
  <c r="Q42" i="18"/>
  <c r="R42" i="18"/>
  <c r="O43" i="18"/>
  <c r="P43" i="18"/>
  <c r="Q43" i="18"/>
  <c r="R43" i="18"/>
  <c r="O44" i="18"/>
  <c r="P44" i="18"/>
  <c r="Q44" i="18"/>
  <c r="R44" i="18"/>
  <c r="O45" i="18"/>
  <c r="P45" i="18"/>
  <c r="Q45" i="18"/>
  <c r="R45" i="18"/>
  <c r="O46" i="18"/>
  <c r="P46" i="18"/>
  <c r="Q46" i="18"/>
  <c r="R46" i="18"/>
  <c r="O47" i="18"/>
  <c r="P47" i="18"/>
  <c r="Q47" i="18"/>
  <c r="R47" i="18"/>
  <c r="O48" i="18"/>
  <c r="P48" i="18"/>
  <c r="Q48" i="18"/>
  <c r="R48" i="18"/>
  <c r="O49" i="18"/>
  <c r="P49" i="18"/>
  <c r="Q49" i="18"/>
  <c r="R49" i="18"/>
  <c r="O50" i="18"/>
  <c r="P50" i="18"/>
  <c r="Q50" i="18"/>
  <c r="R50" i="18"/>
  <c r="O51" i="18"/>
  <c r="P51" i="18"/>
  <c r="Q51" i="18"/>
  <c r="R51" i="18"/>
  <c r="O52" i="18"/>
  <c r="P52" i="18"/>
  <c r="Q52" i="18"/>
  <c r="R52" i="18"/>
  <c r="O53" i="18"/>
  <c r="P53" i="18"/>
  <c r="Q53" i="18"/>
  <c r="R53" i="18"/>
  <c r="O54" i="18"/>
  <c r="P54" i="18"/>
  <c r="Q54" i="18"/>
  <c r="R54" i="18"/>
  <c r="O55" i="18"/>
  <c r="P55" i="18"/>
  <c r="Q55" i="18"/>
  <c r="R55" i="18"/>
  <c r="O56" i="18"/>
  <c r="P56" i="18"/>
  <c r="Q56" i="18"/>
  <c r="R56" i="18"/>
  <c r="O57" i="18"/>
  <c r="P57" i="18"/>
  <c r="Q57" i="18"/>
  <c r="R57" i="18"/>
  <c r="O58" i="18"/>
  <c r="P58" i="18"/>
  <c r="Q58" i="18"/>
  <c r="R58" i="18"/>
  <c r="O59" i="18"/>
  <c r="P59" i="18"/>
  <c r="Q59" i="18"/>
  <c r="R59" i="18"/>
  <c r="O60" i="18"/>
  <c r="P60" i="18"/>
  <c r="Q60" i="18"/>
  <c r="R60" i="18"/>
  <c r="O61" i="18"/>
  <c r="P61" i="18"/>
  <c r="Q61" i="18"/>
  <c r="R61" i="18"/>
  <c r="O62" i="18"/>
  <c r="P62" i="18"/>
  <c r="Q62" i="18"/>
  <c r="R62" i="18"/>
  <c r="O63" i="18"/>
  <c r="P63" i="18"/>
  <c r="Q63" i="18"/>
  <c r="R63" i="18"/>
  <c r="O64" i="18"/>
  <c r="P64" i="18"/>
  <c r="Q64" i="18"/>
  <c r="R64" i="18"/>
  <c r="O65" i="18"/>
  <c r="P65" i="18"/>
  <c r="Q65" i="18"/>
  <c r="R65" i="18"/>
  <c r="O66" i="18"/>
  <c r="P66" i="18"/>
  <c r="Q66" i="18"/>
  <c r="R66" i="18"/>
  <c r="O67" i="18"/>
  <c r="P67" i="18"/>
  <c r="Q67" i="18"/>
  <c r="R67" i="18"/>
  <c r="O68" i="18"/>
  <c r="P68" i="18"/>
  <c r="Q68" i="18"/>
  <c r="R68" i="18"/>
  <c r="O69" i="18"/>
  <c r="P69" i="18"/>
  <c r="Q69" i="18"/>
  <c r="R69" i="18"/>
  <c r="O70" i="18"/>
  <c r="P70" i="18"/>
  <c r="Q70" i="18"/>
  <c r="R70" i="18"/>
  <c r="O71" i="18"/>
  <c r="P71" i="18"/>
  <c r="Q71" i="18"/>
  <c r="R71" i="18"/>
  <c r="O72" i="18"/>
  <c r="P72" i="18"/>
  <c r="Q72" i="18"/>
  <c r="R72" i="18"/>
  <c r="O73" i="18"/>
  <c r="P73" i="18"/>
  <c r="Q73" i="18"/>
  <c r="R73" i="18"/>
  <c r="O74" i="18"/>
  <c r="P74" i="18"/>
  <c r="Q74" i="18"/>
  <c r="R74" i="18"/>
  <c r="O75" i="18"/>
  <c r="P75" i="18"/>
  <c r="Q75" i="18"/>
  <c r="R75" i="18"/>
  <c r="O76" i="18"/>
  <c r="P76" i="18"/>
  <c r="Q76" i="18"/>
  <c r="R76" i="18"/>
  <c r="O77" i="18"/>
  <c r="P77" i="18"/>
  <c r="Q77" i="18"/>
  <c r="R77" i="18"/>
  <c r="O78" i="18"/>
  <c r="P78" i="18"/>
  <c r="Q78" i="18"/>
  <c r="R78" i="18"/>
  <c r="O79" i="18"/>
  <c r="P79" i="18"/>
  <c r="Q79" i="18"/>
  <c r="R79" i="18"/>
  <c r="O80" i="18"/>
  <c r="P80" i="18"/>
  <c r="Q80" i="18"/>
  <c r="R80" i="18"/>
  <c r="O81" i="18"/>
  <c r="P81" i="18"/>
  <c r="Q81" i="18"/>
  <c r="R81" i="18"/>
  <c r="O82" i="18"/>
  <c r="P82" i="18"/>
  <c r="Q82" i="18"/>
  <c r="R82" i="18"/>
  <c r="O83" i="18"/>
  <c r="P83" i="18"/>
  <c r="Q83" i="18"/>
  <c r="R83" i="18"/>
  <c r="O84" i="18"/>
  <c r="P84" i="18"/>
  <c r="Q84" i="18"/>
  <c r="R84" i="18"/>
  <c r="O85" i="18"/>
  <c r="P85" i="18"/>
  <c r="Q85" i="18"/>
  <c r="R85" i="18"/>
  <c r="O86" i="18"/>
  <c r="P86" i="18"/>
  <c r="Q86" i="18"/>
  <c r="R86" i="18"/>
  <c r="O87" i="18"/>
  <c r="P87" i="18"/>
  <c r="Q87" i="18"/>
  <c r="R87" i="18"/>
  <c r="O88" i="18"/>
  <c r="P88" i="18"/>
  <c r="Q88" i="18"/>
  <c r="R88" i="18"/>
  <c r="O89" i="18"/>
  <c r="P89" i="18"/>
  <c r="Q89" i="18"/>
  <c r="R89" i="18"/>
  <c r="O90" i="18"/>
  <c r="P90" i="18"/>
  <c r="Q90" i="18"/>
  <c r="R90" i="18"/>
  <c r="O91" i="18"/>
  <c r="P91" i="18"/>
  <c r="Q91" i="18"/>
  <c r="R91" i="18"/>
  <c r="O92" i="18"/>
  <c r="P92" i="18"/>
  <c r="Q92" i="18"/>
  <c r="R92" i="18"/>
  <c r="O93" i="18"/>
  <c r="P93" i="18"/>
  <c r="Q93" i="18"/>
  <c r="R93" i="18"/>
  <c r="O94" i="18"/>
  <c r="P94" i="18"/>
  <c r="Q94" i="18"/>
  <c r="R94" i="18"/>
  <c r="O95" i="18"/>
  <c r="P95" i="18"/>
  <c r="Q95" i="18"/>
  <c r="R95" i="18"/>
  <c r="O96" i="18"/>
  <c r="P96" i="18"/>
  <c r="Q96" i="18"/>
  <c r="R96" i="18"/>
  <c r="O97" i="18"/>
  <c r="P97" i="18"/>
  <c r="Q97" i="18"/>
  <c r="R97" i="18"/>
  <c r="O98" i="18"/>
  <c r="P98" i="18"/>
  <c r="Q98" i="18"/>
  <c r="R98" i="18"/>
  <c r="O99" i="18"/>
  <c r="P99" i="18"/>
  <c r="Q99" i="18"/>
  <c r="R99" i="18"/>
  <c r="O100" i="18"/>
  <c r="P100" i="18"/>
  <c r="Q100" i="18"/>
  <c r="R100" i="18"/>
  <c r="O101" i="18"/>
  <c r="P101" i="18"/>
  <c r="Q101" i="18"/>
  <c r="R101" i="18"/>
  <c r="O102" i="18"/>
  <c r="P102" i="18"/>
  <c r="Q102" i="18"/>
  <c r="R102" i="18"/>
  <c r="O103" i="18"/>
  <c r="P103" i="18"/>
  <c r="Q103" i="18"/>
  <c r="R103" i="18"/>
  <c r="O104" i="18"/>
  <c r="P104" i="18"/>
  <c r="Q104" i="18"/>
  <c r="R104" i="18"/>
  <c r="O105" i="18"/>
  <c r="P105" i="18"/>
  <c r="Q105" i="18"/>
  <c r="R105" i="18"/>
  <c r="O106" i="18"/>
  <c r="P106" i="18"/>
  <c r="Q106" i="18"/>
  <c r="R106" i="18"/>
  <c r="O107" i="18"/>
  <c r="P107" i="18"/>
  <c r="Q107" i="18"/>
  <c r="R107" i="18"/>
  <c r="O108" i="18"/>
  <c r="P108" i="18"/>
  <c r="Q108" i="18"/>
  <c r="R108" i="18"/>
  <c r="O109" i="18"/>
  <c r="P109" i="18"/>
  <c r="Q109" i="18"/>
  <c r="R109" i="18"/>
  <c r="O110" i="18"/>
  <c r="P110" i="18"/>
  <c r="Q110" i="18"/>
  <c r="R110" i="18"/>
  <c r="O111" i="18"/>
  <c r="P111" i="18"/>
  <c r="Q111" i="18"/>
  <c r="R111" i="18"/>
  <c r="O112" i="18"/>
  <c r="P112" i="18"/>
  <c r="Q112" i="18"/>
  <c r="R112" i="18"/>
  <c r="O113" i="18"/>
  <c r="P113" i="18"/>
  <c r="Q113" i="18"/>
  <c r="R113" i="18"/>
  <c r="O114" i="18"/>
  <c r="P114" i="18"/>
  <c r="Q114" i="18"/>
  <c r="R114" i="18"/>
  <c r="O115" i="18"/>
  <c r="P115" i="18"/>
  <c r="Q115" i="18"/>
  <c r="R115" i="18"/>
  <c r="O116" i="18"/>
  <c r="P116" i="18"/>
  <c r="Q116" i="18"/>
  <c r="R116" i="18"/>
  <c r="O117" i="18"/>
  <c r="P117" i="18"/>
  <c r="Q117" i="18"/>
  <c r="R117" i="18"/>
  <c r="O118" i="18"/>
  <c r="P118" i="18"/>
  <c r="Q118" i="18"/>
  <c r="R118" i="18"/>
  <c r="O119" i="18"/>
  <c r="P119" i="18"/>
  <c r="Q119" i="18"/>
  <c r="R119" i="18"/>
  <c r="O120" i="18"/>
  <c r="P120" i="18"/>
  <c r="Q120" i="18"/>
  <c r="R120" i="18"/>
  <c r="O121" i="18"/>
  <c r="P121" i="18"/>
  <c r="Q121" i="18"/>
  <c r="R121" i="18"/>
  <c r="O122" i="18"/>
  <c r="P122" i="18"/>
  <c r="Q122" i="18"/>
  <c r="R122" i="18"/>
  <c r="O123" i="18"/>
  <c r="P123" i="18"/>
  <c r="Q123" i="18"/>
  <c r="R123" i="18"/>
  <c r="O124" i="18"/>
  <c r="P124" i="18"/>
  <c r="Q124" i="18"/>
  <c r="R124" i="18"/>
  <c r="O125" i="18"/>
  <c r="P125" i="18"/>
  <c r="Q125" i="18"/>
  <c r="R125" i="18"/>
  <c r="O126" i="18"/>
  <c r="P126" i="18"/>
  <c r="Q126" i="18"/>
  <c r="R126" i="18"/>
  <c r="O127" i="18"/>
  <c r="P127" i="18"/>
  <c r="Q127" i="18"/>
  <c r="R127" i="18"/>
  <c r="O128" i="18"/>
  <c r="P128" i="18"/>
  <c r="Q128" i="18"/>
  <c r="R128" i="18"/>
  <c r="O129" i="18"/>
  <c r="P129" i="18"/>
  <c r="Q129" i="18"/>
  <c r="R129" i="18"/>
  <c r="O130" i="18"/>
  <c r="P130" i="18"/>
  <c r="Q130" i="18"/>
  <c r="R130" i="18"/>
  <c r="O131" i="18"/>
  <c r="P131" i="18"/>
  <c r="Q131" i="18"/>
  <c r="R131" i="18"/>
  <c r="O132" i="18"/>
  <c r="P132" i="18"/>
  <c r="Q132" i="18"/>
  <c r="R132" i="18"/>
  <c r="O133" i="18"/>
  <c r="P133" i="18"/>
  <c r="Q133" i="18"/>
  <c r="R133" i="18"/>
  <c r="O134" i="18"/>
  <c r="P134" i="18"/>
  <c r="Q134" i="18"/>
  <c r="R134" i="18"/>
  <c r="O135" i="18"/>
  <c r="P135" i="18"/>
  <c r="Q135" i="18"/>
  <c r="R135" i="18"/>
  <c r="O136" i="18"/>
  <c r="P136" i="18"/>
  <c r="Q136" i="18"/>
  <c r="R136" i="18"/>
  <c r="O137" i="18"/>
  <c r="P137" i="18"/>
  <c r="Q137" i="18"/>
  <c r="R137" i="18"/>
  <c r="O138" i="18"/>
  <c r="P138" i="18"/>
  <c r="Q138" i="18"/>
  <c r="R138" i="18"/>
  <c r="O139" i="18"/>
  <c r="P139" i="18"/>
  <c r="Q139" i="18"/>
  <c r="R139" i="18"/>
  <c r="O140" i="18"/>
  <c r="P140" i="18"/>
  <c r="Q140" i="18"/>
  <c r="R140" i="18"/>
  <c r="O141" i="18"/>
  <c r="P141" i="18"/>
  <c r="Q141" i="18"/>
  <c r="R141" i="18"/>
  <c r="O142" i="18"/>
  <c r="P142" i="18"/>
  <c r="Q142" i="18"/>
  <c r="R142" i="18"/>
  <c r="O143" i="18"/>
  <c r="P143" i="18"/>
  <c r="Q143" i="18"/>
  <c r="R143" i="18"/>
  <c r="O144" i="18"/>
  <c r="P144" i="18"/>
  <c r="Q144" i="18"/>
  <c r="R144" i="18"/>
  <c r="O145" i="18"/>
  <c r="P145" i="18"/>
  <c r="Q145" i="18"/>
  <c r="R145" i="18"/>
  <c r="O146" i="18"/>
  <c r="P146" i="18"/>
  <c r="Q146" i="18"/>
  <c r="R146" i="18"/>
  <c r="O147" i="18"/>
  <c r="P147" i="18"/>
  <c r="Q147" i="18"/>
  <c r="R147" i="18"/>
  <c r="O148" i="18"/>
  <c r="P148" i="18"/>
  <c r="Q148" i="18"/>
  <c r="R148" i="18"/>
  <c r="O149" i="18"/>
  <c r="P149" i="18"/>
  <c r="Q149" i="18"/>
  <c r="R149" i="18"/>
  <c r="O150" i="18"/>
  <c r="P150" i="18"/>
  <c r="Q150" i="18"/>
  <c r="R150" i="18"/>
  <c r="O151" i="18"/>
  <c r="P151" i="18"/>
  <c r="Q151" i="18"/>
  <c r="R151" i="18"/>
  <c r="O152" i="18"/>
  <c r="P152" i="18"/>
  <c r="Q152" i="18"/>
  <c r="R152" i="18"/>
  <c r="O153" i="18"/>
  <c r="P153" i="18"/>
  <c r="Q153" i="18"/>
  <c r="R153" i="18"/>
  <c r="O154" i="18"/>
  <c r="P154" i="18"/>
  <c r="Q154" i="18"/>
  <c r="R154" i="18"/>
  <c r="O155" i="18"/>
  <c r="P155" i="18"/>
  <c r="Q155" i="18"/>
  <c r="R155" i="18"/>
  <c r="O156" i="18"/>
  <c r="P156" i="18"/>
  <c r="Q156" i="18"/>
  <c r="R156" i="18"/>
  <c r="O157" i="18"/>
  <c r="P157" i="18"/>
  <c r="Q157" i="18"/>
  <c r="R157" i="18"/>
  <c r="O158" i="18"/>
  <c r="P158" i="18"/>
  <c r="Q158" i="18"/>
  <c r="R158" i="18"/>
  <c r="O159" i="18"/>
  <c r="P159" i="18"/>
  <c r="Q159" i="18"/>
  <c r="R159" i="18"/>
  <c r="O160" i="18"/>
  <c r="P160" i="18"/>
  <c r="Q160" i="18"/>
  <c r="R160" i="18"/>
  <c r="O161" i="18"/>
  <c r="P161" i="18"/>
  <c r="Q161" i="18"/>
  <c r="R161" i="18"/>
  <c r="O162" i="18"/>
  <c r="P162" i="18"/>
  <c r="Q162" i="18"/>
  <c r="R162" i="18"/>
  <c r="O163" i="18"/>
  <c r="P163" i="18"/>
  <c r="Q163" i="18"/>
  <c r="R163" i="18"/>
  <c r="O164" i="18"/>
  <c r="P164" i="18"/>
  <c r="Q164" i="18"/>
  <c r="R164" i="18"/>
  <c r="O165" i="18"/>
  <c r="P165" i="18"/>
  <c r="Q165" i="18"/>
  <c r="R165" i="18"/>
  <c r="O166" i="18"/>
  <c r="P166" i="18"/>
  <c r="Q166" i="18"/>
  <c r="R166" i="18"/>
  <c r="O167" i="18"/>
  <c r="P167" i="18"/>
  <c r="Q167" i="18"/>
  <c r="R167" i="18"/>
  <c r="O168" i="18"/>
  <c r="P168" i="18"/>
  <c r="Q168" i="18"/>
  <c r="R168" i="18"/>
  <c r="O169" i="18"/>
  <c r="P169" i="18"/>
  <c r="Q169" i="18"/>
  <c r="R169" i="18"/>
  <c r="O170" i="18"/>
  <c r="P170" i="18"/>
  <c r="Q170" i="18"/>
  <c r="R170" i="18"/>
  <c r="O171" i="18"/>
  <c r="P171" i="18"/>
  <c r="Q171" i="18"/>
  <c r="R171" i="18"/>
  <c r="O172" i="18"/>
  <c r="P172" i="18"/>
  <c r="Q172" i="18"/>
  <c r="R172" i="18"/>
  <c r="O173" i="18"/>
  <c r="P173" i="18"/>
  <c r="Q173" i="18"/>
  <c r="R173" i="18"/>
  <c r="O174" i="18"/>
  <c r="P174" i="18"/>
  <c r="Q174" i="18"/>
  <c r="R174" i="18"/>
  <c r="O175" i="18"/>
  <c r="P175" i="18"/>
  <c r="Q175" i="18"/>
  <c r="R175" i="18"/>
  <c r="O176" i="18"/>
  <c r="P176" i="18"/>
  <c r="Q176" i="18"/>
  <c r="R176" i="18"/>
  <c r="O177" i="18"/>
  <c r="P177" i="18"/>
  <c r="Q177" i="18"/>
  <c r="R177" i="18"/>
  <c r="O178" i="18"/>
  <c r="P178" i="18"/>
  <c r="Q178" i="18"/>
  <c r="R178" i="18"/>
  <c r="O179" i="18"/>
  <c r="P179" i="18"/>
  <c r="Q179" i="18"/>
  <c r="R179" i="18"/>
  <c r="O180" i="18"/>
  <c r="P180" i="18"/>
  <c r="Q180" i="18"/>
  <c r="R180" i="18"/>
  <c r="O181" i="18"/>
  <c r="P181" i="18"/>
  <c r="Q181" i="18"/>
  <c r="R181" i="18"/>
  <c r="O182" i="18"/>
  <c r="P182" i="18"/>
  <c r="Q182" i="18"/>
  <c r="R182" i="18"/>
  <c r="O183" i="18"/>
  <c r="P183" i="18"/>
  <c r="Q183" i="18"/>
  <c r="R183" i="18"/>
  <c r="O184" i="18"/>
  <c r="P184" i="18"/>
  <c r="Q184" i="18"/>
  <c r="R184" i="18"/>
  <c r="O185" i="18"/>
  <c r="P185" i="18"/>
  <c r="Q185" i="18"/>
  <c r="R185" i="18"/>
  <c r="O186" i="18"/>
  <c r="P186" i="18"/>
  <c r="Q186" i="18"/>
  <c r="R186" i="18"/>
  <c r="O187" i="18"/>
  <c r="P187" i="18"/>
  <c r="Q187" i="18"/>
  <c r="R187" i="18"/>
  <c r="O188" i="18"/>
  <c r="P188" i="18"/>
  <c r="Q188" i="18"/>
  <c r="R188" i="18"/>
  <c r="O189" i="18"/>
  <c r="P189" i="18"/>
  <c r="Q189" i="18"/>
  <c r="R189" i="18"/>
  <c r="O190" i="18"/>
  <c r="P190" i="18"/>
  <c r="Q190" i="18"/>
  <c r="R190" i="18"/>
  <c r="O191" i="18"/>
  <c r="P191" i="18"/>
  <c r="Q191" i="18"/>
  <c r="R191" i="18"/>
  <c r="O192" i="18"/>
  <c r="P192" i="18"/>
  <c r="Q192" i="18"/>
  <c r="R192" i="18"/>
  <c r="O193" i="18"/>
  <c r="P193" i="18"/>
  <c r="Q193" i="18"/>
  <c r="R193" i="18"/>
  <c r="O194" i="18"/>
  <c r="P194" i="18"/>
  <c r="Q194" i="18"/>
  <c r="R194" i="18"/>
  <c r="O195" i="18"/>
  <c r="P195" i="18"/>
  <c r="Q195" i="18"/>
  <c r="R195" i="18"/>
  <c r="O196" i="18"/>
  <c r="P196" i="18"/>
  <c r="Q196" i="18"/>
  <c r="R196" i="18"/>
  <c r="O197" i="18"/>
  <c r="P197" i="18"/>
  <c r="Q197" i="18"/>
  <c r="R197" i="18"/>
  <c r="O198" i="18"/>
  <c r="P198" i="18"/>
  <c r="Q198" i="18"/>
  <c r="R198" i="18"/>
  <c r="O199" i="18"/>
  <c r="P199" i="18"/>
  <c r="Q199" i="18"/>
  <c r="R199" i="18"/>
  <c r="O200" i="18"/>
  <c r="P200" i="18"/>
  <c r="Q200" i="18"/>
  <c r="R200" i="18"/>
  <c r="O201" i="18"/>
  <c r="P201" i="18"/>
  <c r="Q201" i="18"/>
  <c r="R201" i="18"/>
  <c r="O202" i="18"/>
  <c r="P202" i="18"/>
  <c r="Q202" i="18"/>
  <c r="R202" i="18"/>
  <c r="O203" i="18"/>
  <c r="P203" i="18"/>
  <c r="Q203" i="18"/>
  <c r="R203" i="18"/>
  <c r="O204" i="18"/>
  <c r="P204" i="18"/>
  <c r="Q204" i="18"/>
  <c r="R204" i="18"/>
  <c r="O205" i="18"/>
  <c r="P205" i="18"/>
  <c r="Q205" i="18"/>
  <c r="R205" i="18"/>
  <c r="O206" i="18"/>
  <c r="P206" i="18"/>
  <c r="Q206" i="18"/>
  <c r="R206" i="18"/>
  <c r="O207" i="18"/>
  <c r="P207" i="18"/>
  <c r="Q207" i="18"/>
  <c r="R207" i="18"/>
  <c r="O208" i="18"/>
  <c r="P208" i="18"/>
  <c r="Q208" i="18"/>
  <c r="R208" i="18"/>
  <c r="O209" i="18"/>
  <c r="P209" i="18"/>
  <c r="Q209" i="18"/>
  <c r="R209" i="18"/>
  <c r="O210" i="18"/>
  <c r="P210" i="18"/>
  <c r="Q210" i="18"/>
  <c r="R210" i="18"/>
  <c r="O211" i="18"/>
  <c r="P211" i="18"/>
  <c r="Q211" i="18"/>
  <c r="R211" i="18"/>
  <c r="O212" i="18"/>
  <c r="P212" i="18"/>
  <c r="Q212" i="18"/>
  <c r="R212" i="18"/>
  <c r="O213" i="18"/>
  <c r="P213" i="18"/>
  <c r="Q213" i="18"/>
  <c r="R213" i="18"/>
  <c r="O214" i="18"/>
  <c r="P214" i="18"/>
  <c r="Q214" i="18"/>
  <c r="R214" i="18"/>
  <c r="O215" i="18"/>
  <c r="P215" i="18"/>
  <c r="Q215" i="18"/>
  <c r="R215" i="18"/>
  <c r="O216" i="18"/>
  <c r="P216" i="18"/>
  <c r="Q216" i="18"/>
  <c r="R216" i="18"/>
  <c r="O217" i="18"/>
  <c r="P217" i="18"/>
  <c r="Q217" i="18"/>
  <c r="R217" i="18"/>
  <c r="O218" i="18"/>
  <c r="P218" i="18"/>
  <c r="Q218" i="18"/>
  <c r="R218" i="18"/>
  <c r="O219" i="18"/>
  <c r="P219" i="18"/>
  <c r="Q219" i="18"/>
  <c r="R219" i="18"/>
  <c r="O220" i="18"/>
  <c r="P220" i="18"/>
  <c r="Q220" i="18"/>
  <c r="R220" i="18"/>
  <c r="O221" i="18"/>
  <c r="P221" i="18"/>
  <c r="Q221" i="18"/>
  <c r="R221" i="18"/>
  <c r="O222" i="18"/>
  <c r="P222" i="18"/>
  <c r="Q222" i="18"/>
  <c r="R222" i="18"/>
  <c r="O223" i="18"/>
  <c r="P223" i="18"/>
  <c r="Q223" i="18"/>
  <c r="R223" i="18"/>
  <c r="O224" i="18"/>
  <c r="P224" i="18"/>
  <c r="Q224" i="18"/>
  <c r="R224" i="18"/>
  <c r="O225" i="18"/>
  <c r="P225" i="18"/>
  <c r="Q225" i="18"/>
  <c r="R225" i="18"/>
  <c r="O226" i="18"/>
  <c r="P226" i="18"/>
  <c r="Q226" i="18"/>
  <c r="R226" i="18"/>
  <c r="O227" i="18"/>
  <c r="P227" i="18"/>
  <c r="Q227" i="18"/>
  <c r="R227" i="18"/>
  <c r="O228" i="18"/>
  <c r="P228" i="18"/>
  <c r="Q228" i="18"/>
  <c r="R228" i="18"/>
  <c r="O229" i="18"/>
  <c r="P229" i="18"/>
  <c r="Q229" i="18"/>
  <c r="R229" i="18"/>
  <c r="O230" i="18"/>
  <c r="P230" i="18"/>
  <c r="Q230" i="18"/>
  <c r="R230" i="18"/>
  <c r="O231" i="18"/>
  <c r="P231" i="18"/>
  <c r="Q231" i="18"/>
  <c r="R231" i="18"/>
  <c r="O232" i="18"/>
  <c r="P232" i="18"/>
  <c r="Q232" i="18"/>
  <c r="R232" i="18"/>
  <c r="O233" i="18"/>
  <c r="P233" i="18"/>
  <c r="Q233" i="18"/>
  <c r="R233" i="18"/>
  <c r="O234" i="18"/>
  <c r="P234" i="18"/>
  <c r="Q234" i="18"/>
  <c r="R234" i="18"/>
  <c r="O235" i="18"/>
  <c r="P235" i="18"/>
  <c r="Q235" i="18"/>
  <c r="R235" i="18"/>
  <c r="O236" i="18"/>
  <c r="P236" i="18"/>
  <c r="Q236" i="18"/>
  <c r="R236" i="18"/>
  <c r="O237" i="18"/>
  <c r="P237" i="18"/>
  <c r="Q237" i="18"/>
  <c r="R237" i="18"/>
  <c r="O238" i="18"/>
  <c r="P238" i="18"/>
  <c r="Q238" i="18"/>
  <c r="R238" i="18"/>
  <c r="O239" i="18"/>
  <c r="P239" i="18"/>
  <c r="Q239" i="18"/>
  <c r="R239" i="18"/>
  <c r="O240" i="18"/>
  <c r="P240" i="18"/>
  <c r="Q240" i="18"/>
  <c r="R240" i="18"/>
  <c r="O241" i="18"/>
  <c r="P241" i="18"/>
  <c r="Q241" i="18"/>
  <c r="R241" i="18"/>
  <c r="O242" i="18"/>
  <c r="P242" i="18"/>
  <c r="Q242" i="18"/>
  <c r="R242" i="18"/>
  <c r="O243" i="18"/>
  <c r="P243" i="18"/>
  <c r="Q243" i="18"/>
  <c r="R243" i="18"/>
  <c r="O244" i="18"/>
  <c r="P244" i="18"/>
  <c r="Q244" i="18"/>
  <c r="R244" i="18"/>
  <c r="O245" i="18"/>
  <c r="P245" i="18"/>
  <c r="Q245" i="18"/>
  <c r="R245" i="18"/>
  <c r="O246" i="18"/>
  <c r="P246" i="18"/>
  <c r="Q246" i="18"/>
  <c r="R246" i="18"/>
  <c r="O247" i="18"/>
  <c r="P247" i="18"/>
  <c r="Q247" i="18"/>
  <c r="R247" i="18"/>
  <c r="O248" i="18"/>
  <c r="P248" i="18"/>
  <c r="Q248" i="18"/>
  <c r="R248" i="18"/>
  <c r="O249" i="18"/>
  <c r="P249" i="18"/>
  <c r="Q249" i="18"/>
  <c r="R249" i="18"/>
  <c r="O250" i="18"/>
  <c r="P250" i="18"/>
  <c r="Q250" i="18"/>
  <c r="R250" i="18"/>
  <c r="O251" i="18"/>
  <c r="P251" i="18"/>
  <c r="Q251" i="18"/>
  <c r="R251" i="18"/>
  <c r="O252" i="18"/>
  <c r="P252" i="18"/>
  <c r="Q252" i="18"/>
  <c r="R252" i="18"/>
  <c r="O253" i="18"/>
  <c r="P253" i="18"/>
  <c r="Q253" i="18"/>
  <c r="R253" i="18"/>
  <c r="O254" i="18"/>
  <c r="P254" i="18"/>
  <c r="Q254" i="18"/>
  <c r="R254" i="18"/>
  <c r="O255" i="18"/>
  <c r="P255" i="18"/>
  <c r="Q255" i="18"/>
  <c r="R255" i="18"/>
  <c r="O256" i="18"/>
  <c r="P256" i="18"/>
  <c r="Q256" i="18"/>
  <c r="R256" i="18"/>
  <c r="O257" i="18"/>
  <c r="P257" i="18"/>
  <c r="Q257" i="18"/>
  <c r="R257" i="18"/>
  <c r="O258" i="18"/>
  <c r="P258" i="18"/>
  <c r="Q258" i="18"/>
  <c r="R258" i="18"/>
  <c r="O259" i="18"/>
  <c r="P259" i="18"/>
  <c r="Q259" i="18"/>
  <c r="R259" i="18"/>
  <c r="O260" i="18"/>
  <c r="P260" i="18"/>
  <c r="Q260" i="18"/>
  <c r="R260" i="18"/>
  <c r="O261" i="18"/>
  <c r="P261" i="18"/>
  <c r="Q261" i="18"/>
  <c r="R261" i="18"/>
  <c r="O262" i="18"/>
  <c r="P262" i="18"/>
  <c r="Q262" i="18"/>
  <c r="R262" i="18"/>
  <c r="O263" i="18"/>
  <c r="P263" i="18"/>
  <c r="Q263" i="18"/>
  <c r="R263" i="18"/>
  <c r="O264" i="18"/>
  <c r="P264" i="18"/>
  <c r="Q264" i="18"/>
  <c r="R264" i="18"/>
  <c r="O265" i="18"/>
  <c r="P265" i="18"/>
  <c r="Q265" i="18"/>
  <c r="R265" i="18"/>
  <c r="O266" i="18"/>
  <c r="P266" i="18"/>
  <c r="Q266" i="18"/>
  <c r="R266" i="18"/>
  <c r="O267" i="18"/>
  <c r="P267" i="18"/>
  <c r="Q267" i="18"/>
  <c r="R267" i="18"/>
  <c r="O268" i="18"/>
  <c r="P268" i="18"/>
  <c r="Q268" i="18"/>
  <c r="R268" i="18"/>
  <c r="O269" i="18"/>
  <c r="P269" i="18"/>
  <c r="Q269" i="18"/>
  <c r="R269" i="18"/>
  <c r="O270" i="18"/>
  <c r="P270" i="18"/>
  <c r="Q270" i="18"/>
  <c r="R270" i="18"/>
  <c r="O271" i="18"/>
  <c r="P271" i="18"/>
  <c r="Q271" i="18"/>
  <c r="R271" i="18"/>
  <c r="O272" i="18"/>
  <c r="P272" i="18"/>
  <c r="Q272" i="18"/>
  <c r="R272" i="18"/>
  <c r="O273" i="18"/>
  <c r="P273" i="18"/>
  <c r="Q273" i="18"/>
  <c r="R273" i="18"/>
  <c r="O274" i="18"/>
  <c r="P274" i="18"/>
  <c r="Q274" i="18"/>
  <c r="R274" i="18"/>
  <c r="O275" i="18"/>
  <c r="P275" i="18"/>
  <c r="Q275" i="18"/>
  <c r="R275" i="18"/>
  <c r="O276" i="18"/>
  <c r="P276" i="18"/>
  <c r="Q276" i="18"/>
  <c r="R276" i="18"/>
  <c r="O277" i="18"/>
  <c r="P277" i="18"/>
  <c r="Q277" i="18"/>
  <c r="R277" i="18"/>
  <c r="O278" i="18"/>
  <c r="P278" i="18"/>
  <c r="Q278" i="18"/>
  <c r="R278" i="18"/>
  <c r="O279" i="18"/>
  <c r="P279" i="18"/>
  <c r="Q279" i="18"/>
  <c r="R279" i="18"/>
  <c r="O280" i="18"/>
  <c r="P280" i="18"/>
  <c r="Q280" i="18"/>
  <c r="R280" i="18"/>
  <c r="O281" i="18"/>
  <c r="P281" i="18"/>
  <c r="Q281" i="18"/>
  <c r="R281" i="18"/>
  <c r="O282" i="18"/>
  <c r="P282" i="18"/>
  <c r="Q282" i="18"/>
  <c r="R282" i="18"/>
  <c r="O283" i="18"/>
  <c r="P283" i="18"/>
  <c r="Q283" i="18"/>
  <c r="R283" i="18"/>
  <c r="O284" i="18"/>
  <c r="P284" i="18"/>
  <c r="Q284" i="18"/>
  <c r="R284" i="18"/>
  <c r="O285" i="18"/>
  <c r="P285" i="18"/>
  <c r="Q285" i="18"/>
  <c r="R285" i="18"/>
  <c r="O286" i="18"/>
  <c r="P286" i="18"/>
  <c r="Q286" i="18"/>
  <c r="R286" i="18"/>
  <c r="O287" i="18"/>
  <c r="P287" i="18"/>
  <c r="Q287" i="18"/>
  <c r="R287" i="18"/>
  <c r="O288" i="18"/>
  <c r="P288" i="18"/>
  <c r="Q288" i="18"/>
  <c r="R288" i="18"/>
  <c r="O289" i="18"/>
  <c r="P289" i="18"/>
  <c r="Q289" i="18"/>
  <c r="R289" i="18"/>
  <c r="O290" i="18"/>
  <c r="P290" i="18"/>
  <c r="Q290" i="18"/>
  <c r="R290" i="18"/>
  <c r="O291" i="18"/>
  <c r="P291" i="18"/>
  <c r="Q291" i="18"/>
  <c r="R291" i="18"/>
  <c r="O292" i="18"/>
  <c r="P292" i="18"/>
  <c r="Q292" i="18"/>
  <c r="R292" i="18"/>
  <c r="O293" i="18"/>
  <c r="P293" i="18"/>
  <c r="Q293" i="18"/>
  <c r="R293" i="18"/>
  <c r="O294" i="18"/>
  <c r="P294" i="18"/>
  <c r="Q294" i="18"/>
  <c r="R294" i="18"/>
  <c r="O295" i="18"/>
  <c r="P295" i="18"/>
  <c r="Q295" i="18"/>
  <c r="R295" i="18"/>
  <c r="O296" i="18"/>
  <c r="P296" i="18"/>
  <c r="Q296" i="18"/>
  <c r="R296" i="18"/>
  <c r="O297" i="18"/>
  <c r="P297" i="18"/>
  <c r="Q297" i="18"/>
  <c r="R297" i="18"/>
  <c r="O298" i="18"/>
  <c r="P298" i="18"/>
  <c r="Q298" i="18"/>
  <c r="R298" i="18"/>
  <c r="O299" i="18"/>
  <c r="P299" i="18"/>
  <c r="Q299" i="18"/>
  <c r="R299" i="18"/>
  <c r="O300" i="18"/>
  <c r="P300" i="18"/>
  <c r="Q300" i="18"/>
  <c r="R300" i="18"/>
  <c r="O301" i="18"/>
  <c r="P301" i="18"/>
  <c r="Q301" i="18"/>
  <c r="R301" i="18"/>
  <c r="O302" i="18"/>
  <c r="P302" i="18"/>
  <c r="Q302" i="18"/>
  <c r="R302" i="18"/>
  <c r="O303" i="18"/>
  <c r="P303" i="18"/>
  <c r="Q303" i="18"/>
  <c r="R303" i="18"/>
  <c r="O304" i="18"/>
  <c r="P304" i="18"/>
  <c r="Q304" i="18"/>
  <c r="R304" i="18"/>
  <c r="O305" i="18"/>
  <c r="P305" i="18"/>
  <c r="Q305" i="18"/>
  <c r="R305" i="18"/>
  <c r="O306" i="18"/>
  <c r="P306" i="18"/>
  <c r="Q306" i="18"/>
  <c r="R306" i="18"/>
  <c r="O307" i="18"/>
  <c r="P307" i="18"/>
  <c r="Q307" i="18"/>
  <c r="R307" i="18"/>
  <c r="O308" i="18"/>
  <c r="P308" i="18"/>
  <c r="Q308" i="18"/>
  <c r="R308" i="18"/>
  <c r="O309" i="18"/>
  <c r="P309" i="18"/>
  <c r="Q309" i="18"/>
  <c r="R309" i="18"/>
  <c r="O310" i="18"/>
  <c r="P310" i="18"/>
  <c r="Q310" i="18"/>
  <c r="R310" i="18"/>
  <c r="O311" i="18"/>
  <c r="P311" i="18"/>
  <c r="Q311" i="18"/>
  <c r="R311" i="18"/>
  <c r="O312" i="18"/>
  <c r="P312" i="18"/>
  <c r="Q312" i="18"/>
  <c r="R312" i="18"/>
  <c r="O313" i="18"/>
  <c r="P313" i="18"/>
  <c r="Q313" i="18"/>
  <c r="R313" i="18"/>
  <c r="O314" i="18"/>
  <c r="P314" i="18"/>
  <c r="Q314" i="18"/>
  <c r="R314" i="18"/>
  <c r="O315" i="18"/>
  <c r="P315" i="18"/>
  <c r="Q315" i="18"/>
  <c r="R315" i="18"/>
  <c r="O316" i="18"/>
  <c r="P316" i="18"/>
  <c r="Q316" i="18"/>
  <c r="R316" i="18"/>
  <c r="O317" i="18"/>
  <c r="P317" i="18"/>
  <c r="Q317" i="18"/>
  <c r="R317" i="18"/>
  <c r="O318" i="18"/>
  <c r="P318" i="18"/>
  <c r="Q318" i="18"/>
  <c r="R318" i="18"/>
  <c r="O319" i="18"/>
  <c r="P319" i="18"/>
  <c r="Q319" i="18"/>
  <c r="R319" i="18"/>
  <c r="O320" i="18"/>
  <c r="P320" i="18"/>
  <c r="Q320" i="18"/>
  <c r="R320" i="18"/>
  <c r="O321" i="18"/>
  <c r="P321" i="18"/>
  <c r="Q321" i="18"/>
  <c r="R321" i="18"/>
  <c r="O322" i="18"/>
  <c r="P322" i="18"/>
  <c r="Q322" i="18"/>
  <c r="R322" i="18"/>
  <c r="O323" i="18"/>
  <c r="P323" i="18"/>
  <c r="Q323" i="18"/>
  <c r="R323" i="18"/>
  <c r="O324" i="18"/>
  <c r="P324" i="18"/>
  <c r="Q324" i="18"/>
  <c r="R324" i="18"/>
  <c r="O325" i="18"/>
  <c r="P325" i="18"/>
  <c r="Q325" i="18"/>
  <c r="R325" i="18"/>
  <c r="O326" i="18"/>
  <c r="P326" i="18"/>
  <c r="Q326" i="18"/>
  <c r="R326" i="18"/>
  <c r="O327" i="18"/>
  <c r="P327" i="18"/>
  <c r="Q327" i="18"/>
  <c r="R327" i="18"/>
  <c r="O328" i="18"/>
  <c r="P328" i="18"/>
  <c r="Q328" i="18"/>
  <c r="R328" i="18"/>
  <c r="O329" i="18"/>
  <c r="P329" i="18"/>
  <c r="Q329" i="18"/>
  <c r="R329" i="18"/>
  <c r="O330" i="18"/>
  <c r="P330" i="18"/>
  <c r="Q330" i="18"/>
  <c r="R330" i="18"/>
  <c r="O331" i="18"/>
  <c r="P331" i="18"/>
  <c r="Q331" i="18"/>
  <c r="R331" i="18"/>
  <c r="O332" i="18"/>
  <c r="P332" i="18"/>
  <c r="Q332" i="18"/>
  <c r="R332" i="18"/>
  <c r="O333" i="18"/>
  <c r="P333" i="18"/>
  <c r="Q333" i="18"/>
  <c r="R333" i="18"/>
  <c r="O334" i="18"/>
  <c r="P334" i="18"/>
  <c r="Q334" i="18"/>
  <c r="R334" i="18"/>
  <c r="O335" i="18"/>
  <c r="P335" i="18"/>
  <c r="Q335" i="18"/>
  <c r="R335" i="18"/>
  <c r="O336" i="18"/>
  <c r="P336" i="18"/>
  <c r="Q336" i="18"/>
  <c r="R336" i="18"/>
  <c r="O337" i="18"/>
  <c r="P337" i="18"/>
  <c r="Q337" i="18"/>
  <c r="R337" i="18"/>
  <c r="O338" i="18"/>
  <c r="P338" i="18"/>
  <c r="Q338" i="18"/>
  <c r="R338" i="18"/>
  <c r="O339" i="18"/>
  <c r="P339" i="18"/>
  <c r="Q339" i="18"/>
  <c r="R339" i="18"/>
  <c r="O340" i="18"/>
  <c r="P340" i="18"/>
  <c r="Q340" i="18"/>
  <c r="R340" i="18"/>
  <c r="O341" i="18"/>
  <c r="P341" i="18"/>
  <c r="Q341" i="18"/>
  <c r="R341" i="18"/>
  <c r="O342" i="18"/>
  <c r="P342" i="18"/>
  <c r="Q342" i="18"/>
  <c r="R342" i="18"/>
  <c r="O343" i="18"/>
  <c r="P343" i="18"/>
  <c r="Q343" i="18"/>
  <c r="R343" i="18"/>
  <c r="O344" i="18"/>
  <c r="P344" i="18"/>
  <c r="Q344" i="18"/>
  <c r="R344" i="18"/>
  <c r="O345" i="18"/>
  <c r="P345" i="18"/>
  <c r="Q345" i="18"/>
  <c r="R345" i="18"/>
  <c r="O346" i="18"/>
  <c r="P346" i="18"/>
  <c r="Q346" i="18"/>
  <c r="R346" i="18"/>
  <c r="O347" i="18"/>
  <c r="P347" i="18"/>
  <c r="Q347" i="18"/>
  <c r="R347" i="18"/>
  <c r="O348" i="18"/>
  <c r="P348" i="18"/>
  <c r="Q348" i="18"/>
  <c r="R348" i="18"/>
  <c r="O349" i="18"/>
  <c r="P349" i="18"/>
  <c r="Q349" i="18"/>
  <c r="R349" i="18"/>
  <c r="O350" i="18"/>
  <c r="P350" i="18"/>
  <c r="Q350" i="18"/>
  <c r="R350" i="18"/>
  <c r="O351" i="18"/>
  <c r="P351" i="18"/>
  <c r="Q351" i="18"/>
  <c r="R351" i="18"/>
  <c r="O352" i="18"/>
  <c r="P352" i="18"/>
  <c r="Q352" i="18"/>
  <c r="R352" i="18"/>
  <c r="O353" i="18"/>
  <c r="P353" i="18"/>
  <c r="Q353" i="18"/>
  <c r="R353" i="18"/>
  <c r="O354" i="18"/>
  <c r="P354" i="18"/>
  <c r="Q354" i="18"/>
  <c r="R354" i="18"/>
  <c r="O355" i="18"/>
  <c r="P355" i="18"/>
  <c r="Q355" i="18"/>
  <c r="R355" i="18"/>
  <c r="O356" i="18"/>
  <c r="P356" i="18"/>
  <c r="Q356" i="18"/>
  <c r="R356" i="18"/>
  <c r="O357" i="18"/>
  <c r="P357" i="18"/>
  <c r="Q357" i="18"/>
  <c r="R357" i="18"/>
  <c r="O358" i="18"/>
  <c r="P358" i="18"/>
  <c r="Q358" i="18"/>
  <c r="R358" i="18"/>
  <c r="O359" i="18"/>
  <c r="P359" i="18"/>
  <c r="Q359" i="18"/>
  <c r="R359" i="18"/>
  <c r="O360" i="18"/>
  <c r="P360" i="18"/>
  <c r="Q360" i="18"/>
  <c r="R360" i="18"/>
  <c r="O361" i="18"/>
  <c r="P361" i="18"/>
  <c r="Q361" i="18"/>
  <c r="R361" i="18"/>
  <c r="O362" i="18"/>
  <c r="P362" i="18"/>
  <c r="Q362" i="18"/>
  <c r="R362" i="18"/>
  <c r="O363" i="18"/>
  <c r="P363" i="18"/>
  <c r="Q363" i="18"/>
  <c r="R363" i="18"/>
  <c r="O364" i="18"/>
  <c r="P364" i="18"/>
  <c r="Q364" i="18"/>
  <c r="R364" i="18"/>
  <c r="O365" i="18"/>
  <c r="P365" i="18"/>
  <c r="Q365" i="18"/>
  <c r="R365" i="18"/>
  <c r="O366" i="18"/>
  <c r="P366" i="18"/>
  <c r="Q366" i="18"/>
  <c r="R366" i="18"/>
  <c r="O367" i="18"/>
  <c r="P367" i="18"/>
  <c r="Q367" i="18"/>
  <c r="R367" i="18"/>
  <c r="O368" i="18"/>
  <c r="P368" i="18"/>
  <c r="Q368" i="18"/>
  <c r="R368" i="18"/>
  <c r="P10" i="18"/>
  <c r="Q10" i="18"/>
  <c r="R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7" i="18"/>
  <c r="I268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I333" i="18"/>
  <c r="I334" i="18"/>
  <c r="I335" i="18"/>
  <c r="I336" i="18"/>
  <c r="I337" i="18"/>
  <c r="I338" i="18"/>
  <c r="I339" i="18"/>
  <c r="I340" i="18"/>
  <c r="I341" i="18"/>
  <c r="I342" i="18"/>
  <c r="I343" i="18"/>
  <c r="I344" i="18"/>
  <c r="I345" i="18"/>
  <c r="I346" i="18"/>
  <c r="I347" i="18"/>
  <c r="I348" i="18"/>
  <c r="I349" i="18"/>
  <c r="I350" i="18"/>
  <c r="I351" i="18"/>
  <c r="I352" i="18"/>
  <c r="I353" i="18"/>
  <c r="I354" i="18"/>
  <c r="I355" i="18"/>
  <c r="I356" i="18"/>
  <c r="I357" i="18"/>
  <c r="I358" i="18"/>
  <c r="I359" i="18"/>
  <c r="I360" i="18"/>
  <c r="I361" i="18"/>
  <c r="I362" i="18"/>
  <c r="I363" i="18"/>
  <c r="I364" i="18"/>
  <c r="I365" i="18"/>
  <c r="I366" i="18"/>
  <c r="I367" i="18"/>
  <c r="I368" i="18"/>
  <c r="I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10" i="18"/>
  <c r="M368" i="18"/>
  <c r="L368" i="18"/>
  <c r="K368" i="18"/>
  <c r="M367" i="18"/>
  <c r="L367" i="18"/>
  <c r="K367" i="18"/>
  <c r="M366" i="18"/>
  <c r="L366" i="18"/>
  <c r="K366" i="18"/>
  <c r="M365" i="18"/>
  <c r="L365" i="18"/>
  <c r="K365" i="18"/>
  <c r="M364" i="18"/>
  <c r="L364" i="18"/>
  <c r="K364" i="18"/>
  <c r="M363" i="18"/>
  <c r="L363" i="18"/>
  <c r="K363" i="18"/>
  <c r="M362" i="18"/>
  <c r="L362" i="18"/>
  <c r="K362" i="18"/>
  <c r="M361" i="18"/>
  <c r="L361" i="18"/>
  <c r="K361" i="18"/>
  <c r="M360" i="18"/>
  <c r="L360" i="18"/>
  <c r="K360" i="18"/>
  <c r="M359" i="18"/>
  <c r="L359" i="18"/>
  <c r="K359" i="18"/>
  <c r="M358" i="18"/>
  <c r="L358" i="18"/>
  <c r="K358" i="18"/>
  <c r="M357" i="18"/>
  <c r="L357" i="18"/>
  <c r="K357" i="18"/>
  <c r="M356" i="18"/>
  <c r="L356" i="18"/>
  <c r="K356" i="18"/>
  <c r="M355" i="18"/>
  <c r="L355" i="18"/>
  <c r="K355" i="18"/>
  <c r="M354" i="18"/>
  <c r="L354" i="18"/>
  <c r="K354" i="18"/>
  <c r="M353" i="18"/>
  <c r="L353" i="18"/>
  <c r="K353" i="18"/>
  <c r="M352" i="18"/>
  <c r="L352" i="18"/>
  <c r="K352" i="18"/>
  <c r="M351" i="18"/>
  <c r="L351" i="18"/>
  <c r="K351" i="18"/>
  <c r="M350" i="18"/>
  <c r="L350" i="18"/>
  <c r="K350" i="18"/>
  <c r="M349" i="18"/>
  <c r="L349" i="18"/>
  <c r="K349" i="18"/>
  <c r="M348" i="18"/>
  <c r="L348" i="18"/>
  <c r="K348" i="18"/>
  <c r="M347" i="18"/>
  <c r="L347" i="18"/>
  <c r="K347" i="18"/>
  <c r="M346" i="18"/>
  <c r="L346" i="18"/>
  <c r="K346" i="18"/>
  <c r="M345" i="18"/>
  <c r="L345" i="18"/>
  <c r="K345" i="18"/>
  <c r="M344" i="18"/>
  <c r="L344" i="18"/>
  <c r="K344" i="18"/>
  <c r="M343" i="18"/>
  <c r="L343" i="18"/>
  <c r="K343" i="18"/>
  <c r="M342" i="18"/>
  <c r="L342" i="18"/>
  <c r="K342" i="18"/>
  <c r="M341" i="18"/>
  <c r="L341" i="18"/>
  <c r="K341" i="18"/>
  <c r="M340" i="18"/>
  <c r="L340" i="18"/>
  <c r="K340" i="18"/>
  <c r="M339" i="18"/>
  <c r="L339" i="18"/>
  <c r="K339" i="18"/>
  <c r="M338" i="18"/>
  <c r="L338" i="18"/>
  <c r="K338" i="18"/>
  <c r="M337" i="18"/>
  <c r="L337" i="18"/>
  <c r="K337" i="18"/>
  <c r="M336" i="18"/>
  <c r="L336" i="18"/>
  <c r="K336" i="18"/>
  <c r="M335" i="18"/>
  <c r="L335" i="18"/>
  <c r="K335" i="18"/>
  <c r="M334" i="18"/>
  <c r="L334" i="18"/>
  <c r="K334" i="18"/>
  <c r="M333" i="18"/>
  <c r="L333" i="18"/>
  <c r="K333" i="18"/>
  <c r="M332" i="18"/>
  <c r="L332" i="18"/>
  <c r="K332" i="18"/>
  <c r="M331" i="18"/>
  <c r="L331" i="18"/>
  <c r="K331" i="18"/>
  <c r="M330" i="18"/>
  <c r="L330" i="18"/>
  <c r="K330" i="18"/>
  <c r="M329" i="18"/>
  <c r="L329" i="18"/>
  <c r="K329" i="18"/>
  <c r="M328" i="18"/>
  <c r="L328" i="18"/>
  <c r="K328" i="18"/>
  <c r="M327" i="18"/>
  <c r="L327" i="18"/>
  <c r="K327" i="18"/>
  <c r="M326" i="18"/>
  <c r="L326" i="18"/>
  <c r="K326" i="18"/>
  <c r="M325" i="18"/>
  <c r="L325" i="18"/>
  <c r="K325" i="18"/>
  <c r="M324" i="18"/>
  <c r="L324" i="18"/>
  <c r="K324" i="18"/>
  <c r="M323" i="18"/>
  <c r="L323" i="18"/>
  <c r="K323" i="18"/>
  <c r="M322" i="18"/>
  <c r="L322" i="18"/>
  <c r="K322" i="18"/>
  <c r="M321" i="18"/>
  <c r="L321" i="18"/>
  <c r="K321" i="18"/>
  <c r="M320" i="18"/>
  <c r="L320" i="18"/>
  <c r="K320" i="18"/>
  <c r="M319" i="18"/>
  <c r="L319" i="18"/>
  <c r="K319" i="18"/>
  <c r="M318" i="18"/>
  <c r="L318" i="18"/>
  <c r="K318" i="18"/>
  <c r="M317" i="18"/>
  <c r="L317" i="18"/>
  <c r="K317" i="18"/>
  <c r="M316" i="18"/>
  <c r="L316" i="18"/>
  <c r="K316" i="18"/>
  <c r="M315" i="18"/>
  <c r="L315" i="18"/>
  <c r="K315" i="18"/>
  <c r="M314" i="18"/>
  <c r="L314" i="18"/>
  <c r="K314" i="18"/>
  <c r="M313" i="18"/>
  <c r="L313" i="18"/>
  <c r="K313" i="18"/>
  <c r="M312" i="18"/>
  <c r="L312" i="18"/>
  <c r="K312" i="18"/>
  <c r="M311" i="18"/>
  <c r="L311" i="18"/>
  <c r="K311" i="18"/>
  <c r="M310" i="18"/>
  <c r="L310" i="18"/>
  <c r="K310" i="18"/>
  <c r="M309" i="18"/>
  <c r="L309" i="18"/>
  <c r="K309" i="18"/>
  <c r="M308" i="18"/>
  <c r="L308" i="18"/>
  <c r="K308" i="18"/>
  <c r="M307" i="18"/>
  <c r="L307" i="18"/>
  <c r="K307" i="18"/>
  <c r="M306" i="18"/>
  <c r="L306" i="18"/>
  <c r="K306" i="18"/>
  <c r="M305" i="18"/>
  <c r="L305" i="18"/>
  <c r="K305" i="18"/>
  <c r="M304" i="18"/>
  <c r="L304" i="18"/>
  <c r="K304" i="18"/>
  <c r="M303" i="18"/>
  <c r="L303" i="18"/>
  <c r="K303" i="18"/>
  <c r="M302" i="18"/>
  <c r="L302" i="18"/>
  <c r="K302" i="18"/>
  <c r="M301" i="18"/>
  <c r="L301" i="18"/>
  <c r="K301" i="18"/>
  <c r="M300" i="18"/>
  <c r="L300" i="18"/>
  <c r="K300" i="18"/>
  <c r="M299" i="18"/>
  <c r="L299" i="18"/>
  <c r="K299" i="18"/>
  <c r="M298" i="18"/>
  <c r="L298" i="18"/>
  <c r="K298" i="18"/>
  <c r="M297" i="18"/>
  <c r="L297" i="18"/>
  <c r="K297" i="18"/>
  <c r="M296" i="18"/>
  <c r="L296" i="18"/>
  <c r="K296" i="18"/>
  <c r="M295" i="18"/>
  <c r="L295" i="18"/>
  <c r="K295" i="18"/>
  <c r="M294" i="18"/>
  <c r="L294" i="18"/>
  <c r="K294" i="18"/>
  <c r="M293" i="18"/>
  <c r="L293" i="18"/>
  <c r="K293" i="18"/>
  <c r="M292" i="18"/>
  <c r="L292" i="18"/>
  <c r="K292" i="18"/>
  <c r="M291" i="18"/>
  <c r="L291" i="18"/>
  <c r="K291" i="18"/>
  <c r="M290" i="18"/>
  <c r="L290" i="18"/>
  <c r="K290" i="18"/>
  <c r="M289" i="18"/>
  <c r="L289" i="18"/>
  <c r="K289" i="18"/>
  <c r="M288" i="18"/>
  <c r="L288" i="18"/>
  <c r="K288" i="18"/>
  <c r="M287" i="18"/>
  <c r="L287" i="18"/>
  <c r="K287" i="18"/>
  <c r="M286" i="18"/>
  <c r="L286" i="18"/>
  <c r="K286" i="18"/>
  <c r="M285" i="18"/>
  <c r="L285" i="18"/>
  <c r="K285" i="18"/>
  <c r="M284" i="18"/>
  <c r="L284" i="18"/>
  <c r="K284" i="18"/>
  <c r="M283" i="18"/>
  <c r="L283" i="18"/>
  <c r="K283" i="18"/>
  <c r="M282" i="18"/>
  <c r="L282" i="18"/>
  <c r="K282" i="18"/>
  <c r="M281" i="18"/>
  <c r="L281" i="18"/>
  <c r="K281" i="18"/>
  <c r="M280" i="18"/>
  <c r="L280" i="18"/>
  <c r="K280" i="18"/>
  <c r="M279" i="18"/>
  <c r="L279" i="18"/>
  <c r="K279" i="18"/>
  <c r="M278" i="18"/>
  <c r="L278" i="18"/>
  <c r="K278" i="18"/>
  <c r="M277" i="18"/>
  <c r="L277" i="18"/>
  <c r="K277" i="18"/>
  <c r="M276" i="18"/>
  <c r="L276" i="18"/>
  <c r="K276" i="18"/>
  <c r="M275" i="18"/>
  <c r="L275" i="18"/>
  <c r="K275" i="18"/>
  <c r="M274" i="18"/>
  <c r="L274" i="18"/>
  <c r="K274" i="18"/>
  <c r="M273" i="18"/>
  <c r="L273" i="18"/>
  <c r="K273" i="18"/>
  <c r="M272" i="18"/>
  <c r="L272" i="18"/>
  <c r="K272" i="18"/>
  <c r="M271" i="18"/>
  <c r="L271" i="18"/>
  <c r="K271" i="18"/>
  <c r="M270" i="18"/>
  <c r="L270" i="18"/>
  <c r="K270" i="18"/>
  <c r="M269" i="18"/>
  <c r="L269" i="18"/>
  <c r="K269" i="18"/>
  <c r="M268" i="18"/>
  <c r="L268" i="18"/>
  <c r="K268" i="18"/>
  <c r="M267" i="18"/>
  <c r="L267" i="18"/>
  <c r="K267" i="18"/>
  <c r="M266" i="18"/>
  <c r="L266" i="18"/>
  <c r="K266" i="18"/>
  <c r="M265" i="18"/>
  <c r="L265" i="18"/>
  <c r="K265" i="18"/>
  <c r="M264" i="18"/>
  <c r="L264" i="18"/>
  <c r="K264" i="18"/>
  <c r="M263" i="18"/>
  <c r="L263" i="18"/>
  <c r="K263" i="18"/>
  <c r="M262" i="18"/>
  <c r="L262" i="18"/>
  <c r="K262" i="18"/>
  <c r="M261" i="18"/>
  <c r="L261" i="18"/>
  <c r="K261" i="18"/>
  <c r="M260" i="18"/>
  <c r="L260" i="18"/>
  <c r="K260" i="18"/>
  <c r="M259" i="18"/>
  <c r="L259" i="18"/>
  <c r="K259" i="18"/>
  <c r="M258" i="18"/>
  <c r="L258" i="18"/>
  <c r="K258" i="18"/>
  <c r="M257" i="18"/>
  <c r="L257" i="18"/>
  <c r="K257" i="18"/>
  <c r="M256" i="18"/>
  <c r="L256" i="18"/>
  <c r="K256" i="18"/>
  <c r="M255" i="18"/>
  <c r="L255" i="18"/>
  <c r="K255" i="18"/>
  <c r="M254" i="18"/>
  <c r="L254" i="18"/>
  <c r="K254" i="18"/>
  <c r="M253" i="18"/>
  <c r="L253" i="18"/>
  <c r="K253" i="18"/>
  <c r="M252" i="18"/>
  <c r="L252" i="18"/>
  <c r="K252" i="18"/>
  <c r="M251" i="18"/>
  <c r="L251" i="18"/>
  <c r="K251" i="18"/>
  <c r="M250" i="18"/>
  <c r="L250" i="18"/>
  <c r="K250" i="18"/>
  <c r="M249" i="18"/>
  <c r="L249" i="18"/>
  <c r="K249" i="18"/>
  <c r="M248" i="18"/>
  <c r="L248" i="18"/>
  <c r="K248" i="18"/>
  <c r="M247" i="18"/>
  <c r="L247" i="18"/>
  <c r="K247" i="18"/>
  <c r="M246" i="18"/>
  <c r="L246" i="18"/>
  <c r="K246" i="18"/>
  <c r="M245" i="18"/>
  <c r="L245" i="18"/>
  <c r="K245" i="18"/>
  <c r="M244" i="18"/>
  <c r="L244" i="18"/>
  <c r="K244" i="18"/>
  <c r="M243" i="18"/>
  <c r="L243" i="18"/>
  <c r="K243" i="18"/>
  <c r="M242" i="18"/>
  <c r="L242" i="18"/>
  <c r="K242" i="18"/>
  <c r="M241" i="18"/>
  <c r="L241" i="18"/>
  <c r="K241" i="18"/>
  <c r="M240" i="18"/>
  <c r="L240" i="18"/>
  <c r="K240" i="18"/>
  <c r="M239" i="18"/>
  <c r="L239" i="18"/>
  <c r="K239" i="18"/>
  <c r="M238" i="18"/>
  <c r="L238" i="18"/>
  <c r="K238" i="18"/>
  <c r="M237" i="18"/>
  <c r="L237" i="18"/>
  <c r="K237" i="18"/>
  <c r="M236" i="18"/>
  <c r="L236" i="18"/>
  <c r="K236" i="18"/>
  <c r="M235" i="18"/>
  <c r="L235" i="18"/>
  <c r="K235" i="18"/>
  <c r="M234" i="18"/>
  <c r="L234" i="18"/>
  <c r="K234" i="18"/>
  <c r="M233" i="18"/>
  <c r="L233" i="18"/>
  <c r="K233" i="18"/>
  <c r="M232" i="18"/>
  <c r="L232" i="18"/>
  <c r="K232" i="18"/>
  <c r="M231" i="18"/>
  <c r="L231" i="18"/>
  <c r="K231" i="18"/>
  <c r="M230" i="18"/>
  <c r="L230" i="18"/>
  <c r="K230" i="18"/>
  <c r="M229" i="18"/>
  <c r="L229" i="18"/>
  <c r="K229" i="18"/>
  <c r="M228" i="18"/>
  <c r="L228" i="18"/>
  <c r="K228" i="18"/>
  <c r="M227" i="18"/>
  <c r="L227" i="18"/>
  <c r="K227" i="18"/>
  <c r="M226" i="18"/>
  <c r="L226" i="18"/>
  <c r="K226" i="18"/>
  <c r="M225" i="18"/>
  <c r="L225" i="18"/>
  <c r="K225" i="18"/>
  <c r="M224" i="18"/>
  <c r="L224" i="18"/>
  <c r="K224" i="18"/>
  <c r="M223" i="18"/>
  <c r="L223" i="18"/>
  <c r="K223" i="18"/>
  <c r="M222" i="18"/>
  <c r="L222" i="18"/>
  <c r="K222" i="18"/>
  <c r="M221" i="18"/>
  <c r="L221" i="18"/>
  <c r="K221" i="18"/>
  <c r="M220" i="18"/>
  <c r="L220" i="18"/>
  <c r="K220" i="18"/>
  <c r="M219" i="18"/>
  <c r="L219" i="18"/>
  <c r="K219" i="18"/>
  <c r="M218" i="18"/>
  <c r="L218" i="18"/>
  <c r="K218" i="18"/>
  <c r="M217" i="18"/>
  <c r="L217" i="18"/>
  <c r="K217" i="18"/>
  <c r="M216" i="18"/>
  <c r="L216" i="18"/>
  <c r="K216" i="18"/>
  <c r="M215" i="18"/>
  <c r="L215" i="18"/>
  <c r="K215" i="18"/>
  <c r="M214" i="18"/>
  <c r="L214" i="18"/>
  <c r="K214" i="18"/>
  <c r="M213" i="18"/>
  <c r="L213" i="18"/>
  <c r="K213" i="18"/>
  <c r="M212" i="18"/>
  <c r="L212" i="18"/>
  <c r="K212" i="18"/>
  <c r="M211" i="18"/>
  <c r="L211" i="18"/>
  <c r="K211" i="18"/>
  <c r="M210" i="18"/>
  <c r="L210" i="18"/>
  <c r="K210" i="18"/>
  <c r="M209" i="18"/>
  <c r="L209" i="18"/>
  <c r="K209" i="18"/>
  <c r="M208" i="18"/>
  <c r="L208" i="18"/>
  <c r="K208" i="18"/>
  <c r="M207" i="18"/>
  <c r="L207" i="18"/>
  <c r="K207" i="18"/>
  <c r="M206" i="18"/>
  <c r="L206" i="18"/>
  <c r="K206" i="18"/>
  <c r="M205" i="18"/>
  <c r="L205" i="18"/>
  <c r="K205" i="18"/>
  <c r="M204" i="18"/>
  <c r="L204" i="18"/>
  <c r="K204" i="18"/>
  <c r="M203" i="18"/>
  <c r="L203" i="18"/>
  <c r="K203" i="18"/>
  <c r="M202" i="18"/>
  <c r="L202" i="18"/>
  <c r="K202" i="18"/>
  <c r="M201" i="18"/>
  <c r="L201" i="18"/>
  <c r="K201" i="18"/>
  <c r="M200" i="18"/>
  <c r="L200" i="18"/>
  <c r="K200" i="18"/>
  <c r="M199" i="18"/>
  <c r="L199" i="18"/>
  <c r="K199" i="18"/>
  <c r="M198" i="18"/>
  <c r="L198" i="18"/>
  <c r="K198" i="18"/>
  <c r="M197" i="18"/>
  <c r="L197" i="18"/>
  <c r="K197" i="18"/>
  <c r="M196" i="18"/>
  <c r="L196" i="18"/>
  <c r="K196" i="18"/>
  <c r="M195" i="18"/>
  <c r="L195" i="18"/>
  <c r="K195" i="18"/>
  <c r="M194" i="18"/>
  <c r="L194" i="18"/>
  <c r="K194" i="18"/>
  <c r="M193" i="18"/>
  <c r="L193" i="18"/>
  <c r="K193" i="18"/>
  <c r="M192" i="18"/>
  <c r="L192" i="18"/>
  <c r="K192" i="18"/>
  <c r="M191" i="18"/>
  <c r="L191" i="18"/>
  <c r="K191" i="18"/>
  <c r="M190" i="18"/>
  <c r="L190" i="18"/>
  <c r="K190" i="18"/>
  <c r="M189" i="18"/>
  <c r="L189" i="18"/>
  <c r="K189" i="18"/>
  <c r="M188" i="18"/>
  <c r="L188" i="18"/>
  <c r="K188" i="18"/>
  <c r="M187" i="18"/>
  <c r="L187" i="18"/>
  <c r="K187" i="18"/>
  <c r="M186" i="18"/>
  <c r="L186" i="18"/>
  <c r="K186" i="18"/>
  <c r="M185" i="18"/>
  <c r="L185" i="18"/>
  <c r="K185" i="18"/>
  <c r="M184" i="18"/>
  <c r="L184" i="18"/>
  <c r="K184" i="18"/>
  <c r="M183" i="18"/>
  <c r="L183" i="18"/>
  <c r="K183" i="18"/>
  <c r="M182" i="18"/>
  <c r="L182" i="18"/>
  <c r="K182" i="18"/>
  <c r="M181" i="18"/>
  <c r="L181" i="18"/>
  <c r="K181" i="18"/>
  <c r="M180" i="18"/>
  <c r="L180" i="18"/>
  <c r="K180" i="18"/>
  <c r="M179" i="18"/>
  <c r="L179" i="18"/>
  <c r="K179" i="18"/>
  <c r="M178" i="18"/>
  <c r="L178" i="18"/>
  <c r="K178" i="18"/>
  <c r="M177" i="18"/>
  <c r="L177" i="18"/>
  <c r="K177" i="18"/>
  <c r="M176" i="18"/>
  <c r="L176" i="18"/>
  <c r="K176" i="18"/>
  <c r="M175" i="18"/>
  <c r="L175" i="18"/>
  <c r="K175" i="18"/>
  <c r="M174" i="18"/>
  <c r="L174" i="18"/>
  <c r="K174" i="18"/>
  <c r="M173" i="18"/>
  <c r="L173" i="18"/>
  <c r="K173" i="18"/>
  <c r="M172" i="18"/>
  <c r="L172" i="18"/>
  <c r="K172" i="18"/>
  <c r="M171" i="18"/>
  <c r="L171" i="18"/>
  <c r="K171" i="18"/>
  <c r="M170" i="18"/>
  <c r="L170" i="18"/>
  <c r="K170" i="18"/>
  <c r="M169" i="18"/>
  <c r="L169" i="18"/>
  <c r="K169" i="18"/>
  <c r="M168" i="18"/>
  <c r="L168" i="18"/>
  <c r="K168" i="18"/>
  <c r="M167" i="18"/>
  <c r="L167" i="18"/>
  <c r="K167" i="18"/>
  <c r="M166" i="18"/>
  <c r="L166" i="18"/>
  <c r="K166" i="18"/>
  <c r="M165" i="18"/>
  <c r="L165" i="18"/>
  <c r="K165" i="18"/>
  <c r="M164" i="18"/>
  <c r="L164" i="18"/>
  <c r="K164" i="18"/>
  <c r="M163" i="18"/>
  <c r="L163" i="18"/>
  <c r="K163" i="18"/>
  <c r="M162" i="18"/>
  <c r="L162" i="18"/>
  <c r="K162" i="18"/>
  <c r="M161" i="18"/>
  <c r="L161" i="18"/>
  <c r="K161" i="18"/>
  <c r="M160" i="18"/>
  <c r="L160" i="18"/>
  <c r="K160" i="18"/>
  <c r="M159" i="18"/>
  <c r="L159" i="18"/>
  <c r="K159" i="18"/>
  <c r="M158" i="18"/>
  <c r="L158" i="18"/>
  <c r="K158" i="18"/>
  <c r="M157" i="18"/>
  <c r="L157" i="18"/>
  <c r="K157" i="18"/>
  <c r="M156" i="18"/>
  <c r="L156" i="18"/>
  <c r="K156" i="18"/>
  <c r="M155" i="18"/>
  <c r="L155" i="18"/>
  <c r="K155" i="18"/>
  <c r="M154" i="18"/>
  <c r="L154" i="18"/>
  <c r="K154" i="18"/>
  <c r="M153" i="18"/>
  <c r="L153" i="18"/>
  <c r="K153" i="18"/>
  <c r="M152" i="18"/>
  <c r="L152" i="18"/>
  <c r="K152" i="18"/>
  <c r="M151" i="18"/>
  <c r="L151" i="18"/>
  <c r="K151" i="18"/>
  <c r="M150" i="18"/>
  <c r="L150" i="18"/>
  <c r="K150" i="18"/>
  <c r="M149" i="18"/>
  <c r="L149" i="18"/>
  <c r="K149" i="18"/>
  <c r="M148" i="18"/>
  <c r="L148" i="18"/>
  <c r="K148" i="18"/>
  <c r="M147" i="18"/>
  <c r="L147" i="18"/>
  <c r="K147" i="18"/>
  <c r="M146" i="18"/>
  <c r="L146" i="18"/>
  <c r="K146" i="18"/>
  <c r="M145" i="18"/>
  <c r="L145" i="18"/>
  <c r="K145" i="18"/>
  <c r="M144" i="18"/>
  <c r="L144" i="18"/>
  <c r="K144" i="18"/>
  <c r="M143" i="18"/>
  <c r="L143" i="18"/>
  <c r="K143" i="18"/>
  <c r="M142" i="18"/>
  <c r="L142" i="18"/>
  <c r="K142" i="18"/>
  <c r="M141" i="18"/>
  <c r="L141" i="18"/>
  <c r="K141" i="18"/>
  <c r="M140" i="18"/>
  <c r="L140" i="18"/>
  <c r="K140" i="18"/>
  <c r="M139" i="18"/>
  <c r="L139" i="18"/>
  <c r="K139" i="18"/>
  <c r="M138" i="18"/>
  <c r="L138" i="18"/>
  <c r="K138" i="18"/>
  <c r="M137" i="18"/>
  <c r="L137" i="18"/>
  <c r="K137" i="18"/>
  <c r="M136" i="18"/>
  <c r="L136" i="18"/>
  <c r="K136" i="18"/>
  <c r="M135" i="18"/>
  <c r="L135" i="18"/>
  <c r="K135" i="18"/>
  <c r="M134" i="18"/>
  <c r="L134" i="18"/>
  <c r="K134" i="18"/>
  <c r="M133" i="18"/>
  <c r="L133" i="18"/>
  <c r="K133" i="18"/>
  <c r="M132" i="18"/>
  <c r="L132" i="18"/>
  <c r="K132" i="18"/>
  <c r="M131" i="18"/>
  <c r="L131" i="18"/>
  <c r="K131" i="18"/>
  <c r="M130" i="18"/>
  <c r="L130" i="18"/>
  <c r="K130" i="18"/>
  <c r="M129" i="18"/>
  <c r="L129" i="18"/>
  <c r="K129" i="18"/>
  <c r="M128" i="18"/>
  <c r="L128" i="18"/>
  <c r="K128" i="18"/>
  <c r="M127" i="18"/>
  <c r="L127" i="18"/>
  <c r="K127" i="18"/>
  <c r="M126" i="18"/>
  <c r="L126" i="18"/>
  <c r="K126" i="18"/>
  <c r="M125" i="18"/>
  <c r="L125" i="18"/>
  <c r="K125" i="18"/>
  <c r="M124" i="18"/>
  <c r="L124" i="18"/>
  <c r="K124" i="18"/>
  <c r="M123" i="18"/>
  <c r="L123" i="18"/>
  <c r="K123" i="18"/>
  <c r="M122" i="18"/>
  <c r="L122" i="18"/>
  <c r="K122" i="18"/>
  <c r="M121" i="18"/>
  <c r="L121" i="18"/>
  <c r="K121" i="18"/>
  <c r="M120" i="18"/>
  <c r="L120" i="18"/>
  <c r="K120" i="18"/>
  <c r="M119" i="18"/>
  <c r="L119" i="18"/>
  <c r="K119" i="18"/>
  <c r="M118" i="18"/>
  <c r="L118" i="18"/>
  <c r="K118" i="18"/>
  <c r="M117" i="18"/>
  <c r="L117" i="18"/>
  <c r="K117" i="18"/>
  <c r="M116" i="18"/>
  <c r="L116" i="18"/>
  <c r="K116" i="18"/>
  <c r="M115" i="18"/>
  <c r="L115" i="18"/>
  <c r="K115" i="18"/>
  <c r="M114" i="18"/>
  <c r="L114" i="18"/>
  <c r="K114" i="18"/>
  <c r="M113" i="18"/>
  <c r="L113" i="18"/>
  <c r="K113" i="18"/>
  <c r="M112" i="18"/>
  <c r="L112" i="18"/>
  <c r="K112" i="18"/>
  <c r="M111" i="18"/>
  <c r="L111" i="18"/>
  <c r="K111" i="18"/>
  <c r="M110" i="18"/>
  <c r="L110" i="18"/>
  <c r="K110" i="18"/>
  <c r="M109" i="18"/>
  <c r="L109" i="18"/>
  <c r="K109" i="18"/>
  <c r="M108" i="18"/>
  <c r="L108" i="18"/>
  <c r="K108" i="18"/>
  <c r="M107" i="18"/>
  <c r="L107" i="18"/>
  <c r="K107" i="18"/>
  <c r="M106" i="18"/>
  <c r="L106" i="18"/>
  <c r="K106" i="18"/>
  <c r="M105" i="18"/>
  <c r="L105" i="18"/>
  <c r="K105" i="18"/>
  <c r="M104" i="18"/>
  <c r="L104" i="18"/>
  <c r="K104" i="18"/>
  <c r="M103" i="18"/>
  <c r="L103" i="18"/>
  <c r="K103" i="18"/>
  <c r="M102" i="18"/>
  <c r="L102" i="18"/>
  <c r="K102" i="18"/>
  <c r="M101" i="18"/>
  <c r="L101" i="18"/>
  <c r="K101" i="18"/>
  <c r="M100" i="18"/>
  <c r="L100" i="18"/>
  <c r="K100" i="18"/>
  <c r="M99" i="18"/>
  <c r="L99" i="18"/>
  <c r="K99" i="18"/>
  <c r="M98" i="18"/>
  <c r="L98" i="18"/>
  <c r="K98" i="18"/>
  <c r="M97" i="18"/>
  <c r="L97" i="18"/>
  <c r="K97" i="18"/>
  <c r="M96" i="18"/>
  <c r="L96" i="18"/>
  <c r="K96" i="18"/>
  <c r="M95" i="18"/>
  <c r="L95" i="18"/>
  <c r="K95" i="18"/>
  <c r="M94" i="18"/>
  <c r="L94" i="18"/>
  <c r="K94" i="18"/>
  <c r="M93" i="18"/>
  <c r="L93" i="18"/>
  <c r="K93" i="18"/>
  <c r="M92" i="18"/>
  <c r="L92" i="18"/>
  <c r="K92" i="18"/>
  <c r="M91" i="18"/>
  <c r="L91" i="18"/>
  <c r="K91" i="18"/>
  <c r="M90" i="18"/>
  <c r="L90" i="18"/>
  <c r="K90" i="18"/>
  <c r="M89" i="18"/>
  <c r="L89" i="18"/>
  <c r="K89" i="18"/>
  <c r="M88" i="18"/>
  <c r="L88" i="18"/>
  <c r="K88" i="18"/>
  <c r="M87" i="18"/>
  <c r="L87" i="18"/>
  <c r="K87" i="18"/>
  <c r="M86" i="18"/>
  <c r="L86" i="18"/>
  <c r="K86" i="18"/>
  <c r="M85" i="18"/>
  <c r="L85" i="18"/>
  <c r="K85" i="18"/>
  <c r="M84" i="18"/>
  <c r="L84" i="18"/>
  <c r="K84" i="18"/>
  <c r="M83" i="18"/>
  <c r="L83" i="18"/>
  <c r="K83" i="18"/>
  <c r="M82" i="18"/>
  <c r="L82" i="18"/>
  <c r="K82" i="18"/>
  <c r="M81" i="18"/>
  <c r="L81" i="18"/>
  <c r="K81" i="18"/>
  <c r="M80" i="18"/>
  <c r="L80" i="18"/>
  <c r="K80" i="18"/>
  <c r="M79" i="18"/>
  <c r="L79" i="18"/>
  <c r="K79" i="18"/>
  <c r="M78" i="18"/>
  <c r="L78" i="18"/>
  <c r="K78" i="18"/>
  <c r="M77" i="18"/>
  <c r="L77" i="18"/>
  <c r="K77" i="18"/>
  <c r="M76" i="18"/>
  <c r="L76" i="18"/>
  <c r="K76" i="18"/>
  <c r="M75" i="18"/>
  <c r="L75" i="18"/>
  <c r="K75" i="18"/>
  <c r="M74" i="18"/>
  <c r="L74" i="18"/>
  <c r="K74" i="18"/>
  <c r="M73" i="18"/>
  <c r="L73" i="18"/>
  <c r="K73" i="18"/>
  <c r="M72" i="18"/>
  <c r="L72" i="18"/>
  <c r="K72" i="18"/>
  <c r="M71" i="18"/>
  <c r="L71" i="18"/>
  <c r="K71" i="18"/>
  <c r="M70" i="18"/>
  <c r="L70" i="18"/>
  <c r="K70" i="18"/>
  <c r="M69" i="18"/>
  <c r="L69" i="18"/>
  <c r="K69" i="18"/>
  <c r="M68" i="18"/>
  <c r="L68" i="18"/>
  <c r="K68" i="18"/>
  <c r="M67" i="18"/>
  <c r="L67" i="18"/>
  <c r="K67" i="18"/>
  <c r="M66" i="18"/>
  <c r="L66" i="18"/>
  <c r="K66" i="18"/>
  <c r="M65" i="18"/>
  <c r="L65" i="18"/>
  <c r="K65" i="18"/>
  <c r="M64" i="18"/>
  <c r="L64" i="18"/>
  <c r="K64" i="18"/>
  <c r="M63" i="18"/>
  <c r="L63" i="18"/>
  <c r="K63" i="18"/>
  <c r="M62" i="18"/>
  <c r="L62" i="18"/>
  <c r="K62" i="18"/>
  <c r="M61" i="18"/>
  <c r="L61" i="18"/>
  <c r="K61" i="18"/>
  <c r="M60" i="18"/>
  <c r="L60" i="18"/>
  <c r="K60" i="18"/>
  <c r="M59" i="18"/>
  <c r="L59" i="18"/>
  <c r="K59" i="18"/>
  <c r="M58" i="18"/>
  <c r="L58" i="18"/>
  <c r="K58" i="18"/>
  <c r="M57" i="18"/>
  <c r="L57" i="18"/>
  <c r="K57" i="18"/>
  <c r="M56" i="18"/>
  <c r="L56" i="18"/>
  <c r="K56" i="18"/>
  <c r="M55" i="18"/>
  <c r="L55" i="18"/>
  <c r="K55" i="18"/>
  <c r="M54" i="18"/>
  <c r="L54" i="18"/>
  <c r="K54" i="18"/>
  <c r="M53" i="18"/>
  <c r="L53" i="18"/>
  <c r="K53" i="18"/>
  <c r="M52" i="18"/>
  <c r="L52" i="18"/>
  <c r="K52" i="18"/>
  <c r="M51" i="18"/>
  <c r="L51" i="18"/>
  <c r="K51" i="18"/>
  <c r="M50" i="18"/>
  <c r="L50" i="18"/>
  <c r="K50" i="18"/>
  <c r="M49" i="18"/>
  <c r="L49" i="18"/>
  <c r="K49" i="18"/>
  <c r="M48" i="18"/>
  <c r="L48" i="18"/>
  <c r="K48" i="18"/>
  <c r="M47" i="18"/>
  <c r="L47" i="18"/>
  <c r="K47" i="18"/>
  <c r="M46" i="18"/>
  <c r="L46" i="18"/>
  <c r="K46" i="18"/>
  <c r="M45" i="18"/>
  <c r="L45" i="18"/>
  <c r="K45" i="18"/>
  <c r="M44" i="18"/>
  <c r="L44" i="18"/>
  <c r="K44" i="18"/>
  <c r="M43" i="18"/>
  <c r="L43" i="18"/>
  <c r="K43" i="18"/>
  <c r="M42" i="18"/>
  <c r="L42" i="18"/>
  <c r="K42" i="18"/>
  <c r="M41" i="18"/>
  <c r="L41" i="18"/>
  <c r="K41" i="18"/>
  <c r="M40" i="18"/>
  <c r="L40" i="18"/>
  <c r="K40" i="18"/>
  <c r="M39" i="18"/>
  <c r="L39" i="18"/>
  <c r="K39" i="18"/>
  <c r="M38" i="18"/>
  <c r="L38" i="18"/>
  <c r="K38" i="18"/>
  <c r="M37" i="18"/>
  <c r="L37" i="18"/>
  <c r="K37" i="18"/>
  <c r="M36" i="18"/>
  <c r="L36" i="18"/>
  <c r="K36" i="18"/>
  <c r="M35" i="18"/>
  <c r="L35" i="18"/>
  <c r="K35" i="18"/>
  <c r="M34" i="18"/>
  <c r="L34" i="18"/>
  <c r="K34" i="18"/>
  <c r="M33" i="18"/>
  <c r="L33" i="18"/>
  <c r="K33" i="18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K9" i="18"/>
  <c r="K8" i="18"/>
  <c r="K7" i="18"/>
  <c r="K6" i="18"/>
  <c r="K5" i="18"/>
  <c r="K4" i="18"/>
  <c r="K3" i="18"/>
  <c r="F6" i="16"/>
  <c r="G6" i="16"/>
  <c r="H6" i="16"/>
  <c r="I6" i="16"/>
  <c r="F7" i="16"/>
  <c r="G7" i="16"/>
  <c r="H7" i="16"/>
  <c r="I7" i="16"/>
  <c r="F8" i="16"/>
  <c r="G8" i="16"/>
  <c r="H8" i="16"/>
  <c r="H9" i="16"/>
  <c r="H5" i="16"/>
  <c r="G5" i="16"/>
  <c r="F5" i="16"/>
  <c r="C9" i="16"/>
  <c r="B9" i="16"/>
  <c r="C15" i="16"/>
  <c r="B15" i="16"/>
  <c r="B6" i="16"/>
  <c r="B7" i="16"/>
  <c r="B8" i="16"/>
  <c r="C8" i="16"/>
  <c r="C6" i="16"/>
  <c r="C7" i="16"/>
  <c r="C5" i="16"/>
  <c r="I4" i="11"/>
  <c r="J4" i="11"/>
  <c r="D8" i="19" s="1"/>
  <c r="K4" i="11"/>
  <c r="L4" i="11"/>
  <c r="I5" i="11"/>
  <c r="J5" i="11"/>
  <c r="K5" i="11"/>
  <c r="L5" i="11"/>
  <c r="I6" i="11"/>
  <c r="J6" i="11"/>
  <c r="D9" i="19" s="1"/>
  <c r="K6" i="11"/>
  <c r="L6" i="11"/>
  <c r="D6" i="10"/>
  <c r="E6" i="10"/>
  <c r="O6" i="10"/>
  <c r="P6" i="10"/>
  <c r="Q6" i="10"/>
  <c r="R6" i="10"/>
  <c r="S6" i="10"/>
  <c r="U6" i="10"/>
  <c r="D4" i="10"/>
  <c r="E4" i="10"/>
  <c r="O4" i="10"/>
  <c r="P4" i="10"/>
  <c r="Q4" i="10"/>
  <c r="R4" i="10"/>
  <c r="S4" i="10"/>
  <c r="U4" i="10"/>
  <c r="D5" i="10"/>
  <c r="E5" i="10"/>
  <c r="O5" i="10"/>
  <c r="P5" i="10"/>
  <c r="Q5" i="10"/>
  <c r="R5" i="10"/>
  <c r="S5" i="10"/>
  <c r="U5" i="10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10" i="17"/>
  <c r="F369" i="17"/>
  <c r="E369" i="17"/>
  <c r="D369" i="17"/>
  <c r="C369" i="17"/>
  <c r="B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C4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B4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5" i="16"/>
  <c r="M39" i="11"/>
  <c r="P12" i="10"/>
  <c r="S3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R3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Q3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P3" i="10"/>
  <c r="P7" i="10"/>
  <c r="P8" i="10"/>
  <c r="P9" i="10"/>
  <c r="P10" i="10"/>
  <c r="P11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I36" i="11"/>
  <c r="K10" i="11"/>
  <c r="I18" i="11"/>
  <c r="K21" i="11"/>
  <c r="J34" i="11"/>
  <c r="D40" i="19" s="1"/>
  <c r="I15" i="11"/>
  <c r="K38" i="11"/>
  <c r="I19" i="11"/>
  <c r="K23" i="11"/>
  <c r="J17" i="11"/>
  <c r="D25" i="19" s="1"/>
  <c r="I24" i="11"/>
  <c r="K35" i="11"/>
  <c r="U27" i="10"/>
  <c r="E29" i="10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K3" i="8"/>
  <c r="J3" i="8"/>
  <c r="I3" i="8"/>
  <c r="H3" i="8"/>
  <c r="F369" i="2"/>
  <c r="E369" i="2"/>
  <c r="D369" i="2"/>
  <c r="C369" i="2"/>
  <c r="B369" i="2"/>
  <c r="G3" i="2"/>
  <c r="L4" i="8"/>
  <c r="L5" i="8"/>
  <c r="L6" i="8"/>
  <c r="L7" i="8"/>
  <c r="L8" i="8"/>
  <c r="L9" i="8"/>
  <c r="L3" i="8"/>
  <c r="T368" i="8"/>
  <c r="S368" i="8"/>
  <c r="R368" i="8"/>
  <c r="Q368" i="8"/>
  <c r="O368" i="8"/>
  <c r="N368" i="8"/>
  <c r="M368" i="8"/>
  <c r="T367" i="8"/>
  <c r="S367" i="8"/>
  <c r="R367" i="8"/>
  <c r="Q367" i="8"/>
  <c r="O367" i="8"/>
  <c r="N367" i="8"/>
  <c r="M367" i="8"/>
  <c r="T366" i="8"/>
  <c r="S366" i="8"/>
  <c r="R366" i="8"/>
  <c r="Q366" i="8"/>
  <c r="O366" i="8"/>
  <c r="N366" i="8"/>
  <c r="M366" i="8"/>
  <c r="T365" i="8"/>
  <c r="S365" i="8"/>
  <c r="R365" i="8"/>
  <c r="Q365" i="8"/>
  <c r="O365" i="8"/>
  <c r="N365" i="8"/>
  <c r="M365" i="8"/>
  <c r="T364" i="8"/>
  <c r="S364" i="8"/>
  <c r="R364" i="8"/>
  <c r="Q364" i="8"/>
  <c r="O364" i="8"/>
  <c r="N364" i="8"/>
  <c r="M364" i="8"/>
  <c r="T363" i="8"/>
  <c r="S363" i="8"/>
  <c r="R363" i="8"/>
  <c r="Q363" i="8"/>
  <c r="O363" i="8"/>
  <c r="N363" i="8"/>
  <c r="M363" i="8"/>
  <c r="T362" i="8"/>
  <c r="S362" i="8"/>
  <c r="R362" i="8"/>
  <c r="Q362" i="8"/>
  <c r="O362" i="8"/>
  <c r="N362" i="8"/>
  <c r="M362" i="8"/>
  <c r="T361" i="8"/>
  <c r="S361" i="8"/>
  <c r="R361" i="8"/>
  <c r="Q361" i="8"/>
  <c r="O361" i="8"/>
  <c r="N361" i="8"/>
  <c r="M361" i="8"/>
  <c r="T360" i="8"/>
  <c r="S360" i="8"/>
  <c r="R360" i="8"/>
  <c r="Q360" i="8"/>
  <c r="O360" i="8"/>
  <c r="N360" i="8"/>
  <c r="M360" i="8"/>
  <c r="T359" i="8"/>
  <c r="S359" i="8"/>
  <c r="R359" i="8"/>
  <c r="Q359" i="8"/>
  <c r="O359" i="8"/>
  <c r="N359" i="8"/>
  <c r="M359" i="8"/>
  <c r="T358" i="8"/>
  <c r="S358" i="8"/>
  <c r="R358" i="8"/>
  <c r="Q358" i="8"/>
  <c r="O358" i="8"/>
  <c r="N358" i="8"/>
  <c r="M358" i="8"/>
  <c r="T357" i="8"/>
  <c r="S357" i="8"/>
  <c r="R357" i="8"/>
  <c r="Q357" i="8"/>
  <c r="O357" i="8"/>
  <c r="N357" i="8"/>
  <c r="M357" i="8"/>
  <c r="T356" i="8"/>
  <c r="S356" i="8"/>
  <c r="R356" i="8"/>
  <c r="Q356" i="8"/>
  <c r="O356" i="8"/>
  <c r="N356" i="8"/>
  <c r="M356" i="8"/>
  <c r="T355" i="8"/>
  <c r="S355" i="8"/>
  <c r="R355" i="8"/>
  <c r="Q355" i="8"/>
  <c r="O355" i="8"/>
  <c r="N355" i="8"/>
  <c r="M355" i="8"/>
  <c r="T354" i="8"/>
  <c r="S354" i="8"/>
  <c r="R354" i="8"/>
  <c r="Q354" i="8"/>
  <c r="O354" i="8"/>
  <c r="N354" i="8"/>
  <c r="M354" i="8"/>
  <c r="T353" i="8"/>
  <c r="S353" i="8"/>
  <c r="R353" i="8"/>
  <c r="Q353" i="8"/>
  <c r="O353" i="8"/>
  <c r="N353" i="8"/>
  <c r="M353" i="8"/>
  <c r="T352" i="8"/>
  <c r="S352" i="8"/>
  <c r="R352" i="8"/>
  <c r="Q352" i="8"/>
  <c r="O352" i="8"/>
  <c r="N352" i="8"/>
  <c r="M352" i="8"/>
  <c r="T351" i="8"/>
  <c r="S351" i="8"/>
  <c r="R351" i="8"/>
  <c r="Q351" i="8"/>
  <c r="O351" i="8"/>
  <c r="N351" i="8"/>
  <c r="M351" i="8"/>
  <c r="T350" i="8"/>
  <c r="S350" i="8"/>
  <c r="R350" i="8"/>
  <c r="Q350" i="8"/>
  <c r="O350" i="8"/>
  <c r="N350" i="8"/>
  <c r="M350" i="8"/>
  <c r="T349" i="8"/>
  <c r="S349" i="8"/>
  <c r="R349" i="8"/>
  <c r="Q349" i="8"/>
  <c r="O349" i="8"/>
  <c r="N349" i="8"/>
  <c r="M349" i="8"/>
  <c r="T348" i="8"/>
  <c r="S348" i="8"/>
  <c r="R348" i="8"/>
  <c r="Q348" i="8"/>
  <c r="O348" i="8"/>
  <c r="N348" i="8"/>
  <c r="M348" i="8"/>
  <c r="T347" i="8"/>
  <c r="S347" i="8"/>
  <c r="R347" i="8"/>
  <c r="Q347" i="8"/>
  <c r="O347" i="8"/>
  <c r="N347" i="8"/>
  <c r="M347" i="8"/>
  <c r="T346" i="8"/>
  <c r="S346" i="8"/>
  <c r="R346" i="8"/>
  <c r="Q346" i="8"/>
  <c r="O346" i="8"/>
  <c r="N346" i="8"/>
  <c r="M346" i="8"/>
  <c r="T345" i="8"/>
  <c r="S345" i="8"/>
  <c r="R345" i="8"/>
  <c r="Q345" i="8"/>
  <c r="O345" i="8"/>
  <c r="N345" i="8"/>
  <c r="M345" i="8"/>
  <c r="T344" i="8"/>
  <c r="S344" i="8"/>
  <c r="R344" i="8"/>
  <c r="Q344" i="8"/>
  <c r="O344" i="8"/>
  <c r="N344" i="8"/>
  <c r="M344" i="8"/>
  <c r="T343" i="8"/>
  <c r="S343" i="8"/>
  <c r="R343" i="8"/>
  <c r="Q343" i="8"/>
  <c r="O343" i="8"/>
  <c r="N343" i="8"/>
  <c r="M343" i="8"/>
  <c r="T342" i="8"/>
  <c r="S342" i="8"/>
  <c r="R342" i="8"/>
  <c r="Q342" i="8"/>
  <c r="O342" i="8"/>
  <c r="N342" i="8"/>
  <c r="M342" i="8"/>
  <c r="T341" i="8"/>
  <c r="S341" i="8"/>
  <c r="R341" i="8"/>
  <c r="Q341" i="8"/>
  <c r="O341" i="8"/>
  <c r="N341" i="8"/>
  <c r="M341" i="8"/>
  <c r="T340" i="8"/>
  <c r="S340" i="8"/>
  <c r="R340" i="8"/>
  <c r="Q340" i="8"/>
  <c r="O340" i="8"/>
  <c r="N340" i="8"/>
  <c r="M340" i="8"/>
  <c r="T339" i="8"/>
  <c r="S339" i="8"/>
  <c r="R339" i="8"/>
  <c r="Q339" i="8"/>
  <c r="O339" i="8"/>
  <c r="N339" i="8"/>
  <c r="M339" i="8"/>
  <c r="T338" i="8"/>
  <c r="S338" i="8"/>
  <c r="R338" i="8"/>
  <c r="Q338" i="8"/>
  <c r="O338" i="8"/>
  <c r="N338" i="8"/>
  <c r="M338" i="8"/>
  <c r="T337" i="8"/>
  <c r="S337" i="8"/>
  <c r="R337" i="8"/>
  <c r="Q337" i="8"/>
  <c r="O337" i="8"/>
  <c r="N337" i="8"/>
  <c r="M337" i="8"/>
  <c r="T336" i="8"/>
  <c r="S336" i="8"/>
  <c r="R336" i="8"/>
  <c r="Q336" i="8"/>
  <c r="O336" i="8"/>
  <c r="N336" i="8"/>
  <c r="M336" i="8"/>
  <c r="T335" i="8"/>
  <c r="S335" i="8"/>
  <c r="R335" i="8"/>
  <c r="Q335" i="8"/>
  <c r="O335" i="8"/>
  <c r="N335" i="8"/>
  <c r="M335" i="8"/>
  <c r="T334" i="8"/>
  <c r="S334" i="8"/>
  <c r="R334" i="8"/>
  <c r="Q334" i="8"/>
  <c r="O334" i="8"/>
  <c r="N334" i="8"/>
  <c r="M334" i="8"/>
  <c r="T333" i="8"/>
  <c r="S333" i="8"/>
  <c r="R333" i="8"/>
  <c r="Q333" i="8"/>
  <c r="O333" i="8"/>
  <c r="N333" i="8"/>
  <c r="M333" i="8"/>
  <c r="T332" i="8"/>
  <c r="S332" i="8"/>
  <c r="R332" i="8"/>
  <c r="Q332" i="8"/>
  <c r="O332" i="8"/>
  <c r="N332" i="8"/>
  <c r="M332" i="8"/>
  <c r="T331" i="8"/>
  <c r="S331" i="8"/>
  <c r="R331" i="8"/>
  <c r="Q331" i="8"/>
  <c r="O331" i="8"/>
  <c r="N331" i="8"/>
  <c r="M331" i="8"/>
  <c r="T330" i="8"/>
  <c r="S330" i="8"/>
  <c r="R330" i="8"/>
  <c r="Q330" i="8"/>
  <c r="O330" i="8"/>
  <c r="N330" i="8"/>
  <c r="M330" i="8"/>
  <c r="T329" i="8"/>
  <c r="S329" i="8"/>
  <c r="R329" i="8"/>
  <c r="Q329" i="8"/>
  <c r="O329" i="8"/>
  <c r="N329" i="8"/>
  <c r="M329" i="8"/>
  <c r="T328" i="8"/>
  <c r="S328" i="8"/>
  <c r="R328" i="8"/>
  <c r="Q328" i="8"/>
  <c r="O328" i="8"/>
  <c r="N328" i="8"/>
  <c r="M328" i="8"/>
  <c r="T327" i="8"/>
  <c r="S327" i="8"/>
  <c r="R327" i="8"/>
  <c r="Q327" i="8"/>
  <c r="O327" i="8"/>
  <c r="N327" i="8"/>
  <c r="M327" i="8"/>
  <c r="T326" i="8"/>
  <c r="S326" i="8"/>
  <c r="R326" i="8"/>
  <c r="Q326" i="8"/>
  <c r="O326" i="8"/>
  <c r="N326" i="8"/>
  <c r="M326" i="8"/>
  <c r="T325" i="8"/>
  <c r="S325" i="8"/>
  <c r="R325" i="8"/>
  <c r="Q325" i="8"/>
  <c r="O325" i="8"/>
  <c r="N325" i="8"/>
  <c r="M325" i="8"/>
  <c r="T324" i="8"/>
  <c r="S324" i="8"/>
  <c r="R324" i="8"/>
  <c r="Q324" i="8"/>
  <c r="O324" i="8"/>
  <c r="N324" i="8"/>
  <c r="M324" i="8"/>
  <c r="T323" i="8"/>
  <c r="S323" i="8"/>
  <c r="R323" i="8"/>
  <c r="Q323" i="8"/>
  <c r="O323" i="8"/>
  <c r="N323" i="8"/>
  <c r="M323" i="8"/>
  <c r="T322" i="8"/>
  <c r="S322" i="8"/>
  <c r="R322" i="8"/>
  <c r="Q322" i="8"/>
  <c r="O322" i="8"/>
  <c r="N322" i="8"/>
  <c r="M322" i="8"/>
  <c r="T321" i="8"/>
  <c r="S321" i="8"/>
  <c r="R321" i="8"/>
  <c r="Q321" i="8"/>
  <c r="O321" i="8"/>
  <c r="N321" i="8"/>
  <c r="M321" i="8"/>
  <c r="T320" i="8"/>
  <c r="S320" i="8"/>
  <c r="R320" i="8"/>
  <c r="Q320" i="8"/>
  <c r="O320" i="8"/>
  <c r="N320" i="8"/>
  <c r="M320" i="8"/>
  <c r="T319" i="8"/>
  <c r="S319" i="8"/>
  <c r="R319" i="8"/>
  <c r="Q319" i="8"/>
  <c r="O319" i="8"/>
  <c r="N319" i="8"/>
  <c r="M319" i="8"/>
  <c r="T318" i="8"/>
  <c r="S318" i="8"/>
  <c r="R318" i="8"/>
  <c r="Q318" i="8"/>
  <c r="O318" i="8"/>
  <c r="N318" i="8"/>
  <c r="M318" i="8"/>
  <c r="T317" i="8"/>
  <c r="S317" i="8"/>
  <c r="R317" i="8"/>
  <c r="Q317" i="8"/>
  <c r="O317" i="8"/>
  <c r="N317" i="8"/>
  <c r="M317" i="8"/>
  <c r="T316" i="8"/>
  <c r="S316" i="8"/>
  <c r="R316" i="8"/>
  <c r="Q316" i="8"/>
  <c r="O316" i="8"/>
  <c r="N316" i="8"/>
  <c r="M316" i="8"/>
  <c r="T315" i="8"/>
  <c r="S315" i="8"/>
  <c r="R315" i="8"/>
  <c r="Q315" i="8"/>
  <c r="O315" i="8"/>
  <c r="N315" i="8"/>
  <c r="M315" i="8"/>
  <c r="T314" i="8"/>
  <c r="S314" i="8"/>
  <c r="R314" i="8"/>
  <c r="Q314" i="8"/>
  <c r="O314" i="8"/>
  <c r="N314" i="8"/>
  <c r="M314" i="8"/>
  <c r="T313" i="8"/>
  <c r="S313" i="8"/>
  <c r="R313" i="8"/>
  <c r="Q313" i="8"/>
  <c r="O313" i="8"/>
  <c r="N313" i="8"/>
  <c r="M313" i="8"/>
  <c r="T312" i="8"/>
  <c r="S312" i="8"/>
  <c r="R312" i="8"/>
  <c r="Q312" i="8"/>
  <c r="O312" i="8"/>
  <c r="N312" i="8"/>
  <c r="M312" i="8"/>
  <c r="T311" i="8"/>
  <c r="S311" i="8"/>
  <c r="R311" i="8"/>
  <c r="Q311" i="8"/>
  <c r="O311" i="8"/>
  <c r="N311" i="8"/>
  <c r="M311" i="8"/>
  <c r="T310" i="8"/>
  <c r="S310" i="8"/>
  <c r="R310" i="8"/>
  <c r="Q310" i="8"/>
  <c r="O310" i="8"/>
  <c r="N310" i="8"/>
  <c r="M310" i="8"/>
  <c r="T309" i="8"/>
  <c r="S309" i="8"/>
  <c r="R309" i="8"/>
  <c r="Q309" i="8"/>
  <c r="O309" i="8"/>
  <c r="N309" i="8"/>
  <c r="M309" i="8"/>
  <c r="T308" i="8"/>
  <c r="S308" i="8"/>
  <c r="R308" i="8"/>
  <c r="Q308" i="8"/>
  <c r="O308" i="8"/>
  <c r="N308" i="8"/>
  <c r="M308" i="8"/>
  <c r="T307" i="8"/>
  <c r="S307" i="8"/>
  <c r="R307" i="8"/>
  <c r="Q307" i="8"/>
  <c r="O307" i="8"/>
  <c r="N307" i="8"/>
  <c r="M307" i="8"/>
  <c r="T306" i="8"/>
  <c r="S306" i="8"/>
  <c r="R306" i="8"/>
  <c r="Q306" i="8"/>
  <c r="O306" i="8"/>
  <c r="N306" i="8"/>
  <c r="M306" i="8"/>
  <c r="T305" i="8"/>
  <c r="S305" i="8"/>
  <c r="R305" i="8"/>
  <c r="Q305" i="8"/>
  <c r="O305" i="8"/>
  <c r="N305" i="8"/>
  <c r="M305" i="8"/>
  <c r="T304" i="8"/>
  <c r="S304" i="8"/>
  <c r="R304" i="8"/>
  <c r="Q304" i="8"/>
  <c r="O304" i="8"/>
  <c r="N304" i="8"/>
  <c r="M304" i="8"/>
  <c r="T303" i="8"/>
  <c r="S303" i="8"/>
  <c r="R303" i="8"/>
  <c r="Q303" i="8"/>
  <c r="O303" i="8"/>
  <c r="N303" i="8"/>
  <c r="M303" i="8"/>
  <c r="T302" i="8"/>
  <c r="S302" i="8"/>
  <c r="R302" i="8"/>
  <c r="Q302" i="8"/>
  <c r="O302" i="8"/>
  <c r="N302" i="8"/>
  <c r="M302" i="8"/>
  <c r="T301" i="8"/>
  <c r="S301" i="8"/>
  <c r="R301" i="8"/>
  <c r="Q301" i="8"/>
  <c r="O301" i="8"/>
  <c r="N301" i="8"/>
  <c r="M301" i="8"/>
  <c r="T300" i="8"/>
  <c r="S300" i="8"/>
  <c r="R300" i="8"/>
  <c r="Q300" i="8"/>
  <c r="O300" i="8"/>
  <c r="N300" i="8"/>
  <c r="M300" i="8"/>
  <c r="T299" i="8"/>
  <c r="S299" i="8"/>
  <c r="R299" i="8"/>
  <c r="Q299" i="8"/>
  <c r="O299" i="8"/>
  <c r="N299" i="8"/>
  <c r="M299" i="8"/>
  <c r="T298" i="8"/>
  <c r="S298" i="8"/>
  <c r="R298" i="8"/>
  <c r="Q298" i="8"/>
  <c r="O298" i="8"/>
  <c r="N298" i="8"/>
  <c r="M298" i="8"/>
  <c r="T297" i="8"/>
  <c r="S297" i="8"/>
  <c r="R297" i="8"/>
  <c r="Q297" i="8"/>
  <c r="O297" i="8"/>
  <c r="N297" i="8"/>
  <c r="M297" i="8"/>
  <c r="T296" i="8"/>
  <c r="S296" i="8"/>
  <c r="R296" i="8"/>
  <c r="Q296" i="8"/>
  <c r="O296" i="8"/>
  <c r="N296" i="8"/>
  <c r="M296" i="8"/>
  <c r="T295" i="8"/>
  <c r="S295" i="8"/>
  <c r="R295" i="8"/>
  <c r="Q295" i="8"/>
  <c r="O295" i="8"/>
  <c r="N295" i="8"/>
  <c r="M295" i="8"/>
  <c r="T294" i="8"/>
  <c r="S294" i="8"/>
  <c r="R294" i="8"/>
  <c r="Q294" i="8"/>
  <c r="O294" i="8"/>
  <c r="N294" i="8"/>
  <c r="M294" i="8"/>
  <c r="T293" i="8"/>
  <c r="S293" i="8"/>
  <c r="R293" i="8"/>
  <c r="Q293" i="8"/>
  <c r="O293" i="8"/>
  <c r="N293" i="8"/>
  <c r="M293" i="8"/>
  <c r="T292" i="8"/>
  <c r="S292" i="8"/>
  <c r="R292" i="8"/>
  <c r="Q292" i="8"/>
  <c r="O292" i="8"/>
  <c r="N292" i="8"/>
  <c r="M292" i="8"/>
  <c r="T291" i="8"/>
  <c r="S291" i="8"/>
  <c r="R291" i="8"/>
  <c r="Q291" i="8"/>
  <c r="O291" i="8"/>
  <c r="N291" i="8"/>
  <c r="M291" i="8"/>
  <c r="T290" i="8"/>
  <c r="S290" i="8"/>
  <c r="R290" i="8"/>
  <c r="Q290" i="8"/>
  <c r="O290" i="8"/>
  <c r="N290" i="8"/>
  <c r="M290" i="8"/>
  <c r="T289" i="8"/>
  <c r="S289" i="8"/>
  <c r="R289" i="8"/>
  <c r="Q289" i="8"/>
  <c r="O289" i="8"/>
  <c r="N289" i="8"/>
  <c r="M289" i="8"/>
  <c r="T288" i="8"/>
  <c r="S288" i="8"/>
  <c r="R288" i="8"/>
  <c r="Q288" i="8"/>
  <c r="O288" i="8"/>
  <c r="N288" i="8"/>
  <c r="M288" i="8"/>
  <c r="T287" i="8"/>
  <c r="S287" i="8"/>
  <c r="R287" i="8"/>
  <c r="Q287" i="8"/>
  <c r="O287" i="8"/>
  <c r="N287" i="8"/>
  <c r="M287" i="8"/>
  <c r="T286" i="8"/>
  <c r="S286" i="8"/>
  <c r="R286" i="8"/>
  <c r="Q286" i="8"/>
  <c r="O286" i="8"/>
  <c r="N286" i="8"/>
  <c r="M286" i="8"/>
  <c r="T285" i="8"/>
  <c r="S285" i="8"/>
  <c r="R285" i="8"/>
  <c r="Q285" i="8"/>
  <c r="O285" i="8"/>
  <c r="N285" i="8"/>
  <c r="M285" i="8"/>
  <c r="T284" i="8"/>
  <c r="S284" i="8"/>
  <c r="R284" i="8"/>
  <c r="Q284" i="8"/>
  <c r="O284" i="8"/>
  <c r="N284" i="8"/>
  <c r="M284" i="8"/>
  <c r="T283" i="8"/>
  <c r="S283" i="8"/>
  <c r="R283" i="8"/>
  <c r="Q283" i="8"/>
  <c r="O283" i="8"/>
  <c r="N283" i="8"/>
  <c r="M283" i="8"/>
  <c r="T282" i="8"/>
  <c r="S282" i="8"/>
  <c r="R282" i="8"/>
  <c r="Q282" i="8"/>
  <c r="O282" i="8"/>
  <c r="N282" i="8"/>
  <c r="M282" i="8"/>
  <c r="T281" i="8"/>
  <c r="S281" i="8"/>
  <c r="R281" i="8"/>
  <c r="Q281" i="8"/>
  <c r="O281" i="8"/>
  <c r="N281" i="8"/>
  <c r="M281" i="8"/>
  <c r="T280" i="8"/>
  <c r="S280" i="8"/>
  <c r="R280" i="8"/>
  <c r="Q280" i="8"/>
  <c r="O280" i="8"/>
  <c r="N280" i="8"/>
  <c r="M280" i="8"/>
  <c r="T279" i="8"/>
  <c r="S279" i="8"/>
  <c r="R279" i="8"/>
  <c r="Q279" i="8"/>
  <c r="O279" i="8"/>
  <c r="N279" i="8"/>
  <c r="M279" i="8"/>
  <c r="T278" i="8"/>
  <c r="S278" i="8"/>
  <c r="R278" i="8"/>
  <c r="Q278" i="8"/>
  <c r="O278" i="8"/>
  <c r="N278" i="8"/>
  <c r="M278" i="8"/>
  <c r="T277" i="8"/>
  <c r="S277" i="8"/>
  <c r="R277" i="8"/>
  <c r="Q277" i="8"/>
  <c r="O277" i="8"/>
  <c r="N277" i="8"/>
  <c r="M277" i="8"/>
  <c r="T276" i="8"/>
  <c r="S276" i="8"/>
  <c r="R276" i="8"/>
  <c r="Q276" i="8"/>
  <c r="O276" i="8"/>
  <c r="N276" i="8"/>
  <c r="M276" i="8"/>
  <c r="T275" i="8"/>
  <c r="S275" i="8"/>
  <c r="R275" i="8"/>
  <c r="Q275" i="8"/>
  <c r="O275" i="8"/>
  <c r="N275" i="8"/>
  <c r="M275" i="8"/>
  <c r="T274" i="8"/>
  <c r="S274" i="8"/>
  <c r="R274" i="8"/>
  <c r="Q274" i="8"/>
  <c r="O274" i="8"/>
  <c r="N274" i="8"/>
  <c r="M274" i="8"/>
  <c r="T273" i="8"/>
  <c r="S273" i="8"/>
  <c r="R273" i="8"/>
  <c r="Q273" i="8"/>
  <c r="O273" i="8"/>
  <c r="N273" i="8"/>
  <c r="M273" i="8"/>
  <c r="T272" i="8"/>
  <c r="S272" i="8"/>
  <c r="R272" i="8"/>
  <c r="Q272" i="8"/>
  <c r="O272" i="8"/>
  <c r="N272" i="8"/>
  <c r="M272" i="8"/>
  <c r="T271" i="8"/>
  <c r="S271" i="8"/>
  <c r="R271" i="8"/>
  <c r="Q271" i="8"/>
  <c r="O271" i="8"/>
  <c r="N271" i="8"/>
  <c r="M271" i="8"/>
  <c r="T270" i="8"/>
  <c r="S270" i="8"/>
  <c r="R270" i="8"/>
  <c r="Q270" i="8"/>
  <c r="O270" i="8"/>
  <c r="N270" i="8"/>
  <c r="M270" i="8"/>
  <c r="T269" i="8"/>
  <c r="S269" i="8"/>
  <c r="R269" i="8"/>
  <c r="Q269" i="8"/>
  <c r="O269" i="8"/>
  <c r="N269" i="8"/>
  <c r="M269" i="8"/>
  <c r="T268" i="8"/>
  <c r="S268" i="8"/>
  <c r="R268" i="8"/>
  <c r="Q268" i="8"/>
  <c r="O268" i="8"/>
  <c r="N268" i="8"/>
  <c r="M268" i="8"/>
  <c r="T267" i="8"/>
  <c r="S267" i="8"/>
  <c r="R267" i="8"/>
  <c r="Q267" i="8"/>
  <c r="O267" i="8"/>
  <c r="N267" i="8"/>
  <c r="M267" i="8"/>
  <c r="T266" i="8"/>
  <c r="S266" i="8"/>
  <c r="R266" i="8"/>
  <c r="Q266" i="8"/>
  <c r="O266" i="8"/>
  <c r="N266" i="8"/>
  <c r="M266" i="8"/>
  <c r="T265" i="8"/>
  <c r="S265" i="8"/>
  <c r="R265" i="8"/>
  <c r="Q265" i="8"/>
  <c r="O265" i="8"/>
  <c r="N265" i="8"/>
  <c r="M265" i="8"/>
  <c r="T264" i="8"/>
  <c r="S264" i="8"/>
  <c r="R264" i="8"/>
  <c r="Q264" i="8"/>
  <c r="O264" i="8"/>
  <c r="N264" i="8"/>
  <c r="M264" i="8"/>
  <c r="T263" i="8"/>
  <c r="S263" i="8"/>
  <c r="R263" i="8"/>
  <c r="Q263" i="8"/>
  <c r="O263" i="8"/>
  <c r="N263" i="8"/>
  <c r="M263" i="8"/>
  <c r="T262" i="8"/>
  <c r="S262" i="8"/>
  <c r="R262" i="8"/>
  <c r="Q262" i="8"/>
  <c r="O262" i="8"/>
  <c r="N262" i="8"/>
  <c r="M262" i="8"/>
  <c r="T261" i="8"/>
  <c r="S261" i="8"/>
  <c r="R261" i="8"/>
  <c r="Q261" i="8"/>
  <c r="O261" i="8"/>
  <c r="N261" i="8"/>
  <c r="M261" i="8"/>
  <c r="T260" i="8"/>
  <c r="S260" i="8"/>
  <c r="R260" i="8"/>
  <c r="Q260" i="8"/>
  <c r="O260" i="8"/>
  <c r="N260" i="8"/>
  <c r="M260" i="8"/>
  <c r="T259" i="8"/>
  <c r="S259" i="8"/>
  <c r="R259" i="8"/>
  <c r="Q259" i="8"/>
  <c r="O259" i="8"/>
  <c r="N259" i="8"/>
  <c r="M259" i="8"/>
  <c r="T258" i="8"/>
  <c r="S258" i="8"/>
  <c r="R258" i="8"/>
  <c r="Q258" i="8"/>
  <c r="O258" i="8"/>
  <c r="N258" i="8"/>
  <c r="M258" i="8"/>
  <c r="T257" i="8"/>
  <c r="S257" i="8"/>
  <c r="R257" i="8"/>
  <c r="Q257" i="8"/>
  <c r="O257" i="8"/>
  <c r="N257" i="8"/>
  <c r="M257" i="8"/>
  <c r="T256" i="8"/>
  <c r="S256" i="8"/>
  <c r="R256" i="8"/>
  <c r="Q256" i="8"/>
  <c r="O256" i="8"/>
  <c r="N256" i="8"/>
  <c r="M256" i="8"/>
  <c r="T255" i="8"/>
  <c r="S255" i="8"/>
  <c r="R255" i="8"/>
  <c r="Q255" i="8"/>
  <c r="O255" i="8"/>
  <c r="N255" i="8"/>
  <c r="M255" i="8"/>
  <c r="T254" i="8"/>
  <c r="S254" i="8"/>
  <c r="R254" i="8"/>
  <c r="Q254" i="8"/>
  <c r="O254" i="8"/>
  <c r="N254" i="8"/>
  <c r="M254" i="8"/>
  <c r="T253" i="8"/>
  <c r="S253" i="8"/>
  <c r="R253" i="8"/>
  <c r="Q253" i="8"/>
  <c r="O253" i="8"/>
  <c r="N253" i="8"/>
  <c r="M253" i="8"/>
  <c r="T252" i="8"/>
  <c r="S252" i="8"/>
  <c r="R252" i="8"/>
  <c r="Q252" i="8"/>
  <c r="O252" i="8"/>
  <c r="N252" i="8"/>
  <c r="M252" i="8"/>
  <c r="T251" i="8"/>
  <c r="S251" i="8"/>
  <c r="R251" i="8"/>
  <c r="Q251" i="8"/>
  <c r="O251" i="8"/>
  <c r="N251" i="8"/>
  <c r="M251" i="8"/>
  <c r="T250" i="8"/>
  <c r="S250" i="8"/>
  <c r="R250" i="8"/>
  <c r="Q250" i="8"/>
  <c r="O250" i="8"/>
  <c r="N250" i="8"/>
  <c r="M250" i="8"/>
  <c r="T249" i="8"/>
  <c r="S249" i="8"/>
  <c r="R249" i="8"/>
  <c r="Q249" i="8"/>
  <c r="O249" i="8"/>
  <c r="N249" i="8"/>
  <c r="M249" i="8"/>
  <c r="T248" i="8"/>
  <c r="S248" i="8"/>
  <c r="R248" i="8"/>
  <c r="Q248" i="8"/>
  <c r="O248" i="8"/>
  <c r="N248" i="8"/>
  <c r="M248" i="8"/>
  <c r="T247" i="8"/>
  <c r="S247" i="8"/>
  <c r="R247" i="8"/>
  <c r="Q247" i="8"/>
  <c r="O247" i="8"/>
  <c r="N247" i="8"/>
  <c r="M247" i="8"/>
  <c r="T246" i="8"/>
  <c r="S246" i="8"/>
  <c r="R246" i="8"/>
  <c r="Q246" i="8"/>
  <c r="O246" i="8"/>
  <c r="N246" i="8"/>
  <c r="M246" i="8"/>
  <c r="T245" i="8"/>
  <c r="S245" i="8"/>
  <c r="R245" i="8"/>
  <c r="Q245" i="8"/>
  <c r="O245" i="8"/>
  <c r="N245" i="8"/>
  <c r="M245" i="8"/>
  <c r="T244" i="8"/>
  <c r="S244" i="8"/>
  <c r="R244" i="8"/>
  <c r="Q244" i="8"/>
  <c r="O244" i="8"/>
  <c r="N244" i="8"/>
  <c r="M244" i="8"/>
  <c r="T243" i="8"/>
  <c r="S243" i="8"/>
  <c r="R243" i="8"/>
  <c r="Q243" i="8"/>
  <c r="O243" i="8"/>
  <c r="N243" i="8"/>
  <c r="M243" i="8"/>
  <c r="T242" i="8"/>
  <c r="S242" i="8"/>
  <c r="R242" i="8"/>
  <c r="Q242" i="8"/>
  <c r="O242" i="8"/>
  <c r="N242" i="8"/>
  <c r="M242" i="8"/>
  <c r="T241" i="8"/>
  <c r="S241" i="8"/>
  <c r="R241" i="8"/>
  <c r="Q241" i="8"/>
  <c r="O241" i="8"/>
  <c r="N241" i="8"/>
  <c r="M241" i="8"/>
  <c r="T240" i="8"/>
  <c r="S240" i="8"/>
  <c r="R240" i="8"/>
  <c r="Q240" i="8"/>
  <c r="O240" i="8"/>
  <c r="N240" i="8"/>
  <c r="M240" i="8"/>
  <c r="T239" i="8"/>
  <c r="S239" i="8"/>
  <c r="R239" i="8"/>
  <c r="Q239" i="8"/>
  <c r="O239" i="8"/>
  <c r="N239" i="8"/>
  <c r="M239" i="8"/>
  <c r="T238" i="8"/>
  <c r="S238" i="8"/>
  <c r="R238" i="8"/>
  <c r="Q238" i="8"/>
  <c r="O238" i="8"/>
  <c r="N238" i="8"/>
  <c r="M238" i="8"/>
  <c r="T237" i="8"/>
  <c r="S237" i="8"/>
  <c r="R237" i="8"/>
  <c r="Q237" i="8"/>
  <c r="O237" i="8"/>
  <c r="N237" i="8"/>
  <c r="M237" i="8"/>
  <c r="T236" i="8"/>
  <c r="S236" i="8"/>
  <c r="R236" i="8"/>
  <c r="Q236" i="8"/>
  <c r="O236" i="8"/>
  <c r="N236" i="8"/>
  <c r="M236" i="8"/>
  <c r="T235" i="8"/>
  <c r="S235" i="8"/>
  <c r="R235" i="8"/>
  <c r="Q235" i="8"/>
  <c r="O235" i="8"/>
  <c r="N235" i="8"/>
  <c r="M235" i="8"/>
  <c r="T234" i="8"/>
  <c r="S234" i="8"/>
  <c r="R234" i="8"/>
  <c r="Q234" i="8"/>
  <c r="O234" i="8"/>
  <c r="N234" i="8"/>
  <c r="M234" i="8"/>
  <c r="T233" i="8"/>
  <c r="S233" i="8"/>
  <c r="R233" i="8"/>
  <c r="Q233" i="8"/>
  <c r="O233" i="8"/>
  <c r="N233" i="8"/>
  <c r="M233" i="8"/>
  <c r="T232" i="8"/>
  <c r="S232" i="8"/>
  <c r="R232" i="8"/>
  <c r="Q232" i="8"/>
  <c r="O232" i="8"/>
  <c r="N232" i="8"/>
  <c r="M232" i="8"/>
  <c r="T231" i="8"/>
  <c r="S231" i="8"/>
  <c r="R231" i="8"/>
  <c r="Q231" i="8"/>
  <c r="O231" i="8"/>
  <c r="N231" i="8"/>
  <c r="M231" i="8"/>
  <c r="T230" i="8"/>
  <c r="S230" i="8"/>
  <c r="R230" i="8"/>
  <c r="Q230" i="8"/>
  <c r="O230" i="8"/>
  <c r="N230" i="8"/>
  <c r="M230" i="8"/>
  <c r="T229" i="8"/>
  <c r="S229" i="8"/>
  <c r="R229" i="8"/>
  <c r="Q229" i="8"/>
  <c r="O229" i="8"/>
  <c r="N229" i="8"/>
  <c r="M229" i="8"/>
  <c r="T228" i="8"/>
  <c r="S228" i="8"/>
  <c r="R228" i="8"/>
  <c r="Q228" i="8"/>
  <c r="O228" i="8"/>
  <c r="N228" i="8"/>
  <c r="M228" i="8"/>
  <c r="T227" i="8"/>
  <c r="S227" i="8"/>
  <c r="R227" i="8"/>
  <c r="Q227" i="8"/>
  <c r="O227" i="8"/>
  <c r="N227" i="8"/>
  <c r="M227" i="8"/>
  <c r="T226" i="8"/>
  <c r="S226" i="8"/>
  <c r="R226" i="8"/>
  <c r="Q226" i="8"/>
  <c r="O226" i="8"/>
  <c r="N226" i="8"/>
  <c r="M226" i="8"/>
  <c r="T225" i="8"/>
  <c r="S225" i="8"/>
  <c r="R225" i="8"/>
  <c r="Q225" i="8"/>
  <c r="O225" i="8"/>
  <c r="N225" i="8"/>
  <c r="M225" i="8"/>
  <c r="T224" i="8"/>
  <c r="S224" i="8"/>
  <c r="R224" i="8"/>
  <c r="Q224" i="8"/>
  <c r="O224" i="8"/>
  <c r="N224" i="8"/>
  <c r="M224" i="8"/>
  <c r="T223" i="8"/>
  <c r="S223" i="8"/>
  <c r="R223" i="8"/>
  <c r="Q223" i="8"/>
  <c r="O223" i="8"/>
  <c r="N223" i="8"/>
  <c r="M223" i="8"/>
  <c r="T222" i="8"/>
  <c r="S222" i="8"/>
  <c r="R222" i="8"/>
  <c r="Q222" i="8"/>
  <c r="O222" i="8"/>
  <c r="N222" i="8"/>
  <c r="M222" i="8"/>
  <c r="T221" i="8"/>
  <c r="S221" i="8"/>
  <c r="R221" i="8"/>
  <c r="Q221" i="8"/>
  <c r="O221" i="8"/>
  <c r="N221" i="8"/>
  <c r="M221" i="8"/>
  <c r="T220" i="8"/>
  <c r="S220" i="8"/>
  <c r="R220" i="8"/>
  <c r="Q220" i="8"/>
  <c r="O220" i="8"/>
  <c r="N220" i="8"/>
  <c r="M220" i="8"/>
  <c r="T219" i="8"/>
  <c r="S219" i="8"/>
  <c r="R219" i="8"/>
  <c r="Q219" i="8"/>
  <c r="O219" i="8"/>
  <c r="N219" i="8"/>
  <c r="M219" i="8"/>
  <c r="T218" i="8"/>
  <c r="S218" i="8"/>
  <c r="R218" i="8"/>
  <c r="Q218" i="8"/>
  <c r="O218" i="8"/>
  <c r="N218" i="8"/>
  <c r="M218" i="8"/>
  <c r="T217" i="8"/>
  <c r="S217" i="8"/>
  <c r="R217" i="8"/>
  <c r="Q217" i="8"/>
  <c r="O217" i="8"/>
  <c r="N217" i="8"/>
  <c r="M217" i="8"/>
  <c r="T216" i="8"/>
  <c r="S216" i="8"/>
  <c r="R216" i="8"/>
  <c r="Q216" i="8"/>
  <c r="O216" i="8"/>
  <c r="N216" i="8"/>
  <c r="M216" i="8"/>
  <c r="T215" i="8"/>
  <c r="S215" i="8"/>
  <c r="R215" i="8"/>
  <c r="Q215" i="8"/>
  <c r="O215" i="8"/>
  <c r="N215" i="8"/>
  <c r="M215" i="8"/>
  <c r="T214" i="8"/>
  <c r="S214" i="8"/>
  <c r="R214" i="8"/>
  <c r="Q214" i="8"/>
  <c r="O214" i="8"/>
  <c r="N214" i="8"/>
  <c r="M214" i="8"/>
  <c r="T213" i="8"/>
  <c r="S213" i="8"/>
  <c r="R213" i="8"/>
  <c r="Q213" i="8"/>
  <c r="O213" i="8"/>
  <c r="N213" i="8"/>
  <c r="M213" i="8"/>
  <c r="T212" i="8"/>
  <c r="S212" i="8"/>
  <c r="R212" i="8"/>
  <c r="Q212" i="8"/>
  <c r="O212" i="8"/>
  <c r="N212" i="8"/>
  <c r="M212" i="8"/>
  <c r="T211" i="8"/>
  <c r="S211" i="8"/>
  <c r="R211" i="8"/>
  <c r="Q211" i="8"/>
  <c r="O211" i="8"/>
  <c r="N211" i="8"/>
  <c r="M211" i="8"/>
  <c r="T210" i="8"/>
  <c r="S210" i="8"/>
  <c r="R210" i="8"/>
  <c r="Q210" i="8"/>
  <c r="O210" i="8"/>
  <c r="N210" i="8"/>
  <c r="M210" i="8"/>
  <c r="T209" i="8"/>
  <c r="S209" i="8"/>
  <c r="R209" i="8"/>
  <c r="Q209" i="8"/>
  <c r="O209" i="8"/>
  <c r="N209" i="8"/>
  <c r="M209" i="8"/>
  <c r="T208" i="8"/>
  <c r="S208" i="8"/>
  <c r="R208" i="8"/>
  <c r="Q208" i="8"/>
  <c r="O208" i="8"/>
  <c r="N208" i="8"/>
  <c r="M208" i="8"/>
  <c r="T207" i="8"/>
  <c r="S207" i="8"/>
  <c r="R207" i="8"/>
  <c r="Q207" i="8"/>
  <c r="O207" i="8"/>
  <c r="N207" i="8"/>
  <c r="M207" i="8"/>
  <c r="T206" i="8"/>
  <c r="S206" i="8"/>
  <c r="R206" i="8"/>
  <c r="Q206" i="8"/>
  <c r="O206" i="8"/>
  <c r="N206" i="8"/>
  <c r="M206" i="8"/>
  <c r="T205" i="8"/>
  <c r="S205" i="8"/>
  <c r="R205" i="8"/>
  <c r="Q205" i="8"/>
  <c r="O205" i="8"/>
  <c r="N205" i="8"/>
  <c r="M205" i="8"/>
  <c r="T204" i="8"/>
  <c r="S204" i="8"/>
  <c r="R204" i="8"/>
  <c r="Q204" i="8"/>
  <c r="O204" i="8"/>
  <c r="N204" i="8"/>
  <c r="M204" i="8"/>
  <c r="T203" i="8"/>
  <c r="S203" i="8"/>
  <c r="R203" i="8"/>
  <c r="Q203" i="8"/>
  <c r="O203" i="8"/>
  <c r="N203" i="8"/>
  <c r="M203" i="8"/>
  <c r="T202" i="8"/>
  <c r="S202" i="8"/>
  <c r="R202" i="8"/>
  <c r="Q202" i="8"/>
  <c r="O202" i="8"/>
  <c r="N202" i="8"/>
  <c r="M202" i="8"/>
  <c r="T201" i="8"/>
  <c r="S201" i="8"/>
  <c r="R201" i="8"/>
  <c r="Q201" i="8"/>
  <c r="O201" i="8"/>
  <c r="N201" i="8"/>
  <c r="M201" i="8"/>
  <c r="T200" i="8"/>
  <c r="S200" i="8"/>
  <c r="R200" i="8"/>
  <c r="Q200" i="8"/>
  <c r="O200" i="8"/>
  <c r="N200" i="8"/>
  <c r="M200" i="8"/>
  <c r="T199" i="8"/>
  <c r="S199" i="8"/>
  <c r="R199" i="8"/>
  <c r="Q199" i="8"/>
  <c r="O199" i="8"/>
  <c r="N199" i="8"/>
  <c r="M199" i="8"/>
  <c r="T198" i="8"/>
  <c r="S198" i="8"/>
  <c r="R198" i="8"/>
  <c r="Q198" i="8"/>
  <c r="O198" i="8"/>
  <c r="N198" i="8"/>
  <c r="M198" i="8"/>
  <c r="T197" i="8"/>
  <c r="S197" i="8"/>
  <c r="R197" i="8"/>
  <c r="Q197" i="8"/>
  <c r="O197" i="8"/>
  <c r="N197" i="8"/>
  <c r="M197" i="8"/>
  <c r="T196" i="8"/>
  <c r="S196" i="8"/>
  <c r="R196" i="8"/>
  <c r="Q196" i="8"/>
  <c r="O196" i="8"/>
  <c r="N196" i="8"/>
  <c r="M196" i="8"/>
  <c r="T195" i="8"/>
  <c r="S195" i="8"/>
  <c r="R195" i="8"/>
  <c r="Q195" i="8"/>
  <c r="O195" i="8"/>
  <c r="N195" i="8"/>
  <c r="M195" i="8"/>
  <c r="T194" i="8"/>
  <c r="S194" i="8"/>
  <c r="R194" i="8"/>
  <c r="Q194" i="8"/>
  <c r="O194" i="8"/>
  <c r="N194" i="8"/>
  <c r="M194" i="8"/>
  <c r="T193" i="8"/>
  <c r="S193" i="8"/>
  <c r="R193" i="8"/>
  <c r="Q193" i="8"/>
  <c r="O193" i="8"/>
  <c r="N193" i="8"/>
  <c r="M193" i="8"/>
  <c r="T192" i="8"/>
  <c r="S192" i="8"/>
  <c r="R192" i="8"/>
  <c r="Q192" i="8"/>
  <c r="O192" i="8"/>
  <c r="N192" i="8"/>
  <c r="M192" i="8"/>
  <c r="T191" i="8"/>
  <c r="S191" i="8"/>
  <c r="R191" i="8"/>
  <c r="Q191" i="8"/>
  <c r="O191" i="8"/>
  <c r="N191" i="8"/>
  <c r="M191" i="8"/>
  <c r="T190" i="8"/>
  <c r="S190" i="8"/>
  <c r="R190" i="8"/>
  <c r="Q190" i="8"/>
  <c r="O190" i="8"/>
  <c r="N190" i="8"/>
  <c r="M190" i="8"/>
  <c r="T189" i="8"/>
  <c r="S189" i="8"/>
  <c r="R189" i="8"/>
  <c r="Q189" i="8"/>
  <c r="O189" i="8"/>
  <c r="N189" i="8"/>
  <c r="M189" i="8"/>
  <c r="T188" i="8"/>
  <c r="S188" i="8"/>
  <c r="R188" i="8"/>
  <c r="Q188" i="8"/>
  <c r="O188" i="8"/>
  <c r="N188" i="8"/>
  <c r="M188" i="8"/>
  <c r="T187" i="8"/>
  <c r="S187" i="8"/>
  <c r="R187" i="8"/>
  <c r="Q187" i="8"/>
  <c r="O187" i="8"/>
  <c r="N187" i="8"/>
  <c r="M187" i="8"/>
  <c r="T186" i="8"/>
  <c r="S186" i="8"/>
  <c r="R186" i="8"/>
  <c r="Q186" i="8"/>
  <c r="O186" i="8"/>
  <c r="N186" i="8"/>
  <c r="M186" i="8"/>
  <c r="T185" i="8"/>
  <c r="S185" i="8"/>
  <c r="R185" i="8"/>
  <c r="Q185" i="8"/>
  <c r="O185" i="8"/>
  <c r="N185" i="8"/>
  <c r="M185" i="8"/>
  <c r="T184" i="8"/>
  <c r="S184" i="8"/>
  <c r="R184" i="8"/>
  <c r="Q184" i="8"/>
  <c r="O184" i="8"/>
  <c r="N184" i="8"/>
  <c r="M184" i="8"/>
  <c r="T183" i="8"/>
  <c r="S183" i="8"/>
  <c r="R183" i="8"/>
  <c r="Q183" i="8"/>
  <c r="O183" i="8"/>
  <c r="N183" i="8"/>
  <c r="M183" i="8"/>
  <c r="T182" i="8"/>
  <c r="S182" i="8"/>
  <c r="R182" i="8"/>
  <c r="Q182" i="8"/>
  <c r="O182" i="8"/>
  <c r="N182" i="8"/>
  <c r="M182" i="8"/>
  <c r="T181" i="8"/>
  <c r="S181" i="8"/>
  <c r="R181" i="8"/>
  <c r="Q181" i="8"/>
  <c r="O181" i="8"/>
  <c r="N181" i="8"/>
  <c r="M181" i="8"/>
  <c r="T180" i="8"/>
  <c r="S180" i="8"/>
  <c r="R180" i="8"/>
  <c r="Q180" i="8"/>
  <c r="O180" i="8"/>
  <c r="N180" i="8"/>
  <c r="M180" i="8"/>
  <c r="T179" i="8"/>
  <c r="S179" i="8"/>
  <c r="R179" i="8"/>
  <c r="Q179" i="8"/>
  <c r="O179" i="8"/>
  <c r="N179" i="8"/>
  <c r="M179" i="8"/>
  <c r="T178" i="8"/>
  <c r="S178" i="8"/>
  <c r="R178" i="8"/>
  <c r="Q178" i="8"/>
  <c r="O178" i="8"/>
  <c r="N178" i="8"/>
  <c r="M178" i="8"/>
  <c r="T177" i="8"/>
  <c r="S177" i="8"/>
  <c r="R177" i="8"/>
  <c r="Q177" i="8"/>
  <c r="O177" i="8"/>
  <c r="N177" i="8"/>
  <c r="M177" i="8"/>
  <c r="T176" i="8"/>
  <c r="S176" i="8"/>
  <c r="R176" i="8"/>
  <c r="Q176" i="8"/>
  <c r="O176" i="8"/>
  <c r="N176" i="8"/>
  <c r="M176" i="8"/>
  <c r="T175" i="8"/>
  <c r="S175" i="8"/>
  <c r="R175" i="8"/>
  <c r="Q175" i="8"/>
  <c r="O175" i="8"/>
  <c r="N175" i="8"/>
  <c r="M175" i="8"/>
  <c r="T174" i="8"/>
  <c r="S174" i="8"/>
  <c r="R174" i="8"/>
  <c r="Q174" i="8"/>
  <c r="O174" i="8"/>
  <c r="N174" i="8"/>
  <c r="M174" i="8"/>
  <c r="T173" i="8"/>
  <c r="S173" i="8"/>
  <c r="R173" i="8"/>
  <c r="Q173" i="8"/>
  <c r="O173" i="8"/>
  <c r="N173" i="8"/>
  <c r="M173" i="8"/>
  <c r="T172" i="8"/>
  <c r="S172" i="8"/>
  <c r="R172" i="8"/>
  <c r="Q172" i="8"/>
  <c r="O172" i="8"/>
  <c r="N172" i="8"/>
  <c r="M172" i="8"/>
  <c r="T171" i="8"/>
  <c r="S171" i="8"/>
  <c r="R171" i="8"/>
  <c r="Q171" i="8"/>
  <c r="O171" i="8"/>
  <c r="N171" i="8"/>
  <c r="M171" i="8"/>
  <c r="T170" i="8"/>
  <c r="S170" i="8"/>
  <c r="R170" i="8"/>
  <c r="Q170" i="8"/>
  <c r="O170" i="8"/>
  <c r="N170" i="8"/>
  <c r="M170" i="8"/>
  <c r="T169" i="8"/>
  <c r="S169" i="8"/>
  <c r="R169" i="8"/>
  <c r="Q169" i="8"/>
  <c r="O169" i="8"/>
  <c r="N169" i="8"/>
  <c r="M169" i="8"/>
  <c r="T168" i="8"/>
  <c r="S168" i="8"/>
  <c r="R168" i="8"/>
  <c r="Q168" i="8"/>
  <c r="O168" i="8"/>
  <c r="N168" i="8"/>
  <c r="M168" i="8"/>
  <c r="T167" i="8"/>
  <c r="S167" i="8"/>
  <c r="R167" i="8"/>
  <c r="Q167" i="8"/>
  <c r="O167" i="8"/>
  <c r="N167" i="8"/>
  <c r="M167" i="8"/>
  <c r="T166" i="8"/>
  <c r="S166" i="8"/>
  <c r="R166" i="8"/>
  <c r="Q166" i="8"/>
  <c r="O166" i="8"/>
  <c r="N166" i="8"/>
  <c r="M166" i="8"/>
  <c r="T165" i="8"/>
  <c r="S165" i="8"/>
  <c r="R165" i="8"/>
  <c r="Q165" i="8"/>
  <c r="O165" i="8"/>
  <c r="N165" i="8"/>
  <c r="M165" i="8"/>
  <c r="T164" i="8"/>
  <c r="S164" i="8"/>
  <c r="R164" i="8"/>
  <c r="Q164" i="8"/>
  <c r="O164" i="8"/>
  <c r="N164" i="8"/>
  <c r="M164" i="8"/>
  <c r="T163" i="8"/>
  <c r="S163" i="8"/>
  <c r="R163" i="8"/>
  <c r="Q163" i="8"/>
  <c r="O163" i="8"/>
  <c r="N163" i="8"/>
  <c r="M163" i="8"/>
  <c r="T162" i="8"/>
  <c r="S162" i="8"/>
  <c r="R162" i="8"/>
  <c r="Q162" i="8"/>
  <c r="O162" i="8"/>
  <c r="N162" i="8"/>
  <c r="M162" i="8"/>
  <c r="T161" i="8"/>
  <c r="S161" i="8"/>
  <c r="R161" i="8"/>
  <c r="Q161" i="8"/>
  <c r="O161" i="8"/>
  <c r="N161" i="8"/>
  <c r="M161" i="8"/>
  <c r="T160" i="8"/>
  <c r="S160" i="8"/>
  <c r="R160" i="8"/>
  <c r="Q160" i="8"/>
  <c r="O160" i="8"/>
  <c r="N160" i="8"/>
  <c r="M160" i="8"/>
  <c r="T159" i="8"/>
  <c r="S159" i="8"/>
  <c r="R159" i="8"/>
  <c r="Q159" i="8"/>
  <c r="O159" i="8"/>
  <c r="N159" i="8"/>
  <c r="M159" i="8"/>
  <c r="T158" i="8"/>
  <c r="S158" i="8"/>
  <c r="R158" i="8"/>
  <c r="Q158" i="8"/>
  <c r="O158" i="8"/>
  <c r="N158" i="8"/>
  <c r="M158" i="8"/>
  <c r="T157" i="8"/>
  <c r="S157" i="8"/>
  <c r="R157" i="8"/>
  <c r="Q157" i="8"/>
  <c r="O157" i="8"/>
  <c r="N157" i="8"/>
  <c r="M157" i="8"/>
  <c r="T156" i="8"/>
  <c r="S156" i="8"/>
  <c r="R156" i="8"/>
  <c r="Q156" i="8"/>
  <c r="O156" i="8"/>
  <c r="N156" i="8"/>
  <c r="M156" i="8"/>
  <c r="T155" i="8"/>
  <c r="S155" i="8"/>
  <c r="R155" i="8"/>
  <c r="Q155" i="8"/>
  <c r="O155" i="8"/>
  <c r="N155" i="8"/>
  <c r="M155" i="8"/>
  <c r="T154" i="8"/>
  <c r="S154" i="8"/>
  <c r="R154" i="8"/>
  <c r="Q154" i="8"/>
  <c r="O154" i="8"/>
  <c r="N154" i="8"/>
  <c r="M154" i="8"/>
  <c r="T153" i="8"/>
  <c r="S153" i="8"/>
  <c r="R153" i="8"/>
  <c r="Q153" i="8"/>
  <c r="O153" i="8"/>
  <c r="N153" i="8"/>
  <c r="M153" i="8"/>
  <c r="T152" i="8"/>
  <c r="S152" i="8"/>
  <c r="R152" i="8"/>
  <c r="Q152" i="8"/>
  <c r="O152" i="8"/>
  <c r="N152" i="8"/>
  <c r="M152" i="8"/>
  <c r="T151" i="8"/>
  <c r="S151" i="8"/>
  <c r="R151" i="8"/>
  <c r="Q151" i="8"/>
  <c r="O151" i="8"/>
  <c r="N151" i="8"/>
  <c r="M151" i="8"/>
  <c r="T150" i="8"/>
  <c r="S150" i="8"/>
  <c r="R150" i="8"/>
  <c r="Q150" i="8"/>
  <c r="O150" i="8"/>
  <c r="N150" i="8"/>
  <c r="M150" i="8"/>
  <c r="T149" i="8"/>
  <c r="S149" i="8"/>
  <c r="R149" i="8"/>
  <c r="Q149" i="8"/>
  <c r="O149" i="8"/>
  <c r="N149" i="8"/>
  <c r="M149" i="8"/>
  <c r="T148" i="8"/>
  <c r="S148" i="8"/>
  <c r="R148" i="8"/>
  <c r="Q148" i="8"/>
  <c r="O148" i="8"/>
  <c r="N148" i="8"/>
  <c r="M148" i="8"/>
  <c r="T147" i="8"/>
  <c r="S147" i="8"/>
  <c r="R147" i="8"/>
  <c r="Q147" i="8"/>
  <c r="O147" i="8"/>
  <c r="N147" i="8"/>
  <c r="M147" i="8"/>
  <c r="T146" i="8"/>
  <c r="S146" i="8"/>
  <c r="R146" i="8"/>
  <c r="Q146" i="8"/>
  <c r="O146" i="8"/>
  <c r="N146" i="8"/>
  <c r="M146" i="8"/>
  <c r="T145" i="8"/>
  <c r="S145" i="8"/>
  <c r="R145" i="8"/>
  <c r="Q145" i="8"/>
  <c r="O145" i="8"/>
  <c r="N145" i="8"/>
  <c r="M145" i="8"/>
  <c r="T144" i="8"/>
  <c r="S144" i="8"/>
  <c r="R144" i="8"/>
  <c r="Q144" i="8"/>
  <c r="O144" i="8"/>
  <c r="N144" i="8"/>
  <c r="M144" i="8"/>
  <c r="T143" i="8"/>
  <c r="S143" i="8"/>
  <c r="R143" i="8"/>
  <c r="Q143" i="8"/>
  <c r="O143" i="8"/>
  <c r="N143" i="8"/>
  <c r="M143" i="8"/>
  <c r="T142" i="8"/>
  <c r="S142" i="8"/>
  <c r="R142" i="8"/>
  <c r="Q142" i="8"/>
  <c r="O142" i="8"/>
  <c r="N142" i="8"/>
  <c r="M142" i="8"/>
  <c r="T141" i="8"/>
  <c r="S141" i="8"/>
  <c r="R141" i="8"/>
  <c r="Q141" i="8"/>
  <c r="O141" i="8"/>
  <c r="N141" i="8"/>
  <c r="M141" i="8"/>
  <c r="T140" i="8"/>
  <c r="S140" i="8"/>
  <c r="R140" i="8"/>
  <c r="Q140" i="8"/>
  <c r="O140" i="8"/>
  <c r="N140" i="8"/>
  <c r="M140" i="8"/>
  <c r="T139" i="8"/>
  <c r="S139" i="8"/>
  <c r="R139" i="8"/>
  <c r="Q139" i="8"/>
  <c r="O139" i="8"/>
  <c r="N139" i="8"/>
  <c r="M139" i="8"/>
  <c r="T138" i="8"/>
  <c r="S138" i="8"/>
  <c r="R138" i="8"/>
  <c r="Q138" i="8"/>
  <c r="O138" i="8"/>
  <c r="N138" i="8"/>
  <c r="M138" i="8"/>
  <c r="T137" i="8"/>
  <c r="S137" i="8"/>
  <c r="R137" i="8"/>
  <c r="Q137" i="8"/>
  <c r="O137" i="8"/>
  <c r="N137" i="8"/>
  <c r="M137" i="8"/>
  <c r="T136" i="8"/>
  <c r="S136" i="8"/>
  <c r="R136" i="8"/>
  <c r="Q136" i="8"/>
  <c r="O136" i="8"/>
  <c r="N136" i="8"/>
  <c r="M136" i="8"/>
  <c r="T135" i="8"/>
  <c r="S135" i="8"/>
  <c r="R135" i="8"/>
  <c r="Q135" i="8"/>
  <c r="O135" i="8"/>
  <c r="N135" i="8"/>
  <c r="M135" i="8"/>
  <c r="T134" i="8"/>
  <c r="S134" i="8"/>
  <c r="R134" i="8"/>
  <c r="Q134" i="8"/>
  <c r="O134" i="8"/>
  <c r="N134" i="8"/>
  <c r="M134" i="8"/>
  <c r="T133" i="8"/>
  <c r="S133" i="8"/>
  <c r="R133" i="8"/>
  <c r="Q133" i="8"/>
  <c r="O133" i="8"/>
  <c r="N133" i="8"/>
  <c r="M133" i="8"/>
  <c r="T132" i="8"/>
  <c r="S132" i="8"/>
  <c r="R132" i="8"/>
  <c r="Q132" i="8"/>
  <c r="O132" i="8"/>
  <c r="N132" i="8"/>
  <c r="M132" i="8"/>
  <c r="T131" i="8"/>
  <c r="S131" i="8"/>
  <c r="R131" i="8"/>
  <c r="Q131" i="8"/>
  <c r="O131" i="8"/>
  <c r="N131" i="8"/>
  <c r="M131" i="8"/>
  <c r="T130" i="8"/>
  <c r="S130" i="8"/>
  <c r="R130" i="8"/>
  <c r="Q130" i="8"/>
  <c r="O130" i="8"/>
  <c r="N130" i="8"/>
  <c r="M130" i="8"/>
  <c r="T129" i="8"/>
  <c r="S129" i="8"/>
  <c r="R129" i="8"/>
  <c r="Q129" i="8"/>
  <c r="O129" i="8"/>
  <c r="N129" i="8"/>
  <c r="M129" i="8"/>
  <c r="T128" i="8"/>
  <c r="S128" i="8"/>
  <c r="R128" i="8"/>
  <c r="Q128" i="8"/>
  <c r="O128" i="8"/>
  <c r="N128" i="8"/>
  <c r="M128" i="8"/>
  <c r="T127" i="8"/>
  <c r="S127" i="8"/>
  <c r="R127" i="8"/>
  <c r="Q127" i="8"/>
  <c r="O127" i="8"/>
  <c r="N127" i="8"/>
  <c r="M127" i="8"/>
  <c r="T126" i="8"/>
  <c r="S126" i="8"/>
  <c r="R126" i="8"/>
  <c r="Q126" i="8"/>
  <c r="O126" i="8"/>
  <c r="N126" i="8"/>
  <c r="M126" i="8"/>
  <c r="T125" i="8"/>
  <c r="S125" i="8"/>
  <c r="R125" i="8"/>
  <c r="Q125" i="8"/>
  <c r="O125" i="8"/>
  <c r="N125" i="8"/>
  <c r="M125" i="8"/>
  <c r="T124" i="8"/>
  <c r="S124" i="8"/>
  <c r="R124" i="8"/>
  <c r="Q124" i="8"/>
  <c r="O124" i="8"/>
  <c r="N124" i="8"/>
  <c r="M124" i="8"/>
  <c r="T123" i="8"/>
  <c r="S123" i="8"/>
  <c r="R123" i="8"/>
  <c r="Q123" i="8"/>
  <c r="O123" i="8"/>
  <c r="N123" i="8"/>
  <c r="M123" i="8"/>
  <c r="T122" i="8"/>
  <c r="S122" i="8"/>
  <c r="R122" i="8"/>
  <c r="Q122" i="8"/>
  <c r="O122" i="8"/>
  <c r="N122" i="8"/>
  <c r="M122" i="8"/>
  <c r="T121" i="8"/>
  <c r="S121" i="8"/>
  <c r="R121" i="8"/>
  <c r="Q121" i="8"/>
  <c r="O121" i="8"/>
  <c r="N121" i="8"/>
  <c r="M121" i="8"/>
  <c r="T120" i="8"/>
  <c r="S120" i="8"/>
  <c r="R120" i="8"/>
  <c r="Q120" i="8"/>
  <c r="O120" i="8"/>
  <c r="N120" i="8"/>
  <c r="M120" i="8"/>
  <c r="T119" i="8"/>
  <c r="S119" i="8"/>
  <c r="R119" i="8"/>
  <c r="Q119" i="8"/>
  <c r="O119" i="8"/>
  <c r="N119" i="8"/>
  <c r="M119" i="8"/>
  <c r="T118" i="8"/>
  <c r="S118" i="8"/>
  <c r="R118" i="8"/>
  <c r="Q118" i="8"/>
  <c r="O118" i="8"/>
  <c r="N118" i="8"/>
  <c r="M118" i="8"/>
  <c r="T117" i="8"/>
  <c r="S117" i="8"/>
  <c r="R117" i="8"/>
  <c r="Q117" i="8"/>
  <c r="O117" i="8"/>
  <c r="N117" i="8"/>
  <c r="M117" i="8"/>
  <c r="T116" i="8"/>
  <c r="S116" i="8"/>
  <c r="R116" i="8"/>
  <c r="Q116" i="8"/>
  <c r="O116" i="8"/>
  <c r="N116" i="8"/>
  <c r="M116" i="8"/>
  <c r="T115" i="8"/>
  <c r="S115" i="8"/>
  <c r="R115" i="8"/>
  <c r="Q115" i="8"/>
  <c r="O115" i="8"/>
  <c r="N115" i="8"/>
  <c r="M115" i="8"/>
  <c r="T114" i="8"/>
  <c r="S114" i="8"/>
  <c r="R114" i="8"/>
  <c r="Q114" i="8"/>
  <c r="O114" i="8"/>
  <c r="N114" i="8"/>
  <c r="M114" i="8"/>
  <c r="T113" i="8"/>
  <c r="S113" i="8"/>
  <c r="R113" i="8"/>
  <c r="Q113" i="8"/>
  <c r="O113" i="8"/>
  <c r="N113" i="8"/>
  <c r="M113" i="8"/>
  <c r="T112" i="8"/>
  <c r="S112" i="8"/>
  <c r="R112" i="8"/>
  <c r="Q112" i="8"/>
  <c r="O112" i="8"/>
  <c r="N112" i="8"/>
  <c r="M112" i="8"/>
  <c r="T111" i="8"/>
  <c r="S111" i="8"/>
  <c r="R111" i="8"/>
  <c r="Q111" i="8"/>
  <c r="O111" i="8"/>
  <c r="N111" i="8"/>
  <c r="M111" i="8"/>
  <c r="T110" i="8"/>
  <c r="S110" i="8"/>
  <c r="R110" i="8"/>
  <c r="Q110" i="8"/>
  <c r="O110" i="8"/>
  <c r="N110" i="8"/>
  <c r="M110" i="8"/>
  <c r="T109" i="8"/>
  <c r="S109" i="8"/>
  <c r="R109" i="8"/>
  <c r="Q109" i="8"/>
  <c r="O109" i="8"/>
  <c r="N109" i="8"/>
  <c r="M109" i="8"/>
  <c r="T108" i="8"/>
  <c r="S108" i="8"/>
  <c r="R108" i="8"/>
  <c r="Q108" i="8"/>
  <c r="O108" i="8"/>
  <c r="N108" i="8"/>
  <c r="M108" i="8"/>
  <c r="T107" i="8"/>
  <c r="S107" i="8"/>
  <c r="R107" i="8"/>
  <c r="Q107" i="8"/>
  <c r="O107" i="8"/>
  <c r="N107" i="8"/>
  <c r="M107" i="8"/>
  <c r="T106" i="8"/>
  <c r="S106" i="8"/>
  <c r="R106" i="8"/>
  <c r="Q106" i="8"/>
  <c r="O106" i="8"/>
  <c r="N106" i="8"/>
  <c r="M106" i="8"/>
  <c r="T105" i="8"/>
  <c r="S105" i="8"/>
  <c r="R105" i="8"/>
  <c r="Q105" i="8"/>
  <c r="O105" i="8"/>
  <c r="N105" i="8"/>
  <c r="M105" i="8"/>
  <c r="T104" i="8"/>
  <c r="S104" i="8"/>
  <c r="R104" i="8"/>
  <c r="Q104" i="8"/>
  <c r="O104" i="8"/>
  <c r="N104" i="8"/>
  <c r="M104" i="8"/>
  <c r="T103" i="8"/>
  <c r="S103" i="8"/>
  <c r="R103" i="8"/>
  <c r="Q103" i="8"/>
  <c r="O103" i="8"/>
  <c r="N103" i="8"/>
  <c r="M103" i="8"/>
  <c r="T102" i="8"/>
  <c r="S102" i="8"/>
  <c r="R102" i="8"/>
  <c r="Q102" i="8"/>
  <c r="O102" i="8"/>
  <c r="N102" i="8"/>
  <c r="M102" i="8"/>
  <c r="T101" i="8"/>
  <c r="S101" i="8"/>
  <c r="R101" i="8"/>
  <c r="Q101" i="8"/>
  <c r="O101" i="8"/>
  <c r="N101" i="8"/>
  <c r="M101" i="8"/>
  <c r="T100" i="8"/>
  <c r="S100" i="8"/>
  <c r="R100" i="8"/>
  <c r="Q100" i="8"/>
  <c r="O100" i="8"/>
  <c r="N100" i="8"/>
  <c r="M100" i="8"/>
  <c r="T99" i="8"/>
  <c r="S99" i="8"/>
  <c r="R99" i="8"/>
  <c r="Q99" i="8"/>
  <c r="O99" i="8"/>
  <c r="N99" i="8"/>
  <c r="M99" i="8"/>
  <c r="T98" i="8"/>
  <c r="S98" i="8"/>
  <c r="R98" i="8"/>
  <c r="Q98" i="8"/>
  <c r="O98" i="8"/>
  <c r="N98" i="8"/>
  <c r="M98" i="8"/>
  <c r="T97" i="8"/>
  <c r="S97" i="8"/>
  <c r="R97" i="8"/>
  <c r="Q97" i="8"/>
  <c r="O97" i="8"/>
  <c r="N97" i="8"/>
  <c r="M97" i="8"/>
  <c r="T96" i="8"/>
  <c r="S96" i="8"/>
  <c r="R96" i="8"/>
  <c r="Q96" i="8"/>
  <c r="O96" i="8"/>
  <c r="N96" i="8"/>
  <c r="M96" i="8"/>
  <c r="T95" i="8"/>
  <c r="S95" i="8"/>
  <c r="R95" i="8"/>
  <c r="Q95" i="8"/>
  <c r="O95" i="8"/>
  <c r="N95" i="8"/>
  <c r="M95" i="8"/>
  <c r="T94" i="8"/>
  <c r="S94" i="8"/>
  <c r="R94" i="8"/>
  <c r="Q94" i="8"/>
  <c r="O94" i="8"/>
  <c r="N94" i="8"/>
  <c r="M94" i="8"/>
  <c r="T93" i="8"/>
  <c r="S93" i="8"/>
  <c r="R93" i="8"/>
  <c r="Q93" i="8"/>
  <c r="O93" i="8"/>
  <c r="N93" i="8"/>
  <c r="M93" i="8"/>
  <c r="T92" i="8"/>
  <c r="S92" i="8"/>
  <c r="R92" i="8"/>
  <c r="Q92" i="8"/>
  <c r="O92" i="8"/>
  <c r="N92" i="8"/>
  <c r="M92" i="8"/>
  <c r="T91" i="8"/>
  <c r="S91" i="8"/>
  <c r="R91" i="8"/>
  <c r="Q91" i="8"/>
  <c r="O91" i="8"/>
  <c r="N91" i="8"/>
  <c r="M91" i="8"/>
  <c r="T90" i="8"/>
  <c r="S90" i="8"/>
  <c r="R90" i="8"/>
  <c r="Q90" i="8"/>
  <c r="O90" i="8"/>
  <c r="N90" i="8"/>
  <c r="M90" i="8"/>
  <c r="T89" i="8"/>
  <c r="S89" i="8"/>
  <c r="R89" i="8"/>
  <c r="Q89" i="8"/>
  <c r="O89" i="8"/>
  <c r="N89" i="8"/>
  <c r="M89" i="8"/>
  <c r="T88" i="8"/>
  <c r="S88" i="8"/>
  <c r="R88" i="8"/>
  <c r="Q88" i="8"/>
  <c r="O88" i="8"/>
  <c r="N88" i="8"/>
  <c r="M88" i="8"/>
  <c r="T87" i="8"/>
  <c r="S87" i="8"/>
  <c r="R87" i="8"/>
  <c r="Q87" i="8"/>
  <c r="O87" i="8"/>
  <c r="N87" i="8"/>
  <c r="M87" i="8"/>
  <c r="T86" i="8"/>
  <c r="S86" i="8"/>
  <c r="R86" i="8"/>
  <c r="Q86" i="8"/>
  <c r="O86" i="8"/>
  <c r="N86" i="8"/>
  <c r="M86" i="8"/>
  <c r="T85" i="8"/>
  <c r="S85" i="8"/>
  <c r="R85" i="8"/>
  <c r="Q85" i="8"/>
  <c r="O85" i="8"/>
  <c r="N85" i="8"/>
  <c r="M85" i="8"/>
  <c r="T84" i="8"/>
  <c r="S84" i="8"/>
  <c r="R84" i="8"/>
  <c r="Q84" i="8"/>
  <c r="O84" i="8"/>
  <c r="N84" i="8"/>
  <c r="M84" i="8"/>
  <c r="T83" i="8"/>
  <c r="S83" i="8"/>
  <c r="R83" i="8"/>
  <c r="Q83" i="8"/>
  <c r="O83" i="8"/>
  <c r="N83" i="8"/>
  <c r="M83" i="8"/>
  <c r="T82" i="8"/>
  <c r="S82" i="8"/>
  <c r="R82" i="8"/>
  <c r="Q82" i="8"/>
  <c r="O82" i="8"/>
  <c r="N82" i="8"/>
  <c r="M82" i="8"/>
  <c r="T81" i="8"/>
  <c r="S81" i="8"/>
  <c r="R81" i="8"/>
  <c r="Q81" i="8"/>
  <c r="O81" i="8"/>
  <c r="N81" i="8"/>
  <c r="M81" i="8"/>
  <c r="T80" i="8"/>
  <c r="S80" i="8"/>
  <c r="R80" i="8"/>
  <c r="Q80" i="8"/>
  <c r="O80" i="8"/>
  <c r="N80" i="8"/>
  <c r="M80" i="8"/>
  <c r="T79" i="8"/>
  <c r="S79" i="8"/>
  <c r="R79" i="8"/>
  <c r="Q79" i="8"/>
  <c r="O79" i="8"/>
  <c r="N79" i="8"/>
  <c r="M79" i="8"/>
  <c r="T78" i="8"/>
  <c r="S78" i="8"/>
  <c r="R78" i="8"/>
  <c r="Q78" i="8"/>
  <c r="O78" i="8"/>
  <c r="N78" i="8"/>
  <c r="M78" i="8"/>
  <c r="T77" i="8"/>
  <c r="S77" i="8"/>
  <c r="R77" i="8"/>
  <c r="Q77" i="8"/>
  <c r="O77" i="8"/>
  <c r="N77" i="8"/>
  <c r="M77" i="8"/>
  <c r="T76" i="8"/>
  <c r="S76" i="8"/>
  <c r="R76" i="8"/>
  <c r="Q76" i="8"/>
  <c r="O76" i="8"/>
  <c r="N76" i="8"/>
  <c r="M76" i="8"/>
  <c r="T75" i="8"/>
  <c r="S75" i="8"/>
  <c r="R75" i="8"/>
  <c r="Q75" i="8"/>
  <c r="O75" i="8"/>
  <c r="N75" i="8"/>
  <c r="M75" i="8"/>
  <c r="T74" i="8"/>
  <c r="S74" i="8"/>
  <c r="R74" i="8"/>
  <c r="Q74" i="8"/>
  <c r="O74" i="8"/>
  <c r="N74" i="8"/>
  <c r="M74" i="8"/>
  <c r="T73" i="8"/>
  <c r="S73" i="8"/>
  <c r="R73" i="8"/>
  <c r="Q73" i="8"/>
  <c r="O73" i="8"/>
  <c r="N73" i="8"/>
  <c r="M73" i="8"/>
  <c r="T72" i="8"/>
  <c r="S72" i="8"/>
  <c r="R72" i="8"/>
  <c r="Q72" i="8"/>
  <c r="O72" i="8"/>
  <c r="N72" i="8"/>
  <c r="M72" i="8"/>
  <c r="T71" i="8"/>
  <c r="S71" i="8"/>
  <c r="R71" i="8"/>
  <c r="Q71" i="8"/>
  <c r="O71" i="8"/>
  <c r="N71" i="8"/>
  <c r="M71" i="8"/>
  <c r="T70" i="8"/>
  <c r="S70" i="8"/>
  <c r="R70" i="8"/>
  <c r="Q70" i="8"/>
  <c r="O70" i="8"/>
  <c r="N70" i="8"/>
  <c r="M70" i="8"/>
  <c r="T69" i="8"/>
  <c r="S69" i="8"/>
  <c r="R69" i="8"/>
  <c r="Q69" i="8"/>
  <c r="O69" i="8"/>
  <c r="N69" i="8"/>
  <c r="M69" i="8"/>
  <c r="T68" i="8"/>
  <c r="S68" i="8"/>
  <c r="R68" i="8"/>
  <c r="Q68" i="8"/>
  <c r="O68" i="8"/>
  <c r="N68" i="8"/>
  <c r="M68" i="8"/>
  <c r="T67" i="8"/>
  <c r="S67" i="8"/>
  <c r="R67" i="8"/>
  <c r="Q67" i="8"/>
  <c r="O67" i="8"/>
  <c r="N67" i="8"/>
  <c r="M67" i="8"/>
  <c r="T66" i="8"/>
  <c r="S66" i="8"/>
  <c r="R66" i="8"/>
  <c r="Q66" i="8"/>
  <c r="O66" i="8"/>
  <c r="N66" i="8"/>
  <c r="M66" i="8"/>
  <c r="T65" i="8"/>
  <c r="S65" i="8"/>
  <c r="R65" i="8"/>
  <c r="Q65" i="8"/>
  <c r="O65" i="8"/>
  <c r="N65" i="8"/>
  <c r="M65" i="8"/>
  <c r="T64" i="8"/>
  <c r="S64" i="8"/>
  <c r="R64" i="8"/>
  <c r="Q64" i="8"/>
  <c r="O64" i="8"/>
  <c r="N64" i="8"/>
  <c r="M64" i="8"/>
  <c r="T63" i="8"/>
  <c r="S63" i="8"/>
  <c r="R63" i="8"/>
  <c r="Q63" i="8"/>
  <c r="O63" i="8"/>
  <c r="N63" i="8"/>
  <c r="M63" i="8"/>
  <c r="T62" i="8"/>
  <c r="S62" i="8"/>
  <c r="R62" i="8"/>
  <c r="Q62" i="8"/>
  <c r="O62" i="8"/>
  <c r="N62" i="8"/>
  <c r="M62" i="8"/>
  <c r="T61" i="8"/>
  <c r="S61" i="8"/>
  <c r="R61" i="8"/>
  <c r="Q61" i="8"/>
  <c r="O61" i="8"/>
  <c r="N61" i="8"/>
  <c r="M61" i="8"/>
  <c r="T60" i="8"/>
  <c r="S60" i="8"/>
  <c r="R60" i="8"/>
  <c r="Q60" i="8"/>
  <c r="O60" i="8"/>
  <c r="N60" i="8"/>
  <c r="M60" i="8"/>
  <c r="T59" i="8"/>
  <c r="S59" i="8"/>
  <c r="R59" i="8"/>
  <c r="Q59" i="8"/>
  <c r="O59" i="8"/>
  <c r="N59" i="8"/>
  <c r="M59" i="8"/>
  <c r="T58" i="8"/>
  <c r="S58" i="8"/>
  <c r="R58" i="8"/>
  <c r="Q58" i="8"/>
  <c r="O58" i="8"/>
  <c r="N58" i="8"/>
  <c r="M58" i="8"/>
  <c r="T57" i="8"/>
  <c r="S57" i="8"/>
  <c r="R57" i="8"/>
  <c r="Q57" i="8"/>
  <c r="O57" i="8"/>
  <c r="N57" i="8"/>
  <c r="M57" i="8"/>
  <c r="T56" i="8"/>
  <c r="S56" i="8"/>
  <c r="R56" i="8"/>
  <c r="Q56" i="8"/>
  <c r="O56" i="8"/>
  <c r="N56" i="8"/>
  <c r="M56" i="8"/>
  <c r="T55" i="8"/>
  <c r="S55" i="8"/>
  <c r="R55" i="8"/>
  <c r="Q55" i="8"/>
  <c r="O55" i="8"/>
  <c r="N55" i="8"/>
  <c r="M55" i="8"/>
  <c r="T54" i="8"/>
  <c r="S54" i="8"/>
  <c r="R54" i="8"/>
  <c r="Q54" i="8"/>
  <c r="O54" i="8"/>
  <c r="N54" i="8"/>
  <c r="M54" i="8"/>
  <c r="T53" i="8"/>
  <c r="S53" i="8"/>
  <c r="R53" i="8"/>
  <c r="Q53" i="8"/>
  <c r="O53" i="8"/>
  <c r="N53" i="8"/>
  <c r="M53" i="8"/>
  <c r="T52" i="8"/>
  <c r="S52" i="8"/>
  <c r="R52" i="8"/>
  <c r="Q52" i="8"/>
  <c r="O52" i="8"/>
  <c r="N52" i="8"/>
  <c r="M52" i="8"/>
  <c r="T51" i="8"/>
  <c r="S51" i="8"/>
  <c r="R51" i="8"/>
  <c r="Q51" i="8"/>
  <c r="O51" i="8"/>
  <c r="N51" i="8"/>
  <c r="M51" i="8"/>
  <c r="T50" i="8"/>
  <c r="S50" i="8"/>
  <c r="R50" i="8"/>
  <c r="Q50" i="8"/>
  <c r="O50" i="8"/>
  <c r="N50" i="8"/>
  <c r="M50" i="8"/>
  <c r="T49" i="8"/>
  <c r="S49" i="8"/>
  <c r="R49" i="8"/>
  <c r="Q49" i="8"/>
  <c r="O49" i="8"/>
  <c r="N49" i="8"/>
  <c r="M49" i="8"/>
  <c r="T48" i="8"/>
  <c r="S48" i="8"/>
  <c r="R48" i="8"/>
  <c r="Q48" i="8"/>
  <c r="O48" i="8"/>
  <c r="N48" i="8"/>
  <c r="M48" i="8"/>
  <c r="T47" i="8"/>
  <c r="S47" i="8"/>
  <c r="R47" i="8"/>
  <c r="Q47" i="8"/>
  <c r="O47" i="8"/>
  <c r="N47" i="8"/>
  <c r="M47" i="8"/>
  <c r="T46" i="8"/>
  <c r="S46" i="8"/>
  <c r="R46" i="8"/>
  <c r="Q46" i="8"/>
  <c r="O46" i="8"/>
  <c r="N46" i="8"/>
  <c r="M46" i="8"/>
  <c r="T45" i="8"/>
  <c r="S45" i="8"/>
  <c r="R45" i="8"/>
  <c r="Q45" i="8"/>
  <c r="O45" i="8"/>
  <c r="N45" i="8"/>
  <c r="M45" i="8"/>
  <c r="T44" i="8"/>
  <c r="S44" i="8"/>
  <c r="R44" i="8"/>
  <c r="Q44" i="8"/>
  <c r="O44" i="8"/>
  <c r="N44" i="8"/>
  <c r="M44" i="8"/>
  <c r="T43" i="8"/>
  <c r="S43" i="8"/>
  <c r="R43" i="8"/>
  <c r="Q43" i="8"/>
  <c r="O43" i="8"/>
  <c r="N43" i="8"/>
  <c r="M43" i="8"/>
  <c r="T42" i="8"/>
  <c r="S42" i="8"/>
  <c r="R42" i="8"/>
  <c r="Q42" i="8"/>
  <c r="O42" i="8"/>
  <c r="N42" i="8"/>
  <c r="M42" i="8"/>
  <c r="T41" i="8"/>
  <c r="S41" i="8"/>
  <c r="R41" i="8"/>
  <c r="Q41" i="8"/>
  <c r="O41" i="8"/>
  <c r="N41" i="8"/>
  <c r="M41" i="8"/>
  <c r="T40" i="8"/>
  <c r="S40" i="8"/>
  <c r="R40" i="8"/>
  <c r="Q40" i="8"/>
  <c r="O40" i="8"/>
  <c r="N40" i="8"/>
  <c r="M40" i="8"/>
  <c r="T39" i="8"/>
  <c r="S39" i="8"/>
  <c r="R39" i="8"/>
  <c r="Q39" i="8"/>
  <c r="O39" i="8"/>
  <c r="N39" i="8"/>
  <c r="M39" i="8"/>
  <c r="T38" i="8"/>
  <c r="S38" i="8"/>
  <c r="R38" i="8"/>
  <c r="Q38" i="8"/>
  <c r="O38" i="8"/>
  <c r="N38" i="8"/>
  <c r="M38" i="8"/>
  <c r="T37" i="8"/>
  <c r="S37" i="8"/>
  <c r="R37" i="8"/>
  <c r="Q37" i="8"/>
  <c r="O37" i="8"/>
  <c r="N37" i="8"/>
  <c r="M37" i="8"/>
  <c r="T36" i="8"/>
  <c r="S36" i="8"/>
  <c r="R36" i="8"/>
  <c r="Q36" i="8"/>
  <c r="O36" i="8"/>
  <c r="N36" i="8"/>
  <c r="M36" i="8"/>
  <c r="T35" i="8"/>
  <c r="S35" i="8"/>
  <c r="R35" i="8"/>
  <c r="Q35" i="8"/>
  <c r="O35" i="8"/>
  <c r="N35" i="8"/>
  <c r="M35" i="8"/>
  <c r="T34" i="8"/>
  <c r="S34" i="8"/>
  <c r="R34" i="8"/>
  <c r="Q34" i="8"/>
  <c r="O34" i="8"/>
  <c r="N34" i="8"/>
  <c r="M34" i="8"/>
  <c r="T33" i="8"/>
  <c r="S33" i="8"/>
  <c r="R33" i="8"/>
  <c r="Q33" i="8"/>
  <c r="O33" i="8"/>
  <c r="N33" i="8"/>
  <c r="M33" i="8"/>
  <c r="T32" i="8"/>
  <c r="S32" i="8"/>
  <c r="R32" i="8"/>
  <c r="Q32" i="8"/>
  <c r="O32" i="8"/>
  <c r="N32" i="8"/>
  <c r="M32" i="8"/>
  <c r="T31" i="8"/>
  <c r="S31" i="8"/>
  <c r="R31" i="8"/>
  <c r="Q31" i="8"/>
  <c r="O31" i="8"/>
  <c r="N31" i="8"/>
  <c r="M31" i="8"/>
  <c r="T30" i="8"/>
  <c r="S30" i="8"/>
  <c r="R30" i="8"/>
  <c r="Q30" i="8"/>
  <c r="O30" i="8"/>
  <c r="N30" i="8"/>
  <c r="M30" i="8"/>
  <c r="T29" i="8"/>
  <c r="S29" i="8"/>
  <c r="R29" i="8"/>
  <c r="Q29" i="8"/>
  <c r="O29" i="8"/>
  <c r="N29" i="8"/>
  <c r="M29" i="8"/>
  <c r="T28" i="8"/>
  <c r="S28" i="8"/>
  <c r="R28" i="8"/>
  <c r="Q28" i="8"/>
  <c r="O28" i="8"/>
  <c r="N28" i="8"/>
  <c r="M28" i="8"/>
  <c r="T27" i="8"/>
  <c r="S27" i="8"/>
  <c r="R27" i="8"/>
  <c r="Q27" i="8"/>
  <c r="O27" i="8"/>
  <c r="N27" i="8"/>
  <c r="M27" i="8"/>
  <c r="T26" i="8"/>
  <c r="S26" i="8"/>
  <c r="R26" i="8"/>
  <c r="Q26" i="8"/>
  <c r="O26" i="8"/>
  <c r="N26" i="8"/>
  <c r="M26" i="8"/>
  <c r="T25" i="8"/>
  <c r="S25" i="8"/>
  <c r="R25" i="8"/>
  <c r="Q25" i="8"/>
  <c r="O25" i="8"/>
  <c r="N25" i="8"/>
  <c r="M25" i="8"/>
  <c r="T24" i="8"/>
  <c r="S24" i="8"/>
  <c r="R24" i="8"/>
  <c r="Q24" i="8"/>
  <c r="O24" i="8"/>
  <c r="N24" i="8"/>
  <c r="M24" i="8"/>
  <c r="T23" i="8"/>
  <c r="S23" i="8"/>
  <c r="R23" i="8"/>
  <c r="Q23" i="8"/>
  <c r="O23" i="8"/>
  <c r="N23" i="8"/>
  <c r="M23" i="8"/>
  <c r="T22" i="8"/>
  <c r="S22" i="8"/>
  <c r="R22" i="8"/>
  <c r="Q22" i="8"/>
  <c r="O22" i="8"/>
  <c r="N22" i="8"/>
  <c r="M22" i="8"/>
  <c r="T21" i="8"/>
  <c r="S21" i="8"/>
  <c r="R21" i="8"/>
  <c r="Q21" i="8"/>
  <c r="O21" i="8"/>
  <c r="N21" i="8"/>
  <c r="M21" i="8"/>
  <c r="T20" i="8"/>
  <c r="S20" i="8"/>
  <c r="R20" i="8"/>
  <c r="Q20" i="8"/>
  <c r="O20" i="8"/>
  <c r="N20" i="8"/>
  <c r="M20" i="8"/>
  <c r="T19" i="8"/>
  <c r="S19" i="8"/>
  <c r="R19" i="8"/>
  <c r="Q19" i="8"/>
  <c r="O19" i="8"/>
  <c r="N19" i="8"/>
  <c r="M19" i="8"/>
  <c r="T18" i="8"/>
  <c r="S18" i="8"/>
  <c r="R18" i="8"/>
  <c r="Q18" i="8"/>
  <c r="O18" i="8"/>
  <c r="N18" i="8"/>
  <c r="M18" i="8"/>
  <c r="T17" i="8"/>
  <c r="S17" i="8"/>
  <c r="R17" i="8"/>
  <c r="Q17" i="8"/>
  <c r="O17" i="8"/>
  <c r="N17" i="8"/>
  <c r="M17" i="8"/>
  <c r="T16" i="8"/>
  <c r="S16" i="8"/>
  <c r="R16" i="8"/>
  <c r="Q16" i="8"/>
  <c r="O16" i="8"/>
  <c r="N16" i="8"/>
  <c r="M16" i="8"/>
  <c r="T15" i="8"/>
  <c r="S15" i="8"/>
  <c r="R15" i="8"/>
  <c r="Q15" i="8"/>
  <c r="O15" i="8"/>
  <c r="N15" i="8"/>
  <c r="M15" i="8"/>
  <c r="T14" i="8"/>
  <c r="S14" i="8"/>
  <c r="R14" i="8"/>
  <c r="Q14" i="8"/>
  <c r="O14" i="8"/>
  <c r="N14" i="8"/>
  <c r="M14" i="8"/>
  <c r="T13" i="8"/>
  <c r="S13" i="8"/>
  <c r="R13" i="8"/>
  <c r="Q13" i="8"/>
  <c r="O13" i="8"/>
  <c r="N13" i="8"/>
  <c r="M13" i="8"/>
  <c r="T12" i="8"/>
  <c r="S12" i="8"/>
  <c r="R12" i="8"/>
  <c r="Q12" i="8"/>
  <c r="O12" i="8"/>
  <c r="N12" i="8"/>
  <c r="M12" i="8"/>
  <c r="T11" i="8"/>
  <c r="S11" i="8"/>
  <c r="R11" i="8"/>
  <c r="Q11" i="8"/>
  <c r="O11" i="8"/>
  <c r="N11" i="8"/>
  <c r="M11" i="8"/>
  <c r="T10" i="8"/>
  <c r="S10" i="8"/>
  <c r="R10" i="8"/>
  <c r="Q10" i="8"/>
  <c r="O10" i="8"/>
  <c r="N10" i="8"/>
  <c r="M10" i="8"/>
  <c r="T9" i="8"/>
  <c r="S9" i="8"/>
  <c r="R9" i="8"/>
  <c r="Q9" i="8"/>
  <c r="M9" i="8"/>
  <c r="G9" i="8"/>
  <c r="F9" i="8"/>
  <c r="E9" i="8"/>
  <c r="T8" i="8"/>
  <c r="S8" i="8"/>
  <c r="R8" i="8"/>
  <c r="Q8" i="8"/>
  <c r="M8" i="8"/>
  <c r="G8" i="8"/>
  <c r="F8" i="8"/>
  <c r="E8" i="8"/>
  <c r="T7" i="8"/>
  <c r="S7" i="8"/>
  <c r="R7" i="8"/>
  <c r="Q7" i="8"/>
  <c r="M7" i="8"/>
  <c r="G7" i="8"/>
  <c r="F7" i="8"/>
  <c r="E7" i="8"/>
  <c r="T6" i="8"/>
  <c r="S6" i="8"/>
  <c r="R6" i="8"/>
  <c r="Q6" i="8"/>
  <c r="M6" i="8"/>
  <c r="G6" i="8"/>
  <c r="F6" i="8"/>
  <c r="E6" i="8"/>
  <c r="T5" i="8"/>
  <c r="S5" i="8"/>
  <c r="R5" i="8"/>
  <c r="Q5" i="8"/>
  <c r="M5" i="8"/>
  <c r="G5" i="8"/>
  <c r="F5" i="8"/>
  <c r="E5" i="8"/>
  <c r="T4" i="8"/>
  <c r="S4" i="8"/>
  <c r="R4" i="8"/>
  <c r="Q4" i="8"/>
  <c r="M4" i="8"/>
  <c r="G4" i="8"/>
  <c r="F4" i="8"/>
  <c r="E4" i="8"/>
  <c r="T3" i="8"/>
  <c r="S3" i="8"/>
  <c r="R3" i="8"/>
  <c r="Q3" i="8"/>
  <c r="M3" i="8"/>
  <c r="G3" i="8"/>
  <c r="F3" i="8"/>
  <c r="E3" i="8"/>
  <c r="D3" i="8"/>
  <c r="L28" i="2"/>
  <c r="I28" i="8" s="1"/>
  <c r="M28" i="2"/>
  <c r="J28" i="8" s="1"/>
  <c r="N28" i="2"/>
  <c r="K28" i="8" s="1"/>
  <c r="O28" i="2"/>
  <c r="L29" i="2"/>
  <c r="I29" i="8" s="1"/>
  <c r="M29" i="2"/>
  <c r="J29" i="8" s="1"/>
  <c r="N29" i="2"/>
  <c r="K29" i="8" s="1"/>
  <c r="O29" i="2"/>
  <c r="L30" i="2"/>
  <c r="I30" i="8" s="1"/>
  <c r="M30" i="2"/>
  <c r="J30" i="8" s="1"/>
  <c r="N30" i="2"/>
  <c r="K30" i="8" s="1"/>
  <c r="O30" i="2"/>
  <c r="L31" i="2"/>
  <c r="M31" i="2"/>
  <c r="N31" i="2"/>
  <c r="O31" i="2"/>
  <c r="L32" i="2"/>
  <c r="M32" i="2"/>
  <c r="J32" i="8" s="1"/>
  <c r="N32" i="2"/>
  <c r="K32" i="8" s="1"/>
  <c r="O32" i="2"/>
  <c r="L33" i="2"/>
  <c r="I33" i="8" s="1"/>
  <c r="M33" i="2"/>
  <c r="J33" i="8" s="1"/>
  <c r="N33" i="2"/>
  <c r="K33" i="8" s="1"/>
  <c r="O33" i="2"/>
  <c r="L34" i="2"/>
  <c r="I34" i="8" s="1"/>
  <c r="M34" i="2"/>
  <c r="J34" i="8" s="1"/>
  <c r="N34" i="2"/>
  <c r="K34" i="8" s="1"/>
  <c r="O34" i="2"/>
  <c r="L35" i="2"/>
  <c r="I35" i="8" s="1"/>
  <c r="M35" i="2"/>
  <c r="J35" i="8" s="1"/>
  <c r="N35" i="2"/>
  <c r="K35" i="8" s="1"/>
  <c r="O35" i="2"/>
  <c r="L36" i="2"/>
  <c r="I36" i="8" s="1"/>
  <c r="M36" i="2"/>
  <c r="J36" i="8" s="1"/>
  <c r="N36" i="2"/>
  <c r="K36" i="8" s="1"/>
  <c r="O36" i="2"/>
  <c r="L37" i="2"/>
  <c r="I37" i="8" s="1"/>
  <c r="M37" i="2"/>
  <c r="J37" i="8" s="1"/>
  <c r="N37" i="2"/>
  <c r="K37" i="8" s="1"/>
  <c r="O37" i="2"/>
  <c r="L38" i="2"/>
  <c r="M38" i="2"/>
  <c r="N38" i="2"/>
  <c r="O38" i="2"/>
  <c r="L39" i="2"/>
  <c r="I39" i="8" s="1"/>
  <c r="M39" i="2"/>
  <c r="J39" i="8" s="1"/>
  <c r="N39" i="2"/>
  <c r="K39" i="8" s="1"/>
  <c r="O39" i="2"/>
  <c r="L40" i="2"/>
  <c r="I40" i="8" s="1"/>
  <c r="M40" i="2"/>
  <c r="J40" i="8" s="1"/>
  <c r="N40" i="2"/>
  <c r="K40" i="8" s="1"/>
  <c r="O40" i="2"/>
  <c r="L41" i="2"/>
  <c r="I41" i="8" s="1"/>
  <c r="M41" i="2"/>
  <c r="J41" i="8" s="1"/>
  <c r="N41" i="2"/>
  <c r="K41" i="8" s="1"/>
  <c r="O41" i="2"/>
  <c r="L42" i="2"/>
  <c r="I42" i="8" s="1"/>
  <c r="M42" i="2"/>
  <c r="J42" i="8" s="1"/>
  <c r="N42" i="2"/>
  <c r="K42" i="8" s="1"/>
  <c r="O42" i="2"/>
  <c r="L43" i="2"/>
  <c r="I43" i="8" s="1"/>
  <c r="M43" i="2"/>
  <c r="J43" i="8" s="1"/>
  <c r="N43" i="2"/>
  <c r="K43" i="8" s="1"/>
  <c r="O43" i="2"/>
  <c r="L44" i="2"/>
  <c r="I44" i="8" s="1"/>
  <c r="M44" i="2"/>
  <c r="J44" i="8" s="1"/>
  <c r="N44" i="2"/>
  <c r="K44" i="8" s="1"/>
  <c r="O44" i="2"/>
  <c r="L45" i="2"/>
  <c r="I45" i="8" s="1"/>
  <c r="M45" i="2"/>
  <c r="J45" i="8" s="1"/>
  <c r="N45" i="2"/>
  <c r="K45" i="8" s="1"/>
  <c r="O45" i="2"/>
  <c r="L46" i="2"/>
  <c r="I46" i="8" s="1"/>
  <c r="M46" i="2"/>
  <c r="J46" i="8" s="1"/>
  <c r="N46" i="2"/>
  <c r="K46" i="8" s="1"/>
  <c r="O46" i="2"/>
  <c r="L47" i="2"/>
  <c r="I47" i="8" s="1"/>
  <c r="M47" i="2"/>
  <c r="J47" i="8" s="1"/>
  <c r="N47" i="2"/>
  <c r="K47" i="8" s="1"/>
  <c r="O47" i="2"/>
  <c r="L48" i="2"/>
  <c r="I48" i="8" s="1"/>
  <c r="M48" i="2"/>
  <c r="J48" i="8" s="1"/>
  <c r="N48" i="2"/>
  <c r="K48" i="8" s="1"/>
  <c r="O48" i="2"/>
  <c r="L49" i="2"/>
  <c r="I49" i="8" s="1"/>
  <c r="M49" i="2"/>
  <c r="J49" i="8" s="1"/>
  <c r="N49" i="2"/>
  <c r="K49" i="8" s="1"/>
  <c r="O49" i="2"/>
  <c r="L50" i="2"/>
  <c r="I50" i="8" s="1"/>
  <c r="M50" i="2"/>
  <c r="J50" i="8" s="1"/>
  <c r="N50" i="2"/>
  <c r="K50" i="8" s="1"/>
  <c r="O50" i="2"/>
  <c r="L51" i="2"/>
  <c r="I51" i="8" s="1"/>
  <c r="M51" i="2"/>
  <c r="J51" i="8" s="1"/>
  <c r="N51" i="2"/>
  <c r="K51" i="8" s="1"/>
  <c r="O51" i="2"/>
  <c r="L52" i="2"/>
  <c r="M52" i="2"/>
  <c r="N52" i="2"/>
  <c r="O52" i="2"/>
  <c r="L53" i="2"/>
  <c r="I53" i="8" s="1"/>
  <c r="M53" i="2"/>
  <c r="J53" i="8" s="1"/>
  <c r="N53" i="2"/>
  <c r="K53" i="8" s="1"/>
  <c r="O53" i="2"/>
  <c r="L54" i="2"/>
  <c r="I54" i="8" s="1"/>
  <c r="M54" i="2"/>
  <c r="J54" i="8" s="1"/>
  <c r="N54" i="2"/>
  <c r="K54" i="8" s="1"/>
  <c r="O54" i="2"/>
  <c r="L55" i="2"/>
  <c r="I55" i="8" s="1"/>
  <c r="M55" i="2"/>
  <c r="J55" i="8" s="1"/>
  <c r="N55" i="2"/>
  <c r="K55" i="8" s="1"/>
  <c r="O55" i="2"/>
  <c r="L56" i="2"/>
  <c r="I56" i="8" s="1"/>
  <c r="M56" i="2"/>
  <c r="J56" i="8" s="1"/>
  <c r="N56" i="2"/>
  <c r="K56" i="8" s="1"/>
  <c r="O56" i="2"/>
  <c r="L57" i="2"/>
  <c r="I57" i="8" s="1"/>
  <c r="M57" i="2"/>
  <c r="J57" i="8" s="1"/>
  <c r="N57" i="2"/>
  <c r="K57" i="8" s="1"/>
  <c r="O57" i="2"/>
  <c r="L58" i="2"/>
  <c r="I58" i="8" s="1"/>
  <c r="M58" i="2"/>
  <c r="J58" i="8" s="1"/>
  <c r="N58" i="2"/>
  <c r="K58" i="8" s="1"/>
  <c r="O58" i="2"/>
  <c r="L59" i="2"/>
  <c r="M59" i="2"/>
  <c r="N59" i="2"/>
  <c r="O59" i="2"/>
  <c r="L60" i="2"/>
  <c r="I60" i="8" s="1"/>
  <c r="M60" i="2"/>
  <c r="J60" i="8" s="1"/>
  <c r="N60" i="2"/>
  <c r="K60" i="8" s="1"/>
  <c r="O60" i="2"/>
  <c r="L61" i="2"/>
  <c r="M61" i="2"/>
  <c r="N61" i="2"/>
  <c r="O61" i="2"/>
  <c r="L62" i="2"/>
  <c r="I62" i="8" s="1"/>
  <c r="M62" i="2"/>
  <c r="J62" i="8" s="1"/>
  <c r="N62" i="2"/>
  <c r="K62" i="8" s="1"/>
  <c r="O62" i="2"/>
  <c r="L63" i="2"/>
  <c r="M63" i="2"/>
  <c r="N63" i="2"/>
  <c r="O63" i="2"/>
  <c r="L64" i="2"/>
  <c r="I64" i="8" s="1"/>
  <c r="M64" i="2"/>
  <c r="J64" i="8" s="1"/>
  <c r="N64" i="2"/>
  <c r="K64" i="8" s="1"/>
  <c r="O64" i="2"/>
  <c r="L65" i="2"/>
  <c r="I65" i="8" s="1"/>
  <c r="M65" i="2"/>
  <c r="J65" i="8" s="1"/>
  <c r="N65" i="2"/>
  <c r="K65" i="8" s="1"/>
  <c r="O65" i="2"/>
  <c r="L66" i="2"/>
  <c r="I66" i="8" s="1"/>
  <c r="M66" i="2"/>
  <c r="J66" i="8" s="1"/>
  <c r="N66" i="2"/>
  <c r="K66" i="8" s="1"/>
  <c r="O66" i="2"/>
  <c r="L67" i="2"/>
  <c r="I67" i="8" s="1"/>
  <c r="M67" i="2"/>
  <c r="J67" i="8" s="1"/>
  <c r="N67" i="2"/>
  <c r="K67" i="8" s="1"/>
  <c r="O67" i="2"/>
  <c r="L68" i="2"/>
  <c r="I68" i="8" s="1"/>
  <c r="M68" i="2"/>
  <c r="J68" i="8" s="1"/>
  <c r="N68" i="2"/>
  <c r="K68" i="8" s="1"/>
  <c r="O68" i="2"/>
  <c r="L69" i="2"/>
  <c r="I69" i="8" s="1"/>
  <c r="M69" i="2"/>
  <c r="J69" i="8" s="1"/>
  <c r="N69" i="2"/>
  <c r="K69" i="8" s="1"/>
  <c r="O69" i="2"/>
  <c r="L70" i="2"/>
  <c r="M70" i="2"/>
  <c r="N70" i="2"/>
  <c r="O70" i="2"/>
  <c r="L71" i="2"/>
  <c r="I71" i="8" s="1"/>
  <c r="M71" i="2"/>
  <c r="J71" i="8" s="1"/>
  <c r="N71" i="2"/>
  <c r="K71" i="8" s="1"/>
  <c r="O71" i="2"/>
  <c r="L72" i="2"/>
  <c r="I72" i="8" s="1"/>
  <c r="M72" i="2"/>
  <c r="J72" i="8" s="1"/>
  <c r="N72" i="2"/>
  <c r="K72" i="8" s="1"/>
  <c r="O72" i="2"/>
  <c r="L73" i="2"/>
  <c r="I73" i="8" s="1"/>
  <c r="M73" i="2"/>
  <c r="J73" i="8" s="1"/>
  <c r="N73" i="2"/>
  <c r="K73" i="8" s="1"/>
  <c r="O73" i="2"/>
  <c r="L74" i="2"/>
  <c r="I74" i="8" s="1"/>
  <c r="M74" i="2"/>
  <c r="J74" i="8" s="1"/>
  <c r="N74" i="2"/>
  <c r="K74" i="8" s="1"/>
  <c r="O74" i="2"/>
  <c r="L75" i="2"/>
  <c r="I75" i="8" s="1"/>
  <c r="M75" i="2"/>
  <c r="J75" i="8" s="1"/>
  <c r="N75" i="2"/>
  <c r="K75" i="8" s="1"/>
  <c r="O75" i="2"/>
  <c r="L76" i="2"/>
  <c r="I76" i="8" s="1"/>
  <c r="M76" i="2"/>
  <c r="J76" i="8" s="1"/>
  <c r="N76" i="2"/>
  <c r="K76" i="8" s="1"/>
  <c r="O76" i="2"/>
  <c r="L77" i="2"/>
  <c r="I77" i="8" s="1"/>
  <c r="M77" i="2"/>
  <c r="J77" i="8" s="1"/>
  <c r="N77" i="2"/>
  <c r="K77" i="8" s="1"/>
  <c r="O77" i="2"/>
  <c r="L78" i="2"/>
  <c r="I78" i="8" s="1"/>
  <c r="M78" i="2"/>
  <c r="J78" i="8" s="1"/>
  <c r="N78" i="2"/>
  <c r="K78" i="8" s="1"/>
  <c r="O78" i="2"/>
  <c r="L79" i="2"/>
  <c r="I79" i="8" s="1"/>
  <c r="M79" i="2"/>
  <c r="J79" i="8" s="1"/>
  <c r="N79" i="2"/>
  <c r="K79" i="8" s="1"/>
  <c r="O79" i="2"/>
  <c r="L80" i="2"/>
  <c r="M80" i="2"/>
  <c r="N80" i="2"/>
  <c r="O80" i="2"/>
  <c r="L81" i="2"/>
  <c r="I81" i="8" s="1"/>
  <c r="M81" i="2"/>
  <c r="J81" i="8" s="1"/>
  <c r="N81" i="2"/>
  <c r="K81" i="8" s="1"/>
  <c r="O81" i="2"/>
  <c r="L82" i="2"/>
  <c r="I82" i="8" s="1"/>
  <c r="M82" i="2"/>
  <c r="J82" i="8" s="1"/>
  <c r="N82" i="2"/>
  <c r="K82" i="8" s="1"/>
  <c r="O82" i="2"/>
  <c r="L83" i="2"/>
  <c r="I83" i="8" s="1"/>
  <c r="M83" i="2"/>
  <c r="J83" i="8" s="1"/>
  <c r="N83" i="2"/>
  <c r="K83" i="8" s="1"/>
  <c r="O83" i="2"/>
  <c r="L84" i="2"/>
  <c r="I84" i="8" s="1"/>
  <c r="M84" i="2"/>
  <c r="J84" i="8" s="1"/>
  <c r="N84" i="2"/>
  <c r="K84" i="8" s="1"/>
  <c r="O84" i="2"/>
  <c r="L85" i="2"/>
  <c r="M85" i="2"/>
  <c r="N85" i="2"/>
  <c r="O85" i="2"/>
  <c r="L86" i="2"/>
  <c r="I86" i="8" s="1"/>
  <c r="M86" i="2"/>
  <c r="J86" i="8" s="1"/>
  <c r="N86" i="2"/>
  <c r="K86" i="8" s="1"/>
  <c r="O86" i="2"/>
  <c r="L87" i="2"/>
  <c r="M87" i="2"/>
  <c r="N87" i="2"/>
  <c r="O87" i="2"/>
  <c r="L88" i="2"/>
  <c r="I88" i="8" s="1"/>
  <c r="M88" i="2"/>
  <c r="J88" i="8" s="1"/>
  <c r="N88" i="2"/>
  <c r="K88" i="8" s="1"/>
  <c r="O88" i="2"/>
  <c r="L89" i="2"/>
  <c r="I89" i="8" s="1"/>
  <c r="M89" i="2"/>
  <c r="J89" i="8" s="1"/>
  <c r="N89" i="2"/>
  <c r="K89" i="8" s="1"/>
  <c r="O89" i="2"/>
  <c r="L90" i="2"/>
  <c r="I90" i="8" s="1"/>
  <c r="M90" i="2"/>
  <c r="J90" i="8" s="1"/>
  <c r="N90" i="2"/>
  <c r="K90" i="8" s="1"/>
  <c r="O90" i="2"/>
  <c r="L91" i="2"/>
  <c r="I91" i="8" s="1"/>
  <c r="M91" i="2"/>
  <c r="J91" i="8" s="1"/>
  <c r="N91" i="2"/>
  <c r="K91" i="8" s="1"/>
  <c r="O91" i="2"/>
  <c r="L92" i="2"/>
  <c r="I92" i="8" s="1"/>
  <c r="M92" i="2"/>
  <c r="J92" i="8" s="1"/>
  <c r="N92" i="2"/>
  <c r="K92" i="8" s="1"/>
  <c r="O92" i="2"/>
  <c r="L93" i="2"/>
  <c r="I93" i="8" s="1"/>
  <c r="M93" i="2"/>
  <c r="J93" i="8" s="1"/>
  <c r="N93" i="2"/>
  <c r="K93" i="8" s="1"/>
  <c r="O93" i="2"/>
  <c r="L94" i="2"/>
  <c r="I94" i="8" s="1"/>
  <c r="M94" i="2"/>
  <c r="J94" i="8" s="1"/>
  <c r="N94" i="2"/>
  <c r="K94" i="8" s="1"/>
  <c r="O94" i="2"/>
  <c r="L95" i="2"/>
  <c r="I95" i="8" s="1"/>
  <c r="M95" i="2"/>
  <c r="J95" i="8" s="1"/>
  <c r="N95" i="2"/>
  <c r="K95" i="8" s="1"/>
  <c r="O95" i="2"/>
  <c r="L96" i="2"/>
  <c r="M96" i="2"/>
  <c r="N96" i="2"/>
  <c r="O96" i="2"/>
  <c r="L97" i="2"/>
  <c r="I97" i="8" s="1"/>
  <c r="M97" i="2"/>
  <c r="J97" i="8" s="1"/>
  <c r="N97" i="2"/>
  <c r="K97" i="8" s="1"/>
  <c r="O97" i="2"/>
  <c r="L98" i="2"/>
  <c r="I98" i="8" s="1"/>
  <c r="M98" i="2"/>
  <c r="J98" i="8" s="1"/>
  <c r="N98" i="2"/>
  <c r="K98" i="8" s="1"/>
  <c r="O98" i="2"/>
  <c r="L99" i="2"/>
  <c r="I99" i="8" s="1"/>
  <c r="M99" i="2"/>
  <c r="J99" i="8" s="1"/>
  <c r="N99" i="2"/>
  <c r="K99" i="8" s="1"/>
  <c r="O99" i="2"/>
  <c r="L100" i="2"/>
  <c r="I100" i="8" s="1"/>
  <c r="M100" i="2"/>
  <c r="J100" i="8" s="1"/>
  <c r="N100" i="2"/>
  <c r="K100" i="8" s="1"/>
  <c r="O100" i="2"/>
  <c r="L101" i="2"/>
  <c r="I101" i="8" s="1"/>
  <c r="M101" i="2"/>
  <c r="J101" i="8" s="1"/>
  <c r="N101" i="2"/>
  <c r="K101" i="8" s="1"/>
  <c r="O101" i="2"/>
  <c r="L102" i="2"/>
  <c r="I102" i="8" s="1"/>
  <c r="M102" i="2"/>
  <c r="J102" i="8" s="1"/>
  <c r="N102" i="2"/>
  <c r="K102" i="8" s="1"/>
  <c r="O102" i="2"/>
  <c r="L103" i="2"/>
  <c r="M103" i="2"/>
  <c r="N103" i="2"/>
  <c r="O103" i="2"/>
  <c r="L104" i="2"/>
  <c r="M104" i="2"/>
  <c r="N104" i="2"/>
  <c r="O104" i="2"/>
  <c r="L105" i="2"/>
  <c r="I105" i="8" s="1"/>
  <c r="M105" i="2"/>
  <c r="J105" i="8" s="1"/>
  <c r="N105" i="2"/>
  <c r="K105" i="8" s="1"/>
  <c r="O105" i="2"/>
  <c r="L106" i="2"/>
  <c r="M106" i="2"/>
  <c r="N106" i="2"/>
  <c r="O106" i="2"/>
  <c r="L107" i="2"/>
  <c r="I107" i="8" s="1"/>
  <c r="M107" i="2"/>
  <c r="J107" i="8" s="1"/>
  <c r="N107" i="2"/>
  <c r="K107" i="8" s="1"/>
  <c r="O107" i="2"/>
  <c r="L108" i="2"/>
  <c r="I108" i="8" s="1"/>
  <c r="M108" i="2"/>
  <c r="J108" i="8" s="1"/>
  <c r="N108" i="2"/>
  <c r="K108" i="8" s="1"/>
  <c r="O108" i="2"/>
  <c r="L109" i="2"/>
  <c r="I109" i="8" s="1"/>
  <c r="M109" i="2"/>
  <c r="J109" i="8" s="1"/>
  <c r="N109" i="2"/>
  <c r="K109" i="8" s="1"/>
  <c r="O109" i="2"/>
  <c r="L110" i="2"/>
  <c r="M110" i="2"/>
  <c r="N110" i="2"/>
  <c r="O110" i="2"/>
  <c r="L111" i="2"/>
  <c r="M111" i="2"/>
  <c r="N111" i="2"/>
  <c r="O111" i="2"/>
  <c r="L112" i="2"/>
  <c r="I112" i="8" s="1"/>
  <c r="M112" i="2"/>
  <c r="J112" i="8" s="1"/>
  <c r="N112" i="2"/>
  <c r="K112" i="8" s="1"/>
  <c r="O112" i="2"/>
  <c r="L113" i="2"/>
  <c r="I113" i="8" s="1"/>
  <c r="M113" i="2"/>
  <c r="J113" i="8" s="1"/>
  <c r="N113" i="2"/>
  <c r="K113" i="8" s="1"/>
  <c r="O113" i="2"/>
  <c r="L114" i="2"/>
  <c r="I114" i="8" s="1"/>
  <c r="M114" i="2"/>
  <c r="J114" i="8" s="1"/>
  <c r="N114" i="2"/>
  <c r="K114" i="8" s="1"/>
  <c r="O114" i="2"/>
  <c r="L115" i="2"/>
  <c r="I115" i="8" s="1"/>
  <c r="M115" i="2"/>
  <c r="J115" i="8" s="1"/>
  <c r="N115" i="2"/>
  <c r="K115" i="8" s="1"/>
  <c r="O115" i="2"/>
  <c r="L116" i="2"/>
  <c r="I116" i="8" s="1"/>
  <c r="M116" i="2"/>
  <c r="J116" i="8" s="1"/>
  <c r="N116" i="2"/>
  <c r="K116" i="8" s="1"/>
  <c r="O116" i="2"/>
  <c r="L117" i="2"/>
  <c r="M117" i="2"/>
  <c r="N117" i="2"/>
  <c r="O117" i="2"/>
  <c r="L118" i="2"/>
  <c r="I118" i="8" s="1"/>
  <c r="M118" i="2"/>
  <c r="J118" i="8" s="1"/>
  <c r="N118" i="2"/>
  <c r="K118" i="8" s="1"/>
  <c r="O118" i="2"/>
  <c r="L119" i="2"/>
  <c r="I119" i="8" s="1"/>
  <c r="M119" i="2"/>
  <c r="J119" i="8" s="1"/>
  <c r="N119" i="2"/>
  <c r="K119" i="8" s="1"/>
  <c r="O119" i="2"/>
  <c r="L120" i="2"/>
  <c r="I120" i="8" s="1"/>
  <c r="M120" i="2"/>
  <c r="J120" i="8" s="1"/>
  <c r="N120" i="2"/>
  <c r="K120" i="8" s="1"/>
  <c r="O120" i="2"/>
  <c r="L121" i="2"/>
  <c r="I121" i="8" s="1"/>
  <c r="M121" i="2"/>
  <c r="J121" i="8" s="1"/>
  <c r="N121" i="2"/>
  <c r="K121" i="8" s="1"/>
  <c r="O121" i="2"/>
  <c r="L122" i="2"/>
  <c r="I122" i="8" s="1"/>
  <c r="M122" i="2"/>
  <c r="J122" i="8" s="1"/>
  <c r="N122" i="2"/>
  <c r="K122" i="8" s="1"/>
  <c r="O122" i="2"/>
  <c r="L123" i="2"/>
  <c r="I123" i="8" s="1"/>
  <c r="M123" i="2"/>
  <c r="J123" i="8" s="1"/>
  <c r="N123" i="2"/>
  <c r="K123" i="8" s="1"/>
  <c r="O123" i="2"/>
  <c r="L124" i="2"/>
  <c r="I124" i="8" s="1"/>
  <c r="M124" i="2"/>
  <c r="J124" i="8" s="1"/>
  <c r="N124" i="2"/>
  <c r="K124" i="8" s="1"/>
  <c r="O124" i="2"/>
  <c r="L125" i="2"/>
  <c r="I125" i="8" s="1"/>
  <c r="M125" i="2"/>
  <c r="J125" i="8" s="1"/>
  <c r="N125" i="2"/>
  <c r="K125" i="8" s="1"/>
  <c r="O125" i="2"/>
  <c r="L126" i="2"/>
  <c r="I126" i="8" s="1"/>
  <c r="M126" i="2"/>
  <c r="J126" i="8" s="1"/>
  <c r="N126" i="2"/>
  <c r="K126" i="8" s="1"/>
  <c r="O126" i="2"/>
  <c r="L127" i="2"/>
  <c r="I127" i="8" s="1"/>
  <c r="M127" i="2"/>
  <c r="J127" i="8" s="1"/>
  <c r="N127" i="2"/>
  <c r="K127" i="8" s="1"/>
  <c r="O127" i="2"/>
  <c r="L128" i="2"/>
  <c r="I128" i="8" s="1"/>
  <c r="M128" i="2"/>
  <c r="J128" i="8" s="1"/>
  <c r="N128" i="2"/>
  <c r="K128" i="8" s="1"/>
  <c r="O128" i="2"/>
  <c r="L129" i="2"/>
  <c r="I129" i="8" s="1"/>
  <c r="M129" i="2"/>
  <c r="J129" i="8" s="1"/>
  <c r="N129" i="2"/>
  <c r="K129" i="8" s="1"/>
  <c r="O129" i="2"/>
  <c r="L130" i="2"/>
  <c r="I130" i="8" s="1"/>
  <c r="M130" i="2"/>
  <c r="J130" i="8" s="1"/>
  <c r="N130" i="2"/>
  <c r="K130" i="8" s="1"/>
  <c r="O130" i="2"/>
  <c r="L131" i="2"/>
  <c r="I131" i="8" s="1"/>
  <c r="M131" i="2"/>
  <c r="J131" i="8" s="1"/>
  <c r="N131" i="2"/>
  <c r="K131" i="8" s="1"/>
  <c r="O131" i="2"/>
  <c r="L132" i="2"/>
  <c r="I132" i="8" s="1"/>
  <c r="M132" i="2"/>
  <c r="J132" i="8" s="1"/>
  <c r="N132" i="2"/>
  <c r="K132" i="8" s="1"/>
  <c r="O132" i="2"/>
  <c r="L133" i="2"/>
  <c r="I133" i="8" s="1"/>
  <c r="M133" i="2"/>
  <c r="J133" i="8" s="1"/>
  <c r="N133" i="2"/>
  <c r="K133" i="8" s="1"/>
  <c r="O133" i="2"/>
  <c r="L134" i="2"/>
  <c r="I134" i="8" s="1"/>
  <c r="M134" i="2"/>
  <c r="J134" i="8" s="1"/>
  <c r="N134" i="2"/>
  <c r="K134" i="8" s="1"/>
  <c r="O134" i="2"/>
  <c r="L135" i="2"/>
  <c r="I135" i="8" s="1"/>
  <c r="M135" i="2"/>
  <c r="J135" i="8" s="1"/>
  <c r="N135" i="2"/>
  <c r="K135" i="8" s="1"/>
  <c r="O135" i="2"/>
  <c r="L136" i="2"/>
  <c r="I136" i="8" s="1"/>
  <c r="M136" i="2"/>
  <c r="J136" i="8" s="1"/>
  <c r="N136" i="2"/>
  <c r="K136" i="8" s="1"/>
  <c r="O136" i="2"/>
  <c r="L137" i="2"/>
  <c r="I137" i="8" s="1"/>
  <c r="M137" i="2"/>
  <c r="J137" i="8" s="1"/>
  <c r="N137" i="2"/>
  <c r="K137" i="8" s="1"/>
  <c r="O137" i="2"/>
  <c r="L138" i="2"/>
  <c r="I138" i="8" s="1"/>
  <c r="M138" i="2"/>
  <c r="J138" i="8" s="1"/>
  <c r="N138" i="2"/>
  <c r="K138" i="8" s="1"/>
  <c r="O138" i="2"/>
  <c r="L139" i="2"/>
  <c r="I139" i="8" s="1"/>
  <c r="M139" i="2"/>
  <c r="J139" i="8" s="1"/>
  <c r="N139" i="2"/>
  <c r="K139" i="8" s="1"/>
  <c r="O139" i="2"/>
  <c r="L140" i="2"/>
  <c r="I140" i="8" s="1"/>
  <c r="M140" i="2"/>
  <c r="J140" i="8" s="1"/>
  <c r="N140" i="2"/>
  <c r="K140" i="8" s="1"/>
  <c r="O140" i="2"/>
  <c r="L141" i="2"/>
  <c r="I141" i="8" s="1"/>
  <c r="M141" i="2"/>
  <c r="J141" i="8" s="1"/>
  <c r="N141" i="2"/>
  <c r="K141" i="8" s="1"/>
  <c r="O141" i="2"/>
  <c r="L142" i="2"/>
  <c r="I142" i="8" s="1"/>
  <c r="M142" i="2"/>
  <c r="J142" i="8" s="1"/>
  <c r="N142" i="2"/>
  <c r="K142" i="8" s="1"/>
  <c r="O142" i="2"/>
  <c r="L143" i="2"/>
  <c r="I143" i="8" s="1"/>
  <c r="M143" i="2"/>
  <c r="J143" i="8" s="1"/>
  <c r="N143" i="2"/>
  <c r="K143" i="8" s="1"/>
  <c r="O143" i="2"/>
  <c r="L144" i="2"/>
  <c r="I144" i="8" s="1"/>
  <c r="M144" i="2"/>
  <c r="J144" i="8" s="1"/>
  <c r="N144" i="2"/>
  <c r="K144" i="8" s="1"/>
  <c r="O144" i="2"/>
  <c r="L145" i="2"/>
  <c r="I145" i="8" s="1"/>
  <c r="M145" i="2"/>
  <c r="J145" i="8" s="1"/>
  <c r="N145" i="2"/>
  <c r="K145" i="8" s="1"/>
  <c r="O145" i="2"/>
  <c r="L146" i="2"/>
  <c r="I146" i="8" s="1"/>
  <c r="M146" i="2"/>
  <c r="J146" i="8" s="1"/>
  <c r="N146" i="2"/>
  <c r="K146" i="8" s="1"/>
  <c r="O146" i="2"/>
  <c r="L147" i="2"/>
  <c r="I147" i="8" s="1"/>
  <c r="M147" i="2"/>
  <c r="J147" i="8" s="1"/>
  <c r="N147" i="2"/>
  <c r="K147" i="8" s="1"/>
  <c r="O147" i="2"/>
  <c r="L148" i="2"/>
  <c r="I148" i="8" s="1"/>
  <c r="M148" i="2"/>
  <c r="J148" i="8" s="1"/>
  <c r="N148" i="2"/>
  <c r="K148" i="8" s="1"/>
  <c r="O148" i="2"/>
  <c r="L149" i="2"/>
  <c r="I149" i="8" s="1"/>
  <c r="M149" i="2"/>
  <c r="J149" i="8" s="1"/>
  <c r="N149" i="2"/>
  <c r="K149" i="8" s="1"/>
  <c r="O149" i="2"/>
  <c r="L150" i="2"/>
  <c r="I150" i="8" s="1"/>
  <c r="M150" i="2"/>
  <c r="J150" i="8" s="1"/>
  <c r="N150" i="2"/>
  <c r="K150" i="8" s="1"/>
  <c r="O150" i="2"/>
  <c r="L151" i="2"/>
  <c r="I151" i="8" s="1"/>
  <c r="M151" i="2"/>
  <c r="J151" i="8" s="1"/>
  <c r="N151" i="2"/>
  <c r="K151" i="8" s="1"/>
  <c r="O151" i="2"/>
  <c r="L152" i="2"/>
  <c r="I152" i="8" s="1"/>
  <c r="M152" i="2"/>
  <c r="J152" i="8" s="1"/>
  <c r="N152" i="2"/>
  <c r="K152" i="8" s="1"/>
  <c r="O152" i="2"/>
  <c r="L153" i="2"/>
  <c r="I153" i="8" s="1"/>
  <c r="M153" i="2"/>
  <c r="J153" i="8" s="1"/>
  <c r="N153" i="2"/>
  <c r="K153" i="8" s="1"/>
  <c r="O153" i="2"/>
  <c r="L154" i="2"/>
  <c r="I154" i="8" s="1"/>
  <c r="M154" i="2"/>
  <c r="J154" i="8" s="1"/>
  <c r="N154" i="2"/>
  <c r="K154" i="8" s="1"/>
  <c r="O154" i="2"/>
  <c r="L155" i="2"/>
  <c r="I155" i="8" s="1"/>
  <c r="M155" i="2"/>
  <c r="J155" i="8" s="1"/>
  <c r="N155" i="2"/>
  <c r="K155" i="8" s="1"/>
  <c r="O155" i="2"/>
  <c r="L156" i="2"/>
  <c r="I156" i="8" s="1"/>
  <c r="M156" i="2"/>
  <c r="J156" i="8" s="1"/>
  <c r="N156" i="2"/>
  <c r="K156" i="8" s="1"/>
  <c r="O156" i="2"/>
  <c r="L157" i="2"/>
  <c r="I157" i="8" s="1"/>
  <c r="M157" i="2"/>
  <c r="J157" i="8" s="1"/>
  <c r="N157" i="2"/>
  <c r="K157" i="8" s="1"/>
  <c r="O157" i="2"/>
  <c r="L158" i="2"/>
  <c r="I158" i="8" s="1"/>
  <c r="M158" i="2"/>
  <c r="J158" i="8" s="1"/>
  <c r="N158" i="2"/>
  <c r="K158" i="8" s="1"/>
  <c r="O158" i="2"/>
  <c r="L159" i="2"/>
  <c r="I159" i="8" s="1"/>
  <c r="M159" i="2"/>
  <c r="J159" i="8" s="1"/>
  <c r="N159" i="2"/>
  <c r="K159" i="8" s="1"/>
  <c r="O159" i="2"/>
  <c r="L160" i="2"/>
  <c r="I160" i="8" s="1"/>
  <c r="M160" i="2"/>
  <c r="J160" i="8" s="1"/>
  <c r="N160" i="2"/>
  <c r="K160" i="8" s="1"/>
  <c r="O160" i="2"/>
  <c r="L161" i="2"/>
  <c r="I161" i="8" s="1"/>
  <c r="M161" i="2"/>
  <c r="J161" i="8" s="1"/>
  <c r="N161" i="2"/>
  <c r="K161" i="8" s="1"/>
  <c r="O161" i="2"/>
  <c r="L162" i="2"/>
  <c r="I162" i="8" s="1"/>
  <c r="M162" i="2"/>
  <c r="J162" i="8" s="1"/>
  <c r="N162" i="2"/>
  <c r="K162" i="8" s="1"/>
  <c r="O162" i="2"/>
  <c r="L163" i="2"/>
  <c r="I163" i="8" s="1"/>
  <c r="M163" i="2"/>
  <c r="J163" i="8" s="1"/>
  <c r="N163" i="2"/>
  <c r="K163" i="8" s="1"/>
  <c r="O163" i="2"/>
  <c r="L164" i="2"/>
  <c r="I164" i="8" s="1"/>
  <c r="M164" i="2"/>
  <c r="J164" i="8" s="1"/>
  <c r="N164" i="2"/>
  <c r="K164" i="8" s="1"/>
  <c r="O164" i="2"/>
  <c r="L165" i="2"/>
  <c r="I165" i="8" s="1"/>
  <c r="M165" i="2"/>
  <c r="J165" i="8" s="1"/>
  <c r="N165" i="2"/>
  <c r="K165" i="8" s="1"/>
  <c r="O165" i="2"/>
  <c r="L166" i="2"/>
  <c r="I166" i="8" s="1"/>
  <c r="M166" i="2"/>
  <c r="J166" i="8" s="1"/>
  <c r="N166" i="2"/>
  <c r="K166" i="8" s="1"/>
  <c r="O166" i="2"/>
  <c r="L167" i="2"/>
  <c r="I167" i="8" s="1"/>
  <c r="M167" i="2"/>
  <c r="J167" i="8" s="1"/>
  <c r="N167" i="2"/>
  <c r="K167" i="8" s="1"/>
  <c r="O167" i="2"/>
  <c r="L168" i="2"/>
  <c r="I168" i="8" s="1"/>
  <c r="M168" i="2"/>
  <c r="J168" i="8" s="1"/>
  <c r="N168" i="2"/>
  <c r="K168" i="8" s="1"/>
  <c r="O168" i="2"/>
  <c r="L169" i="2"/>
  <c r="I169" i="8" s="1"/>
  <c r="M169" i="2"/>
  <c r="J169" i="8" s="1"/>
  <c r="N169" i="2"/>
  <c r="K169" i="8" s="1"/>
  <c r="O169" i="2"/>
  <c r="L170" i="2"/>
  <c r="I170" i="8" s="1"/>
  <c r="M170" i="2"/>
  <c r="J170" i="8" s="1"/>
  <c r="N170" i="2"/>
  <c r="K170" i="8" s="1"/>
  <c r="O170" i="2"/>
  <c r="L171" i="2"/>
  <c r="I171" i="8" s="1"/>
  <c r="M171" i="2"/>
  <c r="J171" i="8" s="1"/>
  <c r="N171" i="2"/>
  <c r="K171" i="8" s="1"/>
  <c r="O171" i="2"/>
  <c r="L172" i="2"/>
  <c r="I172" i="8" s="1"/>
  <c r="M172" i="2"/>
  <c r="J172" i="8" s="1"/>
  <c r="N172" i="2"/>
  <c r="K172" i="8" s="1"/>
  <c r="O172" i="2"/>
  <c r="L173" i="2"/>
  <c r="M173" i="2"/>
  <c r="N173" i="2"/>
  <c r="O173" i="2"/>
  <c r="L174" i="2"/>
  <c r="I174" i="8" s="1"/>
  <c r="M174" i="2"/>
  <c r="J174" i="8" s="1"/>
  <c r="N174" i="2"/>
  <c r="K174" i="8" s="1"/>
  <c r="O174" i="2"/>
  <c r="L175" i="2"/>
  <c r="I175" i="8" s="1"/>
  <c r="M175" i="2"/>
  <c r="J175" i="8" s="1"/>
  <c r="N175" i="2"/>
  <c r="K175" i="8" s="1"/>
  <c r="O175" i="2"/>
  <c r="L176" i="2"/>
  <c r="I176" i="8" s="1"/>
  <c r="M176" i="2"/>
  <c r="J176" i="8" s="1"/>
  <c r="N176" i="2"/>
  <c r="K176" i="8" s="1"/>
  <c r="O176" i="2"/>
  <c r="L177" i="2"/>
  <c r="I177" i="8" s="1"/>
  <c r="M177" i="2"/>
  <c r="J177" i="8" s="1"/>
  <c r="N177" i="2"/>
  <c r="K177" i="8" s="1"/>
  <c r="O177" i="2"/>
  <c r="L178" i="2"/>
  <c r="I178" i="8" s="1"/>
  <c r="M178" i="2"/>
  <c r="J178" i="8" s="1"/>
  <c r="N178" i="2"/>
  <c r="K178" i="8" s="1"/>
  <c r="O178" i="2"/>
  <c r="L179" i="2"/>
  <c r="I179" i="8" s="1"/>
  <c r="M179" i="2"/>
  <c r="N179" i="2"/>
  <c r="K179" i="8" s="1"/>
  <c r="O179" i="2"/>
  <c r="L180" i="2"/>
  <c r="M180" i="2"/>
  <c r="N180" i="2"/>
  <c r="O180" i="2"/>
  <c r="L181" i="2"/>
  <c r="I181" i="8" s="1"/>
  <c r="M181" i="2"/>
  <c r="J181" i="8" s="1"/>
  <c r="N181" i="2"/>
  <c r="K181" i="8" s="1"/>
  <c r="O181" i="2"/>
  <c r="L182" i="2"/>
  <c r="I182" i="8" s="1"/>
  <c r="M182" i="2"/>
  <c r="J182" i="8" s="1"/>
  <c r="N182" i="2"/>
  <c r="K182" i="8" s="1"/>
  <c r="O182" i="2"/>
  <c r="L183" i="2"/>
  <c r="I183" i="8" s="1"/>
  <c r="M183" i="2"/>
  <c r="J183" i="8" s="1"/>
  <c r="N183" i="2"/>
  <c r="K183" i="8" s="1"/>
  <c r="O183" i="2"/>
  <c r="L184" i="2"/>
  <c r="I184" i="8" s="1"/>
  <c r="M184" i="2"/>
  <c r="J184" i="8" s="1"/>
  <c r="N184" i="2"/>
  <c r="K184" i="8" s="1"/>
  <c r="O184" i="2"/>
  <c r="L185" i="2"/>
  <c r="I185" i="8" s="1"/>
  <c r="M185" i="2"/>
  <c r="J185" i="8" s="1"/>
  <c r="N185" i="2"/>
  <c r="K185" i="8" s="1"/>
  <c r="O185" i="2"/>
  <c r="L186" i="2"/>
  <c r="I186" i="8" s="1"/>
  <c r="M186" i="2"/>
  <c r="J186" i="8" s="1"/>
  <c r="N186" i="2"/>
  <c r="K186" i="8" s="1"/>
  <c r="O186" i="2"/>
  <c r="L187" i="2"/>
  <c r="I187" i="8" s="1"/>
  <c r="M187" i="2"/>
  <c r="J187" i="8" s="1"/>
  <c r="N187" i="2"/>
  <c r="K187" i="8" s="1"/>
  <c r="O187" i="2"/>
  <c r="L188" i="2"/>
  <c r="I188" i="8" s="1"/>
  <c r="M188" i="2"/>
  <c r="J188" i="8" s="1"/>
  <c r="N188" i="2"/>
  <c r="K188" i="8" s="1"/>
  <c r="O188" i="2"/>
  <c r="L189" i="2"/>
  <c r="I189" i="8" s="1"/>
  <c r="M189" i="2"/>
  <c r="J189" i="8" s="1"/>
  <c r="N189" i="2"/>
  <c r="K189" i="8" s="1"/>
  <c r="O189" i="2"/>
  <c r="L190" i="2"/>
  <c r="I190" i="8" s="1"/>
  <c r="M190" i="2"/>
  <c r="J190" i="8" s="1"/>
  <c r="N190" i="2"/>
  <c r="K190" i="8" s="1"/>
  <c r="O190" i="2"/>
  <c r="L191" i="2"/>
  <c r="I191" i="8" s="1"/>
  <c r="M191" i="2"/>
  <c r="J191" i="8" s="1"/>
  <c r="N191" i="2"/>
  <c r="K191" i="8" s="1"/>
  <c r="O191" i="2"/>
  <c r="L192" i="2"/>
  <c r="I192" i="8" s="1"/>
  <c r="M192" i="2"/>
  <c r="J192" i="8" s="1"/>
  <c r="N192" i="2"/>
  <c r="K192" i="8" s="1"/>
  <c r="O192" i="2"/>
  <c r="L193" i="2"/>
  <c r="I193" i="8" s="1"/>
  <c r="M193" i="2"/>
  <c r="J193" i="8" s="1"/>
  <c r="N193" i="2"/>
  <c r="K193" i="8" s="1"/>
  <c r="O193" i="2"/>
  <c r="L194" i="2"/>
  <c r="I194" i="8" s="1"/>
  <c r="M194" i="2"/>
  <c r="J194" i="8" s="1"/>
  <c r="N194" i="2"/>
  <c r="K194" i="8" s="1"/>
  <c r="O194" i="2"/>
  <c r="L195" i="2"/>
  <c r="I195" i="8" s="1"/>
  <c r="M195" i="2"/>
  <c r="J195" i="8" s="1"/>
  <c r="N195" i="2"/>
  <c r="K195" i="8" s="1"/>
  <c r="O195" i="2"/>
  <c r="L196" i="2"/>
  <c r="I196" i="8" s="1"/>
  <c r="M196" i="2"/>
  <c r="J196" i="8" s="1"/>
  <c r="N196" i="2"/>
  <c r="K196" i="8" s="1"/>
  <c r="O196" i="2"/>
  <c r="L197" i="2"/>
  <c r="I197" i="8" s="1"/>
  <c r="M197" i="2"/>
  <c r="J197" i="8" s="1"/>
  <c r="N197" i="2"/>
  <c r="K197" i="8" s="1"/>
  <c r="O197" i="2"/>
  <c r="L198" i="2"/>
  <c r="I198" i="8" s="1"/>
  <c r="M198" i="2"/>
  <c r="J198" i="8" s="1"/>
  <c r="N198" i="2"/>
  <c r="K198" i="8" s="1"/>
  <c r="O198" i="2"/>
  <c r="L199" i="2"/>
  <c r="M199" i="2"/>
  <c r="N199" i="2"/>
  <c r="O199" i="2"/>
  <c r="L200" i="2"/>
  <c r="I200" i="8" s="1"/>
  <c r="M200" i="2"/>
  <c r="J200" i="8" s="1"/>
  <c r="N200" i="2"/>
  <c r="K200" i="8" s="1"/>
  <c r="O200" i="2"/>
  <c r="L201" i="2"/>
  <c r="M201" i="2"/>
  <c r="J201" i="8" s="1"/>
  <c r="N201" i="2"/>
  <c r="K201" i="8" s="1"/>
  <c r="O201" i="2"/>
  <c r="L202" i="2"/>
  <c r="I202" i="8" s="1"/>
  <c r="M202" i="2"/>
  <c r="J202" i="8" s="1"/>
  <c r="N202" i="2"/>
  <c r="K202" i="8" s="1"/>
  <c r="O202" i="2"/>
  <c r="L203" i="2"/>
  <c r="M203" i="2"/>
  <c r="J203" i="8" s="1"/>
  <c r="N203" i="2"/>
  <c r="K203" i="8" s="1"/>
  <c r="O203" i="2"/>
  <c r="L204" i="2"/>
  <c r="I204" i="8" s="1"/>
  <c r="M204" i="2"/>
  <c r="J204" i="8" s="1"/>
  <c r="N204" i="2"/>
  <c r="K204" i="8" s="1"/>
  <c r="O204" i="2"/>
  <c r="L205" i="2"/>
  <c r="I205" i="8" s="1"/>
  <c r="M205" i="2"/>
  <c r="J205" i="8" s="1"/>
  <c r="N205" i="2"/>
  <c r="K205" i="8" s="1"/>
  <c r="O205" i="2"/>
  <c r="L206" i="2"/>
  <c r="M206" i="2"/>
  <c r="N206" i="2"/>
  <c r="O206" i="2"/>
  <c r="L207" i="2"/>
  <c r="M207" i="2"/>
  <c r="J207" i="8" s="1"/>
  <c r="N207" i="2"/>
  <c r="K207" i="8" s="1"/>
  <c r="O207" i="2"/>
  <c r="L208" i="2"/>
  <c r="I208" i="8" s="1"/>
  <c r="M208" i="2"/>
  <c r="J208" i="8" s="1"/>
  <c r="N208" i="2"/>
  <c r="K208" i="8" s="1"/>
  <c r="O208" i="2"/>
  <c r="L209" i="2"/>
  <c r="M209" i="2"/>
  <c r="J209" i="8" s="1"/>
  <c r="N209" i="2"/>
  <c r="K209" i="8" s="1"/>
  <c r="O209" i="2"/>
  <c r="L210" i="2"/>
  <c r="I210" i="8" s="1"/>
  <c r="M210" i="2"/>
  <c r="J210" i="8" s="1"/>
  <c r="N210" i="2"/>
  <c r="K210" i="8" s="1"/>
  <c r="O210" i="2"/>
  <c r="L211" i="2"/>
  <c r="M211" i="2"/>
  <c r="J211" i="8" s="1"/>
  <c r="N211" i="2"/>
  <c r="K211" i="8" s="1"/>
  <c r="O211" i="2"/>
  <c r="L212" i="2"/>
  <c r="I212" i="8" s="1"/>
  <c r="M212" i="2"/>
  <c r="J212" i="8" s="1"/>
  <c r="N212" i="2"/>
  <c r="K212" i="8" s="1"/>
  <c r="O212" i="2"/>
  <c r="L213" i="2"/>
  <c r="M213" i="2"/>
  <c r="J213" i="8" s="1"/>
  <c r="N213" i="2"/>
  <c r="K213" i="8" s="1"/>
  <c r="O213" i="2"/>
  <c r="L214" i="2"/>
  <c r="I214" i="8" s="1"/>
  <c r="M214" i="2"/>
  <c r="J214" i="8" s="1"/>
  <c r="N214" i="2"/>
  <c r="K214" i="8" s="1"/>
  <c r="O214" i="2"/>
  <c r="L215" i="2"/>
  <c r="M215" i="2"/>
  <c r="J215" i="8" s="1"/>
  <c r="N215" i="2"/>
  <c r="K215" i="8" s="1"/>
  <c r="O215" i="2"/>
  <c r="L216" i="2"/>
  <c r="I216" i="8" s="1"/>
  <c r="M216" i="2"/>
  <c r="J216" i="8" s="1"/>
  <c r="N216" i="2"/>
  <c r="K216" i="8" s="1"/>
  <c r="O216" i="2"/>
  <c r="L217" i="2"/>
  <c r="M217" i="2"/>
  <c r="J217" i="8" s="1"/>
  <c r="N217" i="2"/>
  <c r="K217" i="8" s="1"/>
  <c r="O217" i="2"/>
  <c r="L218" i="2"/>
  <c r="I218" i="8" s="1"/>
  <c r="M218" i="2"/>
  <c r="J218" i="8" s="1"/>
  <c r="N218" i="2"/>
  <c r="K218" i="8" s="1"/>
  <c r="O218" i="2"/>
  <c r="L219" i="2"/>
  <c r="M219" i="2"/>
  <c r="J219" i="8" s="1"/>
  <c r="N219" i="2"/>
  <c r="K219" i="8" s="1"/>
  <c r="O219" i="2"/>
  <c r="L220" i="2"/>
  <c r="I220" i="8" s="1"/>
  <c r="M220" i="2"/>
  <c r="J220" i="8" s="1"/>
  <c r="N220" i="2"/>
  <c r="K220" i="8" s="1"/>
  <c r="O220" i="2"/>
  <c r="L221" i="2"/>
  <c r="M221" i="2"/>
  <c r="J221" i="8" s="1"/>
  <c r="N221" i="2"/>
  <c r="K221" i="8" s="1"/>
  <c r="O221" i="2"/>
  <c r="L222" i="2"/>
  <c r="I222" i="8" s="1"/>
  <c r="M222" i="2"/>
  <c r="J222" i="8" s="1"/>
  <c r="N222" i="2"/>
  <c r="K222" i="8" s="1"/>
  <c r="O222" i="2"/>
  <c r="L223" i="2"/>
  <c r="M223" i="2"/>
  <c r="J223" i="8" s="1"/>
  <c r="N223" i="2"/>
  <c r="K223" i="8" s="1"/>
  <c r="O223" i="2"/>
  <c r="L224" i="2"/>
  <c r="I224" i="8" s="1"/>
  <c r="M224" i="2"/>
  <c r="J224" i="8" s="1"/>
  <c r="N224" i="2"/>
  <c r="K224" i="8" s="1"/>
  <c r="O224" i="2"/>
  <c r="L225" i="2"/>
  <c r="M225" i="2"/>
  <c r="N225" i="2"/>
  <c r="O225" i="2"/>
  <c r="L226" i="2"/>
  <c r="I226" i="8" s="1"/>
  <c r="M226" i="2"/>
  <c r="J226" i="8" s="1"/>
  <c r="N226" i="2"/>
  <c r="K226" i="8" s="1"/>
  <c r="O226" i="2"/>
  <c r="L227" i="2"/>
  <c r="M227" i="2"/>
  <c r="J227" i="8" s="1"/>
  <c r="N227" i="2"/>
  <c r="K227" i="8" s="1"/>
  <c r="O227" i="2"/>
  <c r="L228" i="2"/>
  <c r="I228" i="8" s="1"/>
  <c r="M228" i="2"/>
  <c r="J228" i="8" s="1"/>
  <c r="N228" i="2"/>
  <c r="K228" i="8" s="1"/>
  <c r="O228" i="2"/>
  <c r="L229" i="2"/>
  <c r="M229" i="2"/>
  <c r="J229" i="8" s="1"/>
  <c r="N229" i="2"/>
  <c r="K229" i="8" s="1"/>
  <c r="O229" i="2"/>
  <c r="L230" i="2"/>
  <c r="I230" i="8" s="1"/>
  <c r="M230" i="2"/>
  <c r="J230" i="8" s="1"/>
  <c r="N230" i="2"/>
  <c r="K230" i="8" s="1"/>
  <c r="O230" i="2"/>
  <c r="L231" i="2"/>
  <c r="M231" i="2"/>
  <c r="J231" i="8" s="1"/>
  <c r="N231" i="2"/>
  <c r="K231" i="8" s="1"/>
  <c r="O231" i="2"/>
  <c r="L232" i="2"/>
  <c r="M232" i="2"/>
  <c r="N232" i="2"/>
  <c r="O232" i="2"/>
  <c r="L233" i="2"/>
  <c r="M233" i="2"/>
  <c r="J233" i="8" s="1"/>
  <c r="N233" i="2"/>
  <c r="K233" i="8" s="1"/>
  <c r="O233" i="2"/>
  <c r="L234" i="2"/>
  <c r="I234" i="8" s="1"/>
  <c r="M234" i="2"/>
  <c r="J234" i="8" s="1"/>
  <c r="N234" i="2"/>
  <c r="K234" i="8" s="1"/>
  <c r="O234" i="2"/>
  <c r="L235" i="2"/>
  <c r="M235" i="2"/>
  <c r="J235" i="8" s="1"/>
  <c r="N235" i="2"/>
  <c r="K235" i="8" s="1"/>
  <c r="O235" i="2"/>
  <c r="L236" i="2"/>
  <c r="I236" i="8" s="1"/>
  <c r="M236" i="2"/>
  <c r="J236" i="8" s="1"/>
  <c r="N236" i="2"/>
  <c r="K236" i="8" s="1"/>
  <c r="O236" i="2"/>
  <c r="L237" i="2"/>
  <c r="M237" i="2"/>
  <c r="J237" i="8" s="1"/>
  <c r="N237" i="2"/>
  <c r="K237" i="8" s="1"/>
  <c r="O237" i="2"/>
  <c r="L238" i="2"/>
  <c r="I238" i="8" s="1"/>
  <c r="M238" i="2"/>
  <c r="J238" i="8" s="1"/>
  <c r="N238" i="2"/>
  <c r="K238" i="8" s="1"/>
  <c r="O238" i="2"/>
  <c r="L239" i="2"/>
  <c r="M239" i="2"/>
  <c r="J239" i="8" s="1"/>
  <c r="N239" i="2"/>
  <c r="K239" i="8" s="1"/>
  <c r="O239" i="2"/>
  <c r="L240" i="2"/>
  <c r="I240" i="8" s="1"/>
  <c r="M240" i="2"/>
  <c r="J240" i="8" s="1"/>
  <c r="N240" i="2"/>
  <c r="K240" i="8" s="1"/>
  <c r="O240" i="2"/>
  <c r="L241" i="2"/>
  <c r="M241" i="2"/>
  <c r="J241" i="8" s="1"/>
  <c r="N241" i="2"/>
  <c r="K241" i="8" s="1"/>
  <c r="O241" i="2"/>
  <c r="L242" i="2"/>
  <c r="I242" i="8" s="1"/>
  <c r="M242" i="2"/>
  <c r="J242" i="8" s="1"/>
  <c r="N242" i="2"/>
  <c r="K242" i="8" s="1"/>
  <c r="O242" i="2"/>
  <c r="L243" i="2"/>
  <c r="M243" i="2"/>
  <c r="J243" i="8" s="1"/>
  <c r="N243" i="2"/>
  <c r="K243" i="8" s="1"/>
  <c r="O243" i="2"/>
  <c r="L244" i="2"/>
  <c r="I244" i="8" s="1"/>
  <c r="M244" i="2"/>
  <c r="J244" i="8" s="1"/>
  <c r="N244" i="2"/>
  <c r="K244" i="8" s="1"/>
  <c r="O244" i="2"/>
  <c r="L245" i="2"/>
  <c r="M245" i="2"/>
  <c r="J245" i="8" s="1"/>
  <c r="N245" i="2"/>
  <c r="K245" i="8" s="1"/>
  <c r="O245" i="2"/>
  <c r="L246" i="2"/>
  <c r="I246" i="8" s="1"/>
  <c r="M246" i="2"/>
  <c r="J246" i="8" s="1"/>
  <c r="N246" i="2"/>
  <c r="K246" i="8" s="1"/>
  <c r="O246" i="2"/>
  <c r="L247" i="2"/>
  <c r="M247" i="2"/>
  <c r="J247" i="8" s="1"/>
  <c r="N247" i="2"/>
  <c r="K247" i="8" s="1"/>
  <c r="O247" i="2"/>
  <c r="L248" i="2"/>
  <c r="I248" i="8" s="1"/>
  <c r="M248" i="2"/>
  <c r="J248" i="8" s="1"/>
  <c r="N248" i="2"/>
  <c r="K248" i="8" s="1"/>
  <c r="O248" i="2"/>
  <c r="L249" i="2"/>
  <c r="M249" i="2"/>
  <c r="J249" i="8" s="1"/>
  <c r="N249" i="2"/>
  <c r="K249" i="8" s="1"/>
  <c r="O249" i="2"/>
  <c r="L250" i="2"/>
  <c r="I250" i="8" s="1"/>
  <c r="M250" i="2"/>
  <c r="J250" i="8" s="1"/>
  <c r="N250" i="2"/>
  <c r="K250" i="8" s="1"/>
  <c r="O250" i="2"/>
  <c r="L251" i="2"/>
  <c r="M251" i="2"/>
  <c r="J251" i="8" s="1"/>
  <c r="N251" i="2"/>
  <c r="K251" i="8" s="1"/>
  <c r="O251" i="2"/>
  <c r="L252" i="2"/>
  <c r="I252" i="8" s="1"/>
  <c r="M252" i="2"/>
  <c r="J252" i="8" s="1"/>
  <c r="N252" i="2"/>
  <c r="K252" i="8" s="1"/>
  <c r="O252" i="2"/>
  <c r="L253" i="2"/>
  <c r="M253" i="2"/>
  <c r="J253" i="8" s="1"/>
  <c r="N253" i="2"/>
  <c r="K253" i="8" s="1"/>
  <c r="O253" i="2"/>
  <c r="L254" i="2"/>
  <c r="I254" i="8" s="1"/>
  <c r="M254" i="2"/>
  <c r="J254" i="8" s="1"/>
  <c r="N254" i="2"/>
  <c r="K254" i="8" s="1"/>
  <c r="O254" i="2"/>
  <c r="L255" i="2"/>
  <c r="M255" i="2"/>
  <c r="J255" i="8" s="1"/>
  <c r="N255" i="2"/>
  <c r="K255" i="8" s="1"/>
  <c r="O255" i="2"/>
  <c r="L256" i="2"/>
  <c r="I256" i="8" s="1"/>
  <c r="M256" i="2"/>
  <c r="J256" i="8" s="1"/>
  <c r="N256" i="2"/>
  <c r="K256" i="8" s="1"/>
  <c r="O256" i="2"/>
  <c r="L257" i="2"/>
  <c r="M257" i="2"/>
  <c r="J257" i="8" s="1"/>
  <c r="N257" i="2"/>
  <c r="K257" i="8" s="1"/>
  <c r="O257" i="2"/>
  <c r="L258" i="2"/>
  <c r="I258" i="8" s="1"/>
  <c r="M258" i="2"/>
  <c r="J258" i="8" s="1"/>
  <c r="N258" i="2"/>
  <c r="K258" i="8" s="1"/>
  <c r="O258" i="2"/>
  <c r="L259" i="2"/>
  <c r="M259" i="2"/>
  <c r="J259" i="8" s="1"/>
  <c r="N259" i="2"/>
  <c r="K259" i="8" s="1"/>
  <c r="O259" i="2"/>
  <c r="L260" i="2"/>
  <c r="I260" i="8" s="1"/>
  <c r="M260" i="2"/>
  <c r="J260" i="8" s="1"/>
  <c r="N260" i="2"/>
  <c r="K260" i="8" s="1"/>
  <c r="O260" i="2"/>
  <c r="L261" i="2"/>
  <c r="M261" i="2"/>
  <c r="J261" i="8" s="1"/>
  <c r="N261" i="2"/>
  <c r="K261" i="8" s="1"/>
  <c r="O261" i="2"/>
  <c r="L262" i="2"/>
  <c r="I262" i="8" s="1"/>
  <c r="M262" i="2"/>
  <c r="J262" i="8" s="1"/>
  <c r="N262" i="2"/>
  <c r="K262" i="8" s="1"/>
  <c r="O262" i="2"/>
  <c r="L263" i="2"/>
  <c r="M263" i="2"/>
  <c r="J263" i="8" s="1"/>
  <c r="N263" i="2"/>
  <c r="K263" i="8" s="1"/>
  <c r="O263" i="2"/>
  <c r="L264" i="2"/>
  <c r="I264" i="8" s="1"/>
  <c r="M264" i="2"/>
  <c r="J264" i="8" s="1"/>
  <c r="N264" i="2"/>
  <c r="K264" i="8" s="1"/>
  <c r="O264" i="2"/>
  <c r="L265" i="2"/>
  <c r="M265" i="2"/>
  <c r="J265" i="8" s="1"/>
  <c r="N265" i="2"/>
  <c r="K265" i="8" s="1"/>
  <c r="O265" i="2"/>
  <c r="L266" i="2"/>
  <c r="M266" i="2"/>
  <c r="N266" i="2"/>
  <c r="O266" i="2"/>
  <c r="L267" i="2"/>
  <c r="M267" i="2"/>
  <c r="J267" i="8" s="1"/>
  <c r="N267" i="2"/>
  <c r="K267" i="8" s="1"/>
  <c r="O267" i="2"/>
  <c r="L268" i="2"/>
  <c r="I268" i="8" s="1"/>
  <c r="M268" i="2"/>
  <c r="J268" i="8" s="1"/>
  <c r="N268" i="2"/>
  <c r="K268" i="8" s="1"/>
  <c r="O268" i="2"/>
  <c r="L269" i="2"/>
  <c r="M269" i="2"/>
  <c r="J269" i="8" s="1"/>
  <c r="N269" i="2"/>
  <c r="K269" i="8" s="1"/>
  <c r="O269" i="2"/>
  <c r="L270" i="2"/>
  <c r="I270" i="8" s="1"/>
  <c r="M270" i="2"/>
  <c r="J270" i="8" s="1"/>
  <c r="N270" i="2"/>
  <c r="K270" i="8" s="1"/>
  <c r="O270" i="2"/>
  <c r="L271" i="2"/>
  <c r="M271" i="2"/>
  <c r="J271" i="8" s="1"/>
  <c r="N271" i="2"/>
  <c r="K271" i="8" s="1"/>
  <c r="O271" i="2"/>
  <c r="L272" i="2"/>
  <c r="I272" i="8" s="1"/>
  <c r="M272" i="2"/>
  <c r="J272" i="8" s="1"/>
  <c r="N272" i="2"/>
  <c r="K272" i="8" s="1"/>
  <c r="O272" i="2"/>
  <c r="L273" i="2"/>
  <c r="M273" i="2"/>
  <c r="J273" i="8" s="1"/>
  <c r="N273" i="2"/>
  <c r="K273" i="8" s="1"/>
  <c r="O273" i="2"/>
  <c r="L274" i="2"/>
  <c r="I274" i="8" s="1"/>
  <c r="M274" i="2"/>
  <c r="J274" i="8" s="1"/>
  <c r="N274" i="2"/>
  <c r="K274" i="8" s="1"/>
  <c r="O274" i="2"/>
  <c r="L275" i="2"/>
  <c r="M275" i="2"/>
  <c r="J275" i="8" s="1"/>
  <c r="N275" i="2"/>
  <c r="K275" i="8" s="1"/>
  <c r="O275" i="2"/>
  <c r="L276" i="2"/>
  <c r="I276" i="8" s="1"/>
  <c r="M276" i="2"/>
  <c r="J276" i="8" s="1"/>
  <c r="N276" i="2"/>
  <c r="K276" i="8" s="1"/>
  <c r="O276" i="2"/>
  <c r="L277" i="2"/>
  <c r="M277" i="2"/>
  <c r="J277" i="8" s="1"/>
  <c r="N277" i="2"/>
  <c r="K277" i="8" s="1"/>
  <c r="O277" i="2"/>
  <c r="L278" i="2"/>
  <c r="I278" i="8" s="1"/>
  <c r="M278" i="2"/>
  <c r="J278" i="8" s="1"/>
  <c r="N278" i="2"/>
  <c r="K278" i="8" s="1"/>
  <c r="O278" i="2"/>
  <c r="L279" i="2"/>
  <c r="M279" i="2"/>
  <c r="J279" i="8" s="1"/>
  <c r="N279" i="2"/>
  <c r="K279" i="8" s="1"/>
  <c r="O279" i="2"/>
  <c r="L280" i="2"/>
  <c r="I280" i="8" s="1"/>
  <c r="M280" i="2"/>
  <c r="J280" i="8" s="1"/>
  <c r="N280" i="2"/>
  <c r="K280" i="8" s="1"/>
  <c r="O280" i="2"/>
  <c r="L281" i="2"/>
  <c r="M281" i="2"/>
  <c r="J281" i="8" s="1"/>
  <c r="N281" i="2"/>
  <c r="K281" i="8" s="1"/>
  <c r="O281" i="2"/>
  <c r="L282" i="2"/>
  <c r="I282" i="8" s="1"/>
  <c r="M282" i="2"/>
  <c r="J282" i="8" s="1"/>
  <c r="N282" i="2"/>
  <c r="K282" i="8" s="1"/>
  <c r="O282" i="2"/>
  <c r="L283" i="2"/>
  <c r="M283" i="2"/>
  <c r="J283" i="8" s="1"/>
  <c r="N283" i="2"/>
  <c r="K283" i="8" s="1"/>
  <c r="O283" i="2"/>
  <c r="L284" i="2"/>
  <c r="M284" i="2"/>
  <c r="N284" i="2"/>
  <c r="O284" i="2"/>
  <c r="L285" i="2"/>
  <c r="M285" i="2"/>
  <c r="J285" i="8" s="1"/>
  <c r="N285" i="2"/>
  <c r="K285" i="8" s="1"/>
  <c r="O285" i="2"/>
  <c r="L286" i="2"/>
  <c r="I286" i="8" s="1"/>
  <c r="M286" i="2"/>
  <c r="J286" i="8" s="1"/>
  <c r="N286" i="2"/>
  <c r="K286" i="8" s="1"/>
  <c r="O286" i="2"/>
  <c r="L287" i="2"/>
  <c r="M287" i="2"/>
  <c r="J287" i="8" s="1"/>
  <c r="N287" i="2"/>
  <c r="K287" i="8" s="1"/>
  <c r="O287" i="2"/>
  <c r="L288" i="2"/>
  <c r="I288" i="8" s="1"/>
  <c r="M288" i="2"/>
  <c r="J288" i="8" s="1"/>
  <c r="N288" i="2"/>
  <c r="K288" i="8" s="1"/>
  <c r="O288" i="2"/>
  <c r="L289" i="2"/>
  <c r="M289" i="2"/>
  <c r="N289" i="2"/>
  <c r="O289" i="2"/>
  <c r="L290" i="2"/>
  <c r="I290" i="8" s="1"/>
  <c r="M290" i="2"/>
  <c r="J290" i="8" s="1"/>
  <c r="N290" i="2"/>
  <c r="K290" i="8" s="1"/>
  <c r="O290" i="2"/>
  <c r="L291" i="2"/>
  <c r="M291" i="2"/>
  <c r="J291" i="8" s="1"/>
  <c r="N291" i="2"/>
  <c r="K291" i="8" s="1"/>
  <c r="O291" i="2"/>
  <c r="L292" i="2"/>
  <c r="I292" i="8" s="1"/>
  <c r="M292" i="2"/>
  <c r="J292" i="8" s="1"/>
  <c r="N292" i="2"/>
  <c r="K292" i="8" s="1"/>
  <c r="O292" i="2"/>
  <c r="L293" i="2"/>
  <c r="M293" i="2"/>
  <c r="J293" i="8" s="1"/>
  <c r="N293" i="2"/>
  <c r="K293" i="8" s="1"/>
  <c r="O293" i="2"/>
  <c r="L294" i="2"/>
  <c r="I294" i="8" s="1"/>
  <c r="M294" i="2"/>
  <c r="J294" i="8" s="1"/>
  <c r="N294" i="2"/>
  <c r="K294" i="8" s="1"/>
  <c r="O294" i="2"/>
  <c r="L295" i="2"/>
  <c r="M295" i="2"/>
  <c r="J295" i="8" s="1"/>
  <c r="N295" i="2"/>
  <c r="K295" i="8" s="1"/>
  <c r="O295" i="2"/>
  <c r="L296" i="2"/>
  <c r="M296" i="2"/>
  <c r="N296" i="2"/>
  <c r="O296" i="2"/>
  <c r="L297" i="2"/>
  <c r="M297" i="2"/>
  <c r="J297" i="8" s="1"/>
  <c r="N297" i="2"/>
  <c r="K297" i="8" s="1"/>
  <c r="O297" i="2"/>
  <c r="L298" i="2"/>
  <c r="I298" i="8" s="1"/>
  <c r="M298" i="2"/>
  <c r="J298" i="8" s="1"/>
  <c r="N298" i="2"/>
  <c r="K298" i="8" s="1"/>
  <c r="O298" i="2"/>
  <c r="L299" i="2"/>
  <c r="M299" i="2"/>
  <c r="J299" i="8" s="1"/>
  <c r="N299" i="2"/>
  <c r="K299" i="8" s="1"/>
  <c r="O299" i="2"/>
  <c r="L300" i="2"/>
  <c r="I300" i="8" s="1"/>
  <c r="M300" i="2"/>
  <c r="J300" i="8" s="1"/>
  <c r="N300" i="2"/>
  <c r="K300" i="8" s="1"/>
  <c r="O300" i="2"/>
  <c r="L301" i="2"/>
  <c r="M301" i="2"/>
  <c r="J301" i="8" s="1"/>
  <c r="N301" i="2"/>
  <c r="K301" i="8" s="1"/>
  <c r="O301" i="2"/>
  <c r="L302" i="2"/>
  <c r="I302" i="8" s="1"/>
  <c r="M302" i="2"/>
  <c r="J302" i="8" s="1"/>
  <c r="N302" i="2"/>
  <c r="K302" i="8" s="1"/>
  <c r="O302" i="2"/>
  <c r="L303" i="2"/>
  <c r="M303" i="2"/>
  <c r="J303" i="8" s="1"/>
  <c r="N303" i="2"/>
  <c r="K303" i="8" s="1"/>
  <c r="O303" i="2"/>
  <c r="L304" i="2"/>
  <c r="I304" i="8" s="1"/>
  <c r="M304" i="2"/>
  <c r="J304" i="8" s="1"/>
  <c r="N304" i="2"/>
  <c r="K304" i="8" s="1"/>
  <c r="O304" i="2"/>
  <c r="L305" i="2"/>
  <c r="M305" i="2"/>
  <c r="J305" i="8" s="1"/>
  <c r="N305" i="2"/>
  <c r="K305" i="8" s="1"/>
  <c r="O305" i="2"/>
  <c r="L306" i="2"/>
  <c r="I306" i="8" s="1"/>
  <c r="M306" i="2"/>
  <c r="J306" i="8" s="1"/>
  <c r="N306" i="2"/>
  <c r="K306" i="8" s="1"/>
  <c r="O306" i="2"/>
  <c r="L307" i="2"/>
  <c r="M307" i="2"/>
  <c r="J307" i="8" s="1"/>
  <c r="N307" i="2"/>
  <c r="K307" i="8" s="1"/>
  <c r="O307" i="2"/>
  <c r="L308" i="2"/>
  <c r="I308" i="8" s="1"/>
  <c r="M308" i="2"/>
  <c r="J308" i="8" s="1"/>
  <c r="N308" i="2"/>
  <c r="K308" i="8" s="1"/>
  <c r="O308" i="2"/>
  <c r="L309" i="2"/>
  <c r="M309" i="2"/>
  <c r="J309" i="8" s="1"/>
  <c r="N309" i="2"/>
  <c r="K309" i="8" s="1"/>
  <c r="O309" i="2"/>
  <c r="L310" i="2"/>
  <c r="I310" i="8" s="1"/>
  <c r="M310" i="2"/>
  <c r="N310" i="2"/>
  <c r="K310" i="8" s="1"/>
  <c r="O310" i="2"/>
  <c r="L311" i="2"/>
  <c r="M311" i="2"/>
  <c r="J311" i="8" s="1"/>
  <c r="N311" i="2"/>
  <c r="K311" i="8" s="1"/>
  <c r="O311" i="2"/>
  <c r="L312" i="2"/>
  <c r="I312" i="8" s="1"/>
  <c r="M312" i="2"/>
  <c r="J312" i="8" s="1"/>
  <c r="N312" i="2"/>
  <c r="K312" i="8" s="1"/>
  <c r="O312" i="2"/>
  <c r="L313" i="2"/>
  <c r="M313" i="2"/>
  <c r="J313" i="8" s="1"/>
  <c r="N313" i="2"/>
  <c r="K313" i="8" s="1"/>
  <c r="O313" i="2"/>
  <c r="L314" i="2"/>
  <c r="I314" i="8" s="1"/>
  <c r="M314" i="2"/>
  <c r="J314" i="8" s="1"/>
  <c r="N314" i="2"/>
  <c r="K314" i="8" s="1"/>
  <c r="O314" i="2"/>
  <c r="L315" i="2"/>
  <c r="M315" i="2"/>
  <c r="N315" i="2"/>
  <c r="O315" i="2"/>
  <c r="L316" i="2"/>
  <c r="I316" i="8" s="1"/>
  <c r="M316" i="2"/>
  <c r="J316" i="8" s="1"/>
  <c r="N316" i="2"/>
  <c r="K316" i="8" s="1"/>
  <c r="O316" i="2"/>
  <c r="L317" i="2"/>
  <c r="M317" i="2"/>
  <c r="J317" i="8" s="1"/>
  <c r="N317" i="2"/>
  <c r="K317" i="8" s="1"/>
  <c r="O317" i="2"/>
  <c r="L318" i="2"/>
  <c r="I318" i="8" s="1"/>
  <c r="M318" i="2"/>
  <c r="J318" i="8" s="1"/>
  <c r="N318" i="2"/>
  <c r="K318" i="8" s="1"/>
  <c r="O318" i="2"/>
  <c r="L319" i="2"/>
  <c r="M319" i="2"/>
  <c r="J319" i="8" s="1"/>
  <c r="N319" i="2"/>
  <c r="K319" i="8" s="1"/>
  <c r="O319" i="2"/>
  <c r="L320" i="2"/>
  <c r="I320" i="8" s="1"/>
  <c r="M320" i="2"/>
  <c r="J320" i="8" s="1"/>
  <c r="N320" i="2"/>
  <c r="K320" i="8" s="1"/>
  <c r="O320" i="2"/>
  <c r="L321" i="2"/>
  <c r="M321" i="2"/>
  <c r="J321" i="8" s="1"/>
  <c r="N321" i="2"/>
  <c r="K321" i="8" s="1"/>
  <c r="O321" i="2"/>
  <c r="L322" i="2"/>
  <c r="I322" i="8" s="1"/>
  <c r="M322" i="2"/>
  <c r="J322" i="8" s="1"/>
  <c r="N322" i="2"/>
  <c r="K322" i="8" s="1"/>
  <c r="O322" i="2"/>
  <c r="L323" i="2"/>
  <c r="M323" i="2"/>
  <c r="N323" i="2"/>
  <c r="O323" i="2"/>
  <c r="L324" i="2"/>
  <c r="I324" i="8" s="1"/>
  <c r="M324" i="2"/>
  <c r="J324" i="8" s="1"/>
  <c r="N324" i="2"/>
  <c r="K324" i="8" s="1"/>
  <c r="O324" i="2"/>
  <c r="L325" i="2"/>
  <c r="M325" i="2"/>
  <c r="J325" i="8" s="1"/>
  <c r="N325" i="2"/>
  <c r="K325" i="8" s="1"/>
  <c r="O325" i="2"/>
  <c r="L326" i="2"/>
  <c r="I326" i="8" s="1"/>
  <c r="M326" i="2"/>
  <c r="J326" i="8" s="1"/>
  <c r="N326" i="2"/>
  <c r="K326" i="8" s="1"/>
  <c r="O326" i="2"/>
  <c r="L327" i="2"/>
  <c r="M327" i="2"/>
  <c r="J327" i="8" s="1"/>
  <c r="N327" i="2"/>
  <c r="K327" i="8" s="1"/>
  <c r="O327" i="2"/>
  <c r="L328" i="2"/>
  <c r="I328" i="8" s="1"/>
  <c r="M328" i="2"/>
  <c r="J328" i="8" s="1"/>
  <c r="N328" i="2"/>
  <c r="K328" i="8" s="1"/>
  <c r="O328" i="2"/>
  <c r="L329" i="2"/>
  <c r="M329" i="2"/>
  <c r="J329" i="8" s="1"/>
  <c r="N329" i="2"/>
  <c r="K329" i="8" s="1"/>
  <c r="O329" i="2"/>
  <c r="L330" i="2"/>
  <c r="M330" i="2"/>
  <c r="N330" i="2"/>
  <c r="O330" i="2"/>
  <c r="L331" i="2"/>
  <c r="M331" i="2"/>
  <c r="J331" i="8" s="1"/>
  <c r="N331" i="2"/>
  <c r="K331" i="8" s="1"/>
  <c r="O331" i="2"/>
  <c r="L332" i="2"/>
  <c r="I332" i="8" s="1"/>
  <c r="M332" i="2"/>
  <c r="J332" i="8" s="1"/>
  <c r="N332" i="2"/>
  <c r="K332" i="8" s="1"/>
  <c r="O332" i="2"/>
  <c r="L333" i="2"/>
  <c r="M333" i="2"/>
  <c r="J333" i="8" s="1"/>
  <c r="N333" i="2"/>
  <c r="K333" i="8" s="1"/>
  <c r="O333" i="2"/>
  <c r="L334" i="2"/>
  <c r="I334" i="8" s="1"/>
  <c r="M334" i="2"/>
  <c r="J334" i="8" s="1"/>
  <c r="N334" i="2"/>
  <c r="K334" i="8" s="1"/>
  <c r="O334" i="2"/>
  <c r="L335" i="2"/>
  <c r="M335" i="2"/>
  <c r="J335" i="8" s="1"/>
  <c r="N335" i="2"/>
  <c r="K335" i="8" s="1"/>
  <c r="O335" i="2"/>
  <c r="L336" i="2"/>
  <c r="I336" i="8" s="1"/>
  <c r="M336" i="2"/>
  <c r="J336" i="8" s="1"/>
  <c r="N336" i="2"/>
  <c r="K336" i="8" s="1"/>
  <c r="O336" i="2"/>
  <c r="L337" i="2"/>
  <c r="M337" i="2"/>
  <c r="N337" i="2"/>
  <c r="O337" i="2"/>
  <c r="L338" i="2"/>
  <c r="I338" i="8" s="1"/>
  <c r="M338" i="2"/>
  <c r="J338" i="8" s="1"/>
  <c r="N338" i="2"/>
  <c r="K338" i="8" s="1"/>
  <c r="O338" i="2"/>
  <c r="L339" i="2"/>
  <c r="M339" i="2"/>
  <c r="J339" i="8" s="1"/>
  <c r="N339" i="2"/>
  <c r="K339" i="8" s="1"/>
  <c r="O339" i="2"/>
  <c r="L340" i="2"/>
  <c r="I340" i="8" s="1"/>
  <c r="M340" i="2"/>
  <c r="J340" i="8" s="1"/>
  <c r="N340" i="2"/>
  <c r="K340" i="8" s="1"/>
  <c r="O340" i="2"/>
  <c r="L341" i="2"/>
  <c r="M341" i="2"/>
  <c r="J341" i="8" s="1"/>
  <c r="N341" i="2"/>
  <c r="K341" i="8" s="1"/>
  <c r="O341" i="2"/>
  <c r="L342" i="2"/>
  <c r="I342" i="8" s="1"/>
  <c r="M342" i="2"/>
  <c r="J342" i="8" s="1"/>
  <c r="N342" i="2"/>
  <c r="K342" i="8" s="1"/>
  <c r="O342" i="2"/>
  <c r="L343" i="2"/>
  <c r="M343" i="2"/>
  <c r="J343" i="8" s="1"/>
  <c r="N343" i="2"/>
  <c r="K343" i="8" s="1"/>
  <c r="O343" i="2"/>
  <c r="L344" i="2"/>
  <c r="I344" i="8" s="1"/>
  <c r="M344" i="2"/>
  <c r="J344" i="8" s="1"/>
  <c r="N344" i="2"/>
  <c r="K344" i="8" s="1"/>
  <c r="O344" i="2"/>
  <c r="L345" i="2"/>
  <c r="M345" i="2"/>
  <c r="J345" i="8" s="1"/>
  <c r="N345" i="2"/>
  <c r="K345" i="8" s="1"/>
  <c r="O345" i="2"/>
  <c r="L346" i="2"/>
  <c r="I346" i="8" s="1"/>
  <c r="M346" i="2"/>
  <c r="J346" i="8" s="1"/>
  <c r="N346" i="2"/>
  <c r="K346" i="8" s="1"/>
  <c r="O346" i="2"/>
  <c r="L347" i="2"/>
  <c r="M347" i="2"/>
  <c r="J347" i="8" s="1"/>
  <c r="N347" i="2"/>
  <c r="K347" i="8" s="1"/>
  <c r="O347" i="2"/>
  <c r="L348" i="2"/>
  <c r="I348" i="8" s="1"/>
  <c r="M348" i="2"/>
  <c r="J348" i="8" s="1"/>
  <c r="N348" i="2"/>
  <c r="K348" i="8" s="1"/>
  <c r="O348" i="2"/>
  <c r="L349" i="2"/>
  <c r="M349" i="2"/>
  <c r="J349" i="8" s="1"/>
  <c r="N349" i="2"/>
  <c r="K349" i="8" s="1"/>
  <c r="O349" i="2"/>
  <c r="L350" i="2"/>
  <c r="I350" i="8" s="1"/>
  <c r="M350" i="2"/>
  <c r="J350" i="8" s="1"/>
  <c r="N350" i="2"/>
  <c r="K350" i="8" s="1"/>
  <c r="O350" i="2"/>
  <c r="L351" i="2"/>
  <c r="M351" i="2"/>
  <c r="J351" i="8" s="1"/>
  <c r="N351" i="2"/>
  <c r="K351" i="8" s="1"/>
  <c r="O351" i="2"/>
  <c r="L352" i="2"/>
  <c r="I352" i="8" s="1"/>
  <c r="M352" i="2"/>
  <c r="J352" i="8" s="1"/>
  <c r="N352" i="2"/>
  <c r="K352" i="8" s="1"/>
  <c r="O352" i="2"/>
  <c r="L353" i="2"/>
  <c r="M353" i="2"/>
  <c r="J353" i="8" s="1"/>
  <c r="N353" i="2"/>
  <c r="K353" i="8" s="1"/>
  <c r="O353" i="2"/>
  <c r="L354" i="2"/>
  <c r="I354" i="8" s="1"/>
  <c r="M354" i="2"/>
  <c r="J354" i="8" s="1"/>
  <c r="N354" i="2"/>
  <c r="K354" i="8" s="1"/>
  <c r="O354" i="2"/>
  <c r="L355" i="2"/>
  <c r="M355" i="2"/>
  <c r="J355" i="8" s="1"/>
  <c r="N355" i="2"/>
  <c r="K355" i="8" s="1"/>
  <c r="O355" i="2"/>
  <c r="L356" i="2"/>
  <c r="I356" i="8" s="1"/>
  <c r="M356" i="2"/>
  <c r="J356" i="8" s="1"/>
  <c r="N356" i="2"/>
  <c r="K356" i="8" s="1"/>
  <c r="O356" i="2"/>
  <c r="L357" i="2"/>
  <c r="M357" i="2"/>
  <c r="J357" i="8" s="1"/>
  <c r="N357" i="2"/>
  <c r="K357" i="8" s="1"/>
  <c r="O357" i="2"/>
  <c r="L358" i="2"/>
  <c r="K38" i="10" s="1"/>
  <c r="M358" i="2"/>
  <c r="I358" i="8" s="1"/>
  <c r="N358" i="2"/>
  <c r="O358" i="2"/>
  <c r="L359" i="2"/>
  <c r="M359" i="2"/>
  <c r="J359" i="8" s="1"/>
  <c r="N359" i="2"/>
  <c r="K359" i="8" s="1"/>
  <c r="O359" i="2"/>
  <c r="L360" i="2"/>
  <c r="I360" i="8" s="1"/>
  <c r="M360" i="2"/>
  <c r="J360" i="8" s="1"/>
  <c r="N360" i="2"/>
  <c r="K360" i="8" s="1"/>
  <c r="O360" i="2"/>
  <c r="L361" i="2"/>
  <c r="M361" i="2"/>
  <c r="J361" i="8" s="1"/>
  <c r="N361" i="2"/>
  <c r="K361" i="8" s="1"/>
  <c r="O361" i="2"/>
  <c r="L362" i="2"/>
  <c r="I362" i="8" s="1"/>
  <c r="M362" i="2"/>
  <c r="J362" i="8" s="1"/>
  <c r="N362" i="2"/>
  <c r="K362" i="8" s="1"/>
  <c r="O362" i="2"/>
  <c r="L363" i="2"/>
  <c r="M363" i="2"/>
  <c r="J363" i="8" s="1"/>
  <c r="N363" i="2"/>
  <c r="K363" i="8" s="1"/>
  <c r="O363" i="2"/>
  <c r="L364" i="2"/>
  <c r="I364" i="8" s="1"/>
  <c r="M364" i="2"/>
  <c r="J364" i="8" s="1"/>
  <c r="N364" i="2"/>
  <c r="K364" i="8" s="1"/>
  <c r="O364" i="2"/>
  <c r="L365" i="2"/>
  <c r="M365" i="2"/>
  <c r="J365" i="8" s="1"/>
  <c r="N365" i="2"/>
  <c r="K365" i="8" s="1"/>
  <c r="O365" i="2"/>
  <c r="L366" i="2"/>
  <c r="I366" i="8" s="1"/>
  <c r="M366" i="2"/>
  <c r="J366" i="8" s="1"/>
  <c r="N366" i="2"/>
  <c r="K366" i="8" s="1"/>
  <c r="O366" i="2"/>
  <c r="L367" i="2"/>
  <c r="M367" i="2"/>
  <c r="J367" i="8" s="1"/>
  <c r="N367" i="2"/>
  <c r="K367" i="8" s="1"/>
  <c r="O367" i="2"/>
  <c r="L368" i="2"/>
  <c r="I368" i="8" s="1"/>
  <c r="M368" i="2"/>
  <c r="J368" i="8" s="1"/>
  <c r="N368" i="2"/>
  <c r="K368" i="8" s="1"/>
  <c r="O368" i="2"/>
  <c r="L12" i="2"/>
  <c r="M12" i="2"/>
  <c r="N12" i="2"/>
  <c r="O12" i="2"/>
  <c r="L13" i="2"/>
  <c r="I13" i="8" s="1"/>
  <c r="M13" i="2"/>
  <c r="N13" i="2"/>
  <c r="K13" i="8" s="1"/>
  <c r="O13" i="2"/>
  <c r="L14" i="2"/>
  <c r="M14" i="2"/>
  <c r="J14" i="8" s="1"/>
  <c r="N14" i="2"/>
  <c r="K14" i="8" s="1"/>
  <c r="O14" i="2"/>
  <c r="L15" i="2"/>
  <c r="I15" i="8" s="1"/>
  <c r="M15" i="2"/>
  <c r="N15" i="2"/>
  <c r="K15" i="8" s="1"/>
  <c r="O15" i="2"/>
  <c r="L16" i="2"/>
  <c r="M16" i="2"/>
  <c r="J16" i="8" s="1"/>
  <c r="N16" i="2"/>
  <c r="K16" i="8" s="1"/>
  <c r="O16" i="2"/>
  <c r="L17" i="2"/>
  <c r="I17" i="8" s="1"/>
  <c r="M17" i="2"/>
  <c r="N17" i="2"/>
  <c r="K17" i="8" s="1"/>
  <c r="O17" i="2"/>
  <c r="L18" i="2"/>
  <c r="M18" i="2"/>
  <c r="J18" i="8" s="1"/>
  <c r="N18" i="2"/>
  <c r="K18" i="8" s="1"/>
  <c r="O18" i="2"/>
  <c r="L19" i="2"/>
  <c r="M19" i="2"/>
  <c r="N19" i="2"/>
  <c r="O19" i="2"/>
  <c r="L20" i="2"/>
  <c r="M20" i="2"/>
  <c r="J20" i="8" s="1"/>
  <c r="N20" i="2"/>
  <c r="K20" i="8" s="1"/>
  <c r="O20" i="2"/>
  <c r="L21" i="2"/>
  <c r="I21" i="8" s="1"/>
  <c r="M21" i="2"/>
  <c r="N21" i="2"/>
  <c r="K21" i="8" s="1"/>
  <c r="O21" i="2"/>
  <c r="L22" i="2"/>
  <c r="M22" i="2"/>
  <c r="J22" i="8" s="1"/>
  <c r="N22" i="2"/>
  <c r="K22" i="8" s="1"/>
  <c r="O22" i="2"/>
  <c r="L23" i="2"/>
  <c r="M23" i="2"/>
  <c r="N23" i="2"/>
  <c r="O23" i="2"/>
  <c r="L24" i="2"/>
  <c r="M24" i="2"/>
  <c r="N24" i="2"/>
  <c r="O24" i="2"/>
  <c r="L25" i="2"/>
  <c r="I25" i="8" s="1"/>
  <c r="M25" i="2"/>
  <c r="N25" i="2"/>
  <c r="K25" i="8" s="1"/>
  <c r="O25" i="2"/>
  <c r="L26" i="2"/>
  <c r="M26" i="2"/>
  <c r="J26" i="8" s="1"/>
  <c r="N26" i="2"/>
  <c r="K26" i="8" s="1"/>
  <c r="O26" i="2"/>
  <c r="L27" i="2"/>
  <c r="I27" i="8" s="1"/>
  <c r="M27" i="2"/>
  <c r="N27" i="2"/>
  <c r="K27" i="8" s="1"/>
  <c r="O27" i="2"/>
  <c r="L11" i="2"/>
  <c r="M11" i="2"/>
  <c r="J11" i="8" s="1"/>
  <c r="N11" i="2"/>
  <c r="K11" i="8" s="1"/>
  <c r="O11" i="2"/>
  <c r="M10" i="2"/>
  <c r="N10" i="2"/>
  <c r="O10" i="2"/>
  <c r="O369" i="2" s="1"/>
  <c r="L10" i="2"/>
  <c r="H10" i="2"/>
  <c r="P10" i="2"/>
  <c r="G4" i="2"/>
  <c r="D4" i="8" s="1"/>
  <c r="G5" i="2"/>
  <c r="D5" i="8" s="1"/>
  <c r="G6" i="2"/>
  <c r="D6" i="8" s="1"/>
  <c r="G7" i="2"/>
  <c r="D7" i="8" s="1"/>
  <c r="G8" i="2"/>
  <c r="D8" i="8" s="1"/>
  <c r="G9" i="2"/>
  <c r="D9" i="8" s="1"/>
  <c r="G10" i="2"/>
  <c r="G11" i="2"/>
  <c r="G12" i="2"/>
  <c r="G13" i="2"/>
  <c r="G14" i="2"/>
  <c r="G15" i="2"/>
  <c r="G16" i="2"/>
  <c r="G17" i="2"/>
  <c r="G18" i="2"/>
  <c r="G19" i="2"/>
  <c r="F4" i="10" s="1"/>
  <c r="G20" i="2"/>
  <c r="G21" i="2"/>
  <c r="G22" i="2"/>
  <c r="G23" i="2"/>
  <c r="F5" i="10" s="1"/>
  <c r="G24" i="2"/>
  <c r="F6" i="10" s="1"/>
  <c r="G25" i="2"/>
  <c r="G26" i="2"/>
  <c r="G27" i="2"/>
  <c r="G28" i="2"/>
  <c r="G29" i="2"/>
  <c r="G30" i="2"/>
  <c r="G31" i="2"/>
  <c r="F7" i="10" s="1"/>
  <c r="G32" i="2"/>
  <c r="G33" i="2"/>
  <c r="G34" i="2"/>
  <c r="G35" i="2"/>
  <c r="P42" i="2" s="1"/>
  <c r="G36" i="2"/>
  <c r="G37" i="2"/>
  <c r="G38" i="2"/>
  <c r="F8" i="10" s="1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F10" i="10" s="1"/>
  <c r="G60" i="2"/>
  <c r="G61" i="2"/>
  <c r="G62" i="2"/>
  <c r="G63" i="2"/>
  <c r="F12" i="10" s="1"/>
  <c r="G64" i="2"/>
  <c r="G65" i="2"/>
  <c r="G66" i="2"/>
  <c r="G67" i="2"/>
  <c r="G68" i="2"/>
  <c r="G69" i="2"/>
  <c r="G70" i="2"/>
  <c r="F13" i="10" s="1"/>
  <c r="G71" i="2"/>
  <c r="G72" i="2"/>
  <c r="G73" i="2"/>
  <c r="G74" i="2"/>
  <c r="G75" i="2"/>
  <c r="G76" i="2"/>
  <c r="G77" i="2"/>
  <c r="G78" i="2"/>
  <c r="G79" i="2"/>
  <c r="G80" i="2"/>
  <c r="F14" i="10" s="1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F17" i="10" s="1"/>
  <c r="G97" i="2"/>
  <c r="G98" i="2"/>
  <c r="G99" i="2"/>
  <c r="P106" i="2" s="1"/>
  <c r="G100" i="2"/>
  <c r="G101" i="2"/>
  <c r="G102" i="2"/>
  <c r="G103" i="2"/>
  <c r="F18" i="10" s="1"/>
  <c r="G104" i="2"/>
  <c r="F19" i="10" s="1"/>
  <c r="G105" i="2"/>
  <c r="G106" i="2"/>
  <c r="G107" i="2"/>
  <c r="G108" i="2"/>
  <c r="G109" i="2"/>
  <c r="G110" i="2"/>
  <c r="F21" i="10" s="1"/>
  <c r="G111" i="2"/>
  <c r="F22" i="10" s="1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P138" i="2" s="1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P170" i="2" s="1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P194" i="2" s="1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F27" i="10" s="1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P226" i="2" s="1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F29" i="10" s="1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P258" i="2" s="1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P290" i="2" s="1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F33" i="10" s="1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F35" i="10" s="1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P354" i="2" s="1"/>
  <c r="L354" i="8" s="1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I11" i="2"/>
  <c r="E11" i="8" s="1"/>
  <c r="J11" i="2"/>
  <c r="K11" i="2"/>
  <c r="I12" i="2"/>
  <c r="J12" i="2"/>
  <c r="K12" i="2"/>
  <c r="I13" i="2"/>
  <c r="J13" i="2"/>
  <c r="F13" i="8" s="1"/>
  <c r="K13" i="2"/>
  <c r="I14" i="2"/>
  <c r="J14" i="2"/>
  <c r="F14" i="8" s="1"/>
  <c r="K14" i="2"/>
  <c r="I15" i="2"/>
  <c r="E15" i="8" s="1"/>
  <c r="J15" i="2"/>
  <c r="K15" i="2"/>
  <c r="I16" i="2"/>
  <c r="E16" i="8" s="1"/>
  <c r="J16" i="2"/>
  <c r="K16" i="2"/>
  <c r="I17" i="2"/>
  <c r="J17" i="2"/>
  <c r="F17" i="8" s="1"/>
  <c r="K17" i="2"/>
  <c r="I18" i="2"/>
  <c r="J18" i="2"/>
  <c r="F18" i="8" s="1"/>
  <c r="K18" i="2"/>
  <c r="I19" i="2"/>
  <c r="J19" i="2"/>
  <c r="K19" i="2"/>
  <c r="I20" i="2"/>
  <c r="E20" i="8" s="1"/>
  <c r="J20" i="2"/>
  <c r="K20" i="2"/>
  <c r="I21" i="2"/>
  <c r="J21" i="2"/>
  <c r="F21" i="8" s="1"/>
  <c r="K21" i="2"/>
  <c r="I22" i="2"/>
  <c r="J22" i="2"/>
  <c r="F22" i="8" s="1"/>
  <c r="K22" i="2"/>
  <c r="I23" i="2"/>
  <c r="J23" i="2"/>
  <c r="K23" i="2"/>
  <c r="I24" i="2"/>
  <c r="J24" i="2"/>
  <c r="K24" i="2"/>
  <c r="I25" i="2"/>
  <c r="J25" i="2"/>
  <c r="F25" i="8" s="1"/>
  <c r="K25" i="2"/>
  <c r="I26" i="2"/>
  <c r="J26" i="2"/>
  <c r="F26" i="8" s="1"/>
  <c r="K26" i="2"/>
  <c r="I27" i="2"/>
  <c r="E27" i="8" s="1"/>
  <c r="J27" i="2"/>
  <c r="K27" i="2"/>
  <c r="I28" i="2"/>
  <c r="E28" i="8" s="1"/>
  <c r="J28" i="2"/>
  <c r="K28" i="2"/>
  <c r="I29" i="2"/>
  <c r="J29" i="2"/>
  <c r="F29" i="8" s="1"/>
  <c r="K29" i="2"/>
  <c r="I30" i="2"/>
  <c r="J30" i="2"/>
  <c r="F30" i="8" s="1"/>
  <c r="K30" i="2"/>
  <c r="I31" i="2"/>
  <c r="J31" i="2"/>
  <c r="K31" i="2"/>
  <c r="I32" i="2"/>
  <c r="E32" i="8" s="1"/>
  <c r="J32" i="2"/>
  <c r="K32" i="2"/>
  <c r="I33" i="2"/>
  <c r="J33" i="2"/>
  <c r="F33" i="8" s="1"/>
  <c r="K33" i="2"/>
  <c r="I34" i="2"/>
  <c r="J34" i="2"/>
  <c r="F34" i="8" s="1"/>
  <c r="K34" i="2"/>
  <c r="I35" i="2"/>
  <c r="E35" i="8" s="1"/>
  <c r="J35" i="2"/>
  <c r="K35" i="2"/>
  <c r="I36" i="2"/>
  <c r="E36" i="8" s="1"/>
  <c r="J36" i="2"/>
  <c r="K36" i="2"/>
  <c r="I37" i="2"/>
  <c r="J37" i="2"/>
  <c r="F37" i="8" s="1"/>
  <c r="K37" i="2"/>
  <c r="I38" i="2"/>
  <c r="J38" i="2"/>
  <c r="K38" i="2"/>
  <c r="I39" i="2"/>
  <c r="E39" i="8" s="1"/>
  <c r="J39" i="2"/>
  <c r="K39" i="2"/>
  <c r="I40" i="2"/>
  <c r="E40" i="8" s="1"/>
  <c r="J40" i="2"/>
  <c r="K40" i="2"/>
  <c r="I41" i="2"/>
  <c r="J41" i="2"/>
  <c r="F41" i="8" s="1"/>
  <c r="K41" i="2"/>
  <c r="I42" i="2"/>
  <c r="J42" i="2"/>
  <c r="F42" i="8" s="1"/>
  <c r="K42" i="2"/>
  <c r="I43" i="2"/>
  <c r="E43" i="8" s="1"/>
  <c r="J43" i="2"/>
  <c r="K43" i="2"/>
  <c r="I44" i="2"/>
  <c r="E44" i="8" s="1"/>
  <c r="J44" i="2"/>
  <c r="K44" i="2"/>
  <c r="I45" i="2"/>
  <c r="J45" i="2"/>
  <c r="F45" i="8" s="1"/>
  <c r="K45" i="2"/>
  <c r="I46" i="2"/>
  <c r="J46" i="2"/>
  <c r="F46" i="8" s="1"/>
  <c r="K46" i="2"/>
  <c r="I47" i="2"/>
  <c r="E47" i="8" s="1"/>
  <c r="J47" i="2"/>
  <c r="K47" i="2"/>
  <c r="I48" i="2"/>
  <c r="E48" i="8" s="1"/>
  <c r="J48" i="2"/>
  <c r="K48" i="2"/>
  <c r="I49" i="2"/>
  <c r="J49" i="2"/>
  <c r="F49" i="8" s="1"/>
  <c r="K49" i="2"/>
  <c r="I50" i="2"/>
  <c r="J50" i="2"/>
  <c r="F50" i="8" s="1"/>
  <c r="K50" i="2"/>
  <c r="I51" i="2"/>
  <c r="E51" i="8" s="1"/>
  <c r="J51" i="2"/>
  <c r="K51" i="2"/>
  <c r="I52" i="2"/>
  <c r="J52" i="2"/>
  <c r="K52" i="2"/>
  <c r="I53" i="2"/>
  <c r="J53" i="2"/>
  <c r="F53" i="8" s="1"/>
  <c r="K53" i="2"/>
  <c r="I54" i="2"/>
  <c r="J54" i="2"/>
  <c r="F54" i="8" s="1"/>
  <c r="K54" i="2"/>
  <c r="I55" i="2"/>
  <c r="E55" i="8" s="1"/>
  <c r="J55" i="2"/>
  <c r="K55" i="2"/>
  <c r="I56" i="2"/>
  <c r="E56" i="8" s="1"/>
  <c r="J56" i="2"/>
  <c r="K56" i="2"/>
  <c r="I57" i="2"/>
  <c r="J57" i="2"/>
  <c r="F57" i="8" s="1"/>
  <c r="K57" i="2"/>
  <c r="I58" i="2"/>
  <c r="J58" i="2"/>
  <c r="F58" i="8" s="1"/>
  <c r="K58" i="2"/>
  <c r="I59" i="2"/>
  <c r="J59" i="2"/>
  <c r="K59" i="2"/>
  <c r="I60" i="2"/>
  <c r="E60" i="8" s="1"/>
  <c r="J60" i="2"/>
  <c r="K60" i="2"/>
  <c r="I61" i="2"/>
  <c r="J61" i="2"/>
  <c r="K61" i="2"/>
  <c r="I62" i="2"/>
  <c r="J62" i="2"/>
  <c r="F62" i="8" s="1"/>
  <c r="K62" i="2"/>
  <c r="I63" i="2"/>
  <c r="J63" i="2"/>
  <c r="K63" i="2"/>
  <c r="I64" i="2"/>
  <c r="E64" i="8" s="1"/>
  <c r="J64" i="2"/>
  <c r="K64" i="2"/>
  <c r="I65" i="2"/>
  <c r="J65" i="2"/>
  <c r="F65" i="8" s="1"/>
  <c r="K65" i="2"/>
  <c r="I66" i="2"/>
  <c r="J66" i="2"/>
  <c r="F66" i="8" s="1"/>
  <c r="K66" i="2"/>
  <c r="I67" i="2"/>
  <c r="E67" i="8" s="1"/>
  <c r="J67" i="2"/>
  <c r="K67" i="2"/>
  <c r="I68" i="2"/>
  <c r="E68" i="8" s="1"/>
  <c r="J68" i="2"/>
  <c r="K68" i="2"/>
  <c r="I69" i="2"/>
  <c r="J69" i="2"/>
  <c r="F69" i="8" s="1"/>
  <c r="K69" i="2"/>
  <c r="I70" i="2"/>
  <c r="J70" i="2"/>
  <c r="K70" i="2"/>
  <c r="I71" i="2"/>
  <c r="E71" i="8" s="1"/>
  <c r="J71" i="2"/>
  <c r="K71" i="2"/>
  <c r="I72" i="2"/>
  <c r="E72" i="8" s="1"/>
  <c r="J72" i="2"/>
  <c r="K72" i="2"/>
  <c r="I73" i="2"/>
  <c r="J73" i="2"/>
  <c r="F73" i="8" s="1"/>
  <c r="K73" i="2"/>
  <c r="I74" i="2"/>
  <c r="J74" i="2"/>
  <c r="F74" i="8" s="1"/>
  <c r="K74" i="2"/>
  <c r="I75" i="2"/>
  <c r="E75" i="8" s="1"/>
  <c r="J75" i="2"/>
  <c r="K75" i="2"/>
  <c r="I76" i="2"/>
  <c r="E76" i="8" s="1"/>
  <c r="J76" i="2"/>
  <c r="K76" i="2"/>
  <c r="I77" i="2"/>
  <c r="J77" i="2"/>
  <c r="F77" i="8" s="1"/>
  <c r="K77" i="2"/>
  <c r="I78" i="2"/>
  <c r="J78" i="2"/>
  <c r="F78" i="8" s="1"/>
  <c r="K78" i="2"/>
  <c r="I79" i="2"/>
  <c r="E79" i="8" s="1"/>
  <c r="J79" i="2"/>
  <c r="K79" i="2"/>
  <c r="I80" i="2"/>
  <c r="J80" i="2"/>
  <c r="K80" i="2"/>
  <c r="I81" i="2"/>
  <c r="J81" i="2"/>
  <c r="F81" i="8" s="1"/>
  <c r="K81" i="2"/>
  <c r="I82" i="2"/>
  <c r="J82" i="2"/>
  <c r="F82" i="8" s="1"/>
  <c r="K82" i="2"/>
  <c r="I83" i="2"/>
  <c r="E83" i="8" s="1"/>
  <c r="J83" i="2"/>
  <c r="K83" i="2"/>
  <c r="I84" i="2"/>
  <c r="E84" i="8" s="1"/>
  <c r="J84" i="2"/>
  <c r="K84" i="2"/>
  <c r="I85" i="2"/>
  <c r="J85" i="2"/>
  <c r="K85" i="2"/>
  <c r="I86" i="2"/>
  <c r="J86" i="2"/>
  <c r="F86" i="8" s="1"/>
  <c r="K86" i="2"/>
  <c r="I87" i="2"/>
  <c r="J87" i="2"/>
  <c r="K87" i="2"/>
  <c r="I88" i="2"/>
  <c r="E88" i="8" s="1"/>
  <c r="J88" i="2"/>
  <c r="K88" i="2"/>
  <c r="I89" i="2"/>
  <c r="J89" i="2"/>
  <c r="F89" i="8" s="1"/>
  <c r="K89" i="2"/>
  <c r="I90" i="2"/>
  <c r="J90" i="2"/>
  <c r="F90" i="8" s="1"/>
  <c r="K90" i="2"/>
  <c r="I91" i="2"/>
  <c r="E91" i="8" s="1"/>
  <c r="J91" i="2"/>
  <c r="K91" i="2"/>
  <c r="I92" i="2"/>
  <c r="E92" i="8" s="1"/>
  <c r="J92" i="2"/>
  <c r="K92" i="2"/>
  <c r="I93" i="2"/>
  <c r="J93" i="2"/>
  <c r="F93" i="8" s="1"/>
  <c r="K93" i="2"/>
  <c r="I94" i="2"/>
  <c r="J94" i="2"/>
  <c r="F94" i="8" s="1"/>
  <c r="K94" i="2"/>
  <c r="I95" i="2"/>
  <c r="E95" i="8" s="1"/>
  <c r="J95" i="2"/>
  <c r="K95" i="2"/>
  <c r="I96" i="2"/>
  <c r="J96" i="2"/>
  <c r="K96" i="2"/>
  <c r="I97" i="2"/>
  <c r="J97" i="2"/>
  <c r="F97" i="8" s="1"/>
  <c r="K97" i="2"/>
  <c r="I98" i="2"/>
  <c r="J98" i="2"/>
  <c r="F98" i="8" s="1"/>
  <c r="K98" i="2"/>
  <c r="I99" i="2"/>
  <c r="E99" i="8" s="1"/>
  <c r="J99" i="2"/>
  <c r="K99" i="2"/>
  <c r="I100" i="2"/>
  <c r="E100" i="8" s="1"/>
  <c r="J100" i="2"/>
  <c r="K100" i="2"/>
  <c r="I101" i="2"/>
  <c r="J101" i="2"/>
  <c r="F101" i="8" s="1"/>
  <c r="K101" i="2"/>
  <c r="I102" i="2"/>
  <c r="J102" i="2"/>
  <c r="F102" i="8" s="1"/>
  <c r="K102" i="2"/>
  <c r="I103" i="2"/>
  <c r="J103" i="2"/>
  <c r="K103" i="2"/>
  <c r="I104" i="2"/>
  <c r="J104" i="2"/>
  <c r="K104" i="2"/>
  <c r="I105" i="2"/>
  <c r="J105" i="2"/>
  <c r="F105" i="8" s="1"/>
  <c r="K105" i="2"/>
  <c r="I106" i="2"/>
  <c r="J106" i="2"/>
  <c r="K106" i="2"/>
  <c r="I107" i="2"/>
  <c r="E107" i="8" s="1"/>
  <c r="J107" i="2"/>
  <c r="K107" i="2"/>
  <c r="I108" i="2"/>
  <c r="E108" i="8" s="1"/>
  <c r="J108" i="2"/>
  <c r="K108" i="2"/>
  <c r="I109" i="2"/>
  <c r="J109" i="2"/>
  <c r="F109" i="8" s="1"/>
  <c r="K109" i="2"/>
  <c r="I110" i="2"/>
  <c r="J110" i="2"/>
  <c r="K110" i="2"/>
  <c r="I111" i="2"/>
  <c r="J111" i="2"/>
  <c r="K111" i="2"/>
  <c r="I112" i="2"/>
  <c r="E112" i="8" s="1"/>
  <c r="J112" i="2"/>
  <c r="K112" i="2"/>
  <c r="I113" i="2"/>
  <c r="J113" i="2"/>
  <c r="F113" i="8" s="1"/>
  <c r="K113" i="2"/>
  <c r="I114" i="2"/>
  <c r="J114" i="2"/>
  <c r="F114" i="8" s="1"/>
  <c r="K114" i="2"/>
  <c r="I115" i="2"/>
  <c r="E115" i="8" s="1"/>
  <c r="J115" i="2"/>
  <c r="K115" i="2"/>
  <c r="I116" i="2"/>
  <c r="E116" i="8" s="1"/>
  <c r="J116" i="2"/>
  <c r="K116" i="2"/>
  <c r="I117" i="2"/>
  <c r="J117" i="2"/>
  <c r="K117" i="2"/>
  <c r="I118" i="2"/>
  <c r="J118" i="2"/>
  <c r="F118" i="8" s="1"/>
  <c r="K118" i="2"/>
  <c r="I119" i="2"/>
  <c r="E119" i="8" s="1"/>
  <c r="J119" i="2"/>
  <c r="K119" i="2"/>
  <c r="I120" i="2"/>
  <c r="E120" i="8" s="1"/>
  <c r="J120" i="2"/>
  <c r="K120" i="2"/>
  <c r="I121" i="2"/>
  <c r="J121" i="2"/>
  <c r="F121" i="8" s="1"/>
  <c r="K121" i="2"/>
  <c r="I122" i="2"/>
  <c r="J122" i="2"/>
  <c r="F122" i="8" s="1"/>
  <c r="K122" i="2"/>
  <c r="I123" i="2"/>
  <c r="E123" i="8" s="1"/>
  <c r="J123" i="2"/>
  <c r="K123" i="2"/>
  <c r="I124" i="2"/>
  <c r="E124" i="8" s="1"/>
  <c r="J124" i="2"/>
  <c r="K124" i="2"/>
  <c r="I125" i="2"/>
  <c r="J125" i="2"/>
  <c r="F125" i="8" s="1"/>
  <c r="K125" i="2"/>
  <c r="I126" i="2"/>
  <c r="J126" i="2"/>
  <c r="F126" i="8" s="1"/>
  <c r="K126" i="2"/>
  <c r="I127" i="2"/>
  <c r="E127" i="8" s="1"/>
  <c r="J127" i="2"/>
  <c r="K127" i="2"/>
  <c r="I128" i="2"/>
  <c r="E128" i="8" s="1"/>
  <c r="J128" i="2"/>
  <c r="K128" i="2"/>
  <c r="I129" i="2"/>
  <c r="J129" i="2"/>
  <c r="F129" i="8" s="1"/>
  <c r="K129" i="2"/>
  <c r="I130" i="2"/>
  <c r="J130" i="2"/>
  <c r="F130" i="8" s="1"/>
  <c r="K130" i="2"/>
  <c r="I131" i="2"/>
  <c r="E131" i="8" s="1"/>
  <c r="J131" i="2"/>
  <c r="K131" i="2"/>
  <c r="I132" i="2"/>
  <c r="E132" i="8" s="1"/>
  <c r="J132" i="2"/>
  <c r="K132" i="2"/>
  <c r="I133" i="2"/>
  <c r="J133" i="2"/>
  <c r="F133" i="8" s="1"/>
  <c r="K133" i="2"/>
  <c r="I134" i="2"/>
  <c r="J134" i="2"/>
  <c r="F134" i="8" s="1"/>
  <c r="K134" i="2"/>
  <c r="I135" i="2"/>
  <c r="E135" i="8" s="1"/>
  <c r="J135" i="2"/>
  <c r="K135" i="2"/>
  <c r="I136" i="2"/>
  <c r="E136" i="8" s="1"/>
  <c r="J136" i="2"/>
  <c r="K136" i="2"/>
  <c r="I137" i="2"/>
  <c r="J137" i="2"/>
  <c r="F137" i="8" s="1"/>
  <c r="K137" i="2"/>
  <c r="I138" i="2"/>
  <c r="J138" i="2"/>
  <c r="F138" i="8" s="1"/>
  <c r="K138" i="2"/>
  <c r="I139" i="2"/>
  <c r="E139" i="8" s="1"/>
  <c r="J139" i="2"/>
  <c r="K139" i="2"/>
  <c r="I140" i="2"/>
  <c r="E140" i="8" s="1"/>
  <c r="J140" i="2"/>
  <c r="K140" i="2"/>
  <c r="I141" i="2"/>
  <c r="J141" i="2"/>
  <c r="F141" i="8" s="1"/>
  <c r="K141" i="2"/>
  <c r="I142" i="2"/>
  <c r="J142" i="2"/>
  <c r="F142" i="8" s="1"/>
  <c r="K142" i="2"/>
  <c r="I143" i="2"/>
  <c r="E143" i="8" s="1"/>
  <c r="J143" i="2"/>
  <c r="K143" i="2"/>
  <c r="I144" i="2"/>
  <c r="E144" i="8" s="1"/>
  <c r="J144" i="2"/>
  <c r="K144" i="2"/>
  <c r="I145" i="2"/>
  <c r="J145" i="2"/>
  <c r="F145" i="8" s="1"/>
  <c r="K145" i="2"/>
  <c r="I146" i="2"/>
  <c r="J146" i="2"/>
  <c r="F146" i="8" s="1"/>
  <c r="K146" i="2"/>
  <c r="I147" i="2"/>
  <c r="E147" i="8" s="1"/>
  <c r="J147" i="2"/>
  <c r="K147" i="2"/>
  <c r="I148" i="2"/>
  <c r="E148" i="8" s="1"/>
  <c r="J148" i="2"/>
  <c r="K148" i="2"/>
  <c r="I149" i="2"/>
  <c r="J149" i="2"/>
  <c r="F149" i="8" s="1"/>
  <c r="K149" i="2"/>
  <c r="I150" i="2"/>
  <c r="J150" i="2"/>
  <c r="F150" i="8" s="1"/>
  <c r="K150" i="2"/>
  <c r="I151" i="2"/>
  <c r="E151" i="8" s="1"/>
  <c r="J151" i="2"/>
  <c r="K151" i="2"/>
  <c r="I152" i="2"/>
  <c r="E152" i="8" s="1"/>
  <c r="J152" i="2"/>
  <c r="K152" i="2"/>
  <c r="I153" i="2"/>
  <c r="J153" i="2"/>
  <c r="F153" i="8" s="1"/>
  <c r="K153" i="2"/>
  <c r="I154" i="2"/>
  <c r="J154" i="2"/>
  <c r="F154" i="8" s="1"/>
  <c r="K154" i="2"/>
  <c r="I155" i="2"/>
  <c r="E155" i="8" s="1"/>
  <c r="J155" i="2"/>
  <c r="K155" i="2"/>
  <c r="I156" i="2"/>
  <c r="E156" i="8" s="1"/>
  <c r="J156" i="2"/>
  <c r="K156" i="2"/>
  <c r="I157" i="2"/>
  <c r="J157" i="2"/>
  <c r="F157" i="8" s="1"/>
  <c r="K157" i="2"/>
  <c r="I158" i="2"/>
  <c r="J158" i="2"/>
  <c r="F158" i="8" s="1"/>
  <c r="K158" i="2"/>
  <c r="I159" i="2"/>
  <c r="E159" i="8" s="1"/>
  <c r="J159" i="2"/>
  <c r="K159" i="2"/>
  <c r="I160" i="2"/>
  <c r="E160" i="8" s="1"/>
  <c r="J160" i="2"/>
  <c r="K160" i="2"/>
  <c r="I161" i="2"/>
  <c r="J161" i="2"/>
  <c r="F161" i="8" s="1"/>
  <c r="K161" i="2"/>
  <c r="I162" i="2"/>
  <c r="J162" i="2"/>
  <c r="F162" i="8" s="1"/>
  <c r="K162" i="2"/>
  <c r="I163" i="2"/>
  <c r="E163" i="8" s="1"/>
  <c r="J163" i="2"/>
  <c r="K163" i="2"/>
  <c r="I164" i="2"/>
  <c r="E164" i="8" s="1"/>
  <c r="J164" i="2"/>
  <c r="K164" i="2"/>
  <c r="I165" i="2"/>
  <c r="J165" i="2"/>
  <c r="F165" i="8" s="1"/>
  <c r="K165" i="2"/>
  <c r="I166" i="2"/>
  <c r="J166" i="2"/>
  <c r="F166" i="8" s="1"/>
  <c r="K166" i="2"/>
  <c r="I167" i="2"/>
  <c r="E167" i="8" s="1"/>
  <c r="J167" i="2"/>
  <c r="K167" i="2"/>
  <c r="I168" i="2"/>
  <c r="E168" i="8" s="1"/>
  <c r="J168" i="2"/>
  <c r="K168" i="2"/>
  <c r="I169" i="2"/>
  <c r="J169" i="2"/>
  <c r="F169" i="8" s="1"/>
  <c r="K169" i="2"/>
  <c r="I170" i="2"/>
  <c r="J170" i="2"/>
  <c r="F170" i="8" s="1"/>
  <c r="K170" i="2"/>
  <c r="I171" i="2"/>
  <c r="E171" i="8" s="1"/>
  <c r="J171" i="2"/>
  <c r="K171" i="2"/>
  <c r="I172" i="2"/>
  <c r="E172" i="8" s="1"/>
  <c r="J172" i="2"/>
  <c r="K172" i="2"/>
  <c r="I173" i="2"/>
  <c r="J173" i="2"/>
  <c r="K173" i="2"/>
  <c r="I174" i="2"/>
  <c r="J174" i="2"/>
  <c r="F174" i="8" s="1"/>
  <c r="K174" i="2"/>
  <c r="I175" i="2"/>
  <c r="E175" i="8" s="1"/>
  <c r="J175" i="2"/>
  <c r="K175" i="2"/>
  <c r="I176" i="2"/>
  <c r="E176" i="8" s="1"/>
  <c r="J176" i="2"/>
  <c r="K176" i="2"/>
  <c r="I177" i="2"/>
  <c r="J177" i="2"/>
  <c r="F177" i="8" s="1"/>
  <c r="K177" i="2"/>
  <c r="I178" i="2"/>
  <c r="J178" i="2"/>
  <c r="F178" i="8" s="1"/>
  <c r="K178" i="2"/>
  <c r="I179" i="2"/>
  <c r="E179" i="8" s="1"/>
  <c r="J179" i="2"/>
  <c r="K179" i="2"/>
  <c r="I180" i="2"/>
  <c r="J180" i="2"/>
  <c r="K180" i="2"/>
  <c r="I181" i="2"/>
  <c r="J181" i="2"/>
  <c r="F181" i="8" s="1"/>
  <c r="K181" i="2"/>
  <c r="I182" i="2"/>
  <c r="J182" i="2"/>
  <c r="F182" i="8" s="1"/>
  <c r="K182" i="2"/>
  <c r="I183" i="2"/>
  <c r="E183" i="8" s="1"/>
  <c r="J183" i="2"/>
  <c r="K183" i="2"/>
  <c r="I184" i="2"/>
  <c r="E184" i="8" s="1"/>
  <c r="J184" i="2"/>
  <c r="K184" i="2"/>
  <c r="I185" i="2"/>
  <c r="J185" i="2"/>
  <c r="F185" i="8" s="1"/>
  <c r="K185" i="2"/>
  <c r="I186" i="2"/>
  <c r="J186" i="2"/>
  <c r="F186" i="8" s="1"/>
  <c r="K186" i="2"/>
  <c r="I187" i="2"/>
  <c r="E187" i="8" s="1"/>
  <c r="J187" i="2"/>
  <c r="K187" i="2"/>
  <c r="I188" i="2"/>
  <c r="E188" i="8" s="1"/>
  <c r="J188" i="2"/>
  <c r="K188" i="2"/>
  <c r="I189" i="2"/>
  <c r="J189" i="2"/>
  <c r="F189" i="8" s="1"/>
  <c r="K189" i="2"/>
  <c r="I190" i="2"/>
  <c r="J190" i="2"/>
  <c r="F190" i="8" s="1"/>
  <c r="K190" i="2"/>
  <c r="I191" i="2"/>
  <c r="E191" i="8" s="1"/>
  <c r="J191" i="2"/>
  <c r="K191" i="2"/>
  <c r="I192" i="2"/>
  <c r="E192" i="8" s="1"/>
  <c r="J192" i="2"/>
  <c r="K192" i="2"/>
  <c r="I193" i="2"/>
  <c r="J193" i="2"/>
  <c r="F193" i="8" s="1"/>
  <c r="K193" i="2"/>
  <c r="I194" i="2"/>
  <c r="J194" i="2"/>
  <c r="F194" i="8" s="1"/>
  <c r="K194" i="2"/>
  <c r="I195" i="2"/>
  <c r="E195" i="8" s="1"/>
  <c r="J195" i="2"/>
  <c r="K195" i="2"/>
  <c r="I196" i="2"/>
  <c r="E196" i="8" s="1"/>
  <c r="J196" i="2"/>
  <c r="K196" i="2"/>
  <c r="I197" i="2"/>
  <c r="J197" i="2"/>
  <c r="F197" i="8" s="1"/>
  <c r="K197" i="2"/>
  <c r="I198" i="2"/>
  <c r="J198" i="2"/>
  <c r="F198" i="8" s="1"/>
  <c r="K198" i="2"/>
  <c r="I199" i="2"/>
  <c r="J199" i="2"/>
  <c r="K199" i="2"/>
  <c r="I200" i="2"/>
  <c r="E200" i="8" s="1"/>
  <c r="J200" i="2"/>
  <c r="K200" i="2"/>
  <c r="I201" i="2"/>
  <c r="J201" i="2"/>
  <c r="F201" i="8" s="1"/>
  <c r="K201" i="2"/>
  <c r="I202" i="2"/>
  <c r="J202" i="2"/>
  <c r="F202" i="8" s="1"/>
  <c r="K202" i="2"/>
  <c r="I203" i="2"/>
  <c r="E203" i="8" s="1"/>
  <c r="J203" i="2"/>
  <c r="K203" i="2"/>
  <c r="I204" i="2"/>
  <c r="E204" i="8" s="1"/>
  <c r="J204" i="2"/>
  <c r="K204" i="2"/>
  <c r="I205" i="2"/>
  <c r="J205" i="2"/>
  <c r="F205" i="8" s="1"/>
  <c r="K205" i="2"/>
  <c r="I206" i="2"/>
  <c r="J206" i="2"/>
  <c r="K206" i="2"/>
  <c r="I207" i="2"/>
  <c r="E207" i="8" s="1"/>
  <c r="J207" i="2"/>
  <c r="K207" i="2"/>
  <c r="I208" i="2"/>
  <c r="E208" i="8" s="1"/>
  <c r="J208" i="2"/>
  <c r="K208" i="2"/>
  <c r="I209" i="2"/>
  <c r="J209" i="2"/>
  <c r="F209" i="8" s="1"/>
  <c r="K209" i="2"/>
  <c r="I210" i="2"/>
  <c r="J210" i="2"/>
  <c r="F210" i="8" s="1"/>
  <c r="K210" i="2"/>
  <c r="I211" i="2"/>
  <c r="E211" i="8" s="1"/>
  <c r="J211" i="2"/>
  <c r="K211" i="2"/>
  <c r="I212" i="2"/>
  <c r="E212" i="8" s="1"/>
  <c r="J212" i="2"/>
  <c r="K212" i="2"/>
  <c r="I213" i="2"/>
  <c r="J213" i="2"/>
  <c r="F213" i="8" s="1"/>
  <c r="K213" i="2"/>
  <c r="I214" i="2"/>
  <c r="J214" i="2"/>
  <c r="F214" i="8" s="1"/>
  <c r="K214" i="2"/>
  <c r="I215" i="2"/>
  <c r="E215" i="8" s="1"/>
  <c r="J215" i="2"/>
  <c r="K215" i="2"/>
  <c r="I216" i="2"/>
  <c r="E216" i="8" s="1"/>
  <c r="J216" i="2"/>
  <c r="K216" i="2"/>
  <c r="I217" i="2"/>
  <c r="J217" i="2"/>
  <c r="F217" i="8" s="1"/>
  <c r="K217" i="2"/>
  <c r="I218" i="2"/>
  <c r="J218" i="2"/>
  <c r="F218" i="8" s="1"/>
  <c r="K218" i="2"/>
  <c r="I219" i="2"/>
  <c r="E219" i="8" s="1"/>
  <c r="J219" i="2"/>
  <c r="K219" i="2"/>
  <c r="I220" i="2"/>
  <c r="E220" i="8" s="1"/>
  <c r="J220" i="2"/>
  <c r="K220" i="2"/>
  <c r="I221" i="2"/>
  <c r="J221" i="2"/>
  <c r="F221" i="8" s="1"/>
  <c r="K221" i="2"/>
  <c r="I222" i="2"/>
  <c r="J222" i="2"/>
  <c r="F222" i="8" s="1"/>
  <c r="K222" i="2"/>
  <c r="I223" i="2"/>
  <c r="E223" i="8" s="1"/>
  <c r="J223" i="2"/>
  <c r="K223" i="2"/>
  <c r="I224" i="2"/>
  <c r="E224" i="8" s="1"/>
  <c r="J224" i="2"/>
  <c r="K224" i="2"/>
  <c r="I225" i="2"/>
  <c r="J225" i="2"/>
  <c r="K225" i="2"/>
  <c r="I226" i="2"/>
  <c r="J226" i="2"/>
  <c r="F226" i="8" s="1"/>
  <c r="K226" i="2"/>
  <c r="I227" i="2"/>
  <c r="E227" i="8" s="1"/>
  <c r="J227" i="2"/>
  <c r="K227" i="2"/>
  <c r="I228" i="2"/>
  <c r="E228" i="8" s="1"/>
  <c r="J228" i="2"/>
  <c r="K228" i="2"/>
  <c r="I229" i="2"/>
  <c r="J229" i="2"/>
  <c r="F229" i="8" s="1"/>
  <c r="K229" i="2"/>
  <c r="I230" i="2"/>
  <c r="J230" i="2"/>
  <c r="F230" i="8" s="1"/>
  <c r="K230" i="2"/>
  <c r="I231" i="2"/>
  <c r="E231" i="8" s="1"/>
  <c r="J231" i="2"/>
  <c r="K231" i="2"/>
  <c r="I232" i="2"/>
  <c r="J232" i="2"/>
  <c r="K232" i="2"/>
  <c r="I233" i="2"/>
  <c r="J233" i="2"/>
  <c r="F233" i="8" s="1"/>
  <c r="K233" i="2"/>
  <c r="I234" i="2"/>
  <c r="J234" i="2"/>
  <c r="F234" i="8" s="1"/>
  <c r="K234" i="2"/>
  <c r="I235" i="2"/>
  <c r="E235" i="8" s="1"/>
  <c r="J235" i="2"/>
  <c r="K235" i="2"/>
  <c r="I236" i="2"/>
  <c r="E236" i="8" s="1"/>
  <c r="J236" i="2"/>
  <c r="K236" i="2"/>
  <c r="I237" i="2"/>
  <c r="J237" i="2"/>
  <c r="F237" i="8" s="1"/>
  <c r="K237" i="2"/>
  <c r="I238" i="2"/>
  <c r="J238" i="2"/>
  <c r="F238" i="8" s="1"/>
  <c r="K238" i="2"/>
  <c r="I239" i="2"/>
  <c r="E239" i="8" s="1"/>
  <c r="J239" i="2"/>
  <c r="K239" i="2"/>
  <c r="I240" i="2"/>
  <c r="E240" i="8" s="1"/>
  <c r="J240" i="2"/>
  <c r="K240" i="2"/>
  <c r="I241" i="2"/>
  <c r="J241" i="2"/>
  <c r="F241" i="8" s="1"/>
  <c r="K241" i="2"/>
  <c r="I242" i="2"/>
  <c r="J242" i="2"/>
  <c r="F242" i="8" s="1"/>
  <c r="K242" i="2"/>
  <c r="I243" i="2"/>
  <c r="E243" i="8" s="1"/>
  <c r="J243" i="2"/>
  <c r="K243" i="2"/>
  <c r="I244" i="2"/>
  <c r="E244" i="8" s="1"/>
  <c r="J244" i="2"/>
  <c r="K244" i="2"/>
  <c r="I245" i="2"/>
  <c r="J245" i="2"/>
  <c r="F245" i="8" s="1"/>
  <c r="K245" i="2"/>
  <c r="I246" i="2"/>
  <c r="J246" i="2"/>
  <c r="F246" i="8" s="1"/>
  <c r="K246" i="2"/>
  <c r="I247" i="2"/>
  <c r="E247" i="8" s="1"/>
  <c r="J247" i="2"/>
  <c r="K247" i="2"/>
  <c r="I248" i="2"/>
  <c r="E248" i="8" s="1"/>
  <c r="J248" i="2"/>
  <c r="K248" i="2"/>
  <c r="I249" i="2"/>
  <c r="J249" i="2"/>
  <c r="F249" i="8" s="1"/>
  <c r="K249" i="2"/>
  <c r="I250" i="2"/>
  <c r="J250" i="2"/>
  <c r="F250" i="8" s="1"/>
  <c r="K250" i="2"/>
  <c r="I251" i="2"/>
  <c r="E251" i="8" s="1"/>
  <c r="J251" i="2"/>
  <c r="K251" i="2"/>
  <c r="I252" i="2"/>
  <c r="E252" i="8" s="1"/>
  <c r="J252" i="2"/>
  <c r="K252" i="2"/>
  <c r="I253" i="2"/>
  <c r="J253" i="2"/>
  <c r="F253" i="8" s="1"/>
  <c r="K253" i="2"/>
  <c r="I254" i="2"/>
  <c r="J254" i="2"/>
  <c r="F254" i="8" s="1"/>
  <c r="K254" i="2"/>
  <c r="I255" i="2"/>
  <c r="E255" i="8" s="1"/>
  <c r="J255" i="2"/>
  <c r="K255" i="2"/>
  <c r="I256" i="2"/>
  <c r="E256" i="8" s="1"/>
  <c r="J256" i="2"/>
  <c r="K256" i="2"/>
  <c r="I257" i="2"/>
  <c r="J257" i="2"/>
  <c r="F257" i="8" s="1"/>
  <c r="K257" i="2"/>
  <c r="I258" i="2"/>
  <c r="J258" i="2"/>
  <c r="F258" i="8" s="1"/>
  <c r="K258" i="2"/>
  <c r="I259" i="2"/>
  <c r="E259" i="8" s="1"/>
  <c r="J259" i="2"/>
  <c r="K259" i="2"/>
  <c r="I260" i="2"/>
  <c r="E260" i="8" s="1"/>
  <c r="J260" i="2"/>
  <c r="K260" i="2"/>
  <c r="I261" i="2"/>
  <c r="J261" i="2"/>
  <c r="F261" i="8" s="1"/>
  <c r="K261" i="2"/>
  <c r="I262" i="2"/>
  <c r="J262" i="2"/>
  <c r="F262" i="8" s="1"/>
  <c r="K262" i="2"/>
  <c r="I263" i="2"/>
  <c r="E263" i="8" s="1"/>
  <c r="J263" i="2"/>
  <c r="K263" i="2"/>
  <c r="I264" i="2"/>
  <c r="E264" i="8" s="1"/>
  <c r="J264" i="2"/>
  <c r="K264" i="2"/>
  <c r="I265" i="2"/>
  <c r="J265" i="2"/>
  <c r="F265" i="8" s="1"/>
  <c r="K265" i="2"/>
  <c r="I266" i="2"/>
  <c r="J266" i="2"/>
  <c r="K266" i="2"/>
  <c r="I267" i="2"/>
  <c r="E267" i="8" s="1"/>
  <c r="J267" i="2"/>
  <c r="K267" i="2"/>
  <c r="I268" i="2"/>
  <c r="E268" i="8" s="1"/>
  <c r="J268" i="2"/>
  <c r="K268" i="2"/>
  <c r="I269" i="2"/>
  <c r="J269" i="2"/>
  <c r="F269" i="8" s="1"/>
  <c r="K269" i="2"/>
  <c r="I270" i="2"/>
  <c r="J270" i="2"/>
  <c r="F270" i="8" s="1"/>
  <c r="K270" i="2"/>
  <c r="I271" i="2"/>
  <c r="E271" i="8" s="1"/>
  <c r="J271" i="2"/>
  <c r="K271" i="2"/>
  <c r="I272" i="2"/>
  <c r="E272" i="8" s="1"/>
  <c r="J272" i="2"/>
  <c r="K272" i="2"/>
  <c r="I273" i="2"/>
  <c r="J273" i="2"/>
  <c r="F273" i="8" s="1"/>
  <c r="K273" i="2"/>
  <c r="I274" i="2"/>
  <c r="J274" i="2"/>
  <c r="F274" i="8" s="1"/>
  <c r="K274" i="2"/>
  <c r="I275" i="2"/>
  <c r="E275" i="8" s="1"/>
  <c r="J275" i="2"/>
  <c r="K275" i="2"/>
  <c r="I276" i="2"/>
  <c r="E276" i="8" s="1"/>
  <c r="J276" i="2"/>
  <c r="K276" i="2"/>
  <c r="I277" i="2"/>
  <c r="J277" i="2"/>
  <c r="F277" i="8" s="1"/>
  <c r="K277" i="2"/>
  <c r="I278" i="2"/>
  <c r="J278" i="2"/>
  <c r="F278" i="8" s="1"/>
  <c r="K278" i="2"/>
  <c r="I279" i="2"/>
  <c r="E279" i="8" s="1"/>
  <c r="J279" i="2"/>
  <c r="K279" i="2"/>
  <c r="I280" i="2"/>
  <c r="E280" i="8" s="1"/>
  <c r="J280" i="2"/>
  <c r="K280" i="2"/>
  <c r="I281" i="2"/>
  <c r="J281" i="2"/>
  <c r="F281" i="8" s="1"/>
  <c r="K281" i="2"/>
  <c r="I282" i="2"/>
  <c r="J282" i="2"/>
  <c r="F282" i="8" s="1"/>
  <c r="K282" i="2"/>
  <c r="I283" i="2"/>
  <c r="E283" i="8" s="1"/>
  <c r="J283" i="2"/>
  <c r="K283" i="2"/>
  <c r="I284" i="2"/>
  <c r="J284" i="2"/>
  <c r="K284" i="2"/>
  <c r="I285" i="2"/>
  <c r="J285" i="2"/>
  <c r="F285" i="8" s="1"/>
  <c r="K285" i="2"/>
  <c r="I286" i="2"/>
  <c r="J286" i="2"/>
  <c r="F286" i="8" s="1"/>
  <c r="K286" i="2"/>
  <c r="I287" i="2"/>
  <c r="E287" i="8" s="1"/>
  <c r="J287" i="2"/>
  <c r="K287" i="2"/>
  <c r="I288" i="2"/>
  <c r="E288" i="8" s="1"/>
  <c r="J288" i="2"/>
  <c r="K288" i="2"/>
  <c r="I289" i="2"/>
  <c r="J289" i="2"/>
  <c r="K289" i="2"/>
  <c r="I290" i="2"/>
  <c r="J290" i="2"/>
  <c r="F290" i="8" s="1"/>
  <c r="K290" i="2"/>
  <c r="I291" i="2"/>
  <c r="E291" i="8" s="1"/>
  <c r="J291" i="2"/>
  <c r="K291" i="2"/>
  <c r="I292" i="2"/>
  <c r="E292" i="8" s="1"/>
  <c r="J292" i="2"/>
  <c r="K292" i="2"/>
  <c r="I293" i="2"/>
  <c r="J293" i="2"/>
  <c r="F293" i="8" s="1"/>
  <c r="K293" i="2"/>
  <c r="I294" i="2"/>
  <c r="J294" i="2"/>
  <c r="F294" i="8" s="1"/>
  <c r="K294" i="2"/>
  <c r="I295" i="2"/>
  <c r="E295" i="8" s="1"/>
  <c r="J295" i="2"/>
  <c r="K295" i="2"/>
  <c r="I296" i="2"/>
  <c r="J296" i="2"/>
  <c r="K296" i="2"/>
  <c r="I297" i="2"/>
  <c r="J297" i="2"/>
  <c r="F297" i="8" s="1"/>
  <c r="K297" i="2"/>
  <c r="I298" i="2"/>
  <c r="J298" i="2"/>
  <c r="F298" i="8" s="1"/>
  <c r="K298" i="2"/>
  <c r="I299" i="2"/>
  <c r="E299" i="8" s="1"/>
  <c r="J299" i="2"/>
  <c r="K299" i="2"/>
  <c r="I300" i="2"/>
  <c r="E300" i="8" s="1"/>
  <c r="J300" i="2"/>
  <c r="K300" i="2"/>
  <c r="I301" i="2"/>
  <c r="J301" i="2"/>
  <c r="F301" i="8" s="1"/>
  <c r="K301" i="2"/>
  <c r="I302" i="2"/>
  <c r="J302" i="2"/>
  <c r="F302" i="8" s="1"/>
  <c r="K302" i="2"/>
  <c r="I303" i="2"/>
  <c r="E303" i="8" s="1"/>
  <c r="J303" i="2"/>
  <c r="K303" i="2"/>
  <c r="I304" i="2"/>
  <c r="E304" i="8" s="1"/>
  <c r="J304" i="2"/>
  <c r="K304" i="2"/>
  <c r="I305" i="2"/>
  <c r="J305" i="2"/>
  <c r="F305" i="8" s="1"/>
  <c r="K305" i="2"/>
  <c r="I306" i="2"/>
  <c r="J306" i="2"/>
  <c r="F306" i="8" s="1"/>
  <c r="K306" i="2"/>
  <c r="I307" i="2"/>
  <c r="E307" i="8" s="1"/>
  <c r="J307" i="2"/>
  <c r="K307" i="2"/>
  <c r="I308" i="2"/>
  <c r="E308" i="8" s="1"/>
  <c r="J308" i="2"/>
  <c r="K308" i="2"/>
  <c r="I309" i="2"/>
  <c r="J309" i="2"/>
  <c r="F309" i="8" s="1"/>
  <c r="K309" i="2"/>
  <c r="I310" i="2"/>
  <c r="J310" i="2"/>
  <c r="F310" i="8" s="1"/>
  <c r="K310" i="2"/>
  <c r="I311" i="2"/>
  <c r="E311" i="8" s="1"/>
  <c r="J311" i="2"/>
  <c r="K311" i="2"/>
  <c r="I312" i="2"/>
  <c r="E312" i="8" s="1"/>
  <c r="J312" i="2"/>
  <c r="K312" i="2"/>
  <c r="I313" i="2"/>
  <c r="J313" i="2"/>
  <c r="F313" i="8" s="1"/>
  <c r="K313" i="2"/>
  <c r="I314" i="2"/>
  <c r="J314" i="2"/>
  <c r="F314" i="8" s="1"/>
  <c r="K314" i="2"/>
  <c r="I315" i="2"/>
  <c r="J315" i="2"/>
  <c r="K315" i="2"/>
  <c r="I316" i="2"/>
  <c r="E316" i="8" s="1"/>
  <c r="J316" i="2"/>
  <c r="K316" i="2"/>
  <c r="I317" i="2"/>
  <c r="J317" i="2"/>
  <c r="F317" i="8" s="1"/>
  <c r="K317" i="2"/>
  <c r="I318" i="2"/>
  <c r="J318" i="2"/>
  <c r="F318" i="8" s="1"/>
  <c r="K318" i="2"/>
  <c r="I319" i="2"/>
  <c r="E319" i="8" s="1"/>
  <c r="J319" i="2"/>
  <c r="K319" i="2"/>
  <c r="I320" i="2"/>
  <c r="E320" i="8" s="1"/>
  <c r="J320" i="2"/>
  <c r="K320" i="2"/>
  <c r="I321" i="2"/>
  <c r="J321" i="2"/>
  <c r="F321" i="8" s="1"/>
  <c r="K321" i="2"/>
  <c r="I322" i="2"/>
  <c r="J322" i="2"/>
  <c r="F322" i="8" s="1"/>
  <c r="K322" i="2"/>
  <c r="I323" i="2"/>
  <c r="J323" i="2"/>
  <c r="K323" i="2"/>
  <c r="I324" i="2"/>
  <c r="E324" i="8" s="1"/>
  <c r="J324" i="2"/>
  <c r="K324" i="2"/>
  <c r="I325" i="2"/>
  <c r="J325" i="2"/>
  <c r="F325" i="8" s="1"/>
  <c r="K325" i="2"/>
  <c r="I326" i="2"/>
  <c r="J326" i="2"/>
  <c r="F326" i="8" s="1"/>
  <c r="K326" i="2"/>
  <c r="I327" i="2"/>
  <c r="E327" i="8" s="1"/>
  <c r="J327" i="2"/>
  <c r="K327" i="2"/>
  <c r="I328" i="2"/>
  <c r="E328" i="8" s="1"/>
  <c r="J328" i="2"/>
  <c r="K328" i="2"/>
  <c r="I329" i="2"/>
  <c r="J329" i="2"/>
  <c r="F329" i="8" s="1"/>
  <c r="K329" i="2"/>
  <c r="I330" i="2"/>
  <c r="J330" i="2"/>
  <c r="K330" i="2"/>
  <c r="I331" i="2"/>
  <c r="E331" i="8" s="1"/>
  <c r="J331" i="2"/>
  <c r="K331" i="2"/>
  <c r="I332" i="2"/>
  <c r="E332" i="8" s="1"/>
  <c r="J332" i="2"/>
  <c r="K332" i="2"/>
  <c r="I333" i="2"/>
  <c r="J333" i="2"/>
  <c r="F333" i="8" s="1"/>
  <c r="K333" i="2"/>
  <c r="I334" i="2"/>
  <c r="J334" i="2"/>
  <c r="F334" i="8" s="1"/>
  <c r="K334" i="2"/>
  <c r="I335" i="2"/>
  <c r="E335" i="8" s="1"/>
  <c r="J335" i="2"/>
  <c r="K335" i="2"/>
  <c r="I336" i="2"/>
  <c r="E336" i="8" s="1"/>
  <c r="J336" i="2"/>
  <c r="K336" i="2"/>
  <c r="I337" i="2"/>
  <c r="J337" i="2"/>
  <c r="K337" i="2"/>
  <c r="I338" i="2"/>
  <c r="J338" i="2"/>
  <c r="F338" i="8" s="1"/>
  <c r="K338" i="2"/>
  <c r="I339" i="2"/>
  <c r="E339" i="8" s="1"/>
  <c r="J339" i="2"/>
  <c r="K339" i="2"/>
  <c r="I340" i="2"/>
  <c r="E340" i="8" s="1"/>
  <c r="J340" i="2"/>
  <c r="K340" i="2"/>
  <c r="I341" i="2"/>
  <c r="J341" i="2"/>
  <c r="F341" i="8" s="1"/>
  <c r="K341" i="2"/>
  <c r="I342" i="2"/>
  <c r="J342" i="2"/>
  <c r="F342" i="8" s="1"/>
  <c r="K342" i="2"/>
  <c r="I343" i="2"/>
  <c r="E343" i="8" s="1"/>
  <c r="J343" i="2"/>
  <c r="K343" i="2"/>
  <c r="I344" i="2"/>
  <c r="E344" i="8" s="1"/>
  <c r="J344" i="2"/>
  <c r="K344" i="2"/>
  <c r="I345" i="2"/>
  <c r="J345" i="2"/>
  <c r="F345" i="8" s="1"/>
  <c r="K345" i="2"/>
  <c r="I346" i="2"/>
  <c r="J346" i="2"/>
  <c r="F346" i="8" s="1"/>
  <c r="K346" i="2"/>
  <c r="I347" i="2"/>
  <c r="E347" i="8" s="1"/>
  <c r="J347" i="2"/>
  <c r="K347" i="2"/>
  <c r="I348" i="2"/>
  <c r="E348" i="8" s="1"/>
  <c r="J348" i="2"/>
  <c r="F348" i="8" s="1"/>
  <c r="K348" i="2"/>
  <c r="I349" i="2"/>
  <c r="J349" i="2"/>
  <c r="F349" i="8" s="1"/>
  <c r="K349" i="2"/>
  <c r="I350" i="2"/>
  <c r="J350" i="2"/>
  <c r="F350" i="8" s="1"/>
  <c r="K350" i="2"/>
  <c r="I351" i="2"/>
  <c r="E351" i="8" s="1"/>
  <c r="J351" i="2"/>
  <c r="K351" i="2"/>
  <c r="I352" i="2"/>
  <c r="E352" i="8" s="1"/>
  <c r="J352" i="2"/>
  <c r="K352" i="2"/>
  <c r="I353" i="2"/>
  <c r="J353" i="2"/>
  <c r="F353" i="8" s="1"/>
  <c r="K353" i="2"/>
  <c r="I354" i="2"/>
  <c r="J354" i="2"/>
  <c r="F354" i="8" s="1"/>
  <c r="K354" i="2"/>
  <c r="I355" i="2"/>
  <c r="E355" i="8" s="1"/>
  <c r="J355" i="2"/>
  <c r="K355" i="2"/>
  <c r="I356" i="2"/>
  <c r="E356" i="8" s="1"/>
  <c r="J356" i="2"/>
  <c r="F356" i="8" s="1"/>
  <c r="K356" i="2"/>
  <c r="I357" i="2"/>
  <c r="J357" i="2"/>
  <c r="K357" i="2"/>
  <c r="I358" i="2"/>
  <c r="J358" i="2"/>
  <c r="K358" i="2"/>
  <c r="I359" i="2"/>
  <c r="E359" i="8" s="1"/>
  <c r="J359" i="2"/>
  <c r="K359" i="2"/>
  <c r="I360" i="2"/>
  <c r="E360" i="8" s="1"/>
  <c r="J360" i="2"/>
  <c r="K360" i="2"/>
  <c r="I361" i="2"/>
  <c r="J361" i="2"/>
  <c r="F361" i="8" s="1"/>
  <c r="K361" i="2"/>
  <c r="I362" i="2"/>
  <c r="J362" i="2"/>
  <c r="F362" i="8" s="1"/>
  <c r="K362" i="2"/>
  <c r="I363" i="2"/>
  <c r="E363" i="8" s="1"/>
  <c r="J363" i="2"/>
  <c r="K363" i="2"/>
  <c r="I364" i="2"/>
  <c r="E364" i="8" s="1"/>
  <c r="J364" i="2"/>
  <c r="F364" i="8" s="1"/>
  <c r="K364" i="2"/>
  <c r="I365" i="2"/>
  <c r="J365" i="2"/>
  <c r="K365" i="2"/>
  <c r="I366" i="2"/>
  <c r="J366" i="2"/>
  <c r="F366" i="8" s="1"/>
  <c r="K366" i="2"/>
  <c r="I367" i="2"/>
  <c r="J367" i="2"/>
  <c r="K367" i="2"/>
  <c r="I368" i="2"/>
  <c r="E368" i="8" s="1"/>
  <c r="J368" i="2"/>
  <c r="K368" i="2"/>
  <c r="I10" i="2"/>
  <c r="J10" i="2"/>
  <c r="K10" i="2"/>
  <c r="H11" i="2"/>
  <c r="H12" i="2"/>
  <c r="F3" i="10" s="1"/>
  <c r="H13" i="2"/>
  <c r="D13" i="8" s="1"/>
  <c r="H14" i="2"/>
  <c r="D14" i="8" s="1"/>
  <c r="H15" i="2"/>
  <c r="H16" i="2"/>
  <c r="D16" i="8" s="1"/>
  <c r="H17" i="2"/>
  <c r="D17" i="8" s="1"/>
  <c r="H18" i="2"/>
  <c r="D18" i="8" s="1"/>
  <c r="H19" i="2"/>
  <c r="H20" i="2"/>
  <c r="H21" i="2"/>
  <c r="D21" i="8" s="1"/>
  <c r="H22" i="2"/>
  <c r="D22" i="8" s="1"/>
  <c r="H23" i="2"/>
  <c r="H24" i="2"/>
  <c r="H25" i="2"/>
  <c r="D25" i="8" s="1"/>
  <c r="H26" i="2"/>
  <c r="D26" i="8" s="1"/>
  <c r="H27" i="2"/>
  <c r="H28" i="2"/>
  <c r="H29" i="2"/>
  <c r="D29" i="8" s="1"/>
  <c r="H30" i="2"/>
  <c r="D30" i="8" s="1"/>
  <c r="H31" i="2"/>
  <c r="H32" i="2"/>
  <c r="D32" i="8" s="1"/>
  <c r="H33" i="2"/>
  <c r="D33" i="8" s="1"/>
  <c r="H34" i="2"/>
  <c r="D34" i="8" s="1"/>
  <c r="H35" i="2"/>
  <c r="H36" i="2"/>
  <c r="H37" i="2"/>
  <c r="D37" i="8" s="1"/>
  <c r="H38" i="2"/>
  <c r="H39" i="2"/>
  <c r="H40" i="2"/>
  <c r="D40" i="8" s="1"/>
  <c r="H41" i="2"/>
  <c r="D41" i="8" s="1"/>
  <c r="H42" i="2"/>
  <c r="D42" i="8" s="1"/>
  <c r="H43" i="2"/>
  <c r="H44" i="2"/>
  <c r="H45" i="2"/>
  <c r="D45" i="8" s="1"/>
  <c r="H46" i="2"/>
  <c r="D46" i="8" s="1"/>
  <c r="H47" i="2"/>
  <c r="H48" i="2"/>
  <c r="D48" i="8" s="1"/>
  <c r="H49" i="2"/>
  <c r="D49" i="8" s="1"/>
  <c r="H50" i="2"/>
  <c r="D50" i="8" s="1"/>
  <c r="H51" i="2"/>
  <c r="H52" i="2"/>
  <c r="H53" i="2"/>
  <c r="D53" i="8" s="1"/>
  <c r="H54" i="2"/>
  <c r="D54" i="8" s="1"/>
  <c r="H55" i="2"/>
  <c r="H56" i="2"/>
  <c r="D56" i="8" s="1"/>
  <c r="H57" i="2"/>
  <c r="D57" i="8" s="1"/>
  <c r="H58" i="2"/>
  <c r="D58" i="8" s="1"/>
  <c r="H59" i="2"/>
  <c r="H60" i="2"/>
  <c r="H61" i="2"/>
  <c r="H62" i="2"/>
  <c r="D62" i="8" s="1"/>
  <c r="H63" i="2"/>
  <c r="H64" i="2"/>
  <c r="D64" i="8" s="1"/>
  <c r="H65" i="2"/>
  <c r="D65" i="8" s="1"/>
  <c r="H66" i="2"/>
  <c r="D66" i="8" s="1"/>
  <c r="H67" i="2"/>
  <c r="H68" i="2"/>
  <c r="H69" i="2"/>
  <c r="D69" i="8" s="1"/>
  <c r="H70" i="2"/>
  <c r="H71" i="2"/>
  <c r="H72" i="2"/>
  <c r="D72" i="8" s="1"/>
  <c r="H73" i="2"/>
  <c r="D73" i="8" s="1"/>
  <c r="H74" i="2"/>
  <c r="D74" i="8" s="1"/>
  <c r="H75" i="2"/>
  <c r="H76" i="2"/>
  <c r="H77" i="2"/>
  <c r="D77" i="8" s="1"/>
  <c r="H78" i="2"/>
  <c r="D78" i="8" s="1"/>
  <c r="H79" i="2"/>
  <c r="H80" i="2"/>
  <c r="H81" i="2"/>
  <c r="D81" i="8" s="1"/>
  <c r="H82" i="2"/>
  <c r="D82" i="8" s="1"/>
  <c r="H83" i="2"/>
  <c r="H84" i="2"/>
  <c r="H85" i="2"/>
  <c r="H86" i="2"/>
  <c r="D86" i="8" s="1"/>
  <c r="H87" i="2"/>
  <c r="H88" i="2"/>
  <c r="D88" i="8" s="1"/>
  <c r="H89" i="2"/>
  <c r="D89" i="8" s="1"/>
  <c r="H90" i="2"/>
  <c r="D90" i="8" s="1"/>
  <c r="H91" i="2"/>
  <c r="H92" i="2"/>
  <c r="D92" i="8" s="1"/>
  <c r="H93" i="2"/>
  <c r="D93" i="8" s="1"/>
  <c r="H94" i="2"/>
  <c r="D94" i="8" s="1"/>
  <c r="H95" i="2"/>
  <c r="H96" i="2"/>
  <c r="H97" i="2"/>
  <c r="D97" i="8" s="1"/>
  <c r="H98" i="2"/>
  <c r="D98" i="8" s="1"/>
  <c r="H99" i="2"/>
  <c r="H100" i="2"/>
  <c r="D100" i="8" s="1"/>
  <c r="H101" i="2"/>
  <c r="D101" i="8" s="1"/>
  <c r="H102" i="2"/>
  <c r="D102" i="8" s="1"/>
  <c r="H103" i="2"/>
  <c r="H104" i="2"/>
  <c r="H105" i="2"/>
  <c r="D105" i="8" s="1"/>
  <c r="H106" i="2"/>
  <c r="H107" i="2"/>
  <c r="H108" i="2"/>
  <c r="D108" i="8" s="1"/>
  <c r="H109" i="2"/>
  <c r="D109" i="8" s="1"/>
  <c r="H110" i="2"/>
  <c r="H111" i="2"/>
  <c r="H112" i="2"/>
  <c r="D112" i="8" s="1"/>
  <c r="H113" i="2"/>
  <c r="D113" i="8" s="1"/>
  <c r="H114" i="2"/>
  <c r="D114" i="8" s="1"/>
  <c r="H115" i="2"/>
  <c r="H116" i="2"/>
  <c r="D116" i="8" s="1"/>
  <c r="H117" i="2"/>
  <c r="H118" i="2"/>
  <c r="D118" i="8" s="1"/>
  <c r="H119" i="2"/>
  <c r="H120" i="2"/>
  <c r="D120" i="8" s="1"/>
  <c r="H121" i="2"/>
  <c r="D121" i="8" s="1"/>
  <c r="H122" i="2"/>
  <c r="D122" i="8" s="1"/>
  <c r="H123" i="2"/>
  <c r="H124" i="2"/>
  <c r="D124" i="8" s="1"/>
  <c r="H125" i="2"/>
  <c r="D125" i="8" s="1"/>
  <c r="H126" i="2"/>
  <c r="D126" i="8" s="1"/>
  <c r="H127" i="2"/>
  <c r="H128" i="2"/>
  <c r="D128" i="8" s="1"/>
  <c r="H129" i="2"/>
  <c r="D129" i="8" s="1"/>
  <c r="H130" i="2"/>
  <c r="D130" i="8" s="1"/>
  <c r="H131" i="2"/>
  <c r="H132" i="2"/>
  <c r="D132" i="8" s="1"/>
  <c r="H133" i="2"/>
  <c r="D133" i="8" s="1"/>
  <c r="H134" i="2"/>
  <c r="D134" i="8" s="1"/>
  <c r="H135" i="2"/>
  <c r="H136" i="2"/>
  <c r="D136" i="8" s="1"/>
  <c r="H137" i="2"/>
  <c r="D137" i="8" s="1"/>
  <c r="H138" i="2"/>
  <c r="D138" i="8" s="1"/>
  <c r="H139" i="2"/>
  <c r="H140" i="2"/>
  <c r="D140" i="8" s="1"/>
  <c r="H141" i="2"/>
  <c r="D141" i="8" s="1"/>
  <c r="H142" i="2"/>
  <c r="D142" i="8" s="1"/>
  <c r="H143" i="2"/>
  <c r="H144" i="2"/>
  <c r="D144" i="8" s="1"/>
  <c r="H145" i="2"/>
  <c r="D145" i="8" s="1"/>
  <c r="H146" i="2"/>
  <c r="D146" i="8" s="1"/>
  <c r="H147" i="2"/>
  <c r="H148" i="2"/>
  <c r="D148" i="8" s="1"/>
  <c r="H149" i="2"/>
  <c r="D149" i="8" s="1"/>
  <c r="H150" i="2"/>
  <c r="D150" i="8" s="1"/>
  <c r="H151" i="2"/>
  <c r="H152" i="2"/>
  <c r="D152" i="8" s="1"/>
  <c r="H153" i="2"/>
  <c r="D153" i="8" s="1"/>
  <c r="H154" i="2"/>
  <c r="D154" i="8" s="1"/>
  <c r="H155" i="2"/>
  <c r="H156" i="2"/>
  <c r="D156" i="8" s="1"/>
  <c r="H157" i="2"/>
  <c r="D157" i="8" s="1"/>
  <c r="H158" i="2"/>
  <c r="D158" i="8" s="1"/>
  <c r="H159" i="2"/>
  <c r="H160" i="2"/>
  <c r="D160" i="8" s="1"/>
  <c r="H161" i="2"/>
  <c r="D161" i="8" s="1"/>
  <c r="H162" i="2"/>
  <c r="D162" i="8" s="1"/>
  <c r="H163" i="2"/>
  <c r="H164" i="2"/>
  <c r="D164" i="8" s="1"/>
  <c r="H165" i="2"/>
  <c r="D165" i="8" s="1"/>
  <c r="H166" i="2"/>
  <c r="D166" i="8" s="1"/>
  <c r="H167" i="2"/>
  <c r="H168" i="2"/>
  <c r="D168" i="8" s="1"/>
  <c r="H169" i="2"/>
  <c r="D169" i="8" s="1"/>
  <c r="H170" i="2"/>
  <c r="D170" i="8" s="1"/>
  <c r="H171" i="2"/>
  <c r="H172" i="2"/>
  <c r="D172" i="8" s="1"/>
  <c r="H173" i="2"/>
  <c r="H174" i="2"/>
  <c r="D174" i="8" s="1"/>
  <c r="H175" i="2"/>
  <c r="H176" i="2"/>
  <c r="D176" i="8" s="1"/>
  <c r="H177" i="2"/>
  <c r="D177" i="8" s="1"/>
  <c r="H178" i="2"/>
  <c r="D178" i="8" s="1"/>
  <c r="H179" i="2"/>
  <c r="H180" i="2"/>
  <c r="H181" i="2"/>
  <c r="D181" i="8" s="1"/>
  <c r="H182" i="2"/>
  <c r="D182" i="8" s="1"/>
  <c r="H183" i="2"/>
  <c r="H184" i="2"/>
  <c r="D184" i="8" s="1"/>
  <c r="H185" i="2"/>
  <c r="D185" i="8" s="1"/>
  <c r="H186" i="2"/>
  <c r="D186" i="8" s="1"/>
  <c r="H187" i="2"/>
  <c r="H188" i="2"/>
  <c r="D188" i="8" s="1"/>
  <c r="H189" i="2"/>
  <c r="D189" i="8" s="1"/>
  <c r="H190" i="2"/>
  <c r="D190" i="8" s="1"/>
  <c r="H191" i="2"/>
  <c r="H192" i="2"/>
  <c r="D192" i="8" s="1"/>
  <c r="H193" i="2"/>
  <c r="D193" i="8" s="1"/>
  <c r="H194" i="2"/>
  <c r="D194" i="8" s="1"/>
  <c r="H195" i="2"/>
  <c r="H196" i="2"/>
  <c r="D196" i="8" s="1"/>
  <c r="H197" i="2"/>
  <c r="D197" i="8" s="1"/>
  <c r="H198" i="2"/>
  <c r="D198" i="8" s="1"/>
  <c r="H199" i="2"/>
  <c r="H200" i="2"/>
  <c r="D200" i="8" s="1"/>
  <c r="H201" i="2"/>
  <c r="D201" i="8" s="1"/>
  <c r="H202" i="2"/>
  <c r="D202" i="8" s="1"/>
  <c r="H203" i="2"/>
  <c r="H204" i="2"/>
  <c r="D204" i="8" s="1"/>
  <c r="H205" i="2"/>
  <c r="D205" i="8" s="1"/>
  <c r="H206" i="2"/>
  <c r="H207" i="2"/>
  <c r="H208" i="2"/>
  <c r="D208" i="8" s="1"/>
  <c r="H209" i="2"/>
  <c r="D209" i="8" s="1"/>
  <c r="H210" i="2"/>
  <c r="D210" i="8" s="1"/>
  <c r="H211" i="2"/>
  <c r="H212" i="2"/>
  <c r="D212" i="8" s="1"/>
  <c r="H213" i="2"/>
  <c r="D213" i="8" s="1"/>
  <c r="H214" i="2"/>
  <c r="D214" i="8" s="1"/>
  <c r="H215" i="2"/>
  <c r="H216" i="2"/>
  <c r="D216" i="8" s="1"/>
  <c r="H217" i="2"/>
  <c r="D217" i="8" s="1"/>
  <c r="H218" i="2"/>
  <c r="D218" i="8" s="1"/>
  <c r="H219" i="2"/>
  <c r="H220" i="2"/>
  <c r="D220" i="8" s="1"/>
  <c r="H221" i="2"/>
  <c r="D221" i="8" s="1"/>
  <c r="H222" i="2"/>
  <c r="D222" i="8" s="1"/>
  <c r="H223" i="2"/>
  <c r="H224" i="2"/>
  <c r="D224" i="8" s="1"/>
  <c r="H225" i="2"/>
  <c r="H226" i="2"/>
  <c r="D226" i="8" s="1"/>
  <c r="H227" i="2"/>
  <c r="H228" i="2"/>
  <c r="D228" i="8" s="1"/>
  <c r="H229" i="2"/>
  <c r="D229" i="8" s="1"/>
  <c r="H230" i="2"/>
  <c r="D230" i="8" s="1"/>
  <c r="H231" i="2"/>
  <c r="H232" i="2"/>
  <c r="H233" i="2"/>
  <c r="D233" i="8" s="1"/>
  <c r="H234" i="2"/>
  <c r="D234" i="8" s="1"/>
  <c r="H235" i="2"/>
  <c r="H236" i="2"/>
  <c r="D236" i="8" s="1"/>
  <c r="H237" i="2"/>
  <c r="D237" i="8" s="1"/>
  <c r="H238" i="2"/>
  <c r="D238" i="8" s="1"/>
  <c r="H239" i="2"/>
  <c r="H240" i="2"/>
  <c r="D240" i="8" s="1"/>
  <c r="H241" i="2"/>
  <c r="D241" i="8" s="1"/>
  <c r="H242" i="2"/>
  <c r="D242" i="8" s="1"/>
  <c r="H243" i="2"/>
  <c r="H244" i="2"/>
  <c r="D244" i="8" s="1"/>
  <c r="H245" i="2"/>
  <c r="D245" i="8" s="1"/>
  <c r="H246" i="2"/>
  <c r="D246" i="8" s="1"/>
  <c r="H247" i="2"/>
  <c r="H248" i="2"/>
  <c r="D248" i="8" s="1"/>
  <c r="H249" i="2"/>
  <c r="D249" i="8" s="1"/>
  <c r="H250" i="2"/>
  <c r="D250" i="8" s="1"/>
  <c r="H251" i="2"/>
  <c r="H252" i="2"/>
  <c r="D252" i="8" s="1"/>
  <c r="H253" i="2"/>
  <c r="D253" i="8" s="1"/>
  <c r="H254" i="2"/>
  <c r="D254" i="8" s="1"/>
  <c r="H255" i="2"/>
  <c r="H256" i="2"/>
  <c r="D256" i="8" s="1"/>
  <c r="H257" i="2"/>
  <c r="D257" i="8" s="1"/>
  <c r="H258" i="2"/>
  <c r="D258" i="8" s="1"/>
  <c r="H259" i="2"/>
  <c r="H260" i="2"/>
  <c r="D260" i="8" s="1"/>
  <c r="H261" i="2"/>
  <c r="D261" i="8" s="1"/>
  <c r="H262" i="2"/>
  <c r="D262" i="8" s="1"/>
  <c r="H263" i="2"/>
  <c r="H264" i="2"/>
  <c r="D264" i="8" s="1"/>
  <c r="H265" i="2"/>
  <c r="D265" i="8" s="1"/>
  <c r="H266" i="2"/>
  <c r="H267" i="2"/>
  <c r="H268" i="2"/>
  <c r="D268" i="8" s="1"/>
  <c r="H269" i="2"/>
  <c r="D269" i="8" s="1"/>
  <c r="H270" i="2"/>
  <c r="D270" i="8" s="1"/>
  <c r="H271" i="2"/>
  <c r="H272" i="2"/>
  <c r="D272" i="8" s="1"/>
  <c r="H273" i="2"/>
  <c r="D273" i="8" s="1"/>
  <c r="H274" i="2"/>
  <c r="D274" i="8" s="1"/>
  <c r="H275" i="2"/>
  <c r="H276" i="2"/>
  <c r="D276" i="8" s="1"/>
  <c r="H277" i="2"/>
  <c r="D277" i="8" s="1"/>
  <c r="H278" i="2"/>
  <c r="D278" i="8" s="1"/>
  <c r="H279" i="2"/>
  <c r="H280" i="2"/>
  <c r="D280" i="8" s="1"/>
  <c r="H281" i="2"/>
  <c r="D281" i="8" s="1"/>
  <c r="H282" i="2"/>
  <c r="D282" i="8" s="1"/>
  <c r="H283" i="2"/>
  <c r="H284" i="2"/>
  <c r="H285" i="2"/>
  <c r="D285" i="8" s="1"/>
  <c r="H286" i="2"/>
  <c r="D286" i="8" s="1"/>
  <c r="H287" i="2"/>
  <c r="H288" i="2"/>
  <c r="D288" i="8" s="1"/>
  <c r="H289" i="2"/>
  <c r="H290" i="2"/>
  <c r="D290" i="8" s="1"/>
  <c r="H291" i="2"/>
  <c r="H292" i="2"/>
  <c r="D292" i="8" s="1"/>
  <c r="H293" i="2"/>
  <c r="D293" i="8" s="1"/>
  <c r="H294" i="2"/>
  <c r="D294" i="8" s="1"/>
  <c r="H295" i="2"/>
  <c r="H296" i="2"/>
  <c r="H297" i="2"/>
  <c r="D297" i="8" s="1"/>
  <c r="H298" i="2"/>
  <c r="D298" i="8" s="1"/>
  <c r="H299" i="2"/>
  <c r="H300" i="2"/>
  <c r="D300" i="8" s="1"/>
  <c r="H301" i="2"/>
  <c r="D301" i="8" s="1"/>
  <c r="H302" i="2"/>
  <c r="D302" i="8" s="1"/>
  <c r="H303" i="2"/>
  <c r="H304" i="2"/>
  <c r="D304" i="8" s="1"/>
  <c r="H305" i="2"/>
  <c r="D305" i="8" s="1"/>
  <c r="H306" i="2"/>
  <c r="D306" i="8" s="1"/>
  <c r="H307" i="2"/>
  <c r="H308" i="2"/>
  <c r="D308" i="8" s="1"/>
  <c r="H309" i="2"/>
  <c r="D309" i="8" s="1"/>
  <c r="H310" i="2"/>
  <c r="D310" i="8" s="1"/>
  <c r="H311" i="2"/>
  <c r="H312" i="2"/>
  <c r="D312" i="8" s="1"/>
  <c r="H313" i="2"/>
  <c r="D313" i="8" s="1"/>
  <c r="H314" i="2"/>
  <c r="D314" i="8" s="1"/>
  <c r="H315" i="2"/>
  <c r="H316" i="2"/>
  <c r="D316" i="8" s="1"/>
  <c r="H317" i="2"/>
  <c r="D317" i="8" s="1"/>
  <c r="H318" i="2"/>
  <c r="D318" i="8" s="1"/>
  <c r="H319" i="2"/>
  <c r="H320" i="2"/>
  <c r="D320" i="8" s="1"/>
  <c r="H321" i="2"/>
  <c r="D321" i="8" s="1"/>
  <c r="H322" i="2"/>
  <c r="D322" i="8" s="1"/>
  <c r="H323" i="2"/>
  <c r="H324" i="2"/>
  <c r="D324" i="8" s="1"/>
  <c r="H325" i="2"/>
  <c r="D325" i="8" s="1"/>
  <c r="H326" i="2"/>
  <c r="D326" i="8" s="1"/>
  <c r="H327" i="2"/>
  <c r="H328" i="2"/>
  <c r="D328" i="8" s="1"/>
  <c r="H329" i="2"/>
  <c r="D329" i="8" s="1"/>
  <c r="H330" i="2"/>
  <c r="H331" i="2"/>
  <c r="H332" i="2"/>
  <c r="D332" i="8" s="1"/>
  <c r="H333" i="2"/>
  <c r="D333" i="8" s="1"/>
  <c r="H334" i="2"/>
  <c r="D334" i="8" s="1"/>
  <c r="H335" i="2"/>
  <c r="H336" i="2"/>
  <c r="D336" i="8" s="1"/>
  <c r="H337" i="2"/>
  <c r="H338" i="2"/>
  <c r="D338" i="8" s="1"/>
  <c r="H339" i="2"/>
  <c r="H340" i="2"/>
  <c r="D340" i="8" s="1"/>
  <c r="H341" i="2"/>
  <c r="D341" i="8" s="1"/>
  <c r="H342" i="2"/>
  <c r="D342" i="8" s="1"/>
  <c r="H343" i="2"/>
  <c r="H344" i="2"/>
  <c r="D344" i="8" s="1"/>
  <c r="H345" i="2"/>
  <c r="D345" i="8" s="1"/>
  <c r="H346" i="2"/>
  <c r="D346" i="8" s="1"/>
  <c r="H347" i="2"/>
  <c r="H348" i="2"/>
  <c r="D348" i="8" s="1"/>
  <c r="H349" i="2"/>
  <c r="D349" i="8" s="1"/>
  <c r="H350" i="2"/>
  <c r="D350" i="8" s="1"/>
  <c r="H351" i="2"/>
  <c r="H352" i="2"/>
  <c r="D352" i="8" s="1"/>
  <c r="H353" i="2"/>
  <c r="D353" i="8" s="1"/>
  <c r="H354" i="2"/>
  <c r="D354" i="8" s="1"/>
  <c r="H355" i="2"/>
  <c r="H356" i="2"/>
  <c r="D356" i="8" s="1"/>
  <c r="H357" i="2"/>
  <c r="D357" i="8" s="1"/>
  <c r="H358" i="2"/>
  <c r="H359" i="2"/>
  <c r="H360" i="2"/>
  <c r="D360" i="8" s="1"/>
  <c r="H361" i="2"/>
  <c r="D361" i="8" s="1"/>
  <c r="H362" i="2"/>
  <c r="D362" i="8" s="1"/>
  <c r="H363" i="2"/>
  <c r="H364" i="2"/>
  <c r="D364" i="8" s="1"/>
  <c r="H365" i="2"/>
  <c r="D365" i="8" s="1"/>
  <c r="H366" i="2"/>
  <c r="H367" i="2"/>
  <c r="H368" i="2"/>
  <c r="D368" i="8" s="1"/>
  <c r="H11" i="1"/>
  <c r="H12" i="1"/>
  <c r="D3" i="10" s="1"/>
  <c r="I11" i="1"/>
  <c r="I12" i="1"/>
  <c r="E3" i="10" s="1"/>
  <c r="I1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N3" i="1"/>
  <c r="M3" i="1"/>
  <c r="L3" i="1"/>
  <c r="K3" i="1"/>
  <c r="O10" i="18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7" i="11" s="1"/>
  <c r="I32" i="1"/>
  <c r="I33" i="1"/>
  <c r="I34" i="1"/>
  <c r="I35" i="1"/>
  <c r="I36" i="1"/>
  <c r="I37" i="1"/>
  <c r="I38" i="1"/>
  <c r="E8" i="10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E9" i="10" s="1"/>
  <c r="I53" i="1"/>
  <c r="I54" i="1"/>
  <c r="I55" i="1"/>
  <c r="I56" i="1"/>
  <c r="I57" i="1"/>
  <c r="I58" i="1"/>
  <c r="I59" i="1"/>
  <c r="E10" i="10" s="1"/>
  <c r="I60" i="1"/>
  <c r="I61" i="1"/>
  <c r="E11" i="10" s="1"/>
  <c r="I62" i="1"/>
  <c r="I63" i="1"/>
  <c r="E12" i="10" s="1"/>
  <c r="I64" i="1"/>
  <c r="I65" i="1"/>
  <c r="I66" i="1"/>
  <c r="I67" i="1"/>
  <c r="I68" i="1"/>
  <c r="I69" i="1"/>
  <c r="I70" i="1"/>
  <c r="E13" i="10" s="1"/>
  <c r="I71" i="1"/>
  <c r="I72" i="1"/>
  <c r="I73" i="1"/>
  <c r="I74" i="1"/>
  <c r="I75" i="1"/>
  <c r="I76" i="1"/>
  <c r="I77" i="1"/>
  <c r="I78" i="1"/>
  <c r="I79" i="1"/>
  <c r="I80" i="1"/>
  <c r="K14" i="11" s="1"/>
  <c r="I81" i="1"/>
  <c r="I82" i="1"/>
  <c r="I83" i="1"/>
  <c r="I84" i="1"/>
  <c r="I85" i="1"/>
  <c r="E15" i="10" s="1"/>
  <c r="I86" i="1"/>
  <c r="I87" i="1"/>
  <c r="E16" i="10" s="1"/>
  <c r="I88" i="1"/>
  <c r="I89" i="1"/>
  <c r="I90" i="1"/>
  <c r="I91" i="1"/>
  <c r="I92" i="1"/>
  <c r="I93" i="1"/>
  <c r="I94" i="1"/>
  <c r="I95" i="1"/>
  <c r="I96" i="1"/>
  <c r="E17" i="10" s="1"/>
  <c r="I97" i="1"/>
  <c r="I98" i="1"/>
  <c r="I99" i="1"/>
  <c r="I100" i="1"/>
  <c r="I101" i="1"/>
  <c r="I102" i="1"/>
  <c r="I103" i="1"/>
  <c r="E18" i="10" s="1"/>
  <c r="I104" i="1"/>
  <c r="E19" i="10" s="1"/>
  <c r="I105" i="1"/>
  <c r="I106" i="1"/>
  <c r="E20" i="10" s="1"/>
  <c r="I107" i="1"/>
  <c r="I108" i="1"/>
  <c r="I109" i="1"/>
  <c r="I110" i="1"/>
  <c r="E21" i="10" s="1"/>
  <c r="I111" i="1"/>
  <c r="K22" i="11" s="1"/>
  <c r="I112" i="1"/>
  <c r="I113" i="1"/>
  <c r="I114" i="1"/>
  <c r="I115" i="1"/>
  <c r="I116" i="1"/>
  <c r="I117" i="1"/>
  <c r="E23" i="10" s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E24" i="10" s="1"/>
  <c r="I174" i="1"/>
  <c r="I175" i="1"/>
  <c r="I176" i="1"/>
  <c r="I177" i="1"/>
  <c r="I178" i="1"/>
  <c r="I179" i="1"/>
  <c r="I180" i="1"/>
  <c r="K25" i="1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E26" i="10" s="1"/>
  <c r="I200" i="1"/>
  <c r="I201" i="1"/>
  <c r="I202" i="1"/>
  <c r="I203" i="1"/>
  <c r="I204" i="1"/>
  <c r="I205" i="1"/>
  <c r="I206" i="1"/>
  <c r="E27" i="10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E28" i="10" s="1"/>
  <c r="I226" i="1"/>
  <c r="I227" i="1"/>
  <c r="I228" i="1"/>
  <c r="I229" i="1"/>
  <c r="I230" i="1"/>
  <c r="I231" i="1"/>
  <c r="I232" i="1"/>
  <c r="K29" i="11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E30" i="10" s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E31" i="10" s="1"/>
  <c r="I285" i="1"/>
  <c r="I286" i="1"/>
  <c r="I287" i="1"/>
  <c r="I288" i="1"/>
  <c r="I289" i="1"/>
  <c r="E32" i="10" s="1"/>
  <c r="I290" i="1"/>
  <c r="I291" i="1"/>
  <c r="I292" i="1"/>
  <c r="I293" i="1"/>
  <c r="I294" i="1"/>
  <c r="I295" i="1"/>
  <c r="I296" i="1"/>
  <c r="E33" i="10" s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E34" i="10" s="1"/>
  <c r="I316" i="1"/>
  <c r="I317" i="1"/>
  <c r="I318" i="1"/>
  <c r="I319" i="1"/>
  <c r="I320" i="1"/>
  <c r="I321" i="1"/>
  <c r="I322" i="1"/>
  <c r="I323" i="1"/>
  <c r="E35" i="10" s="1"/>
  <c r="I324" i="1"/>
  <c r="I325" i="1"/>
  <c r="I326" i="1"/>
  <c r="I327" i="1"/>
  <c r="I328" i="1"/>
  <c r="I329" i="1"/>
  <c r="I330" i="1"/>
  <c r="E36" i="10" s="1"/>
  <c r="I331" i="1"/>
  <c r="I332" i="1"/>
  <c r="I333" i="1"/>
  <c r="I334" i="1"/>
  <c r="I335" i="1"/>
  <c r="I336" i="1"/>
  <c r="I337" i="1"/>
  <c r="E37" i="10" s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E38" i="10" s="1"/>
  <c r="I359" i="1"/>
  <c r="I360" i="1"/>
  <c r="I361" i="1"/>
  <c r="I362" i="1"/>
  <c r="I363" i="1"/>
  <c r="I364" i="1"/>
  <c r="I365" i="1"/>
  <c r="I366" i="1"/>
  <c r="I367" i="1"/>
  <c r="I368" i="1"/>
  <c r="I10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7" i="10" s="1"/>
  <c r="H32" i="1"/>
  <c r="H33" i="1"/>
  <c r="H34" i="1"/>
  <c r="H35" i="1"/>
  <c r="H36" i="1"/>
  <c r="H37" i="1"/>
  <c r="H38" i="1"/>
  <c r="D8" i="10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D9" i="10" s="1"/>
  <c r="H53" i="1"/>
  <c r="H54" i="1"/>
  <c r="H55" i="1"/>
  <c r="H56" i="1"/>
  <c r="H57" i="1"/>
  <c r="H58" i="1"/>
  <c r="H59" i="1"/>
  <c r="D10" i="10" s="1"/>
  <c r="H60" i="1"/>
  <c r="H61" i="1"/>
  <c r="D11" i="10" s="1"/>
  <c r="H62" i="1"/>
  <c r="H63" i="1"/>
  <c r="D12" i="10" s="1"/>
  <c r="H64" i="1"/>
  <c r="H65" i="1"/>
  <c r="H66" i="1"/>
  <c r="H67" i="1"/>
  <c r="H68" i="1"/>
  <c r="H69" i="1"/>
  <c r="H70" i="1"/>
  <c r="J13" i="11" s="1"/>
  <c r="D21" i="19" s="1"/>
  <c r="H71" i="1"/>
  <c r="H72" i="1"/>
  <c r="H73" i="1"/>
  <c r="H74" i="1"/>
  <c r="H75" i="1"/>
  <c r="H76" i="1"/>
  <c r="H77" i="1"/>
  <c r="H78" i="1"/>
  <c r="H79" i="1"/>
  <c r="H80" i="1"/>
  <c r="D14" i="10" s="1"/>
  <c r="H81" i="1"/>
  <c r="H82" i="1"/>
  <c r="H83" i="1"/>
  <c r="H84" i="1"/>
  <c r="H85" i="1"/>
  <c r="D15" i="10" s="1"/>
  <c r="H86" i="1"/>
  <c r="H87" i="1"/>
  <c r="D16" i="10" s="1"/>
  <c r="H88" i="1"/>
  <c r="H89" i="1"/>
  <c r="H90" i="1"/>
  <c r="H91" i="1"/>
  <c r="H92" i="1"/>
  <c r="H93" i="1"/>
  <c r="H94" i="1"/>
  <c r="H95" i="1"/>
  <c r="H96" i="1"/>
  <c r="D17" i="10" s="1"/>
  <c r="H97" i="1"/>
  <c r="H98" i="1"/>
  <c r="H99" i="1"/>
  <c r="H100" i="1"/>
  <c r="H101" i="1"/>
  <c r="H102" i="1"/>
  <c r="H103" i="1"/>
  <c r="D18" i="10" s="1"/>
  <c r="H104" i="1"/>
  <c r="D19" i="10" s="1"/>
  <c r="H105" i="1"/>
  <c r="H106" i="1"/>
  <c r="D20" i="10" s="1"/>
  <c r="H107" i="1"/>
  <c r="H108" i="1"/>
  <c r="H109" i="1"/>
  <c r="H110" i="1"/>
  <c r="J21" i="11" s="1"/>
  <c r="D29" i="19" s="1"/>
  <c r="H111" i="1"/>
  <c r="D22" i="10" s="1"/>
  <c r="H112" i="1"/>
  <c r="H113" i="1"/>
  <c r="H114" i="1"/>
  <c r="H115" i="1"/>
  <c r="H116" i="1"/>
  <c r="H117" i="1"/>
  <c r="D23" i="10" s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D24" i="10" s="1"/>
  <c r="H174" i="1"/>
  <c r="H175" i="1"/>
  <c r="H176" i="1"/>
  <c r="H177" i="1"/>
  <c r="H178" i="1"/>
  <c r="H179" i="1"/>
  <c r="H180" i="1"/>
  <c r="D25" i="10" s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D26" i="10" s="1"/>
  <c r="H200" i="1"/>
  <c r="H201" i="1"/>
  <c r="H202" i="1"/>
  <c r="H203" i="1"/>
  <c r="H204" i="1"/>
  <c r="H205" i="1"/>
  <c r="H206" i="1"/>
  <c r="D27" i="10" s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D28" i="10" s="1"/>
  <c r="H226" i="1"/>
  <c r="H227" i="1"/>
  <c r="H228" i="1"/>
  <c r="H229" i="1"/>
  <c r="H230" i="1"/>
  <c r="H231" i="1"/>
  <c r="H232" i="1"/>
  <c r="D29" i="10" s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D30" i="10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D31" i="10" s="1"/>
  <c r="H285" i="1"/>
  <c r="H286" i="1"/>
  <c r="H287" i="1"/>
  <c r="H288" i="1"/>
  <c r="H289" i="1"/>
  <c r="D32" i="10" s="1"/>
  <c r="H290" i="1"/>
  <c r="H291" i="1"/>
  <c r="H292" i="1"/>
  <c r="H293" i="1"/>
  <c r="H294" i="1"/>
  <c r="H295" i="1"/>
  <c r="H296" i="1"/>
  <c r="D33" i="10" s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D34" i="10" s="1"/>
  <c r="H316" i="1"/>
  <c r="H317" i="1"/>
  <c r="H318" i="1"/>
  <c r="H319" i="1"/>
  <c r="H320" i="1"/>
  <c r="H321" i="1"/>
  <c r="H322" i="1"/>
  <c r="H323" i="1"/>
  <c r="D35" i="10" s="1"/>
  <c r="H324" i="1"/>
  <c r="H325" i="1"/>
  <c r="H326" i="1"/>
  <c r="H327" i="1"/>
  <c r="H328" i="1"/>
  <c r="H329" i="1"/>
  <c r="H330" i="1"/>
  <c r="D36" i="10" s="1"/>
  <c r="H331" i="1"/>
  <c r="H332" i="1"/>
  <c r="H333" i="1"/>
  <c r="H334" i="1"/>
  <c r="H335" i="1"/>
  <c r="H336" i="1"/>
  <c r="H337" i="1"/>
  <c r="D37" i="10" s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D38" i="10" s="1"/>
  <c r="H359" i="1"/>
  <c r="H360" i="1"/>
  <c r="H361" i="1"/>
  <c r="H362" i="1"/>
  <c r="H363" i="1"/>
  <c r="H364" i="1"/>
  <c r="H365" i="1"/>
  <c r="H366" i="1"/>
  <c r="H367" i="1"/>
  <c r="H368" i="1"/>
  <c r="H10" i="1"/>
  <c r="G4" i="1"/>
  <c r="G5" i="1"/>
  <c r="G6" i="1"/>
  <c r="G7" i="1"/>
  <c r="G8" i="1"/>
  <c r="G9" i="1"/>
  <c r="G10" i="1"/>
  <c r="G11" i="1"/>
  <c r="G12" i="1"/>
  <c r="U3" i="10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U7" i="10" s="1"/>
  <c r="G32" i="1"/>
  <c r="G33" i="1"/>
  <c r="G34" i="1"/>
  <c r="G35" i="1"/>
  <c r="G36" i="1"/>
  <c r="G37" i="1"/>
  <c r="G38" i="1"/>
  <c r="U8" i="10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U9" i="10" s="1"/>
  <c r="G53" i="1"/>
  <c r="G54" i="1"/>
  <c r="G55" i="1"/>
  <c r="G56" i="1"/>
  <c r="G57" i="1"/>
  <c r="G58" i="1"/>
  <c r="G59" i="1"/>
  <c r="U10" i="10" s="1"/>
  <c r="G60" i="1"/>
  <c r="G61" i="1"/>
  <c r="U11" i="10" s="1"/>
  <c r="G62" i="1"/>
  <c r="G63" i="1"/>
  <c r="I12" i="11" s="1"/>
  <c r="G64" i="1"/>
  <c r="G65" i="1"/>
  <c r="G66" i="1"/>
  <c r="G67" i="1"/>
  <c r="G68" i="1"/>
  <c r="G69" i="1"/>
  <c r="G70" i="1"/>
  <c r="U13" i="10" s="1"/>
  <c r="G71" i="1"/>
  <c r="G72" i="1"/>
  <c r="G73" i="1"/>
  <c r="G74" i="1"/>
  <c r="G75" i="1"/>
  <c r="G76" i="1"/>
  <c r="G77" i="1"/>
  <c r="G78" i="1"/>
  <c r="G79" i="1"/>
  <c r="G80" i="1"/>
  <c r="U14" i="10" s="1"/>
  <c r="G81" i="1"/>
  <c r="G82" i="1"/>
  <c r="G83" i="1"/>
  <c r="G84" i="1"/>
  <c r="G85" i="1"/>
  <c r="U15" i="10" s="1"/>
  <c r="G86" i="1"/>
  <c r="G87" i="1"/>
  <c r="U16" i="10" s="1"/>
  <c r="G88" i="1"/>
  <c r="G89" i="1"/>
  <c r="G90" i="1"/>
  <c r="G91" i="1"/>
  <c r="G92" i="1"/>
  <c r="G93" i="1"/>
  <c r="G94" i="1"/>
  <c r="G95" i="1"/>
  <c r="G96" i="1"/>
  <c r="U17" i="10" s="1"/>
  <c r="G97" i="1"/>
  <c r="G98" i="1"/>
  <c r="G99" i="1"/>
  <c r="G100" i="1"/>
  <c r="G101" i="1"/>
  <c r="G102" i="1"/>
  <c r="G103" i="1"/>
  <c r="U18" i="10" s="1"/>
  <c r="G104" i="1"/>
  <c r="U19" i="10" s="1"/>
  <c r="G105" i="1"/>
  <c r="G106" i="1"/>
  <c r="I20" i="11" s="1"/>
  <c r="G107" i="1"/>
  <c r="G108" i="1"/>
  <c r="G109" i="1"/>
  <c r="G110" i="1"/>
  <c r="U21" i="10" s="1"/>
  <c r="G111" i="1"/>
  <c r="U22" i="10" s="1"/>
  <c r="G112" i="1"/>
  <c r="G113" i="1"/>
  <c r="G114" i="1"/>
  <c r="G115" i="1"/>
  <c r="G116" i="1"/>
  <c r="G117" i="1"/>
  <c r="U23" i="10" s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U24" i="10" s="1"/>
  <c r="G174" i="1"/>
  <c r="G175" i="1"/>
  <c r="G176" i="1"/>
  <c r="G177" i="1"/>
  <c r="G178" i="1"/>
  <c r="G179" i="1"/>
  <c r="G180" i="1"/>
  <c r="U25" i="10" s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U26" i="10" s="1"/>
  <c r="G200" i="1"/>
  <c r="G201" i="1"/>
  <c r="G202" i="1"/>
  <c r="G203" i="1"/>
  <c r="G204" i="1"/>
  <c r="G205" i="1"/>
  <c r="G206" i="1"/>
  <c r="I27" i="1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U28" i="10" s="1"/>
  <c r="G226" i="1"/>
  <c r="G227" i="1"/>
  <c r="G228" i="1"/>
  <c r="G229" i="1"/>
  <c r="G230" i="1"/>
  <c r="G231" i="1"/>
  <c r="G232" i="1"/>
  <c r="U29" i="10" s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U30" i="10" s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U31" i="10" s="1"/>
  <c r="G285" i="1"/>
  <c r="G286" i="1"/>
  <c r="G287" i="1"/>
  <c r="G288" i="1"/>
  <c r="G289" i="1"/>
  <c r="U32" i="10" s="1"/>
  <c r="G290" i="1"/>
  <c r="G291" i="1"/>
  <c r="G292" i="1"/>
  <c r="G293" i="1"/>
  <c r="G294" i="1"/>
  <c r="G295" i="1"/>
  <c r="G296" i="1"/>
  <c r="U33" i="10" s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U34" i="10" s="1"/>
  <c r="G316" i="1"/>
  <c r="G317" i="1"/>
  <c r="G318" i="1"/>
  <c r="G319" i="1"/>
  <c r="G320" i="1"/>
  <c r="G321" i="1"/>
  <c r="G322" i="1"/>
  <c r="G323" i="1"/>
  <c r="U35" i="10" s="1"/>
  <c r="G324" i="1"/>
  <c r="G325" i="1"/>
  <c r="G326" i="1"/>
  <c r="G327" i="1"/>
  <c r="G328" i="1"/>
  <c r="G329" i="1"/>
  <c r="G330" i="1"/>
  <c r="U36" i="10" s="1"/>
  <c r="G331" i="1"/>
  <c r="G332" i="1"/>
  <c r="G333" i="1"/>
  <c r="G334" i="1"/>
  <c r="G335" i="1"/>
  <c r="G336" i="1"/>
  <c r="G337" i="1"/>
  <c r="U37" i="10" s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U38" i="10" s="1"/>
  <c r="G359" i="1"/>
  <c r="G360" i="1"/>
  <c r="G361" i="1"/>
  <c r="G362" i="1"/>
  <c r="G363" i="1"/>
  <c r="G364" i="1"/>
  <c r="G365" i="1"/>
  <c r="G366" i="1"/>
  <c r="G367" i="1"/>
  <c r="G368" i="1"/>
  <c r="G3" i="1"/>
  <c r="D9" i="16" l="1"/>
  <c r="D25" i="16"/>
  <c r="D15" i="19"/>
  <c r="D15" i="16"/>
  <c r="D8" i="16"/>
  <c r="D40" i="16"/>
  <c r="D29" i="16"/>
  <c r="D21" i="16"/>
  <c r="N316" i="18"/>
  <c r="N332" i="18"/>
  <c r="N340" i="18"/>
  <c r="N202" i="18"/>
  <c r="N218" i="18"/>
  <c r="N290" i="18"/>
  <c r="N330" i="18"/>
  <c r="N356" i="18"/>
  <c r="N346" i="18"/>
  <c r="G368" i="3"/>
  <c r="E368" i="3"/>
  <c r="I368" i="3"/>
  <c r="T368" i="3"/>
  <c r="N138" i="18"/>
  <c r="N170" i="18"/>
  <c r="N178" i="18"/>
  <c r="N234" i="18"/>
  <c r="N155" i="18"/>
  <c r="N15" i="18"/>
  <c r="N27" i="18"/>
  <c r="N51" i="18"/>
  <c r="N59" i="18"/>
  <c r="N83" i="18"/>
  <c r="N297" i="18"/>
  <c r="N307" i="18"/>
  <c r="N121" i="18"/>
  <c r="N137" i="18"/>
  <c r="N153" i="18"/>
  <c r="N251" i="18"/>
  <c r="N355" i="18"/>
  <c r="N20" i="18"/>
  <c r="N52" i="18"/>
  <c r="N68" i="18"/>
  <c r="N84" i="18"/>
  <c r="N85" i="18"/>
  <c r="N169" i="18"/>
  <c r="N185" i="18"/>
  <c r="N186" i="18"/>
  <c r="N217" i="18"/>
  <c r="N233" i="18"/>
  <c r="N305" i="18"/>
  <c r="N321" i="18"/>
  <c r="N361" i="18"/>
  <c r="N291" i="18"/>
  <c r="N187" i="18"/>
  <c r="N188" i="18"/>
  <c r="N189" i="18"/>
  <c r="N190" i="18"/>
  <c r="N191" i="18"/>
  <c r="N192" i="18"/>
  <c r="N203" i="18"/>
  <c r="N235" i="18"/>
  <c r="N242" i="18"/>
  <c r="N243" i="18"/>
  <c r="N245" i="18"/>
  <c r="N246" i="18"/>
  <c r="N247" i="18"/>
  <c r="N252" i="18"/>
  <c r="N266" i="18"/>
  <c r="N308" i="18"/>
  <c r="N310" i="18"/>
  <c r="N311" i="18"/>
  <c r="N313" i="18"/>
  <c r="N362" i="18"/>
  <c r="N98" i="18"/>
  <c r="N106" i="18"/>
  <c r="N139" i="18"/>
  <c r="N196" i="18"/>
  <c r="N324" i="18"/>
  <c r="N108" i="18"/>
  <c r="N220" i="18"/>
  <c r="N347" i="18"/>
  <c r="N122" i="18"/>
  <c r="N123" i="18"/>
  <c r="N125" i="18"/>
  <c r="N126" i="18"/>
  <c r="N127" i="18"/>
  <c r="N128" i="18"/>
  <c r="N244" i="18"/>
  <c r="N363" i="18"/>
  <c r="N364" i="18"/>
  <c r="N365" i="18"/>
  <c r="N366" i="18"/>
  <c r="N367" i="18"/>
  <c r="N368" i="18"/>
  <c r="N109" i="18"/>
  <c r="N333" i="18"/>
  <c r="N110" i="18"/>
  <c r="N224" i="18"/>
  <c r="N114" i="18"/>
  <c r="N140" i="18"/>
  <c r="N141" i="18"/>
  <c r="N142" i="18"/>
  <c r="N253" i="18"/>
  <c r="N257" i="18"/>
  <c r="N259" i="18"/>
  <c r="N260" i="18"/>
  <c r="N261" i="18"/>
  <c r="N112" i="18"/>
  <c r="N221" i="18"/>
  <c r="N154" i="18"/>
  <c r="N267" i="18"/>
  <c r="N269" i="18"/>
  <c r="N270" i="18"/>
  <c r="N271" i="18"/>
  <c r="N272" i="18"/>
  <c r="N273" i="18"/>
  <c r="N274" i="18"/>
  <c r="N275" i="18"/>
  <c r="N282" i="18"/>
  <c r="N111" i="18"/>
  <c r="N219" i="18"/>
  <c r="N222" i="18"/>
  <c r="N19" i="18"/>
  <c r="N35" i="18"/>
  <c r="N37" i="18"/>
  <c r="N62" i="18"/>
  <c r="N67" i="18"/>
  <c r="N156" i="18"/>
  <c r="N157" i="18"/>
  <c r="N158" i="18"/>
  <c r="N159" i="18"/>
  <c r="N160" i="18"/>
  <c r="N197" i="18"/>
  <c r="N107" i="18"/>
  <c r="N223" i="18"/>
  <c r="N99" i="18"/>
  <c r="N105" i="18"/>
  <c r="N146" i="18"/>
  <c r="N299" i="18"/>
  <c r="N315" i="18"/>
  <c r="N66" i="18"/>
  <c r="N75" i="18"/>
  <c r="N131" i="18"/>
  <c r="N132" i="18"/>
  <c r="N133" i="18"/>
  <c r="N162" i="18"/>
  <c r="N172" i="18"/>
  <c r="N173" i="18"/>
  <c r="N174" i="18"/>
  <c r="N175" i="18"/>
  <c r="N176" i="18"/>
  <c r="N210" i="18"/>
  <c r="N228" i="18"/>
  <c r="N229" i="18"/>
  <c r="N284" i="18"/>
  <c r="N285" i="18"/>
  <c r="N286" i="18"/>
  <c r="N287" i="18"/>
  <c r="N288" i="18"/>
  <c r="N289" i="18"/>
  <c r="N91" i="18"/>
  <c r="N93" i="18"/>
  <c r="N94" i="18"/>
  <c r="N95" i="18"/>
  <c r="N96" i="18"/>
  <c r="N179" i="18"/>
  <c r="N180" i="18"/>
  <c r="N181" i="18"/>
  <c r="N236" i="18"/>
  <c r="N238" i="18"/>
  <c r="N239" i="18"/>
  <c r="N240" i="18"/>
  <c r="N292" i="18"/>
  <c r="N301" i="18"/>
  <c r="N64" i="18"/>
  <c r="N100" i="18"/>
  <c r="N101" i="18"/>
  <c r="N130" i="18"/>
  <c r="N143" i="18"/>
  <c r="N144" i="18"/>
  <c r="N171" i="18"/>
  <c r="N226" i="18"/>
  <c r="N248" i="18"/>
  <c r="N250" i="18"/>
  <c r="N283" i="18"/>
  <c r="N306" i="18"/>
  <c r="N147" i="18"/>
  <c r="N148" i="18"/>
  <c r="N149" i="18"/>
  <c r="N201" i="18"/>
  <c r="N265" i="18"/>
  <c r="N312" i="18"/>
  <c r="N317" i="18"/>
  <c r="N329" i="18"/>
  <c r="N43" i="18"/>
  <c r="N281" i="18"/>
  <c r="N331" i="18"/>
  <c r="N11" i="18"/>
  <c r="N12" i="18"/>
  <c r="N115" i="18"/>
  <c r="N116" i="18"/>
  <c r="N124" i="18"/>
  <c r="N204" i="18"/>
  <c r="N205" i="18"/>
  <c r="N206" i="18"/>
  <c r="N207" i="18"/>
  <c r="N208" i="18"/>
  <c r="N334" i="18"/>
  <c r="N335" i="18"/>
  <c r="N336" i="18"/>
  <c r="N337" i="18"/>
  <c r="N338" i="18"/>
  <c r="N342" i="18"/>
  <c r="N343" i="18"/>
  <c r="N344" i="18"/>
  <c r="N345" i="18"/>
  <c r="N36" i="18"/>
  <c r="N163" i="18"/>
  <c r="N164" i="18"/>
  <c r="N165" i="18"/>
  <c r="N194" i="18"/>
  <c r="N212" i="18"/>
  <c r="N213" i="18"/>
  <c r="N258" i="18"/>
  <c r="N268" i="18"/>
  <c r="N276" i="18"/>
  <c r="N322" i="18"/>
  <c r="N350" i="18"/>
  <c r="N351" i="18"/>
  <c r="N352" i="18"/>
  <c r="N357" i="18"/>
  <c r="N14" i="18"/>
  <c r="N16" i="18"/>
  <c r="N18" i="18"/>
  <c r="N46" i="18"/>
  <c r="N48" i="18"/>
  <c r="N50" i="18"/>
  <c r="N69" i="18"/>
  <c r="N78" i="18"/>
  <c r="N80" i="18"/>
  <c r="N82" i="18"/>
  <c r="N102" i="18"/>
  <c r="N103" i="18"/>
  <c r="N104" i="18"/>
  <c r="N113" i="18"/>
  <c r="N118" i="18"/>
  <c r="N119" i="18"/>
  <c r="N120" i="18"/>
  <c r="N129" i="18"/>
  <c r="N134" i="18"/>
  <c r="N135" i="18"/>
  <c r="N136" i="18"/>
  <c r="N145" i="18"/>
  <c r="N150" i="18"/>
  <c r="N151" i="18"/>
  <c r="N152" i="18"/>
  <c r="N161" i="18"/>
  <c r="N166" i="18"/>
  <c r="N167" i="18"/>
  <c r="N168" i="18"/>
  <c r="N177" i="18"/>
  <c r="N182" i="18"/>
  <c r="N183" i="18"/>
  <c r="N184" i="18"/>
  <c r="N193" i="18"/>
  <c r="N195" i="18"/>
  <c r="N198" i="18"/>
  <c r="N199" i="18"/>
  <c r="N200" i="18"/>
  <c r="N209" i="18"/>
  <c r="N211" i="18"/>
  <c r="N214" i="18"/>
  <c r="N215" i="18"/>
  <c r="N216" i="18"/>
  <c r="N225" i="18"/>
  <c r="N227" i="18"/>
  <c r="N230" i="18"/>
  <c r="N231" i="18"/>
  <c r="N232" i="18"/>
  <c r="N241" i="18"/>
  <c r="N262" i="18"/>
  <c r="N263" i="18"/>
  <c r="N264" i="18"/>
  <c r="N298" i="18"/>
  <c r="N309" i="18"/>
  <c r="N323" i="18"/>
  <c r="N326" i="18"/>
  <c r="N327" i="18"/>
  <c r="N328" i="18"/>
  <c r="N348" i="18"/>
  <c r="N28" i="18"/>
  <c r="N60" i="18"/>
  <c r="N92" i="18"/>
  <c r="N302" i="18"/>
  <c r="N303" i="18"/>
  <c r="N304" i="18"/>
  <c r="N349" i="18"/>
  <c r="N13" i="18"/>
  <c r="N22" i="18"/>
  <c r="N24" i="18"/>
  <c r="N26" i="18"/>
  <c r="N45" i="18"/>
  <c r="N54" i="18"/>
  <c r="N56" i="18"/>
  <c r="N58" i="18"/>
  <c r="N77" i="18"/>
  <c r="N86" i="18"/>
  <c r="N88" i="18"/>
  <c r="N90" i="18"/>
  <c r="N117" i="18"/>
  <c r="N278" i="18"/>
  <c r="N279" i="18"/>
  <c r="N280" i="18"/>
  <c r="N300" i="18"/>
  <c r="N314" i="18"/>
  <c r="N325" i="18"/>
  <c r="N339" i="18"/>
  <c r="N354" i="18"/>
  <c r="N254" i="18"/>
  <c r="N255" i="18"/>
  <c r="N256" i="18"/>
  <c r="N318" i="18"/>
  <c r="N319" i="18"/>
  <c r="N320" i="18"/>
  <c r="N353" i="18"/>
  <c r="N358" i="18"/>
  <c r="N359" i="18"/>
  <c r="N360" i="18"/>
  <c r="N21" i="18"/>
  <c r="N30" i="18"/>
  <c r="N32" i="18"/>
  <c r="N34" i="18"/>
  <c r="N53" i="18"/>
  <c r="N249" i="18"/>
  <c r="N277" i="18"/>
  <c r="N294" i="18"/>
  <c r="N295" i="18"/>
  <c r="N296" i="18"/>
  <c r="N341" i="18"/>
  <c r="N10" i="18"/>
  <c r="N44" i="18"/>
  <c r="N76" i="18"/>
  <c r="N29" i="18"/>
  <c r="N38" i="18"/>
  <c r="N40" i="18"/>
  <c r="N42" i="18"/>
  <c r="N61" i="18"/>
  <c r="N70" i="18"/>
  <c r="N72" i="18"/>
  <c r="N74" i="18"/>
  <c r="N237" i="18"/>
  <c r="N293" i="18"/>
  <c r="N23" i="18"/>
  <c r="N31" i="18"/>
  <c r="N39" i="18"/>
  <c r="N47" i="18"/>
  <c r="N55" i="18"/>
  <c r="N63" i="18"/>
  <c r="N71" i="18"/>
  <c r="N79" i="18"/>
  <c r="N87" i="18"/>
  <c r="N17" i="18"/>
  <c r="N25" i="18"/>
  <c r="N33" i="18"/>
  <c r="N41" i="18"/>
  <c r="N49" i="18"/>
  <c r="N57" i="18"/>
  <c r="N65" i="18"/>
  <c r="N73" i="18"/>
  <c r="N81" i="18"/>
  <c r="N89" i="18"/>
  <c r="N97" i="18"/>
  <c r="H212" i="8"/>
  <c r="F24" i="10"/>
  <c r="F23" i="10"/>
  <c r="F15" i="10"/>
  <c r="F11" i="10"/>
  <c r="H30" i="11"/>
  <c r="F31" i="10"/>
  <c r="D31" i="11" s="1"/>
  <c r="F25" i="10"/>
  <c r="F9" i="10"/>
  <c r="D3" i="11"/>
  <c r="F38" i="10"/>
  <c r="F30" i="10"/>
  <c r="D30" i="11" s="1"/>
  <c r="F20" i="10"/>
  <c r="I22" i="8"/>
  <c r="I18" i="8"/>
  <c r="I14" i="8"/>
  <c r="I365" i="8"/>
  <c r="I361" i="8"/>
  <c r="I357" i="8"/>
  <c r="I353" i="8"/>
  <c r="I349" i="8"/>
  <c r="I345" i="8"/>
  <c r="I341" i="8"/>
  <c r="I335" i="8"/>
  <c r="I331" i="8"/>
  <c r="I327" i="8"/>
  <c r="I321" i="8"/>
  <c r="I317" i="8"/>
  <c r="I311" i="8"/>
  <c r="I307" i="8"/>
  <c r="I303" i="8"/>
  <c r="I299" i="8"/>
  <c r="I295" i="8"/>
  <c r="I291" i="8"/>
  <c r="I285" i="8"/>
  <c r="I281" i="8"/>
  <c r="I277" i="8"/>
  <c r="I273" i="8"/>
  <c r="I269" i="8"/>
  <c r="I265" i="8"/>
  <c r="I261" i="8"/>
  <c r="I257" i="8"/>
  <c r="I253" i="8"/>
  <c r="I249" i="8"/>
  <c r="I243" i="8"/>
  <c r="I239" i="8"/>
  <c r="I235" i="8"/>
  <c r="I231" i="8"/>
  <c r="I227" i="8"/>
  <c r="I223" i="8"/>
  <c r="I221" i="8"/>
  <c r="I219" i="8"/>
  <c r="I217" i="8"/>
  <c r="I215" i="8"/>
  <c r="I213" i="8"/>
  <c r="I211" i="8"/>
  <c r="I209" i="8"/>
  <c r="I207" i="8"/>
  <c r="I203" i="8"/>
  <c r="I201" i="8"/>
  <c r="F36" i="10"/>
  <c r="D36" i="11" s="1"/>
  <c r="I26" i="8"/>
  <c r="I20" i="8"/>
  <c r="I16" i="8"/>
  <c r="I367" i="8"/>
  <c r="I363" i="8"/>
  <c r="I359" i="8"/>
  <c r="I355" i="8"/>
  <c r="I351" i="8"/>
  <c r="I347" i="8"/>
  <c r="I343" i="8"/>
  <c r="I339" i="8"/>
  <c r="I333" i="8"/>
  <c r="I329" i="8"/>
  <c r="I325" i="8"/>
  <c r="I319" i="8"/>
  <c r="I313" i="8"/>
  <c r="I309" i="8"/>
  <c r="I305" i="8"/>
  <c r="I301" i="8"/>
  <c r="I297" i="8"/>
  <c r="I293" i="8"/>
  <c r="I287" i="8"/>
  <c r="I283" i="8"/>
  <c r="I279" i="8"/>
  <c r="I275" i="8"/>
  <c r="I271" i="8"/>
  <c r="I267" i="8"/>
  <c r="I263" i="8"/>
  <c r="I259" i="8"/>
  <c r="I255" i="8"/>
  <c r="I251" i="8"/>
  <c r="I247" i="8"/>
  <c r="I245" i="8"/>
  <c r="I241" i="8"/>
  <c r="I237" i="8"/>
  <c r="I233" i="8"/>
  <c r="I229" i="8"/>
  <c r="F37" i="10"/>
  <c r="F32" i="10"/>
  <c r="D32" i="11" s="1"/>
  <c r="F28" i="10"/>
  <c r="D28" i="11" s="1"/>
  <c r="I10" i="8"/>
  <c r="J310" i="8"/>
  <c r="J179" i="8"/>
  <c r="P367" i="2"/>
  <c r="L367" i="8" s="1"/>
  <c r="P359" i="2"/>
  <c r="L359" i="8" s="1"/>
  <c r="P351" i="2"/>
  <c r="L351" i="8" s="1"/>
  <c r="P343" i="2"/>
  <c r="L343" i="8" s="1"/>
  <c r="P335" i="2"/>
  <c r="L335" i="8" s="1"/>
  <c r="P327" i="2"/>
  <c r="L327" i="8" s="1"/>
  <c r="P319" i="2"/>
  <c r="L319" i="8" s="1"/>
  <c r="P311" i="2"/>
  <c r="P303" i="2"/>
  <c r="P295" i="2"/>
  <c r="P287" i="2"/>
  <c r="P279" i="2"/>
  <c r="P271" i="2"/>
  <c r="L271" i="8" s="1"/>
  <c r="P263" i="2"/>
  <c r="P255" i="2"/>
  <c r="P247" i="2"/>
  <c r="P239" i="2"/>
  <c r="P231" i="2"/>
  <c r="P223" i="2"/>
  <c r="P215" i="2"/>
  <c r="P207" i="2"/>
  <c r="L207" i="8" s="1"/>
  <c r="P191" i="2"/>
  <c r="P183" i="2"/>
  <c r="P175" i="2"/>
  <c r="P167" i="2"/>
  <c r="P159" i="2"/>
  <c r="P151" i="2"/>
  <c r="P143" i="2"/>
  <c r="L143" i="8" s="1"/>
  <c r="P15" i="2"/>
  <c r="J27" i="8"/>
  <c r="J25" i="8"/>
  <c r="J21" i="8"/>
  <c r="J17" i="8"/>
  <c r="J15" i="8"/>
  <c r="J13" i="8"/>
  <c r="I32" i="8"/>
  <c r="D358" i="8"/>
  <c r="G38" i="10"/>
  <c r="G354" i="8"/>
  <c r="H354" i="8"/>
  <c r="G346" i="8"/>
  <c r="H346" i="8"/>
  <c r="G338" i="8"/>
  <c r="H338" i="8"/>
  <c r="G330" i="8"/>
  <c r="J36" i="10"/>
  <c r="H330" i="8"/>
  <c r="G322" i="8"/>
  <c r="H322" i="8"/>
  <c r="G314" i="8"/>
  <c r="H314" i="8"/>
  <c r="G306" i="8"/>
  <c r="H306" i="8"/>
  <c r="G298" i="8"/>
  <c r="H298" i="8"/>
  <c r="E296" i="8"/>
  <c r="H33" i="10"/>
  <c r="G226" i="8"/>
  <c r="H226" i="8"/>
  <c r="G218" i="8"/>
  <c r="H218" i="8"/>
  <c r="G210" i="8"/>
  <c r="H210" i="8"/>
  <c r="G202" i="8"/>
  <c r="H202" i="8"/>
  <c r="G194" i="8"/>
  <c r="H194" i="8"/>
  <c r="G186" i="8"/>
  <c r="H186" i="8"/>
  <c r="G178" i="8"/>
  <c r="H178" i="8"/>
  <c r="G154" i="8"/>
  <c r="H154" i="8"/>
  <c r="G146" i="8"/>
  <c r="H146" i="8"/>
  <c r="G98" i="8"/>
  <c r="H98" i="8"/>
  <c r="E96" i="8"/>
  <c r="H17" i="10"/>
  <c r="F85" i="8"/>
  <c r="I15" i="10"/>
  <c r="G82" i="8"/>
  <c r="H82" i="8"/>
  <c r="E80" i="8"/>
  <c r="H14" i="10"/>
  <c r="F61" i="8"/>
  <c r="I11" i="10"/>
  <c r="G50" i="8"/>
  <c r="H50" i="8"/>
  <c r="G42" i="8"/>
  <c r="H42" i="8"/>
  <c r="G34" i="8"/>
  <c r="H34" i="8"/>
  <c r="G26" i="8"/>
  <c r="H26" i="8"/>
  <c r="E24" i="8"/>
  <c r="H6" i="10"/>
  <c r="P199" i="2"/>
  <c r="F26" i="10"/>
  <c r="D26" i="11" s="1"/>
  <c r="P87" i="2"/>
  <c r="N16" i="10" s="1"/>
  <c r="F16" i="10"/>
  <c r="D16" i="11" s="1"/>
  <c r="K10" i="8"/>
  <c r="N369" i="2"/>
  <c r="D284" i="8"/>
  <c r="G31" i="10"/>
  <c r="D180" i="8"/>
  <c r="G25" i="10"/>
  <c r="D84" i="8"/>
  <c r="D68" i="8"/>
  <c r="D52" i="8"/>
  <c r="G9" i="10"/>
  <c r="D36" i="8"/>
  <c r="E365" i="8"/>
  <c r="E357" i="8"/>
  <c r="E349" i="8"/>
  <c r="E341" i="8"/>
  <c r="E333" i="8"/>
  <c r="F330" i="8"/>
  <c r="I36" i="10"/>
  <c r="G327" i="8"/>
  <c r="H327" i="8"/>
  <c r="G319" i="8"/>
  <c r="H319" i="8"/>
  <c r="G311" i="8"/>
  <c r="H311" i="8"/>
  <c r="G303" i="8"/>
  <c r="H303" i="8"/>
  <c r="G295" i="8"/>
  <c r="H295" i="8"/>
  <c r="G287" i="8"/>
  <c r="H287" i="8"/>
  <c r="G279" i="8"/>
  <c r="H279" i="8"/>
  <c r="G271" i="8"/>
  <c r="H271" i="8"/>
  <c r="E261" i="8"/>
  <c r="E253" i="8"/>
  <c r="E245" i="8"/>
  <c r="E237" i="8"/>
  <c r="E229" i="8"/>
  <c r="G223" i="8"/>
  <c r="H223" i="8"/>
  <c r="G215" i="8"/>
  <c r="H215" i="8"/>
  <c r="G207" i="8"/>
  <c r="H207" i="8"/>
  <c r="E197" i="8"/>
  <c r="E189" i="8"/>
  <c r="E181" i="8"/>
  <c r="G167" i="8"/>
  <c r="H167" i="8"/>
  <c r="G159" i="8"/>
  <c r="H159" i="8"/>
  <c r="G151" i="8"/>
  <c r="H151" i="8"/>
  <c r="E141" i="8"/>
  <c r="E133" i="8"/>
  <c r="E125" i="8"/>
  <c r="G119" i="8"/>
  <c r="H119" i="8"/>
  <c r="E117" i="8"/>
  <c r="H23" i="10"/>
  <c r="G111" i="8"/>
  <c r="J22" i="10"/>
  <c r="D22" i="11" s="1"/>
  <c r="H111" i="8"/>
  <c r="E109" i="8"/>
  <c r="F106" i="8"/>
  <c r="I20" i="10"/>
  <c r="G103" i="8"/>
  <c r="J18" i="10"/>
  <c r="H103" i="8"/>
  <c r="E101" i="8"/>
  <c r="G95" i="8"/>
  <c r="H95" i="8"/>
  <c r="E93" i="8"/>
  <c r="G87" i="8"/>
  <c r="J16" i="10"/>
  <c r="H87" i="8"/>
  <c r="G79" i="8"/>
  <c r="H79" i="8"/>
  <c r="E77" i="8"/>
  <c r="G71" i="8"/>
  <c r="H71" i="8"/>
  <c r="E69" i="8"/>
  <c r="G63" i="8"/>
  <c r="J12" i="10"/>
  <c r="H63" i="8"/>
  <c r="E61" i="8"/>
  <c r="H11" i="10"/>
  <c r="G55" i="8"/>
  <c r="H55" i="8"/>
  <c r="E53" i="8"/>
  <c r="G47" i="8"/>
  <c r="H47" i="8"/>
  <c r="E45" i="8"/>
  <c r="G39" i="8"/>
  <c r="H39" i="8"/>
  <c r="E37" i="8"/>
  <c r="G31" i="8"/>
  <c r="J7" i="10"/>
  <c r="H31" i="8"/>
  <c r="E29" i="8"/>
  <c r="G23" i="8"/>
  <c r="J5" i="10"/>
  <c r="D5" i="11" s="1"/>
  <c r="H23" i="8"/>
  <c r="E21" i="8"/>
  <c r="G15" i="8"/>
  <c r="H15" i="8"/>
  <c r="E13" i="8"/>
  <c r="D173" i="8"/>
  <c r="G24" i="10"/>
  <c r="E24" i="11" s="1"/>
  <c r="D117" i="8"/>
  <c r="G23" i="10"/>
  <c r="D85" i="8"/>
  <c r="G15" i="10"/>
  <c r="D61" i="8"/>
  <c r="G11" i="10"/>
  <c r="G362" i="8"/>
  <c r="H362" i="8"/>
  <c r="G290" i="8"/>
  <c r="H290" i="8"/>
  <c r="G282" i="8"/>
  <c r="H282" i="8"/>
  <c r="G274" i="8"/>
  <c r="H274" i="8"/>
  <c r="G266" i="8"/>
  <c r="J30" i="10"/>
  <c r="H266" i="8"/>
  <c r="G258" i="8"/>
  <c r="H258" i="8"/>
  <c r="G250" i="8"/>
  <c r="H250" i="8"/>
  <c r="G242" i="8"/>
  <c r="H242" i="8"/>
  <c r="G234" i="8"/>
  <c r="H234" i="8"/>
  <c r="E232" i="8"/>
  <c r="H29" i="10"/>
  <c r="F173" i="8"/>
  <c r="I24" i="10"/>
  <c r="G170" i="8"/>
  <c r="H170" i="8"/>
  <c r="G162" i="8"/>
  <c r="H162" i="8"/>
  <c r="G138" i="8"/>
  <c r="H138" i="8"/>
  <c r="G130" i="8"/>
  <c r="H130" i="8"/>
  <c r="G122" i="8"/>
  <c r="H122" i="8"/>
  <c r="F117" i="8"/>
  <c r="I23" i="10"/>
  <c r="G114" i="8"/>
  <c r="H114" i="8"/>
  <c r="G106" i="8"/>
  <c r="J20" i="10"/>
  <c r="H106" i="8"/>
  <c r="E104" i="8"/>
  <c r="H19" i="10"/>
  <c r="F19" i="11" s="1"/>
  <c r="G90" i="8"/>
  <c r="H90" i="8"/>
  <c r="G74" i="8"/>
  <c r="H74" i="8"/>
  <c r="G66" i="8"/>
  <c r="H66" i="8"/>
  <c r="G58" i="8"/>
  <c r="H58" i="8"/>
  <c r="G18" i="8"/>
  <c r="H18" i="8"/>
  <c r="D76" i="8"/>
  <c r="D60" i="8"/>
  <c r="D44" i="8"/>
  <c r="D28" i="8"/>
  <c r="D20" i="8"/>
  <c r="D12" i="8"/>
  <c r="G3" i="10"/>
  <c r="E3" i="11" s="1"/>
  <c r="G367" i="8"/>
  <c r="H367" i="8"/>
  <c r="G359" i="8"/>
  <c r="H359" i="8"/>
  <c r="G351" i="8"/>
  <c r="H351" i="8"/>
  <c r="G343" i="8"/>
  <c r="H343" i="8"/>
  <c r="G335" i="8"/>
  <c r="H335" i="8"/>
  <c r="E325" i="8"/>
  <c r="E317" i="8"/>
  <c r="E309" i="8"/>
  <c r="E301" i="8"/>
  <c r="E293" i="8"/>
  <c r="E285" i="8"/>
  <c r="E277" i="8"/>
  <c r="E269" i="8"/>
  <c r="F266" i="8"/>
  <c r="I30" i="10"/>
  <c r="G263" i="8"/>
  <c r="H263" i="8"/>
  <c r="G255" i="8"/>
  <c r="H255" i="8"/>
  <c r="G247" i="8"/>
  <c r="H247" i="8"/>
  <c r="G239" i="8"/>
  <c r="H239" i="8"/>
  <c r="G231" i="8"/>
  <c r="H231" i="8"/>
  <c r="E221" i="8"/>
  <c r="E213" i="8"/>
  <c r="E205" i="8"/>
  <c r="G199" i="8"/>
  <c r="J26" i="10"/>
  <c r="H199" i="8"/>
  <c r="G191" i="8"/>
  <c r="H191" i="8"/>
  <c r="G183" i="8"/>
  <c r="H183" i="8"/>
  <c r="G175" i="8"/>
  <c r="H175" i="8"/>
  <c r="E173" i="8"/>
  <c r="H24" i="10"/>
  <c r="E165" i="8"/>
  <c r="E157" i="8"/>
  <c r="E149" i="8"/>
  <c r="G143" i="8"/>
  <c r="H143" i="8"/>
  <c r="G135" i="8"/>
  <c r="H135" i="8"/>
  <c r="G127" i="8"/>
  <c r="H127" i="8"/>
  <c r="E85" i="8"/>
  <c r="H15" i="10"/>
  <c r="D363" i="8"/>
  <c r="D355" i="8"/>
  <c r="D347" i="8"/>
  <c r="D339" i="8"/>
  <c r="D331" i="8"/>
  <c r="D323" i="8"/>
  <c r="G35" i="10"/>
  <c r="D315" i="8"/>
  <c r="G34" i="10"/>
  <c r="E34" i="11" s="1"/>
  <c r="D106" i="8"/>
  <c r="G20" i="10"/>
  <c r="G10" i="8"/>
  <c r="H10" i="8"/>
  <c r="K369" i="2"/>
  <c r="G361" i="8"/>
  <c r="H361" i="8"/>
  <c r="G353" i="8"/>
  <c r="H353" i="8"/>
  <c r="G345" i="8"/>
  <c r="H345" i="8"/>
  <c r="F340" i="8"/>
  <c r="G337" i="8"/>
  <c r="J37" i="10"/>
  <c r="H337" i="8"/>
  <c r="F332" i="8"/>
  <c r="G329" i="8"/>
  <c r="H329" i="8"/>
  <c r="F324" i="8"/>
  <c r="G321" i="8"/>
  <c r="H321" i="8"/>
  <c r="F316" i="8"/>
  <c r="G313" i="8"/>
  <c r="H313" i="8"/>
  <c r="F308" i="8"/>
  <c r="G305" i="8"/>
  <c r="H305" i="8"/>
  <c r="F300" i="8"/>
  <c r="G297" i="8"/>
  <c r="H297" i="8"/>
  <c r="F292" i="8"/>
  <c r="G289" i="8"/>
  <c r="J32" i="10"/>
  <c r="H289" i="8"/>
  <c r="F284" i="8"/>
  <c r="I31" i="10"/>
  <c r="G281" i="8"/>
  <c r="H281" i="8"/>
  <c r="F276" i="8"/>
  <c r="G273" i="8"/>
  <c r="H273" i="8"/>
  <c r="F268" i="8"/>
  <c r="G265" i="8"/>
  <c r="H265" i="8"/>
  <c r="F260" i="8"/>
  <c r="G257" i="8"/>
  <c r="H257" i="8"/>
  <c r="F252" i="8"/>
  <c r="G249" i="8"/>
  <c r="H249" i="8"/>
  <c r="F244" i="8"/>
  <c r="G241" i="8"/>
  <c r="H241" i="8"/>
  <c r="F236" i="8"/>
  <c r="G233" i="8"/>
  <c r="H233" i="8"/>
  <c r="F228" i="8"/>
  <c r="G225" i="8"/>
  <c r="J28" i="10"/>
  <c r="H225" i="8"/>
  <c r="F220" i="8"/>
  <c r="G217" i="8"/>
  <c r="H217" i="8"/>
  <c r="F212" i="8"/>
  <c r="G209" i="8"/>
  <c r="H209" i="8"/>
  <c r="F204" i="8"/>
  <c r="G201" i="8"/>
  <c r="H201" i="8"/>
  <c r="E199" i="8"/>
  <c r="H26" i="10"/>
  <c r="F26" i="11" s="1"/>
  <c r="F196" i="8"/>
  <c r="G193" i="8"/>
  <c r="H193" i="8"/>
  <c r="F188" i="8"/>
  <c r="G185" i="8"/>
  <c r="H185" i="8"/>
  <c r="F180" i="8"/>
  <c r="I25" i="10"/>
  <c r="G25" i="11" s="1"/>
  <c r="G177" i="8"/>
  <c r="H177" i="8"/>
  <c r="F172" i="8"/>
  <c r="G169" i="8"/>
  <c r="H169" i="8"/>
  <c r="F164" i="8"/>
  <c r="G161" i="8"/>
  <c r="H161" i="8"/>
  <c r="F156" i="8"/>
  <c r="G153" i="8"/>
  <c r="H153" i="8"/>
  <c r="F148" i="8"/>
  <c r="G145" i="8"/>
  <c r="H145" i="8"/>
  <c r="F140" i="8"/>
  <c r="G137" i="8"/>
  <c r="H137" i="8"/>
  <c r="F132" i="8"/>
  <c r="G129" i="8"/>
  <c r="H129" i="8"/>
  <c r="F124" i="8"/>
  <c r="G121" i="8"/>
  <c r="H121" i="8"/>
  <c r="F116" i="8"/>
  <c r="G113" i="8"/>
  <c r="H113" i="8"/>
  <c r="E111" i="8"/>
  <c r="H22" i="10"/>
  <c r="F108" i="8"/>
  <c r="G105" i="8"/>
  <c r="H105" i="8"/>
  <c r="E103" i="8"/>
  <c r="H18" i="10"/>
  <c r="F18" i="11" s="1"/>
  <c r="F100" i="8"/>
  <c r="G97" i="8"/>
  <c r="H97" i="8"/>
  <c r="F92" i="8"/>
  <c r="G89" i="8"/>
  <c r="H89" i="8"/>
  <c r="E87" i="8"/>
  <c r="H16" i="10"/>
  <c r="F16" i="11" s="1"/>
  <c r="F84" i="8"/>
  <c r="G81" i="8"/>
  <c r="H81" i="8"/>
  <c r="F76" i="8"/>
  <c r="G73" i="8"/>
  <c r="H73" i="8"/>
  <c r="F68" i="8"/>
  <c r="G65" i="8"/>
  <c r="H65" i="8"/>
  <c r="E63" i="8"/>
  <c r="H12" i="10"/>
  <c r="F60" i="8"/>
  <c r="G57" i="8"/>
  <c r="H57" i="8"/>
  <c r="F52" i="8"/>
  <c r="I9" i="10"/>
  <c r="G9" i="11" s="1"/>
  <c r="G49" i="8"/>
  <c r="H49" i="8"/>
  <c r="F44" i="8"/>
  <c r="G41" i="8"/>
  <c r="H41" i="8"/>
  <c r="F36" i="8"/>
  <c r="G33" i="8"/>
  <c r="H33" i="8"/>
  <c r="E31" i="8"/>
  <c r="H7" i="10"/>
  <c r="F28" i="8"/>
  <c r="G25" i="8"/>
  <c r="H25" i="8"/>
  <c r="E23" i="8"/>
  <c r="H5" i="10"/>
  <c r="F20" i="8"/>
  <c r="G17" i="8"/>
  <c r="H17" i="8"/>
  <c r="F12" i="8"/>
  <c r="I3" i="10"/>
  <c r="K24" i="8"/>
  <c r="M6" i="10"/>
  <c r="K12" i="8"/>
  <c r="M3" i="10"/>
  <c r="G3" i="11" s="1"/>
  <c r="M37" i="10"/>
  <c r="G37" i="11" s="1"/>
  <c r="K337" i="8"/>
  <c r="M35" i="10"/>
  <c r="K323" i="8"/>
  <c r="M34" i="10"/>
  <c r="K315" i="8"/>
  <c r="M32" i="10"/>
  <c r="K289" i="8"/>
  <c r="D289" i="8"/>
  <c r="G32" i="10"/>
  <c r="G350" i="8"/>
  <c r="H350" i="8"/>
  <c r="F337" i="8"/>
  <c r="I37" i="10"/>
  <c r="G334" i="8"/>
  <c r="H334" i="8"/>
  <c r="G310" i="8"/>
  <c r="H310" i="8"/>
  <c r="G278" i="8"/>
  <c r="H278" i="8"/>
  <c r="G254" i="8"/>
  <c r="H254" i="8"/>
  <c r="G238" i="8"/>
  <c r="H238" i="8"/>
  <c r="G230" i="8"/>
  <c r="H230" i="8"/>
  <c r="F225" i="8"/>
  <c r="I28" i="10"/>
  <c r="G222" i="8"/>
  <c r="H222" i="8"/>
  <c r="G214" i="8"/>
  <c r="H214" i="8"/>
  <c r="G206" i="8"/>
  <c r="J27" i="10"/>
  <c r="H206" i="8"/>
  <c r="G198" i="8"/>
  <c r="H198" i="8"/>
  <c r="G190" i="8"/>
  <c r="H190" i="8"/>
  <c r="G182" i="8"/>
  <c r="H182" i="8"/>
  <c r="E180" i="8"/>
  <c r="H25" i="10"/>
  <c r="G174" i="8"/>
  <c r="H174" i="8"/>
  <c r="G166" i="8"/>
  <c r="H166" i="8"/>
  <c r="G158" i="8"/>
  <c r="H158" i="8"/>
  <c r="G150" i="8"/>
  <c r="H150" i="8"/>
  <c r="G142" i="8"/>
  <c r="H142" i="8"/>
  <c r="G134" i="8"/>
  <c r="H134" i="8"/>
  <c r="G126" i="8"/>
  <c r="H126" i="8"/>
  <c r="G118" i="8"/>
  <c r="H118" i="8"/>
  <c r="G110" i="8"/>
  <c r="J21" i="10"/>
  <c r="H110" i="8"/>
  <c r="G102" i="8"/>
  <c r="H102" i="8"/>
  <c r="G94" i="8"/>
  <c r="H94" i="8"/>
  <c r="G86" i="8"/>
  <c r="H86" i="8"/>
  <c r="G78" i="8"/>
  <c r="H78" i="8"/>
  <c r="G70" i="8"/>
  <c r="H70" i="8"/>
  <c r="J13" i="10"/>
  <c r="D13" i="11" s="1"/>
  <c r="G62" i="8"/>
  <c r="H62" i="8"/>
  <c r="G54" i="8"/>
  <c r="H54" i="8"/>
  <c r="E52" i="8"/>
  <c r="H9" i="10"/>
  <c r="F9" i="11" s="1"/>
  <c r="G46" i="8"/>
  <c r="H46" i="8"/>
  <c r="G38" i="8"/>
  <c r="J8" i="10"/>
  <c r="H38" i="8"/>
  <c r="G30" i="8"/>
  <c r="H30" i="8"/>
  <c r="G22" i="8"/>
  <c r="H22" i="8"/>
  <c r="G14" i="8"/>
  <c r="H14" i="8"/>
  <c r="E12" i="8"/>
  <c r="H3" i="10"/>
  <c r="F3" i="11" s="1"/>
  <c r="P322" i="2"/>
  <c r="L322" i="8" s="1"/>
  <c r="F34" i="10"/>
  <c r="J24" i="8"/>
  <c r="L6" i="10"/>
  <c r="J12" i="8"/>
  <c r="L3" i="10"/>
  <c r="L37" i="10"/>
  <c r="J337" i="8"/>
  <c r="L35" i="10"/>
  <c r="J323" i="8"/>
  <c r="L34" i="10"/>
  <c r="J315" i="8"/>
  <c r="L32" i="10"/>
  <c r="J289" i="8"/>
  <c r="L28" i="10"/>
  <c r="J225" i="8"/>
  <c r="D330" i="8"/>
  <c r="G36" i="10"/>
  <c r="D337" i="8"/>
  <c r="G37" i="10"/>
  <c r="D225" i="8"/>
  <c r="G28" i="10"/>
  <c r="G358" i="8"/>
  <c r="J38" i="10"/>
  <c r="H358" i="8"/>
  <c r="G318" i="8"/>
  <c r="H318" i="8"/>
  <c r="G294" i="8"/>
  <c r="H294" i="8"/>
  <c r="G262" i="8"/>
  <c r="H262" i="8"/>
  <c r="D80" i="8"/>
  <c r="G14" i="10"/>
  <c r="E10" i="8"/>
  <c r="I369" i="2"/>
  <c r="G363" i="8"/>
  <c r="H363" i="8"/>
  <c r="F358" i="8"/>
  <c r="I38" i="10"/>
  <c r="G355" i="8"/>
  <c r="H355" i="8"/>
  <c r="E353" i="8"/>
  <c r="E345" i="8"/>
  <c r="G331" i="8"/>
  <c r="H331" i="8"/>
  <c r="E329" i="8"/>
  <c r="G323" i="8"/>
  <c r="J35" i="10"/>
  <c r="H323" i="8"/>
  <c r="E321" i="8"/>
  <c r="E313" i="8"/>
  <c r="E305" i="8"/>
  <c r="E297" i="8"/>
  <c r="E281" i="8"/>
  <c r="E273" i="8"/>
  <c r="E265" i="8"/>
  <c r="G259" i="8"/>
  <c r="H259" i="8"/>
  <c r="E241" i="8"/>
  <c r="G235" i="8"/>
  <c r="H235" i="8"/>
  <c r="E225" i="8"/>
  <c r="H28" i="10"/>
  <c r="E217" i="8"/>
  <c r="E209" i="8"/>
  <c r="E201" i="8"/>
  <c r="G195" i="8"/>
  <c r="H195" i="8"/>
  <c r="E185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F110" i="8"/>
  <c r="I21" i="10"/>
  <c r="E97" i="8"/>
  <c r="E89" i="8"/>
  <c r="E81" i="8"/>
  <c r="G75" i="8"/>
  <c r="H75" i="8"/>
  <c r="E57" i="8"/>
  <c r="G19" i="8"/>
  <c r="J4" i="10"/>
  <c r="D4" i="11" s="1"/>
  <c r="H19" i="8"/>
  <c r="K37" i="10"/>
  <c r="I337" i="8"/>
  <c r="K35" i="10"/>
  <c r="I323" i="8"/>
  <c r="K34" i="10"/>
  <c r="I315" i="8"/>
  <c r="D206" i="8"/>
  <c r="G27" i="10"/>
  <c r="D266" i="8"/>
  <c r="G30" i="10"/>
  <c r="E30" i="11" s="1"/>
  <c r="F10" i="8"/>
  <c r="J369" i="2"/>
  <c r="G366" i="8"/>
  <c r="H366" i="8"/>
  <c r="G342" i="8"/>
  <c r="H342" i="8"/>
  <c r="G326" i="8"/>
  <c r="H326" i="8"/>
  <c r="G302" i="8"/>
  <c r="H302" i="8"/>
  <c r="F289" i="8"/>
  <c r="I32" i="10"/>
  <c r="G286" i="8"/>
  <c r="H286" i="8"/>
  <c r="E284" i="8"/>
  <c r="H31" i="10"/>
  <c r="F31" i="11" s="1"/>
  <c r="G270" i="8"/>
  <c r="H270" i="8"/>
  <c r="G246" i="8"/>
  <c r="H246" i="8"/>
  <c r="D296" i="8"/>
  <c r="G33" i="10"/>
  <c r="D232" i="8"/>
  <c r="G29" i="10"/>
  <c r="D104" i="8"/>
  <c r="G19" i="10"/>
  <c r="D96" i="8"/>
  <c r="G17" i="10"/>
  <c r="D24" i="8"/>
  <c r="G6" i="10"/>
  <c r="E361" i="8"/>
  <c r="G347" i="8"/>
  <c r="H347" i="8"/>
  <c r="G339" i="8"/>
  <c r="H339" i="8"/>
  <c r="E337" i="8"/>
  <c r="H37" i="10"/>
  <c r="G315" i="8"/>
  <c r="J34" i="10"/>
  <c r="D34" i="11" s="1"/>
  <c r="H315" i="8"/>
  <c r="G307" i="8"/>
  <c r="H307" i="8"/>
  <c r="G299" i="8"/>
  <c r="H299" i="8"/>
  <c r="G291" i="8"/>
  <c r="H291" i="8"/>
  <c r="E289" i="8"/>
  <c r="H32" i="10"/>
  <c r="F32" i="11" s="1"/>
  <c r="G283" i="8"/>
  <c r="H283" i="8"/>
  <c r="G275" i="8"/>
  <c r="H275" i="8"/>
  <c r="G267" i="8"/>
  <c r="H267" i="8"/>
  <c r="E257" i="8"/>
  <c r="G251" i="8"/>
  <c r="H251" i="8"/>
  <c r="E249" i="8"/>
  <c r="G243" i="8"/>
  <c r="H243" i="8"/>
  <c r="E233" i="8"/>
  <c r="G227" i="8"/>
  <c r="H227" i="8"/>
  <c r="G219" i="8"/>
  <c r="H219" i="8"/>
  <c r="G211" i="8"/>
  <c r="H211" i="8"/>
  <c r="F206" i="8"/>
  <c r="I27" i="10"/>
  <c r="G203" i="8"/>
  <c r="H203" i="8"/>
  <c r="E193" i="8"/>
  <c r="G187" i="8"/>
  <c r="H187" i="8"/>
  <c r="E177" i="8"/>
  <c r="E169" i="8"/>
  <c r="E161" i="8"/>
  <c r="E153" i="8"/>
  <c r="E145" i="8"/>
  <c r="E137" i="8"/>
  <c r="E129" i="8"/>
  <c r="E121" i="8"/>
  <c r="E113" i="8"/>
  <c r="G107" i="8"/>
  <c r="H107" i="8"/>
  <c r="E105" i="8"/>
  <c r="G99" i="8"/>
  <c r="H99" i="8"/>
  <c r="G91" i="8"/>
  <c r="H91" i="8"/>
  <c r="G83" i="8"/>
  <c r="H83" i="8"/>
  <c r="E73" i="8"/>
  <c r="F70" i="8"/>
  <c r="I13" i="10"/>
  <c r="G13" i="11" s="1"/>
  <c r="G67" i="8"/>
  <c r="H67" i="8"/>
  <c r="E65" i="8"/>
  <c r="G59" i="8"/>
  <c r="J10" i="10"/>
  <c r="H59" i="8"/>
  <c r="G51" i="8"/>
  <c r="H51" i="8"/>
  <c r="E49" i="8"/>
  <c r="G43" i="8"/>
  <c r="H43" i="8"/>
  <c r="E41" i="8"/>
  <c r="F38" i="8"/>
  <c r="I8" i="10"/>
  <c r="G35" i="8"/>
  <c r="H35" i="8"/>
  <c r="E33" i="8"/>
  <c r="G27" i="8"/>
  <c r="H27" i="8"/>
  <c r="E25" i="8"/>
  <c r="E17" i="8"/>
  <c r="G11" i="8"/>
  <c r="H11" i="8"/>
  <c r="D10" i="8"/>
  <c r="H369" i="2"/>
  <c r="I11" i="8"/>
  <c r="L369" i="2"/>
  <c r="K6" i="10"/>
  <c r="I24" i="8"/>
  <c r="I12" i="8"/>
  <c r="K3" i="10"/>
  <c r="D367" i="8"/>
  <c r="D351" i="8"/>
  <c r="D335" i="8"/>
  <c r="D319" i="8"/>
  <c r="D303" i="8"/>
  <c r="D295" i="8"/>
  <c r="D287" i="8"/>
  <c r="D279" i="8"/>
  <c r="D271" i="8"/>
  <c r="D263" i="8"/>
  <c r="D255" i="8"/>
  <c r="D247" i="8"/>
  <c r="D239" i="8"/>
  <c r="D231" i="8"/>
  <c r="D223" i="8"/>
  <c r="D215" i="8"/>
  <c r="D207" i="8"/>
  <c r="D199" i="8"/>
  <c r="G26" i="10"/>
  <c r="E26" i="11" s="1"/>
  <c r="D191" i="8"/>
  <c r="D110" i="8"/>
  <c r="G21" i="10"/>
  <c r="D70" i="8"/>
  <c r="G13" i="10"/>
  <c r="D38" i="8"/>
  <c r="G8" i="10"/>
  <c r="E8" i="11" s="1"/>
  <c r="F368" i="8"/>
  <c r="G365" i="8"/>
  <c r="H365" i="8"/>
  <c r="F360" i="8"/>
  <c r="G357" i="8"/>
  <c r="H357" i="8"/>
  <c r="F352" i="8"/>
  <c r="G349" i="8"/>
  <c r="H349" i="8"/>
  <c r="F344" i="8"/>
  <c r="G341" i="8"/>
  <c r="H341" i="8"/>
  <c r="F336" i="8"/>
  <c r="G333" i="8"/>
  <c r="H333" i="8"/>
  <c r="F328" i="8"/>
  <c r="G325" i="8"/>
  <c r="H325" i="8"/>
  <c r="E323" i="8"/>
  <c r="H35" i="10"/>
  <c r="F320" i="8"/>
  <c r="G317" i="8"/>
  <c r="H317" i="8"/>
  <c r="E315" i="8"/>
  <c r="H34" i="10"/>
  <c r="F312" i="8"/>
  <c r="G309" i="8"/>
  <c r="H309" i="8"/>
  <c r="F304" i="8"/>
  <c r="G301" i="8"/>
  <c r="H301" i="8"/>
  <c r="F296" i="8"/>
  <c r="I33" i="10"/>
  <c r="G293" i="8"/>
  <c r="H293" i="8"/>
  <c r="F288" i="8"/>
  <c r="G285" i="8"/>
  <c r="H285" i="8"/>
  <c r="F280" i="8"/>
  <c r="G277" i="8"/>
  <c r="H277" i="8"/>
  <c r="F272" i="8"/>
  <c r="G269" i="8"/>
  <c r="H269" i="8"/>
  <c r="F264" i="8"/>
  <c r="G261" i="8"/>
  <c r="H261" i="8"/>
  <c r="F256" i="8"/>
  <c r="G253" i="8"/>
  <c r="H253" i="8"/>
  <c r="F248" i="8"/>
  <c r="G245" i="8"/>
  <c r="H245" i="8"/>
  <c r="F240" i="8"/>
  <c r="G237" i="8"/>
  <c r="H237" i="8"/>
  <c r="F232" i="8"/>
  <c r="I29" i="10"/>
  <c r="G229" i="8"/>
  <c r="H229" i="8"/>
  <c r="F224" i="8"/>
  <c r="G221" i="8"/>
  <c r="H221" i="8"/>
  <c r="F216" i="8"/>
  <c r="G213" i="8"/>
  <c r="H213" i="8"/>
  <c r="F208" i="8"/>
  <c r="G205" i="8"/>
  <c r="H205" i="8"/>
  <c r="F200" i="8"/>
  <c r="G197" i="8"/>
  <c r="H197" i="8"/>
  <c r="F192" i="8"/>
  <c r="G189" i="8"/>
  <c r="H189" i="8"/>
  <c r="F184" i="8"/>
  <c r="G181" i="8"/>
  <c r="H181" i="8"/>
  <c r="F176" i="8"/>
  <c r="G173" i="8"/>
  <c r="J24" i="10"/>
  <c r="H173" i="8"/>
  <c r="F168" i="8"/>
  <c r="G165" i="8"/>
  <c r="H165" i="8"/>
  <c r="F160" i="8"/>
  <c r="G157" i="8"/>
  <c r="H157" i="8"/>
  <c r="F152" i="8"/>
  <c r="G149" i="8"/>
  <c r="H149" i="8"/>
  <c r="F144" i="8"/>
  <c r="G141" i="8"/>
  <c r="H141" i="8"/>
  <c r="F136" i="8"/>
  <c r="G133" i="8"/>
  <c r="H133" i="8"/>
  <c r="F128" i="8"/>
  <c r="G125" i="8"/>
  <c r="H125" i="8"/>
  <c r="F120" i="8"/>
  <c r="G117" i="8"/>
  <c r="J23" i="10"/>
  <c r="D23" i="11" s="1"/>
  <c r="H117" i="8"/>
  <c r="F112" i="8"/>
  <c r="G109" i="8"/>
  <c r="H109" i="8"/>
  <c r="F104" i="8"/>
  <c r="I19" i="10"/>
  <c r="G101" i="8"/>
  <c r="H101" i="8"/>
  <c r="F96" i="8"/>
  <c r="I17" i="10"/>
  <c r="G93" i="8"/>
  <c r="H93" i="8"/>
  <c r="F88" i="8"/>
  <c r="G85" i="8"/>
  <c r="J15" i="10"/>
  <c r="H85" i="8"/>
  <c r="F80" i="8"/>
  <c r="I14" i="10"/>
  <c r="G77" i="8"/>
  <c r="H77" i="8"/>
  <c r="F72" i="8"/>
  <c r="G69" i="8"/>
  <c r="H69" i="8"/>
  <c r="F64" i="8"/>
  <c r="G61" i="8"/>
  <c r="J11" i="10"/>
  <c r="H61" i="8"/>
  <c r="E59" i="8"/>
  <c r="H10" i="10"/>
  <c r="F56" i="8"/>
  <c r="G53" i="8"/>
  <c r="H53" i="8"/>
  <c r="F48" i="8"/>
  <c r="G45" i="8"/>
  <c r="H45" i="8"/>
  <c r="F40" i="8"/>
  <c r="G37" i="8"/>
  <c r="H37" i="8"/>
  <c r="F32" i="8"/>
  <c r="G29" i="8"/>
  <c r="H29" i="8"/>
  <c r="F24" i="8"/>
  <c r="I6" i="10"/>
  <c r="G6" i="11" s="1"/>
  <c r="G21" i="8"/>
  <c r="H21" i="8"/>
  <c r="E19" i="8"/>
  <c r="H4" i="10"/>
  <c r="F16" i="8"/>
  <c r="G13" i="8"/>
  <c r="H13" i="8"/>
  <c r="M5" i="10"/>
  <c r="K23" i="8"/>
  <c r="M4" i="10"/>
  <c r="K19" i="8"/>
  <c r="M38" i="10"/>
  <c r="K358" i="8"/>
  <c r="K32" i="10"/>
  <c r="I289" i="8"/>
  <c r="K28" i="10"/>
  <c r="I225" i="8"/>
  <c r="K26" i="10"/>
  <c r="I199" i="8"/>
  <c r="K24" i="10"/>
  <c r="I173" i="8"/>
  <c r="K23" i="10"/>
  <c r="I117" i="8"/>
  <c r="K22" i="10"/>
  <c r="I111" i="8"/>
  <c r="K18" i="10"/>
  <c r="I103" i="8"/>
  <c r="K16" i="10"/>
  <c r="I87" i="8"/>
  <c r="K15" i="10"/>
  <c r="E15" i="11" s="1"/>
  <c r="I85" i="8"/>
  <c r="I63" i="8"/>
  <c r="K12" i="10"/>
  <c r="K11" i="10"/>
  <c r="I61" i="8"/>
  <c r="K10" i="10"/>
  <c r="I59" i="8"/>
  <c r="K7" i="10"/>
  <c r="E7" i="11" s="1"/>
  <c r="I31" i="8"/>
  <c r="D183" i="8"/>
  <c r="D175" i="8"/>
  <c r="D167" i="8"/>
  <c r="D159" i="8"/>
  <c r="D151" i="8"/>
  <c r="D143" i="8"/>
  <c r="D135" i="8"/>
  <c r="D127" i="8"/>
  <c r="D119" i="8"/>
  <c r="D111" i="8"/>
  <c r="G22" i="10"/>
  <c r="D103" i="8"/>
  <c r="G18" i="10"/>
  <c r="D95" i="8"/>
  <c r="D87" i="8"/>
  <c r="G16" i="10"/>
  <c r="E16" i="11" s="1"/>
  <c r="D79" i="8"/>
  <c r="D71" i="8"/>
  <c r="D63" i="8"/>
  <c r="G12" i="10"/>
  <c r="D55" i="8"/>
  <c r="D47" i="8"/>
  <c r="D39" i="8"/>
  <c r="D31" i="8"/>
  <c r="G7" i="10"/>
  <c r="D23" i="8"/>
  <c r="G5" i="10"/>
  <c r="D15" i="8"/>
  <c r="G368" i="8"/>
  <c r="H368" i="8"/>
  <c r="E366" i="8"/>
  <c r="G360" i="8"/>
  <c r="H360" i="8"/>
  <c r="E358" i="8"/>
  <c r="H38" i="10"/>
  <c r="F355" i="8"/>
  <c r="G352" i="8"/>
  <c r="H352" i="8"/>
  <c r="E350" i="8"/>
  <c r="F347" i="8"/>
  <c r="G344" i="8"/>
  <c r="H344" i="8"/>
  <c r="E342" i="8"/>
  <c r="F339" i="8"/>
  <c r="G336" i="8"/>
  <c r="H336" i="8"/>
  <c r="E334" i="8"/>
  <c r="F331" i="8"/>
  <c r="G328" i="8"/>
  <c r="H328" i="8"/>
  <c r="E326" i="8"/>
  <c r="F323" i="8"/>
  <c r="I35" i="10"/>
  <c r="G320" i="8"/>
  <c r="H320" i="8"/>
  <c r="E318" i="8"/>
  <c r="F315" i="8"/>
  <c r="I34" i="10"/>
  <c r="G34" i="11" s="1"/>
  <c r="G312" i="8"/>
  <c r="H312" i="8"/>
  <c r="E310" i="8"/>
  <c r="F307" i="8"/>
  <c r="G304" i="8"/>
  <c r="H304" i="8"/>
  <c r="E302" i="8"/>
  <c r="F299" i="8"/>
  <c r="G296" i="8"/>
  <c r="J33" i="10"/>
  <c r="H296" i="8"/>
  <c r="E294" i="8"/>
  <c r="F291" i="8"/>
  <c r="G288" i="8"/>
  <c r="H288" i="8"/>
  <c r="E286" i="8"/>
  <c r="F283" i="8"/>
  <c r="G280" i="8"/>
  <c r="H280" i="8"/>
  <c r="E278" i="8"/>
  <c r="F275" i="8"/>
  <c r="G272" i="8"/>
  <c r="H272" i="8"/>
  <c r="E270" i="8"/>
  <c r="F267" i="8"/>
  <c r="G264" i="8"/>
  <c r="H264" i="8"/>
  <c r="E262" i="8"/>
  <c r="F259" i="8"/>
  <c r="G256" i="8"/>
  <c r="H256" i="8"/>
  <c r="E254" i="8"/>
  <c r="F251" i="8"/>
  <c r="G248" i="8"/>
  <c r="H248" i="8"/>
  <c r="E246" i="8"/>
  <c r="F243" i="8"/>
  <c r="G240" i="8"/>
  <c r="H240" i="8"/>
  <c r="E238" i="8"/>
  <c r="F235" i="8"/>
  <c r="G232" i="8"/>
  <c r="J29" i="10"/>
  <c r="H232" i="8"/>
  <c r="E230" i="8"/>
  <c r="F227" i="8"/>
  <c r="G224" i="8"/>
  <c r="H224" i="8"/>
  <c r="E222" i="8"/>
  <c r="F219" i="8"/>
  <c r="G216" i="8"/>
  <c r="H216" i="8"/>
  <c r="E214" i="8"/>
  <c r="M36" i="10"/>
  <c r="G36" i="11" s="1"/>
  <c r="K330" i="8"/>
  <c r="M33" i="10"/>
  <c r="K296" i="8"/>
  <c r="M31" i="10"/>
  <c r="K284" i="8"/>
  <c r="M30" i="10"/>
  <c r="K266" i="8"/>
  <c r="M29" i="10"/>
  <c r="G29" i="11" s="1"/>
  <c r="K232" i="8"/>
  <c r="M27" i="10"/>
  <c r="G27" i="11" s="1"/>
  <c r="K206" i="8"/>
  <c r="M25" i="10"/>
  <c r="K180" i="8"/>
  <c r="L5" i="10"/>
  <c r="J23" i="8"/>
  <c r="J19" i="8"/>
  <c r="L4" i="10"/>
  <c r="L38" i="10"/>
  <c r="J358" i="8"/>
  <c r="L36" i="10"/>
  <c r="J330" i="8"/>
  <c r="L33" i="10"/>
  <c r="F33" i="11" s="1"/>
  <c r="J296" i="8"/>
  <c r="L31" i="10"/>
  <c r="J284" i="8"/>
  <c r="L30" i="10"/>
  <c r="J266" i="8"/>
  <c r="L29" i="10"/>
  <c r="J232" i="8"/>
  <c r="L27" i="10"/>
  <c r="F27" i="11" s="1"/>
  <c r="J206" i="8"/>
  <c r="J10" i="8"/>
  <c r="M369" i="2"/>
  <c r="I23" i="8"/>
  <c r="K5" i="10"/>
  <c r="I19" i="8"/>
  <c r="K4" i="10"/>
  <c r="K36" i="10"/>
  <c r="E36" i="11" s="1"/>
  <c r="I330" i="8"/>
  <c r="K33" i="10"/>
  <c r="E33" i="11" s="1"/>
  <c r="I296" i="8"/>
  <c r="K31" i="10"/>
  <c r="I284" i="8"/>
  <c r="K30" i="10"/>
  <c r="I266" i="8"/>
  <c r="K29" i="10"/>
  <c r="I232" i="8"/>
  <c r="D307" i="8"/>
  <c r="D299" i="8"/>
  <c r="D291" i="8"/>
  <c r="D283" i="8"/>
  <c r="D275" i="8"/>
  <c r="D267" i="8"/>
  <c r="D259" i="8"/>
  <c r="D251" i="8"/>
  <c r="D243" i="8"/>
  <c r="D235" i="8"/>
  <c r="D227" i="8"/>
  <c r="D219" i="8"/>
  <c r="D211" i="8"/>
  <c r="D203" i="8"/>
  <c r="D195" i="8"/>
  <c r="D187" i="8"/>
  <c r="D179" i="8"/>
  <c r="D171" i="8"/>
  <c r="D163" i="8"/>
  <c r="D155" i="8"/>
  <c r="D147" i="8"/>
  <c r="D139" i="8"/>
  <c r="D131" i="8"/>
  <c r="D123" i="8"/>
  <c r="D115" i="8"/>
  <c r="D107" i="8"/>
  <c r="D99" i="8"/>
  <c r="D91" i="8"/>
  <c r="D83" i="8"/>
  <c r="D75" i="8"/>
  <c r="D67" i="8"/>
  <c r="D59" i="8"/>
  <c r="G10" i="10"/>
  <c r="E10" i="11" s="1"/>
  <c r="D51" i="8"/>
  <c r="D43" i="8"/>
  <c r="D35" i="8"/>
  <c r="D27" i="8"/>
  <c r="D19" i="8"/>
  <c r="G4" i="10"/>
  <c r="D11" i="8"/>
  <c r="F367" i="8"/>
  <c r="G364" i="8"/>
  <c r="H364" i="8"/>
  <c r="E362" i="8"/>
  <c r="F359" i="8"/>
  <c r="G356" i="8"/>
  <c r="H356" i="8"/>
  <c r="E354" i="8"/>
  <c r="F351" i="8"/>
  <c r="G348" i="8"/>
  <c r="H348" i="8"/>
  <c r="E346" i="8"/>
  <c r="F343" i="8"/>
  <c r="G340" i="8"/>
  <c r="H340" i="8"/>
  <c r="E338" i="8"/>
  <c r="F335" i="8"/>
  <c r="G332" i="8"/>
  <c r="H332" i="8"/>
  <c r="E330" i="8"/>
  <c r="H36" i="10"/>
  <c r="F327" i="8"/>
  <c r="G324" i="8"/>
  <c r="H324" i="8"/>
  <c r="E322" i="8"/>
  <c r="F319" i="8"/>
  <c r="G316" i="8"/>
  <c r="H316" i="8"/>
  <c r="E314" i="8"/>
  <c r="F311" i="8"/>
  <c r="G308" i="8"/>
  <c r="H308" i="8"/>
  <c r="E306" i="8"/>
  <c r="F303" i="8"/>
  <c r="G300" i="8"/>
  <c r="H300" i="8"/>
  <c r="E298" i="8"/>
  <c r="F295" i="8"/>
  <c r="G292" i="8"/>
  <c r="H292" i="8"/>
  <c r="E290" i="8"/>
  <c r="F287" i="8"/>
  <c r="G284" i="8"/>
  <c r="J31" i="10"/>
  <c r="H284" i="8"/>
  <c r="E282" i="8"/>
  <c r="F279" i="8"/>
  <c r="G276" i="8"/>
  <c r="H276" i="8"/>
  <c r="E274" i="8"/>
  <c r="F271" i="8"/>
  <c r="G268" i="8"/>
  <c r="H268" i="8"/>
  <c r="E266" i="8"/>
  <c r="H30" i="10"/>
  <c r="F30" i="11" s="1"/>
  <c r="F263" i="8"/>
  <c r="G260" i="8"/>
  <c r="H260" i="8"/>
  <c r="E258" i="8"/>
  <c r="F255" i="8"/>
  <c r="G252" i="8"/>
  <c r="H252" i="8"/>
  <c r="E250" i="8"/>
  <c r="F247" i="8"/>
  <c r="G244" i="8"/>
  <c r="H244" i="8"/>
  <c r="E242" i="8"/>
  <c r="F239" i="8"/>
  <c r="G236" i="8"/>
  <c r="H236" i="8"/>
  <c r="E234" i="8"/>
  <c r="F231" i="8"/>
  <c r="G228" i="8"/>
  <c r="H228" i="8"/>
  <c r="E226" i="8"/>
  <c r="F223" i="8"/>
  <c r="G220" i="8"/>
  <c r="H220" i="8"/>
  <c r="E218" i="8"/>
  <c r="F215" i="8"/>
  <c r="M28" i="10"/>
  <c r="G28" i="11" s="1"/>
  <c r="K225" i="8"/>
  <c r="M26" i="10"/>
  <c r="K199" i="8"/>
  <c r="M24" i="10"/>
  <c r="K173" i="8"/>
  <c r="F211" i="8"/>
  <c r="G208" i="8"/>
  <c r="H208" i="8"/>
  <c r="E206" i="8"/>
  <c r="H27" i="10"/>
  <c r="F203" i="8"/>
  <c r="G200" i="8"/>
  <c r="H200" i="8"/>
  <c r="E198" i="8"/>
  <c r="F195" i="8"/>
  <c r="G192" i="8"/>
  <c r="H192" i="8"/>
  <c r="E190" i="8"/>
  <c r="F187" i="8"/>
  <c r="G184" i="8"/>
  <c r="H184" i="8"/>
  <c r="E182" i="8"/>
  <c r="F179" i="8"/>
  <c r="G176" i="8"/>
  <c r="H176" i="8"/>
  <c r="E174" i="8"/>
  <c r="F171" i="8"/>
  <c r="G168" i="8"/>
  <c r="H168" i="8"/>
  <c r="E166" i="8"/>
  <c r="F163" i="8"/>
  <c r="G160" i="8"/>
  <c r="H160" i="8"/>
  <c r="E158" i="8"/>
  <c r="F155" i="8"/>
  <c r="G152" i="8"/>
  <c r="H152" i="8"/>
  <c r="E150" i="8"/>
  <c r="F147" i="8"/>
  <c r="G144" i="8"/>
  <c r="H144" i="8"/>
  <c r="E142" i="8"/>
  <c r="F139" i="8"/>
  <c r="G136" i="8"/>
  <c r="H136" i="8"/>
  <c r="E134" i="8"/>
  <c r="F131" i="8"/>
  <c r="G128" i="8"/>
  <c r="H128" i="8"/>
  <c r="E126" i="8"/>
  <c r="F123" i="8"/>
  <c r="G120" i="8"/>
  <c r="H120" i="8"/>
  <c r="E118" i="8"/>
  <c r="F115" i="8"/>
  <c r="G112" i="8"/>
  <c r="H112" i="8"/>
  <c r="E110" i="8"/>
  <c r="H21" i="10"/>
  <c r="F21" i="11" s="1"/>
  <c r="F107" i="8"/>
  <c r="G104" i="8"/>
  <c r="J19" i="10"/>
  <c r="H104" i="8"/>
  <c r="E102" i="8"/>
  <c r="F99" i="8"/>
  <c r="G96" i="8"/>
  <c r="J17" i="10"/>
  <c r="H96" i="8"/>
  <c r="E94" i="8"/>
  <c r="F91" i="8"/>
  <c r="G88" i="8"/>
  <c r="H88" i="8"/>
  <c r="E86" i="8"/>
  <c r="F83" i="8"/>
  <c r="G80" i="8"/>
  <c r="J14" i="10"/>
  <c r="H80" i="8"/>
  <c r="E78" i="8"/>
  <c r="F75" i="8"/>
  <c r="G72" i="8"/>
  <c r="H72" i="8"/>
  <c r="E70" i="8"/>
  <c r="H13" i="10"/>
  <c r="F67" i="8"/>
  <c r="G64" i="8"/>
  <c r="H64" i="8"/>
  <c r="E62" i="8"/>
  <c r="F59" i="8"/>
  <c r="I10" i="10"/>
  <c r="G56" i="8"/>
  <c r="H56" i="8"/>
  <c r="E54" i="8"/>
  <c r="F51" i="8"/>
  <c r="G48" i="8"/>
  <c r="H48" i="8"/>
  <c r="E46" i="8"/>
  <c r="F43" i="8"/>
  <c r="G40" i="8"/>
  <c r="H40" i="8"/>
  <c r="E38" i="8"/>
  <c r="H8" i="10"/>
  <c r="F35" i="8"/>
  <c r="G32" i="8"/>
  <c r="H32" i="8"/>
  <c r="E30" i="8"/>
  <c r="F27" i="8"/>
  <c r="G24" i="8"/>
  <c r="J6" i="10"/>
  <c r="D6" i="11" s="1"/>
  <c r="H24" i="8"/>
  <c r="E22" i="8"/>
  <c r="F19" i="8"/>
  <c r="I4" i="10"/>
  <c r="G4" i="11" s="1"/>
  <c r="G16" i="8"/>
  <c r="H16" i="8"/>
  <c r="E14" i="8"/>
  <c r="F11" i="8"/>
  <c r="N4" i="10"/>
  <c r="N33" i="10"/>
  <c r="H32" i="11"/>
  <c r="H27" i="11"/>
  <c r="H25" i="11"/>
  <c r="N20" i="10"/>
  <c r="H20" i="11"/>
  <c r="H17" i="11"/>
  <c r="H9" i="11"/>
  <c r="M21" i="10"/>
  <c r="G21" i="11" s="1"/>
  <c r="K110" i="8"/>
  <c r="M20" i="10"/>
  <c r="K106" i="8"/>
  <c r="M19" i="10"/>
  <c r="K104" i="8"/>
  <c r="M17" i="10"/>
  <c r="K96" i="8"/>
  <c r="K80" i="8"/>
  <c r="M14" i="10"/>
  <c r="M13" i="10"/>
  <c r="K70" i="8"/>
  <c r="K52" i="8"/>
  <c r="M9" i="10"/>
  <c r="M8" i="10"/>
  <c r="K38" i="8"/>
  <c r="L25" i="10"/>
  <c r="F25" i="11" s="1"/>
  <c r="J180" i="8"/>
  <c r="L21" i="10"/>
  <c r="J110" i="8"/>
  <c r="L20" i="10"/>
  <c r="J106" i="8"/>
  <c r="L19" i="10"/>
  <c r="J104" i="8"/>
  <c r="L17" i="10"/>
  <c r="F17" i="11" s="1"/>
  <c r="J96" i="8"/>
  <c r="L14" i="10"/>
  <c r="J80" i="8"/>
  <c r="L13" i="10"/>
  <c r="J70" i="8"/>
  <c r="J52" i="8"/>
  <c r="L9" i="10"/>
  <c r="J38" i="8"/>
  <c r="L8" i="10"/>
  <c r="F8" i="11" s="1"/>
  <c r="K27" i="10"/>
  <c r="I206" i="8"/>
  <c r="K25" i="10"/>
  <c r="I180" i="8"/>
  <c r="K21" i="10"/>
  <c r="I110" i="8"/>
  <c r="K20" i="10"/>
  <c r="E20" i="11" s="1"/>
  <c r="I106" i="8"/>
  <c r="K19" i="10"/>
  <c r="I104" i="8"/>
  <c r="K17" i="10"/>
  <c r="E17" i="11" s="1"/>
  <c r="I96" i="8"/>
  <c r="K14" i="10"/>
  <c r="I80" i="8"/>
  <c r="K13" i="10"/>
  <c r="E13" i="11" s="1"/>
  <c r="I70" i="8"/>
  <c r="K9" i="10"/>
  <c r="I52" i="8"/>
  <c r="K8" i="10"/>
  <c r="I38" i="8"/>
  <c r="G369" i="2"/>
  <c r="G212" i="8"/>
  <c r="E210" i="8"/>
  <c r="F207" i="8"/>
  <c r="G204" i="8"/>
  <c r="H204" i="8"/>
  <c r="E202" i="8"/>
  <c r="F199" i="8"/>
  <c r="I26" i="10"/>
  <c r="G196" i="8"/>
  <c r="H196" i="8"/>
  <c r="E194" i="8"/>
  <c r="F191" i="8"/>
  <c r="G188" i="8"/>
  <c r="H188" i="8"/>
  <c r="E186" i="8"/>
  <c r="F183" i="8"/>
  <c r="G180" i="8"/>
  <c r="J25" i="10"/>
  <c r="D25" i="11" s="1"/>
  <c r="H180" i="8"/>
  <c r="E178" i="8"/>
  <c r="F175" i="8"/>
  <c r="G172" i="8"/>
  <c r="H172" i="8"/>
  <c r="E170" i="8"/>
  <c r="F167" i="8"/>
  <c r="G164" i="8"/>
  <c r="H164" i="8"/>
  <c r="E162" i="8"/>
  <c r="F159" i="8"/>
  <c r="G156" i="8"/>
  <c r="H156" i="8"/>
  <c r="E154" i="8"/>
  <c r="F151" i="8"/>
  <c r="G148" i="8"/>
  <c r="H148" i="8"/>
  <c r="E146" i="8"/>
  <c r="F143" i="8"/>
  <c r="G140" i="8"/>
  <c r="H140" i="8"/>
  <c r="E138" i="8"/>
  <c r="F135" i="8"/>
  <c r="G132" i="8"/>
  <c r="H132" i="8"/>
  <c r="E130" i="8"/>
  <c r="F127" i="8"/>
  <c r="G124" i="8"/>
  <c r="H124" i="8"/>
  <c r="E122" i="8"/>
  <c r="F119" i="8"/>
  <c r="G116" i="8"/>
  <c r="H116" i="8"/>
  <c r="E114" i="8"/>
  <c r="F111" i="8"/>
  <c r="I22" i="10"/>
  <c r="G108" i="8"/>
  <c r="H108" i="8"/>
  <c r="E106" i="8"/>
  <c r="H20" i="10"/>
  <c r="F103" i="8"/>
  <c r="I18" i="10"/>
  <c r="G18" i="11" s="1"/>
  <c r="G100" i="8"/>
  <c r="H100" i="8"/>
  <c r="E98" i="8"/>
  <c r="F95" i="8"/>
  <c r="G92" i="8"/>
  <c r="H92" i="8"/>
  <c r="E90" i="8"/>
  <c r="F87" i="8"/>
  <c r="I16" i="10"/>
  <c r="G16" i="11" s="1"/>
  <c r="G84" i="8"/>
  <c r="H84" i="8"/>
  <c r="E82" i="8"/>
  <c r="F79" i="8"/>
  <c r="G76" i="8"/>
  <c r="H76" i="8"/>
  <c r="E74" i="8"/>
  <c r="F71" i="8"/>
  <c r="G68" i="8"/>
  <c r="H68" i="8"/>
  <c r="E66" i="8"/>
  <c r="F63" i="8"/>
  <c r="I12" i="10"/>
  <c r="G60" i="8"/>
  <c r="H60" i="8"/>
  <c r="E58" i="8"/>
  <c r="F55" i="8"/>
  <c r="G52" i="8"/>
  <c r="J9" i="10"/>
  <c r="H52" i="8"/>
  <c r="E50" i="8"/>
  <c r="F47" i="8"/>
  <c r="G44" i="8"/>
  <c r="H44" i="8"/>
  <c r="E42" i="8"/>
  <c r="F39" i="8"/>
  <c r="G36" i="8"/>
  <c r="H36" i="8"/>
  <c r="E34" i="8"/>
  <c r="F31" i="8"/>
  <c r="I7" i="10"/>
  <c r="G28" i="8"/>
  <c r="H28" i="8"/>
  <c r="E26" i="8"/>
  <c r="F23" i="8"/>
  <c r="I5" i="10"/>
  <c r="G5" i="11" s="1"/>
  <c r="G20" i="8"/>
  <c r="H20" i="8"/>
  <c r="E18" i="8"/>
  <c r="F15" i="8"/>
  <c r="G12" i="8"/>
  <c r="J3" i="10"/>
  <c r="H12" i="8"/>
  <c r="P221" i="2"/>
  <c r="L221" i="8" s="1"/>
  <c r="H37" i="11"/>
  <c r="N37" i="10"/>
  <c r="H26" i="11"/>
  <c r="N26" i="10"/>
  <c r="H18" i="11"/>
  <c r="N18" i="10"/>
  <c r="M23" i="10"/>
  <c r="K117" i="8"/>
  <c r="M22" i="10"/>
  <c r="K111" i="8"/>
  <c r="M18" i="10"/>
  <c r="K103" i="8"/>
  <c r="M16" i="10"/>
  <c r="K87" i="8"/>
  <c r="M15" i="10"/>
  <c r="G15" i="11" s="1"/>
  <c r="K85" i="8"/>
  <c r="M12" i="10"/>
  <c r="K63" i="8"/>
  <c r="M11" i="10"/>
  <c r="G11" i="11" s="1"/>
  <c r="K61" i="8"/>
  <c r="K59" i="8"/>
  <c r="M10" i="10"/>
  <c r="M7" i="10"/>
  <c r="K31" i="8"/>
  <c r="L26" i="10"/>
  <c r="J199" i="8"/>
  <c r="L24" i="10"/>
  <c r="J173" i="8"/>
  <c r="L23" i="10"/>
  <c r="F23" i="11" s="1"/>
  <c r="J117" i="8"/>
  <c r="L22" i="10"/>
  <c r="F22" i="11" s="1"/>
  <c r="J111" i="8"/>
  <c r="L18" i="10"/>
  <c r="J103" i="8"/>
  <c r="L16" i="10"/>
  <c r="J87" i="8"/>
  <c r="L15" i="10"/>
  <c r="J85" i="8"/>
  <c r="J63" i="8"/>
  <c r="L12" i="10"/>
  <c r="F12" i="11" s="1"/>
  <c r="J61" i="8"/>
  <c r="L11" i="10"/>
  <c r="F11" i="11" s="1"/>
  <c r="L10" i="10"/>
  <c r="J59" i="8"/>
  <c r="J31" i="8"/>
  <c r="L7" i="10"/>
  <c r="T6" i="10"/>
  <c r="T5" i="10"/>
  <c r="T4" i="10"/>
  <c r="E9" i="11"/>
  <c r="D7" i="11"/>
  <c r="I369" i="17"/>
  <c r="G369" i="17"/>
  <c r="H369" i="17"/>
  <c r="J369" i="17"/>
  <c r="K369" i="17"/>
  <c r="G32" i="11"/>
  <c r="E18" i="11"/>
  <c r="D9" i="11"/>
  <c r="E19" i="11"/>
  <c r="D18" i="11"/>
  <c r="D19" i="11"/>
  <c r="G19" i="11"/>
  <c r="E32" i="11"/>
  <c r="G26" i="11"/>
  <c r="G31" i="11"/>
  <c r="G30" i="11"/>
  <c r="E31" i="11"/>
  <c r="D35" i="11"/>
  <c r="G35" i="11"/>
  <c r="F35" i="11"/>
  <c r="E35" i="11"/>
  <c r="G24" i="11"/>
  <c r="F24" i="11"/>
  <c r="D24" i="11"/>
  <c r="E25" i="10"/>
  <c r="U20" i="10"/>
  <c r="I26" i="11"/>
  <c r="J24" i="11"/>
  <c r="K17" i="11"/>
  <c r="I3" i="11"/>
  <c r="J19" i="11"/>
  <c r="I37" i="11"/>
  <c r="J15" i="11"/>
  <c r="K34" i="11"/>
  <c r="I33" i="11"/>
  <c r="J18" i="11"/>
  <c r="K31" i="11"/>
  <c r="I8" i="11"/>
  <c r="J36" i="11"/>
  <c r="E22" i="10"/>
  <c r="U12" i="10"/>
  <c r="J26" i="11"/>
  <c r="K24" i="11"/>
  <c r="I30" i="11"/>
  <c r="J3" i="11"/>
  <c r="K19" i="11"/>
  <c r="J37" i="11"/>
  <c r="K15" i="11"/>
  <c r="I22" i="11"/>
  <c r="J33" i="11"/>
  <c r="K18" i="11"/>
  <c r="I29" i="11"/>
  <c r="J8" i="11"/>
  <c r="K36" i="11"/>
  <c r="J31" i="11"/>
  <c r="D21" i="10"/>
  <c r="K26" i="11"/>
  <c r="I9" i="11"/>
  <c r="J30" i="11"/>
  <c r="K3" i="11"/>
  <c r="K37" i="11"/>
  <c r="I32" i="11"/>
  <c r="J22" i="11"/>
  <c r="K33" i="11"/>
  <c r="I16" i="11"/>
  <c r="J29" i="11"/>
  <c r="K8" i="11"/>
  <c r="D13" i="10"/>
  <c r="E14" i="10"/>
  <c r="I7" i="11"/>
  <c r="J9" i="11"/>
  <c r="K30" i="11"/>
  <c r="I14" i="11"/>
  <c r="J12" i="11"/>
  <c r="J32" i="11"/>
  <c r="J16" i="11"/>
  <c r="I25" i="11"/>
  <c r="J27" i="11"/>
  <c r="J7" i="11"/>
  <c r="K9" i="11"/>
  <c r="I28" i="11"/>
  <c r="J14" i="11"/>
  <c r="K12" i="11"/>
  <c r="K32" i="11"/>
  <c r="I11" i="11"/>
  <c r="J20" i="11"/>
  <c r="K16" i="11"/>
  <c r="I13" i="11"/>
  <c r="J25" i="11"/>
  <c r="K27" i="11"/>
  <c r="E7" i="10"/>
  <c r="I35" i="11"/>
  <c r="J28" i="11"/>
  <c r="I23" i="11"/>
  <c r="I38" i="11"/>
  <c r="J11" i="11"/>
  <c r="K20" i="11"/>
  <c r="I21" i="11"/>
  <c r="I10" i="11"/>
  <c r="J35" i="11"/>
  <c r="K28" i="11"/>
  <c r="I17" i="11"/>
  <c r="J23" i="11"/>
  <c r="J38" i="11"/>
  <c r="K11" i="11"/>
  <c r="I34" i="11"/>
  <c r="K13" i="11"/>
  <c r="I31" i="11"/>
  <c r="J10" i="11"/>
  <c r="F36" i="11"/>
  <c r="G20" i="11"/>
  <c r="E38" i="11"/>
  <c r="D29" i="11"/>
  <c r="G7" i="11"/>
  <c r="D21" i="11"/>
  <c r="E27" i="11"/>
  <c r="E12" i="11"/>
  <c r="E21" i="11"/>
  <c r="D33" i="11"/>
  <c r="F28" i="11"/>
  <c r="E28" i="11"/>
  <c r="F29" i="11"/>
  <c r="D27" i="11"/>
  <c r="D12" i="11"/>
  <c r="E11" i="11"/>
  <c r="G8" i="11"/>
  <c r="D10" i="11"/>
  <c r="G38" i="11"/>
  <c r="D8" i="11"/>
  <c r="D14" i="11"/>
  <c r="F37" i="11"/>
  <c r="E22" i="11"/>
  <c r="E14" i="11"/>
  <c r="D17" i="11"/>
  <c r="L138" i="8"/>
  <c r="L258" i="8"/>
  <c r="L194" i="8"/>
  <c r="L311" i="8"/>
  <c r="L303" i="8"/>
  <c r="L295" i="8"/>
  <c r="L287" i="8"/>
  <c r="L279" i="8"/>
  <c r="L263" i="8"/>
  <c r="L255" i="8"/>
  <c r="L247" i="8"/>
  <c r="L239" i="8"/>
  <c r="L231" i="8"/>
  <c r="L223" i="8"/>
  <c r="L215" i="8"/>
  <c r="L199" i="8"/>
  <c r="L191" i="8"/>
  <c r="L183" i="8"/>
  <c r="L175" i="8"/>
  <c r="L167" i="8"/>
  <c r="L159" i="8"/>
  <c r="L151" i="8"/>
  <c r="L15" i="8"/>
  <c r="L170" i="8"/>
  <c r="L106" i="8"/>
  <c r="L42" i="8"/>
  <c r="L290" i="8"/>
  <c r="L226" i="8"/>
  <c r="L10" i="8"/>
  <c r="P357" i="8"/>
  <c r="E367" i="8"/>
  <c r="D359" i="8"/>
  <c r="D343" i="8"/>
  <c r="D327" i="8"/>
  <c r="D311" i="8"/>
  <c r="F363" i="8"/>
  <c r="D366" i="8"/>
  <c r="F365" i="8"/>
  <c r="F357" i="8"/>
  <c r="P328" i="2"/>
  <c r="P320" i="2"/>
  <c r="P264" i="2"/>
  <c r="P224" i="2"/>
  <c r="P112" i="2"/>
  <c r="P88" i="2"/>
  <c r="P37" i="8"/>
  <c r="P43" i="8"/>
  <c r="P67" i="8"/>
  <c r="P75" i="8"/>
  <c r="P83" i="8"/>
  <c r="P85" i="8"/>
  <c r="P91" i="8"/>
  <c r="P12" i="8"/>
  <c r="P285" i="8"/>
  <c r="P317" i="8"/>
  <c r="P325" i="8"/>
  <c r="P341" i="8"/>
  <c r="P349" i="8"/>
  <c r="P36" i="8"/>
  <c r="P116" i="8"/>
  <c r="P148" i="8"/>
  <c r="P171" i="8"/>
  <c r="P172" i="8"/>
  <c r="P176" i="8"/>
  <c r="P187" i="8"/>
  <c r="P189" i="8"/>
  <c r="P184" i="8"/>
  <c r="P221" i="8"/>
  <c r="P235" i="8"/>
  <c r="P261" i="8"/>
  <c r="P45" i="8"/>
  <c r="P52" i="8"/>
  <c r="P84" i="8"/>
  <c r="P109" i="8"/>
  <c r="P120" i="8"/>
  <c r="P252" i="8"/>
  <c r="P260" i="8"/>
  <c r="P264" i="8"/>
  <c r="P268" i="8"/>
  <c r="P272" i="8"/>
  <c r="P292" i="8"/>
  <c r="P296" i="8"/>
  <c r="P88" i="8"/>
  <c r="P100" i="8"/>
  <c r="P21" i="8"/>
  <c r="P27" i="8"/>
  <c r="P117" i="8"/>
  <c r="P123" i="8"/>
  <c r="P131" i="8"/>
  <c r="P147" i="8"/>
  <c r="P243" i="8"/>
  <c r="P22" i="8"/>
  <c r="P24" i="8"/>
  <c r="P101" i="8"/>
  <c r="P107" i="8"/>
  <c r="P312" i="8"/>
  <c r="P316" i="8"/>
  <c r="P324" i="8"/>
  <c r="P328" i="8"/>
  <c r="P332" i="8"/>
  <c r="P336" i="8"/>
  <c r="P344" i="8"/>
  <c r="P346" i="8"/>
  <c r="P348" i="8"/>
  <c r="P356" i="8"/>
  <c r="P360" i="8"/>
  <c r="P61" i="8"/>
  <c r="P56" i="8"/>
  <c r="P60" i="8"/>
  <c r="P64" i="8"/>
  <c r="P68" i="8"/>
  <c r="P77" i="8"/>
  <c r="P72" i="8"/>
  <c r="P149" i="8"/>
  <c r="P155" i="8"/>
  <c r="P164" i="8"/>
  <c r="P163" i="8"/>
  <c r="P173" i="8"/>
  <c r="P195" i="8"/>
  <c r="P197" i="8"/>
  <c r="P203" i="8"/>
  <c r="P205" i="8"/>
  <c r="P219" i="8"/>
  <c r="P227" i="8"/>
  <c r="P256" i="8"/>
  <c r="P251" i="8"/>
  <c r="P259" i="8"/>
  <c r="P276" i="8"/>
  <c r="P275" i="8"/>
  <c r="P283" i="8"/>
  <c r="P13" i="8"/>
  <c r="P307" i="8"/>
  <c r="P315" i="8"/>
  <c r="P125" i="8"/>
  <c r="P124" i="8"/>
  <c r="P128" i="8"/>
  <c r="P139" i="8"/>
  <c r="P141" i="8"/>
  <c r="P136" i="8"/>
  <c r="P53" i="8"/>
  <c r="P59" i="8"/>
  <c r="P152" i="8"/>
  <c r="P196" i="8"/>
  <c r="P216" i="8"/>
  <c r="P220" i="8"/>
  <c r="P232" i="8"/>
  <c r="P16" i="8"/>
  <c r="P18" i="8"/>
  <c r="P51" i="8"/>
  <c r="P76" i="8"/>
  <c r="P80" i="8"/>
  <c r="P115" i="8"/>
  <c r="P140" i="8"/>
  <c r="P144" i="8"/>
  <c r="P165" i="8"/>
  <c r="P188" i="8"/>
  <c r="P211" i="8"/>
  <c r="P236" i="8"/>
  <c r="P245" i="8"/>
  <c r="P240" i="8"/>
  <c r="P242" i="8"/>
  <c r="P291" i="8"/>
  <c r="P295" i="8"/>
  <c r="P364" i="8"/>
  <c r="P366" i="8"/>
  <c r="P368" i="8"/>
  <c r="P212" i="8"/>
  <c r="P93" i="8"/>
  <c r="P132" i="8"/>
  <c r="P157" i="8"/>
  <c r="P180" i="8"/>
  <c r="P192" i="8"/>
  <c r="P224" i="8"/>
  <c r="P228" i="8"/>
  <c r="P244" i="8"/>
  <c r="P253" i="8"/>
  <c r="P248" i="8"/>
  <c r="P250" i="8"/>
  <c r="P299" i="8"/>
  <c r="P308" i="8"/>
  <c r="P303" i="8"/>
  <c r="P28" i="8"/>
  <c r="P32" i="8"/>
  <c r="P92" i="8"/>
  <c r="P96" i="8"/>
  <c r="P156" i="8"/>
  <c r="P179" i="8"/>
  <c r="P200" i="8"/>
  <c r="P277" i="8"/>
  <c r="P320" i="8"/>
  <c r="P20" i="8"/>
  <c r="P40" i="8"/>
  <c r="P69" i="8"/>
  <c r="P104" i="8"/>
  <c r="P133" i="8"/>
  <c r="P160" i="8"/>
  <c r="P181" i="8"/>
  <c r="P204" i="8"/>
  <c r="P231" i="8"/>
  <c r="P280" i="8"/>
  <c r="P282" i="8"/>
  <c r="P323" i="8"/>
  <c r="P340" i="8"/>
  <c r="P335" i="8"/>
  <c r="P339" i="8"/>
  <c r="P352" i="8"/>
  <c r="P347" i="8"/>
  <c r="P355" i="8"/>
  <c r="P17" i="8"/>
  <c r="P19" i="8"/>
  <c r="P44" i="8"/>
  <c r="P48" i="8"/>
  <c r="P108" i="8"/>
  <c r="P112" i="8"/>
  <c r="P168" i="8"/>
  <c r="P208" i="8"/>
  <c r="P239" i="8"/>
  <c r="P284" i="8"/>
  <c r="P288" i="8"/>
  <c r="P363" i="8"/>
  <c r="P300" i="8"/>
  <c r="P309" i="8"/>
  <c r="P304" i="8"/>
  <c r="P306" i="8"/>
  <c r="P35" i="8"/>
  <c r="P99" i="8"/>
  <c r="P271" i="8"/>
  <c r="P269" i="8"/>
  <c r="P267" i="8"/>
  <c r="P333" i="8"/>
  <c r="P331" i="8"/>
  <c r="P359" i="8"/>
  <c r="P26" i="8"/>
  <c r="P74" i="8"/>
  <c r="P218" i="8"/>
  <c r="P11" i="8"/>
  <c r="P14" i="8"/>
  <c r="P229" i="8"/>
  <c r="P255" i="8"/>
  <c r="P266" i="8"/>
  <c r="P293" i="8"/>
  <c r="P319" i="8"/>
  <c r="P330" i="8"/>
  <c r="P58" i="8"/>
  <c r="P154" i="8"/>
  <c r="P23" i="8"/>
  <c r="P30" i="8"/>
  <c r="P39" i="8"/>
  <c r="P46" i="8"/>
  <c r="P55" i="8"/>
  <c r="P62" i="8"/>
  <c r="P71" i="8"/>
  <c r="P78" i="8"/>
  <c r="P87" i="8"/>
  <c r="P94" i="8"/>
  <c r="P103" i="8"/>
  <c r="P110" i="8"/>
  <c r="P119" i="8"/>
  <c r="P126" i="8"/>
  <c r="P135" i="8"/>
  <c r="P142" i="8"/>
  <c r="P151" i="8"/>
  <c r="P158" i="8"/>
  <c r="P167" i="8"/>
  <c r="P174" i="8"/>
  <c r="P183" i="8"/>
  <c r="P190" i="8"/>
  <c r="P199" i="8"/>
  <c r="P206" i="8"/>
  <c r="P215" i="8"/>
  <c r="P226" i="8"/>
  <c r="P279" i="8"/>
  <c r="P290" i="8"/>
  <c r="P343" i="8"/>
  <c r="P354" i="8"/>
  <c r="P90" i="8"/>
  <c r="P122" i="8"/>
  <c r="P138" i="8"/>
  <c r="P202" i="8"/>
  <c r="P34" i="8"/>
  <c r="P50" i="8"/>
  <c r="P66" i="8"/>
  <c r="P82" i="8"/>
  <c r="P98" i="8"/>
  <c r="P114" i="8"/>
  <c r="P130" i="8"/>
  <c r="P146" i="8"/>
  <c r="P162" i="8"/>
  <c r="P178" i="8"/>
  <c r="P194" i="8"/>
  <c r="P210" i="8"/>
  <c r="P314" i="8"/>
  <c r="P365" i="8"/>
  <c r="P367" i="8"/>
  <c r="P106" i="8"/>
  <c r="P170" i="8"/>
  <c r="P186" i="8"/>
  <c r="P29" i="8"/>
  <c r="P213" i="8"/>
  <c r="P237" i="8"/>
  <c r="P263" i="8"/>
  <c r="P274" i="8"/>
  <c r="P301" i="8"/>
  <c r="P327" i="8"/>
  <c r="P338" i="8"/>
  <c r="P358" i="8"/>
  <c r="P42" i="8"/>
  <c r="P10" i="8"/>
  <c r="P15" i="8"/>
  <c r="P223" i="8"/>
  <c r="P234" i="8"/>
  <c r="P287" i="8"/>
  <c r="P298" i="8"/>
  <c r="P351" i="8"/>
  <c r="P362" i="8"/>
  <c r="P31" i="8"/>
  <c r="P38" i="8"/>
  <c r="P47" i="8"/>
  <c r="P54" i="8"/>
  <c r="P63" i="8"/>
  <c r="P70" i="8"/>
  <c r="P79" i="8"/>
  <c r="P86" i="8"/>
  <c r="P95" i="8"/>
  <c r="P102" i="8"/>
  <c r="P111" i="8"/>
  <c r="P118" i="8"/>
  <c r="P127" i="8"/>
  <c r="P134" i="8"/>
  <c r="P143" i="8"/>
  <c r="P150" i="8"/>
  <c r="P159" i="8"/>
  <c r="P166" i="8"/>
  <c r="P175" i="8"/>
  <c r="P182" i="8"/>
  <c r="P191" i="8"/>
  <c r="P198" i="8"/>
  <c r="P207" i="8"/>
  <c r="P247" i="8"/>
  <c r="P258" i="8"/>
  <c r="P311" i="8"/>
  <c r="P322" i="8"/>
  <c r="P25" i="8"/>
  <c r="P33" i="8"/>
  <c r="P41" i="8"/>
  <c r="P49" i="8"/>
  <c r="P57" i="8"/>
  <c r="P65" i="8"/>
  <c r="P73" i="8"/>
  <c r="P81" i="8"/>
  <c r="P89" i="8"/>
  <c r="P97" i="8"/>
  <c r="P105" i="8"/>
  <c r="P113" i="8"/>
  <c r="P121" i="8"/>
  <c r="P129" i="8"/>
  <c r="P137" i="8"/>
  <c r="P145" i="8"/>
  <c r="P153" i="8"/>
  <c r="P161" i="8"/>
  <c r="P169" i="8"/>
  <c r="P177" i="8"/>
  <c r="P185" i="8"/>
  <c r="P193" i="8"/>
  <c r="P201" i="8"/>
  <c r="P209" i="8"/>
  <c r="P217" i="8"/>
  <c r="P225" i="8"/>
  <c r="P233" i="8"/>
  <c r="P241" i="8"/>
  <c r="P249" i="8"/>
  <c r="P257" i="8"/>
  <c r="P265" i="8"/>
  <c r="P273" i="8"/>
  <c r="P281" i="8"/>
  <c r="P289" i="8"/>
  <c r="P297" i="8"/>
  <c r="P305" i="8"/>
  <c r="P313" i="8"/>
  <c r="P321" i="8"/>
  <c r="P329" i="8"/>
  <c r="P337" i="8"/>
  <c r="P345" i="8"/>
  <c r="P353" i="8"/>
  <c r="P361" i="8"/>
  <c r="P214" i="8"/>
  <c r="P222" i="8"/>
  <c r="P230" i="8"/>
  <c r="P238" i="8"/>
  <c r="P246" i="8"/>
  <c r="P254" i="8"/>
  <c r="P262" i="8"/>
  <c r="P270" i="8"/>
  <c r="P278" i="8"/>
  <c r="P286" i="8"/>
  <c r="P294" i="8"/>
  <c r="P302" i="8"/>
  <c r="P310" i="8"/>
  <c r="P318" i="8"/>
  <c r="P326" i="8"/>
  <c r="P334" i="8"/>
  <c r="P342" i="8"/>
  <c r="P350" i="8"/>
  <c r="P357" i="2"/>
  <c r="P237" i="2"/>
  <c r="P36" i="2"/>
  <c r="P28" i="2"/>
  <c r="P20" i="2"/>
  <c r="P12" i="2"/>
  <c r="N3" i="10" s="1"/>
  <c r="P333" i="2"/>
  <c r="P293" i="2"/>
  <c r="P261" i="2"/>
  <c r="P189" i="2"/>
  <c r="P356" i="2"/>
  <c r="P332" i="2"/>
  <c r="P308" i="2"/>
  <c r="P300" i="2"/>
  <c r="P284" i="2"/>
  <c r="N31" i="10" s="1"/>
  <c r="P268" i="2"/>
  <c r="P252" i="2"/>
  <c r="P228" i="2"/>
  <c r="P212" i="2"/>
  <c r="P196" i="2"/>
  <c r="P180" i="2"/>
  <c r="N25" i="10" s="1"/>
  <c r="P164" i="2"/>
  <c r="P148" i="2"/>
  <c r="P132" i="2"/>
  <c r="P116" i="2"/>
  <c r="P100" i="2"/>
  <c r="P84" i="2"/>
  <c r="P68" i="2"/>
  <c r="P44" i="2"/>
  <c r="P365" i="2"/>
  <c r="P309" i="2"/>
  <c r="P245" i="2"/>
  <c r="P364" i="2"/>
  <c r="P324" i="2"/>
  <c r="P236" i="2"/>
  <c r="P325" i="2"/>
  <c r="P277" i="2"/>
  <c r="P229" i="2"/>
  <c r="P197" i="2"/>
  <c r="P348" i="2"/>
  <c r="P340" i="2"/>
  <c r="P316" i="2"/>
  <c r="P292" i="2"/>
  <c r="P276" i="2"/>
  <c r="P260" i="2"/>
  <c r="P244" i="2"/>
  <c r="P220" i="2"/>
  <c r="P204" i="2"/>
  <c r="P188" i="2"/>
  <c r="P172" i="2"/>
  <c r="P156" i="2"/>
  <c r="P140" i="2"/>
  <c r="P124" i="2"/>
  <c r="P108" i="2"/>
  <c r="P92" i="2"/>
  <c r="P76" i="2"/>
  <c r="P60" i="2"/>
  <c r="P52" i="2"/>
  <c r="N9" i="10" s="1"/>
  <c r="P361" i="2"/>
  <c r="P353" i="2"/>
  <c r="P345" i="2"/>
  <c r="P337" i="2"/>
  <c r="P329" i="2"/>
  <c r="P321" i="2"/>
  <c r="P313" i="2"/>
  <c r="P312" i="2"/>
  <c r="P297" i="2"/>
  <c r="P289" i="2"/>
  <c r="N32" i="10" s="1"/>
  <c r="P281" i="2"/>
  <c r="P280" i="2"/>
  <c r="P265" i="2"/>
  <c r="P257" i="2"/>
  <c r="P249" i="2"/>
  <c r="P233" i="2"/>
  <c r="P225" i="2"/>
  <c r="H28" i="11" s="1"/>
  <c r="P217" i="2"/>
  <c r="P201" i="2"/>
  <c r="P193" i="2"/>
  <c r="P185" i="2"/>
  <c r="P177" i="2"/>
  <c r="P169" i="2"/>
  <c r="P161" i="2"/>
  <c r="P153" i="2"/>
  <c r="P145" i="2"/>
  <c r="P137" i="2"/>
  <c r="P129" i="2"/>
  <c r="P113" i="2"/>
  <c r="P105" i="2"/>
  <c r="P97" i="2"/>
  <c r="P89" i="2"/>
  <c r="P81" i="2"/>
  <c r="P73" i="2"/>
  <c r="P65" i="2"/>
  <c r="P49" i="2"/>
  <c r="P41" i="2"/>
  <c r="P33" i="2"/>
  <c r="P25" i="2"/>
  <c r="P17" i="2"/>
  <c r="P341" i="2"/>
  <c r="P285" i="2"/>
  <c r="P213" i="2"/>
  <c r="P349" i="2"/>
  <c r="P301" i="2"/>
  <c r="P269" i="2"/>
  <c r="P205" i="2"/>
  <c r="P13" i="2"/>
  <c r="P135" i="2"/>
  <c r="P127" i="2"/>
  <c r="P119" i="2"/>
  <c r="P111" i="2"/>
  <c r="N22" i="10" s="1"/>
  <c r="P103" i="2"/>
  <c r="P95" i="2"/>
  <c r="P79" i="2"/>
  <c r="P71" i="2"/>
  <c r="P63" i="2"/>
  <c r="H12" i="11" s="1"/>
  <c r="P55" i="2"/>
  <c r="P47" i="2"/>
  <c r="P39" i="2"/>
  <c r="P31" i="2"/>
  <c r="N7" i="10" s="1"/>
  <c r="P23" i="2"/>
  <c r="N5" i="10" s="1"/>
  <c r="P317" i="2"/>
  <c r="P253" i="2"/>
  <c r="P338" i="2"/>
  <c r="P210" i="2"/>
  <c r="P74" i="2"/>
  <c r="P360" i="2"/>
  <c r="P296" i="2"/>
  <c r="H33" i="11" s="1"/>
  <c r="P288" i="2"/>
  <c r="P256" i="2"/>
  <c r="P232" i="2"/>
  <c r="N29" i="10" s="1"/>
  <c r="P200" i="2"/>
  <c r="P192" i="2"/>
  <c r="P168" i="2"/>
  <c r="P152" i="2"/>
  <c r="P120" i="2"/>
  <c r="P104" i="2"/>
  <c r="N19" i="10" s="1"/>
  <c r="P48" i="2"/>
  <c r="P40" i="2"/>
  <c r="P176" i="2"/>
  <c r="P273" i="2"/>
  <c r="P56" i="2"/>
  <c r="P24" i="2"/>
  <c r="N6" i="10" s="1"/>
  <c r="P346" i="2"/>
  <c r="P314" i="2"/>
  <c r="P282" i="2"/>
  <c r="P250" i="2"/>
  <c r="P218" i="2"/>
  <c r="P186" i="2"/>
  <c r="P178" i="2"/>
  <c r="P146" i="2"/>
  <c r="P130" i="2"/>
  <c r="P122" i="2"/>
  <c r="P114" i="2"/>
  <c r="P82" i="2"/>
  <c r="P66" i="2"/>
  <c r="P58" i="2"/>
  <c r="P50" i="2"/>
  <c r="P18" i="2"/>
  <c r="P248" i="2"/>
  <c r="P216" i="2"/>
  <c r="P184" i="2"/>
  <c r="P144" i="2"/>
  <c r="P136" i="2"/>
  <c r="P128" i="2"/>
  <c r="P80" i="2"/>
  <c r="N14" i="10" s="1"/>
  <c r="P72" i="2"/>
  <c r="P64" i="2"/>
  <c r="P16" i="2"/>
  <c r="P305" i="2"/>
  <c r="P209" i="2"/>
  <c r="P368" i="2"/>
  <c r="P352" i="2"/>
  <c r="P344" i="2"/>
  <c r="P336" i="2"/>
  <c r="P241" i="2"/>
  <c r="P366" i="2"/>
  <c r="P358" i="2"/>
  <c r="N38" i="10" s="1"/>
  <c r="P350" i="2"/>
  <c r="P342" i="2"/>
  <c r="P334" i="2"/>
  <c r="P326" i="2"/>
  <c r="P318" i="2"/>
  <c r="P310" i="2"/>
  <c r="P302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N27" i="10" s="1"/>
  <c r="P198" i="2"/>
  <c r="P190" i="2"/>
  <c r="P182" i="2"/>
  <c r="P174" i="2"/>
  <c r="P166" i="2"/>
  <c r="P158" i="2"/>
  <c r="P150" i="2"/>
  <c r="P142" i="2"/>
  <c r="P134" i="2"/>
  <c r="P126" i="2"/>
  <c r="P118" i="2"/>
  <c r="P110" i="2"/>
  <c r="H21" i="11" s="1"/>
  <c r="P102" i="2"/>
  <c r="P94" i="2"/>
  <c r="P86" i="2"/>
  <c r="P78" i="2"/>
  <c r="P70" i="2"/>
  <c r="H13" i="11" s="1"/>
  <c r="P62" i="2"/>
  <c r="P54" i="2"/>
  <c r="P46" i="2"/>
  <c r="P38" i="2"/>
  <c r="N8" i="10" s="1"/>
  <c r="P30" i="2"/>
  <c r="P22" i="2"/>
  <c r="P14" i="2"/>
  <c r="P187" i="2"/>
  <c r="P363" i="2"/>
  <c r="P362" i="2"/>
  <c r="P355" i="2"/>
  <c r="P339" i="2"/>
  <c r="P331" i="2"/>
  <c r="P330" i="2"/>
  <c r="H36" i="11" s="1"/>
  <c r="P323" i="2"/>
  <c r="N35" i="10" s="1"/>
  <c r="P307" i="2"/>
  <c r="P299" i="2"/>
  <c r="P298" i="2"/>
  <c r="P291" i="2"/>
  <c r="P275" i="2"/>
  <c r="P267" i="2"/>
  <c r="P266" i="2"/>
  <c r="H31" i="11" s="1"/>
  <c r="P259" i="2"/>
  <c r="P243" i="2"/>
  <c r="P235" i="2"/>
  <c r="P234" i="2"/>
  <c r="P227" i="2"/>
  <c r="P211" i="2"/>
  <c r="P203" i="2"/>
  <c r="P202" i="2"/>
  <c r="P195" i="2"/>
  <c r="P179" i="2"/>
  <c r="P171" i="2"/>
  <c r="P155" i="2"/>
  <c r="P154" i="2"/>
  <c r="P147" i="2"/>
  <c r="P139" i="2"/>
  <c r="P131" i="2"/>
  <c r="P115" i="2"/>
  <c r="P107" i="2"/>
  <c r="P91" i="2"/>
  <c r="P90" i="2"/>
  <c r="P83" i="2"/>
  <c r="P75" i="2"/>
  <c r="P67" i="2"/>
  <c r="P51" i="2"/>
  <c r="P43" i="2"/>
  <c r="P27" i="2"/>
  <c r="P26" i="2"/>
  <c r="P19" i="2"/>
  <c r="H4" i="11" s="1"/>
  <c r="P11" i="2"/>
  <c r="P219" i="2"/>
  <c r="P251" i="2"/>
  <c r="P283" i="2"/>
  <c r="P242" i="2"/>
  <c r="P99" i="2"/>
  <c r="P35" i="2"/>
  <c r="P315" i="2"/>
  <c r="H34" i="11" s="1"/>
  <c r="P274" i="2"/>
  <c r="P163" i="2"/>
  <c r="P98" i="2"/>
  <c r="P34" i="2"/>
  <c r="P347" i="2"/>
  <c r="P306" i="2"/>
  <c r="P162" i="2"/>
  <c r="P123" i="2"/>
  <c r="P59" i="2"/>
  <c r="N10" i="10" s="1"/>
  <c r="P304" i="2"/>
  <c r="P272" i="2"/>
  <c r="P240" i="2"/>
  <c r="P208" i="2"/>
  <c r="P160" i="2"/>
  <c r="P121" i="2"/>
  <c r="P96" i="2"/>
  <c r="N17" i="10" s="1"/>
  <c r="P57" i="2"/>
  <c r="P32" i="2"/>
  <c r="P181" i="2"/>
  <c r="P173" i="2"/>
  <c r="N24" i="10" s="1"/>
  <c r="P165" i="2"/>
  <c r="P157" i="2"/>
  <c r="P149" i="2"/>
  <c r="P141" i="2"/>
  <c r="P133" i="2"/>
  <c r="P125" i="2"/>
  <c r="P117" i="2"/>
  <c r="H23" i="11" s="1"/>
  <c r="P109" i="2"/>
  <c r="P101" i="2"/>
  <c r="P93" i="2"/>
  <c r="P85" i="2"/>
  <c r="H15" i="11" s="1"/>
  <c r="P77" i="2"/>
  <c r="P69" i="2"/>
  <c r="P61" i="2"/>
  <c r="N11" i="10" s="1"/>
  <c r="P53" i="2"/>
  <c r="P45" i="2"/>
  <c r="P37" i="2"/>
  <c r="P29" i="2"/>
  <c r="P21" i="2"/>
  <c r="J367" i="1"/>
  <c r="J359" i="1"/>
  <c r="J351" i="1"/>
  <c r="J343" i="1"/>
  <c r="J335" i="1"/>
  <c r="J300" i="1"/>
  <c r="J268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49" i="1"/>
  <c r="J357" i="1"/>
  <c r="J349" i="1"/>
  <c r="J341" i="1"/>
  <c r="J333" i="1"/>
  <c r="J309" i="1"/>
  <c r="J301" i="1"/>
  <c r="J293" i="1"/>
  <c r="J285" i="1"/>
  <c r="J12" i="1"/>
  <c r="J36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233" i="1"/>
  <c r="J217" i="1"/>
  <c r="J193" i="1"/>
  <c r="J169" i="1"/>
  <c r="J153" i="1"/>
  <c r="J137" i="1"/>
  <c r="J121" i="1"/>
  <c r="J97" i="1"/>
  <c r="J73" i="1"/>
  <c r="J49" i="1"/>
  <c r="J33" i="1"/>
  <c r="J25" i="1"/>
  <c r="J257" i="1"/>
  <c r="J241" i="1"/>
  <c r="J225" i="1"/>
  <c r="J209" i="1"/>
  <c r="J201" i="1"/>
  <c r="J185" i="1"/>
  <c r="J177" i="1"/>
  <c r="J161" i="1"/>
  <c r="J145" i="1"/>
  <c r="J129" i="1"/>
  <c r="J113" i="1"/>
  <c r="J105" i="1"/>
  <c r="J89" i="1"/>
  <c r="J81" i="1"/>
  <c r="J65" i="1"/>
  <c r="J57" i="1"/>
  <c r="J41" i="1"/>
  <c r="J17" i="1"/>
  <c r="J302" i="1"/>
  <c r="J325" i="1"/>
  <c r="J317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10" i="1"/>
  <c r="J24" i="1"/>
  <c r="J152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16" i="1"/>
  <c r="J318" i="1"/>
  <c r="J286" i="1"/>
  <c r="J364" i="1"/>
  <c r="J356" i="1"/>
  <c r="J348" i="1"/>
  <c r="J340" i="1"/>
  <c r="J332" i="1"/>
  <c r="J324" i="1"/>
  <c r="J316" i="1"/>
  <c r="J308" i="1"/>
  <c r="J292" i="1"/>
  <c r="J276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284" i="1"/>
  <c r="J366" i="1"/>
  <c r="J358" i="1"/>
  <c r="J350" i="1"/>
  <c r="J342" i="1"/>
  <c r="J334" i="1"/>
  <c r="J326" i="1"/>
  <c r="J310" i="1"/>
  <c r="J294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D37" i="11" l="1"/>
  <c r="D31" i="19"/>
  <c r="D31" i="16"/>
  <c r="D30" i="19"/>
  <c r="D30" i="16"/>
  <c r="D37" i="19"/>
  <c r="D37" i="16"/>
  <c r="D43" i="19"/>
  <c r="D43" i="16"/>
  <c r="D27" i="19"/>
  <c r="D27" i="16"/>
  <c r="D45" i="19"/>
  <c r="D45" i="16"/>
  <c r="D17" i="19"/>
  <c r="D17" i="16"/>
  <c r="D42" i="19"/>
  <c r="D42" i="16"/>
  <c r="D28" i="19"/>
  <c r="D28" i="16"/>
  <c r="D33" i="19"/>
  <c r="D33" i="16"/>
  <c r="D18" i="19"/>
  <c r="D18" i="16"/>
  <c r="D34" i="19"/>
  <c r="D34" i="16"/>
  <c r="D16" i="19"/>
  <c r="D16" i="16"/>
  <c r="D5" i="19"/>
  <c r="D5" i="16"/>
  <c r="D41" i="19"/>
  <c r="D41" i="16"/>
  <c r="D24" i="19"/>
  <c r="D24" i="16"/>
  <c r="D26" i="19"/>
  <c r="D26" i="16"/>
  <c r="D6" i="19"/>
  <c r="D6" i="16"/>
  <c r="D38" i="19"/>
  <c r="D38" i="16"/>
  <c r="D36" i="19"/>
  <c r="D36" i="16"/>
  <c r="D22" i="19"/>
  <c r="D22" i="16"/>
  <c r="D20" i="19"/>
  <c r="D20" i="16"/>
  <c r="D35" i="19"/>
  <c r="D35" i="16"/>
  <c r="D39" i="19"/>
  <c r="D39" i="16"/>
  <c r="D32" i="19"/>
  <c r="D32" i="16"/>
  <c r="D7" i="19"/>
  <c r="D7" i="16"/>
  <c r="D23" i="19"/>
  <c r="D23" i="16"/>
  <c r="D44" i="19"/>
  <c r="D44" i="16"/>
  <c r="D19" i="19"/>
  <c r="D19" i="16"/>
  <c r="G12" i="11"/>
  <c r="E29" i="11"/>
  <c r="D15" i="11"/>
  <c r="D38" i="11"/>
  <c r="F38" i="11"/>
  <c r="F10" i="11"/>
  <c r="G14" i="11"/>
  <c r="G17" i="11"/>
  <c r="F34" i="11"/>
  <c r="F14" i="11"/>
  <c r="D20" i="11"/>
  <c r="D11" i="11"/>
  <c r="E37" i="11"/>
  <c r="G23" i="11"/>
  <c r="F15" i="11"/>
  <c r="E25" i="11"/>
  <c r="E23" i="11"/>
  <c r="G22" i="11"/>
  <c r="F20" i="11"/>
  <c r="G33" i="11"/>
  <c r="H19" i="11"/>
  <c r="N12" i="10"/>
  <c r="H22" i="11"/>
  <c r="N28" i="10"/>
  <c r="H3" i="11"/>
  <c r="H5" i="11"/>
  <c r="N13" i="10"/>
  <c r="H29" i="11"/>
  <c r="N36" i="10"/>
  <c r="F6" i="11"/>
  <c r="H11" i="11"/>
  <c r="H7" i="11"/>
  <c r="N15" i="10"/>
  <c r="N23" i="10"/>
  <c r="N34" i="10"/>
  <c r="H6" i="11"/>
  <c r="F13" i="11"/>
  <c r="H8" i="11"/>
  <c r="H14" i="11"/>
  <c r="N21" i="10"/>
  <c r="N30" i="10"/>
  <c r="H38" i="11"/>
  <c r="H10" i="11"/>
  <c r="H16" i="11"/>
  <c r="H24" i="11"/>
  <c r="H35" i="11"/>
  <c r="G10" i="11"/>
  <c r="L87" i="8"/>
  <c r="E4" i="11"/>
  <c r="F5" i="11"/>
  <c r="F4" i="11"/>
  <c r="E6" i="11"/>
  <c r="E5" i="11"/>
  <c r="F7" i="11"/>
  <c r="P369" i="2"/>
  <c r="O14" i="10"/>
  <c r="T14" i="10" s="1"/>
  <c r="L14" i="11"/>
  <c r="O15" i="10"/>
  <c r="T15" i="10" s="1"/>
  <c r="L15" i="11"/>
  <c r="O10" i="10"/>
  <c r="T10" i="10" s="1"/>
  <c r="L10" i="11"/>
  <c r="O34" i="10"/>
  <c r="T34" i="10" s="1"/>
  <c r="L34" i="11"/>
  <c r="O16" i="10"/>
  <c r="T16" i="10" s="1"/>
  <c r="L16" i="11"/>
  <c r="O3" i="10"/>
  <c r="T3" i="10" s="1"/>
  <c r="L3" i="11"/>
  <c r="O38" i="10"/>
  <c r="T38" i="10" s="1"/>
  <c r="L38" i="11"/>
  <c r="O31" i="10"/>
  <c r="T31" i="10" s="1"/>
  <c r="L32" i="11"/>
  <c r="O30" i="10"/>
  <c r="T30" i="10" s="1"/>
  <c r="L31" i="11"/>
  <c r="O36" i="10"/>
  <c r="T36" i="10" s="1"/>
  <c r="L36" i="11"/>
  <c r="L30" i="11"/>
  <c r="O35" i="10"/>
  <c r="T35" i="10" s="1"/>
  <c r="L35" i="11"/>
  <c r="O7" i="10"/>
  <c r="T7" i="10" s="1"/>
  <c r="L7" i="11"/>
  <c r="O26" i="10"/>
  <c r="T26" i="10" s="1"/>
  <c r="L26" i="11"/>
  <c r="O8" i="10"/>
  <c r="T8" i="10" s="1"/>
  <c r="L8" i="11"/>
  <c r="O9" i="10"/>
  <c r="T9" i="10" s="1"/>
  <c r="L9" i="11"/>
  <c r="O25" i="10"/>
  <c r="T25" i="10" s="1"/>
  <c r="L25" i="11"/>
  <c r="O17" i="10"/>
  <c r="T17" i="10" s="1"/>
  <c r="L17" i="11"/>
  <c r="O29" i="10"/>
  <c r="T29" i="10" s="1"/>
  <c r="L29" i="11"/>
  <c r="O33" i="10"/>
  <c r="T33" i="10" s="1"/>
  <c r="L33" i="11"/>
  <c r="O18" i="10"/>
  <c r="T18" i="10" s="1"/>
  <c r="L18" i="11"/>
  <c r="O13" i="10"/>
  <c r="T13" i="10" s="1"/>
  <c r="L13" i="11"/>
  <c r="O21" i="10"/>
  <c r="T21" i="10" s="1"/>
  <c r="L21" i="11"/>
  <c r="O19" i="10"/>
  <c r="T19" i="10" s="1"/>
  <c r="L19" i="11"/>
  <c r="O24" i="10"/>
  <c r="T24" i="10" s="1"/>
  <c r="L24" i="11"/>
  <c r="O28" i="10"/>
  <c r="T28" i="10" s="1"/>
  <c r="L28" i="11"/>
  <c r="O22" i="10"/>
  <c r="T22" i="10" s="1"/>
  <c r="L22" i="11"/>
  <c r="O37" i="10"/>
  <c r="T37" i="10" s="1"/>
  <c r="L37" i="11"/>
  <c r="O23" i="10"/>
  <c r="T23" i="10" s="1"/>
  <c r="L23" i="11"/>
  <c r="O27" i="10"/>
  <c r="T27" i="10" s="1"/>
  <c r="L27" i="11"/>
  <c r="O20" i="10"/>
  <c r="T20" i="10" s="1"/>
  <c r="L20" i="11"/>
  <c r="O11" i="10"/>
  <c r="T11" i="10" s="1"/>
  <c r="L11" i="11"/>
  <c r="O12" i="10"/>
  <c r="T12" i="10" s="1"/>
  <c r="L12" i="11"/>
  <c r="O32" i="10"/>
  <c r="T32" i="10" s="1"/>
  <c r="L234" i="8"/>
  <c r="L190" i="8"/>
  <c r="L318" i="8"/>
  <c r="L72" i="8"/>
  <c r="L24" i="8"/>
  <c r="L152" i="8"/>
  <c r="L111" i="8"/>
  <c r="L49" i="8"/>
  <c r="L280" i="8"/>
  <c r="L108" i="8"/>
  <c r="L229" i="8"/>
  <c r="L300" i="8"/>
  <c r="L53" i="8"/>
  <c r="L117" i="8"/>
  <c r="L181" i="8"/>
  <c r="L283" i="8"/>
  <c r="L26" i="8"/>
  <c r="L91" i="8"/>
  <c r="L171" i="8"/>
  <c r="L235" i="8"/>
  <c r="L299" i="8"/>
  <c r="L363" i="8"/>
  <c r="L70" i="8"/>
  <c r="L134" i="8"/>
  <c r="L198" i="8"/>
  <c r="L262" i="8"/>
  <c r="L326" i="8"/>
  <c r="L344" i="8"/>
  <c r="L80" i="8"/>
  <c r="L50" i="8"/>
  <c r="L178" i="8"/>
  <c r="L56" i="8"/>
  <c r="L168" i="8"/>
  <c r="L74" i="8"/>
  <c r="L47" i="8"/>
  <c r="L119" i="8"/>
  <c r="L213" i="8"/>
  <c r="L65" i="8"/>
  <c r="L137" i="8"/>
  <c r="L201" i="8"/>
  <c r="L281" i="8"/>
  <c r="L345" i="8"/>
  <c r="L124" i="8"/>
  <c r="L260" i="8"/>
  <c r="L277" i="8"/>
  <c r="L44" i="8"/>
  <c r="L180" i="8"/>
  <c r="L308" i="8"/>
  <c r="L20" i="8"/>
  <c r="L328" i="8"/>
  <c r="L173" i="8"/>
  <c r="L315" i="8"/>
  <c r="L19" i="8"/>
  <c r="L126" i="8"/>
  <c r="L18" i="8"/>
  <c r="L39" i="8"/>
  <c r="L193" i="8"/>
  <c r="L365" i="8"/>
  <c r="L61" i="8"/>
  <c r="L125" i="8"/>
  <c r="L32" i="8"/>
  <c r="L27" i="8"/>
  <c r="L107" i="8"/>
  <c r="L179" i="8"/>
  <c r="L243" i="8"/>
  <c r="L307" i="8"/>
  <c r="L14" i="8"/>
  <c r="L78" i="8"/>
  <c r="L142" i="8"/>
  <c r="L206" i="8"/>
  <c r="L270" i="8"/>
  <c r="L334" i="8"/>
  <c r="L352" i="8"/>
  <c r="L128" i="8"/>
  <c r="L58" i="8"/>
  <c r="L186" i="8"/>
  <c r="L273" i="8"/>
  <c r="L192" i="8"/>
  <c r="L210" i="8"/>
  <c r="L55" i="8"/>
  <c r="L127" i="8"/>
  <c r="L285" i="8"/>
  <c r="L73" i="8"/>
  <c r="L145" i="8"/>
  <c r="L217" i="8"/>
  <c r="L289" i="8"/>
  <c r="L353" i="8"/>
  <c r="L140" i="8"/>
  <c r="L276" i="8"/>
  <c r="L325" i="8"/>
  <c r="L68" i="8"/>
  <c r="L196" i="8"/>
  <c r="L332" i="8"/>
  <c r="L28" i="8"/>
  <c r="L45" i="8"/>
  <c r="L242" i="8"/>
  <c r="L362" i="8"/>
  <c r="L62" i="8"/>
  <c r="L254" i="8"/>
  <c r="L336" i="8"/>
  <c r="L146" i="8"/>
  <c r="L360" i="8"/>
  <c r="L349" i="8"/>
  <c r="L129" i="8"/>
  <c r="L337" i="8"/>
  <c r="L244" i="8"/>
  <c r="L164" i="8"/>
  <c r="L12" i="8"/>
  <c r="L320" i="8"/>
  <c r="L69" i="8"/>
  <c r="L133" i="8"/>
  <c r="L57" i="8"/>
  <c r="L208" i="8"/>
  <c r="L43" i="8"/>
  <c r="L115" i="8"/>
  <c r="L195" i="8"/>
  <c r="L259" i="8"/>
  <c r="L323" i="8"/>
  <c r="L22" i="8"/>
  <c r="L86" i="8"/>
  <c r="L150" i="8"/>
  <c r="L214" i="8"/>
  <c r="L278" i="8"/>
  <c r="L342" i="8"/>
  <c r="L368" i="8"/>
  <c r="L136" i="8"/>
  <c r="L66" i="8"/>
  <c r="L218" i="8"/>
  <c r="L176" i="8"/>
  <c r="L200" i="8"/>
  <c r="L338" i="8"/>
  <c r="L63" i="8"/>
  <c r="L135" i="8"/>
  <c r="L341" i="8"/>
  <c r="L81" i="8"/>
  <c r="L153" i="8"/>
  <c r="L225" i="8"/>
  <c r="L297" i="8"/>
  <c r="L361" i="8"/>
  <c r="L156" i="8"/>
  <c r="L292" i="8"/>
  <c r="L236" i="8"/>
  <c r="L84" i="8"/>
  <c r="L212" i="8"/>
  <c r="L356" i="8"/>
  <c r="L36" i="8"/>
  <c r="L109" i="8"/>
  <c r="L90" i="8"/>
  <c r="L96" i="8"/>
  <c r="L240" i="8"/>
  <c r="L34" i="8"/>
  <c r="L51" i="8"/>
  <c r="L131" i="8"/>
  <c r="L202" i="8"/>
  <c r="L266" i="8"/>
  <c r="L330" i="8"/>
  <c r="L30" i="8"/>
  <c r="L94" i="8"/>
  <c r="L158" i="8"/>
  <c r="L222" i="8"/>
  <c r="L286" i="8"/>
  <c r="L350" i="8"/>
  <c r="L209" i="8"/>
  <c r="L144" i="8"/>
  <c r="L82" i="8"/>
  <c r="L250" i="8"/>
  <c r="L40" i="8"/>
  <c r="L232" i="8"/>
  <c r="L253" i="8"/>
  <c r="L71" i="8"/>
  <c r="L13" i="8"/>
  <c r="L17" i="8"/>
  <c r="L89" i="8"/>
  <c r="L161" i="8"/>
  <c r="L233" i="8"/>
  <c r="L312" i="8"/>
  <c r="L52" i="8"/>
  <c r="L172" i="8"/>
  <c r="L316" i="8"/>
  <c r="L324" i="8"/>
  <c r="L100" i="8"/>
  <c r="L228" i="8"/>
  <c r="L189" i="8"/>
  <c r="L237" i="8"/>
  <c r="L88" i="8"/>
  <c r="L298" i="8"/>
  <c r="L77" i="8"/>
  <c r="L121" i="8"/>
  <c r="L272" i="8"/>
  <c r="L59" i="8"/>
  <c r="L162" i="8"/>
  <c r="L98" i="8"/>
  <c r="L67" i="8"/>
  <c r="L139" i="8"/>
  <c r="L203" i="8"/>
  <c r="L267" i="8"/>
  <c r="L331" i="8"/>
  <c r="L38" i="8"/>
  <c r="L102" i="8"/>
  <c r="L166" i="8"/>
  <c r="L230" i="8"/>
  <c r="L294" i="8"/>
  <c r="L358" i="8"/>
  <c r="L305" i="8"/>
  <c r="L184" i="8"/>
  <c r="L114" i="8"/>
  <c r="L282" i="8"/>
  <c r="L48" i="8"/>
  <c r="L256" i="8"/>
  <c r="L317" i="8"/>
  <c r="L79" i="8"/>
  <c r="L205" i="8"/>
  <c r="L25" i="8"/>
  <c r="L97" i="8"/>
  <c r="L169" i="8"/>
  <c r="L249" i="8"/>
  <c r="L313" i="8"/>
  <c r="L60" i="8"/>
  <c r="L188" i="8"/>
  <c r="L340" i="8"/>
  <c r="L364" i="8"/>
  <c r="L116" i="8"/>
  <c r="L252" i="8"/>
  <c r="L261" i="8"/>
  <c r="L357" i="8"/>
  <c r="L112" i="8"/>
  <c r="L85" i="8"/>
  <c r="L29" i="8"/>
  <c r="L93" i="8"/>
  <c r="L157" i="8"/>
  <c r="L160" i="8"/>
  <c r="L304" i="8"/>
  <c r="L123" i="8"/>
  <c r="L306" i="8"/>
  <c r="L163" i="8"/>
  <c r="L35" i="8"/>
  <c r="L219" i="8"/>
  <c r="L75" i="8"/>
  <c r="L147" i="8"/>
  <c r="L211" i="8"/>
  <c r="L275" i="8"/>
  <c r="L339" i="8"/>
  <c r="L187" i="8"/>
  <c r="L46" i="8"/>
  <c r="L110" i="8"/>
  <c r="L174" i="8"/>
  <c r="L238" i="8"/>
  <c r="L302" i="8"/>
  <c r="L366" i="8"/>
  <c r="L16" i="8"/>
  <c r="L216" i="8"/>
  <c r="L122" i="8"/>
  <c r="L314" i="8"/>
  <c r="L104" i="8"/>
  <c r="L288" i="8"/>
  <c r="L23" i="8"/>
  <c r="L95" i="8"/>
  <c r="L269" i="8"/>
  <c r="L33" i="8"/>
  <c r="L105" i="8"/>
  <c r="L177" i="8"/>
  <c r="L257" i="8"/>
  <c r="L321" i="8"/>
  <c r="L76" i="8"/>
  <c r="L204" i="8"/>
  <c r="L348" i="8"/>
  <c r="L245" i="8"/>
  <c r="L132" i="8"/>
  <c r="L268" i="8"/>
  <c r="L293" i="8"/>
  <c r="L224" i="8"/>
  <c r="L155" i="8"/>
  <c r="L141" i="8"/>
  <c r="L21" i="8"/>
  <c r="L149" i="8"/>
  <c r="L37" i="8"/>
  <c r="L101" i="8"/>
  <c r="L165" i="8"/>
  <c r="L347" i="8"/>
  <c r="L274" i="8"/>
  <c r="L99" i="8"/>
  <c r="L251" i="8"/>
  <c r="L11" i="8"/>
  <c r="L83" i="8"/>
  <c r="L154" i="8"/>
  <c r="L227" i="8"/>
  <c r="L291" i="8"/>
  <c r="L355" i="8"/>
  <c r="L54" i="8"/>
  <c r="L118" i="8"/>
  <c r="L182" i="8"/>
  <c r="L246" i="8"/>
  <c r="L310" i="8"/>
  <c r="L241" i="8"/>
  <c r="L64" i="8"/>
  <c r="L248" i="8"/>
  <c r="L130" i="8"/>
  <c r="L346" i="8"/>
  <c r="L120" i="8"/>
  <c r="L296" i="8"/>
  <c r="L31" i="8"/>
  <c r="L103" i="8"/>
  <c r="L301" i="8"/>
  <c r="L41" i="8"/>
  <c r="L113" i="8"/>
  <c r="L185" i="8"/>
  <c r="L265" i="8"/>
  <c r="L329" i="8"/>
  <c r="L92" i="8"/>
  <c r="L220" i="8"/>
  <c r="L197" i="8"/>
  <c r="L309" i="8"/>
  <c r="L148" i="8"/>
  <c r="L284" i="8"/>
  <c r="L333" i="8"/>
  <c r="L264" i="8"/>
</calcChain>
</file>

<file path=xl/sharedStrings.xml><?xml version="1.0" encoding="utf-8"?>
<sst xmlns="http://schemas.openxmlformats.org/spreadsheetml/2006/main" count="490" uniqueCount="204">
  <si>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</si>
  <si>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</si>
  <si>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</si>
  <si>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</si>
  <si>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</si>
  <si>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</si>
  <si>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</si>
  <si>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</si>
  <si>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</si>
  <si>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</si>
  <si>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</si>
  <si>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</si>
  <si>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</si>
  <si>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</si>
  <si>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</si>
  <si>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</si>
  <si>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</si>
  <si>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</si>
  <si>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</si>
  <si>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</si>
  <si>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</si>
  <si>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</si>
  <si>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</si>
  <si>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</si>
  <si>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</si>
  <si>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</si>
  <si>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</si>
  <si>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</si>
  <si>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</si>
  <si>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</si>
  <si>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</si>
  <si>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</si>
  <si>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</si>
  <si>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</si>
  <si>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Total Differencw</t>
  </si>
  <si>
    <t>Fb,Youtube,twittr</t>
  </si>
  <si>
    <t>fb,twitter</t>
  </si>
  <si>
    <t>Where traffic less than in previous weeks</t>
  </si>
  <si>
    <t>Where traffic more than in previous weeks</t>
  </si>
  <si>
    <t>fb, twitter</t>
  </si>
  <si>
    <t>fb,youtube,twittr others ,check other sheet also</t>
  </si>
  <si>
    <t xml:space="preserve">fb,youtube,twittr others </t>
  </si>
  <si>
    <t>FB,youtube,twittr,others</t>
  </si>
  <si>
    <t>Facebook2</t>
  </si>
  <si>
    <t>Youtube3</t>
  </si>
  <si>
    <t>Twitter4</t>
  </si>
  <si>
    <t>Others5</t>
  </si>
  <si>
    <t>Facebook6</t>
  </si>
  <si>
    <t>Youtube7</t>
  </si>
  <si>
    <t>Twitter8</t>
  </si>
  <si>
    <t>Others9</t>
  </si>
  <si>
    <t>Cass where Sameday last week traffic is more</t>
  </si>
  <si>
    <t>Total Diff wrt previous week</t>
  </si>
  <si>
    <t>conversion</t>
  </si>
  <si>
    <t>Conversion</t>
  </si>
  <si>
    <t>Reason</t>
  </si>
  <si>
    <t>Cases where Sameday last week traffic is more</t>
  </si>
  <si>
    <t>traffic</t>
  </si>
  <si>
    <t>Change in traffic wrt to same day last week</t>
  </si>
  <si>
    <t>Column1</t>
  </si>
  <si>
    <t>Traffic</t>
  </si>
  <si>
    <t>Row Labels</t>
  </si>
  <si>
    <t>Grand Total</t>
  </si>
  <si>
    <t>Day of the week</t>
  </si>
  <si>
    <t>Both</t>
  </si>
  <si>
    <t>Day</t>
  </si>
  <si>
    <t>Traffic change in 2 consecutive weeks as a %</t>
  </si>
  <si>
    <t>Facebook % Change</t>
  </si>
  <si>
    <t xml:space="preserve">Youtube% </t>
  </si>
  <si>
    <t>Twitter %</t>
  </si>
  <si>
    <t>Others %</t>
  </si>
  <si>
    <t>Primary Reason</t>
  </si>
  <si>
    <t>Detailed Explaination</t>
  </si>
  <si>
    <t xml:space="preserve">Youtube </t>
  </si>
  <si>
    <t xml:space="preserve">Twitter </t>
  </si>
  <si>
    <t>Order change wrt previous week</t>
  </si>
  <si>
    <t>Detailed analysis of Primary Reason</t>
  </si>
  <si>
    <t>Decrease in user traffic in Facebook, Youtube and twitter</t>
  </si>
  <si>
    <t>Decrease in user traffic in Facebook, Youtube, twitter &amp; others</t>
  </si>
  <si>
    <t>Increase of 119% in user traffic in Facebook, Youtube, twitter &amp; others</t>
  </si>
  <si>
    <t>Mainly due to increase in Facebook traffic. Youtube and twitter contributed 110%</t>
  </si>
  <si>
    <t>Increase in Traffic in Twitter.</t>
  </si>
  <si>
    <t>% Change in Listing</t>
  </si>
  <si>
    <t>% Change in Menu</t>
  </si>
  <si>
    <t>% Change in Carts</t>
  </si>
  <si>
    <t>%  Change in Payments</t>
  </si>
  <si>
    <t>Primary Reason Traffic</t>
  </si>
  <si>
    <t>Column9</t>
  </si>
  <si>
    <t>Average Discount down by 41%</t>
  </si>
  <si>
    <t>Average Discount up by 80%</t>
  </si>
  <si>
    <t>Average Discount up by 61%</t>
  </si>
  <si>
    <t>The Number of out of Stock items was at 229% of previous week items.</t>
  </si>
  <si>
    <t>Out of Stock items down by 70 % of previous weeks figures.</t>
  </si>
  <si>
    <t>Weekend surge in sales</t>
  </si>
  <si>
    <t>Success Rate of Payments is 65%,down by 29% wow.Out of Stock items change wow is at 23%</t>
  </si>
  <si>
    <t>Success Rate of Payments is 94% ,up by 45% wow.</t>
  </si>
  <si>
    <t xml:space="preserve">Weekend Surge in Sales.Average Delivery Charge down by 50% </t>
  </si>
  <si>
    <t>Average Packing Charge up by 32% WoW as well as a weekly a drop in the no of restaurant images by 21% WoW</t>
  </si>
  <si>
    <t>Average Packing Charge down by 31% WoW as well as a weekly hike in the no of restaurant images by 29% WoW</t>
  </si>
  <si>
    <t>Weekend Surge</t>
  </si>
  <si>
    <t>Weekend Surge in sales.Number of images per restaurant increased by 22% as compared to same day in previous week .</t>
  </si>
  <si>
    <t>Value</t>
  </si>
  <si>
    <t>Comparison Metric</t>
  </si>
  <si>
    <t xml:space="preserve"> Average Annual Restaurant Count</t>
  </si>
  <si>
    <t>Average Cost for 2 at Rs.399.</t>
  </si>
  <si>
    <t>Average Cost for 2 at Rs.355.</t>
  </si>
  <si>
    <t>Count of Restaurants down by 13,881.</t>
  </si>
  <si>
    <t>Count of Restaurants up by  9,511.Average cost for 2 at Rs.365</t>
  </si>
  <si>
    <t xml:space="preserve"> Average Annual Restaurant Count. Annual Weighted Average Cost for 2</t>
  </si>
  <si>
    <t>Cases Where Primary Reason for Change in Order Levels is Conversion</t>
  </si>
  <si>
    <t>Marginal increase in the overall Conversion</t>
  </si>
  <si>
    <t>Number of images per restaurant increased by 2</t>
  </si>
  <si>
    <t>Average Annual Number of images per Restaurant</t>
  </si>
  <si>
    <t>Average Packing Charge down by Rs.3</t>
  </si>
  <si>
    <t>WoW Change</t>
  </si>
  <si>
    <t>Restaurant Count up by 49% Wow. Also a hike of 14,076 in the count of Restaurants</t>
  </si>
  <si>
    <t>Annual Average Count of Restaurants.</t>
  </si>
  <si>
    <t>Count of Restaurants down by 28% and Average Packing charge up by 29% WoW. Also Count of Restaurant is down by 1,20,129 as compared to Annual Average Restaurant Count</t>
  </si>
  <si>
    <t>Annual Avrage Count of Restaurant</t>
  </si>
  <si>
    <t>Decrease in Facebook,Youtube &amp; Twitter traffic</t>
  </si>
  <si>
    <t>Drop in M2C</t>
  </si>
  <si>
    <t>Drop in L2M</t>
  </si>
  <si>
    <t>Decrease in Traffic Facebook,Youtube,Twitter &amp; Others</t>
  </si>
  <si>
    <t>Hike in Traffic Facebook,Youtube,Twitter &amp; Others</t>
  </si>
  <si>
    <t>Hike in Facebook Traffic</t>
  </si>
  <si>
    <t>Hike in Twitter Traffic</t>
  </si>
  <si>
    <t>Decrease in Traffic(-4%) across all 4 platforms</t>
  </si>
  <si>
    <t>Hike in L2M</t>
  </si>
  <si>
    <t>Hike in M2C</t>
  </si>
  <si>
    <t>Drop in C2P</t>
  </si>
  <si>
    <t>Hike in C2P</t>
  </si>
  <si>
    <t>Drop in P2O</t>
  </si>
  <si>
    <t>Hike in P2O</t>
  </si>
  <si>
    <t>Other Reasons</t>
  </si>
  <si>
    <t>Annual Wtd average cost for 2 at Rs.376</t>
  </si>
  <si>
    <t>Average Annual Packaging Charge of Rs.20</t>
  </si>
  <si>
    <t>Drop in L2M,Drop in Twitter Traffic</t>
  </si>
  <si>
    <t>Increase in Average Cost for Rs.399.</t>
  </si>
  <si>
    <t xml:space="preserve"> Average Annual Restaurant Count. Annual Weighted Average Cost for 2 at Rs.376</t>
  </si>
  <si>
    <t>Count of Restaurants up by  9,511.Average cost for 2 at Rs.365 down by Rs.11</t>
  </si>
  <si>
    <t>WoW Change,Annual Average Count of Restaurants.</t>
  </si>
  <si>
    <t>Average Delivery Charge up by Re.1. Also a 12% hike in packaging charge &amp; 16% hike in delivery charge WoW</t>
  </si>
  <si>
    <t>Wtd. Avg. of Annual Delivery Charge &amp; WoW Change</t>
  </si>
  <si>
    <t>Avg Cost for 2 down by Rs.7. Out of Stock items down by 2. Also a WoW drop of 11% in Avg. Packaging Charges</t>
  </si>
  <si>
    <t>Wtd. Avg. of Annual Avg Cost for 2.Avg. Annual Out of Stock item per Restaurant.WoW Change</t>
  </si>
  <si>
    <t>Marginal increase in the overall Conversion
Also Traffic up by 8% WoW</t>
  </si>
  <si>
    <t xml:space="preserve">Restaurant Count up by 4,646.Out of Stock items per restaurant down by 5 </t>
  </si>
  <si>
    <t>Avg. Annual Restaurant Count.Avg. Annual Out of Stock item per Restaurant.</t>
  </si>
  <si>
    <t>Average Delivery Charge up by Rs.28. Avg Cost for 2 up by Rs.23.</t>
  </si>
  <si>
    <t>Wtd. Avg. of Annual Delivery Charge Wtd. Avg. of Annual Avg Cost for 2</t>
  </si>
  <si>
    <t>Weekend Surge in Sales.Increase in Restaurant Count by 9191.</t>
  </si>
  <si>
    <t>Success Rate of Payments is 65%</t>
  </si>
  <si>
    <t>Average Annual Success rate of Payments</t>
  </si>
  <si>
    <t>Average Cost for 2 at Rs.350 less than annual average by Rs 26</t>
  </si>
  <si>
    <t>Wtd. Avg. of Annual Avg Cost for 2</t>
  </si>
  <si>
    <t>Annual Average of Success Rate of Payments</t>
  </si>
  <si>
    <t>Average Discount down by 8%</t>
  </si>
  <si>
    <t>Average Discount up by 80% WoW</t>
  </si>
  <si>
    <t>Annual Weighted Average of Discount</t>
  </si>
  <si>
    <t>Marginal Decrease in Conversion</t>
  </si>
  <si>
    <t>No Specific Reason</t>
  </si>
  <si>
    <t>Marginal hike across the funnel</t>
  </si>
  <si>
    <t>Annual Average of Success Rate of payments.</t>
  </si>
  <si>
    <t>Success rate of payments up by 2%</t>
  </si>
  <si>
    <t>Average Discount  at 29%</t>
  </si>
  <si>
    <t>Avg. Cost for 2 at 351</t>
  </si>
  <si>
    <t>Wtd. Avg. of Annual  Cost for 2</t>
  </si>
  <si>
    <t>Avg. Cost for 2 at Rs.383</t>
  </si>
  <si>
    <t>Count of Restaurants down by 7289.Avg cost for 2 at Rs.458</t>
  </si>
  <si>
    <t xml:space="preserve"> Average Annual Restaurant Count.Wtd. Avg. of Annual  Cost for 2</t>
  </si>
  <si>
    <t>Correction from last weeks’drop.Avg. cost for 2 down from Rs.458 to Rs.382.</t>
  </si>
  <si>
    <t>Avg. Cost for 2 at Rs.396</t>
  </si>
  <si>
    <t>Weekend rush</t>
  </si>
  <si>
    <t>Out of Stock items per restaurant at 68</t>
  </si>
  <si>
    <t>Avg. Annual Out of Stock item per Restaurant</t>
  </si>
  <si>
    <t>Annual Weighted Average Cost for 2 at Rs.376</t>
  </si>
  <si>
    <t>Weekend Rush.Avg Cost for 2 at Rs.372, down by Rs.4</t>
  </si>
  <si>
    <t>Average Cost for 2 at Rs.366</t>
  </si>
  <si>
    <t>Average Cost for 2 at Rs.368</t>
  </si>
  <si>
    <t>Weekend surge in sales,Average Cost for 2 at Rs.368</t>
  </si>
  <si>
    <t>Avg. Annual Out of Stock item per Restaurant at 35</t>
  </si>
  <si>
    <t>The Number of out of Stock items is 112, at 229% of previous week figure</t>
  </si>
  <si>
    <t>Average Cost for 2 at Rs.353. Weekend Surge.</t>
  </si>
  <si>
    <t>Annual Avrage Count of Restaurant,WoW Change</t>
  </si>
  <si>
    <t>Sessions Details as was given in the question where it was required to fill the balance details</t>
  </si>
  <si>
    <t>Channel Wise Traffic</t>
  </si>
  <si>
    <t>Supporting Data where I have added WoW Changes column for each item to fill the reasons column</t>
  </si>
  <si>
    <t>Change in Order Value detailed where only those days with hikes or lows in daily sales considered</t>
  </si>
  <si>
    <t>Percentage Change in Traffic</t>
  </si>
  <si>
    <t>Reasons - where inferences for the hike/drop in sales are made</t>
  </si>
  <si>
    <t>Change due to Conversion- to get a WoW change in each item(same day previous week comparison)</t>
  </si>
  <si>
    <t>Supporting Data</t>
  </si>
  <si>
    <t>Cases Where Primary Reason for Change in Order Levels is Conversion or both</t>
  </si>
  <si>
    <t>Sum of % Average Contribution</t>
  </si>
  <si>
    <t>% Change Restaurant Count</t>
  </si>
  <si>
    <t>% Change Average Discount</t>
  </si>
  <si>
    <t>% Change Out of Stock Items per restaurant</t>
  </si>
  <si>
    <t>Average Packaging charges</t>
  </si>
  <si>
    <t>% Change Average Packing Charge</t>
  </si>
  <si>
    <t>% Change Average Delivery Charges</t>
  </si>
  <si>
    <t>% Change Avg Cost for two</t>
  </si>
  <si>
    <t>% Change Number of images per restaurant</t>
  </si>
  <si>
    <t>% Change Success Rate of Payments</t>
  </si>
  <si>
    <t>Cases where Primary Reason for order change is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</si>
</sst>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000000000%"/>
    <numFmt numFmtId="165" formatCode="dddd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Georgia"/>
      <family val="1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0" fontId="0" fillId="0" borderId="0" xfId="0" applyNumberFormat="1"/>
    <xf numFmtId="9" fontId="0" fillId="0" borderId="0" xfId="0" applyNumberFormat="1"/>
    <xf numFmtId="14" fontId="0" fillId="3" borderId="1" xfId="0" applyNumberFormat="1" applyFill="1" applyBorder="1"/>
    <xf numFmtId="0" fontId="0" fillId="3" borderId="1" xfId="0" applyFill="1" applyBorder="1"/>
    <xf numFmtId="9" fontId="0" fillId="3" borderId="0" xfId="1" applyFont="1" applyFill="1"/>
    <xf numFmtId="0" fontId="0" fillId="0" borderId="0" xfId="0" applyFill="1"/>
    <xf numFmtId="14" fontId="0" fillId="0" borderId="1" xfId="0" applyNumberFormat="1" applyFill="1" applyBorder="1"/>
    <xf numFmtId="0" fontId="0" fillId="0" borderId="1" xfId="0" applyFill="1" applyBorder="1"/>
    <xf numFmtId="9" fontId="0" fillId="0" borderId="0" xfId="1" applyFont="1" applyFill="1"/>
    <xf numFmtId="10" fontId="0" fillId="0" borderId="0" xfId="2" applyNumberFormat="1" applyFont="1" applyFill="1"/>
    <xf numFmtId="164" fontId="0" fillId="0" borderId="0" xfId="0" applyNumberFormat="1" applyFill="1"/>
    <xf numFmtId="14" fontId="0" fillId="3" borderId="1" xfId="0" applyNumberFormat="1" applyFont="1" applyFill="1" applyBorder="1"/>
    <xf numFmtId="0" fontId="0" fillId="3" borderId="1" xfId="0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14" fontId="0" fillId="5" borderId="1" xfId="0" applyNumberFormat="1" applyFill="1" applyBorder="1"/>
    <xf numFmtId="9" fontId="0" fillId="5" borderId="0" xfId="1" applyFont="1" applyFill="1"/>
    <xf numFmtId="0" fontId="0" fillId="5" borderId="0" xfId="0" applyFill="1"/>
    <xf numFmtId="14" fontId="0" fillId="4" borderId="1" xfId="0" applyNumberFormat="1" applyFont="1" applyFill="1" applyBorder="1"/>
    <xf numFmtId="9" fontId="0" fillId="4" borderId="0" xfId="1" applyFont="1" applyFill="1"/>
    <xf numFmtId="0" fontId="0" fillId="4" borderId="0" xfId="0" applyFill="1"/>
    <xf numFmtId="14" fontId="0" fillId="4" borderId="1" xfId="0" applyNumberFormat="1" applyFill="1" applyBorder="1"/>
    <xf numFmtId="14" fontId="2" fillId="2" borderId="4" xfId="0" applyNumberFormat="1" applyFont="1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Border="1"/>
    <xf numFmtId="0" fontId="0" fillId="0" borderId="7" xfId="0" applyFill="1" applyBorder="1"/>
    <xf numFmtId="0" fontId="0" fillId="4" borderId="7" xfId="0" applyFont="1" applyFill="1" applyBorder="1"/>
    <xf numFmtId="0" fontId="0" fillId="5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0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0" borderId="6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3" xfId="0" applyFont="1" applyFill="1" applyBorder="1"/>
    <xf numFmtId="0" fontId="0" fillId="0" borderId="13" xfId="0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2" fillId="2" borderId="5" xfId="0" applyFont="1" applyFill="1" applyBorder="1"/>
    <xf numFmtId="0" fontId="0" fillId="0" borderId="0" xfId="0" applyFill="1" applyBorder="1"/>
    <xf numFmtId="9" fontId="0" fillId="0" borderId="0" xfId="1" applyNumberFormat="1" applyFont="1"/>
    <xf numFmtId="9" fontId="0" fillId="0" borderId="0" xfId="1" applyNumberFormat="1" applyFont="1" applyFill="1"/>
    <xf numFmtId="14" fontId="0" fillId="0" borderId="0" xfId="0" applyNumberFormat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2" fillId="2" borderId="8" xfId="0" applyFont="1" applyFill="1" applyBorder="1"/>
    <xf numFmtId="0" fontId="2" fillId="2" borderId="6" xfId="0" applyFont="1" applyFill="1" applyBorder="1"/>
    <xf numFmtId="9" fontId="0" fillId="0" borderId="0" xfId="2" applyNumberFormat="1" applyFont="1"/>
    <xf numFmtId="9" fontId="2" fillId="2" borderId="2" xfId="2" applyNumberFormat="1" applyFont="1" applyFill="1" applyBorder="1"/>
    <xf numFmtId="9" fontId="0" fillId="0" borderId="0" xfId="0" applyNumberFormat="1" applyFill="1"/>
    <xf numFmtId="0" fontId="0" fillId="0" borderId="0" xfId="0" applyAlignment="1">
      <alignment horizontal="center"/>
    </xf>
    <xf numFmtId="0" fontId="2" fillId="2" borderId="14" xfId="0" applyFont="1" applyFill="1" applyBorder="1"/>
    <xf numFmtId="14" fontId="2" fillId="2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65" fontId="0" fillId="0" borderId="1" xfId="0" applyNumberFormat="1" applyBorder="1"/>
    <xf numFmtId="9" fontId="0" fillId="0" borderId="7" xfId="1" applyFont="1" applyBorder="1"/>
    <xf numFmtId="14" fontId="2" fillId="2" borderId="13" xfId="0" applyNumberFormat="1" applyFont="1" applyFill="1" applyBorder="1"/>
    <xf numFmtId="14" fontId="2" fillId="2" borderId="17" xfId="0" applyNumberFormat="1" applyFont="1" applyFill="1" applyBorder="1"/>
    <xf numFmtId="0" fontId="2" fillId="2" borderId="17" xfId="0" applyFont="1" applyFill="1" applyBorder="1"/>
    <xf numFmtId="14" fontId="0" fillId="0" borderId="11" xfId="0" applyNumberFormat="1" applyBorder="1"/>
    <xf numFmtId="165" fontId="0" fillId="0" borderId="8" xfId="0" applyNumberFormat="1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165" fontId="0" fillId="0" borderId="0" xfId="0" applyNumberFormat="1" applyAlignment="1">
      <alignment horizontal="left"/>
    </xf>
    <xf numFmtId="9" fontId="2" fillId="2" borderId="1" xfId="1" applyFont="1" applyFill="1" applyBorder="1"/>
    <xf numFmtId="9" fontId="0" fillId="0" borderId="0" xfId="0" applyNumberFormat="1" applyFont="1"/>
    <xf numFmtId="14" fontId="0" fillId="0" borderId="0" xfId="0" applyNumberFormat="1" applyFont="1" applyFill="1" applyBorder="1"/>
    <xf numFmtId="14" fontId="0" fillId="0" borderId="4" xfId="0" applyNumberFormat="1" applyFont="1" applyFill="1" applyBorder="1"/>
    <xf numFmtId="14" fontId="0" fillId="0" borderId="4" xfId="0" applyNumberFormat="1" applyFill="1" applyBorder="1"/>
    <xf numFmtId="14" fontId="0" fillId="0" borderId="0" xfId="0" applyNumberFormat="1" applyFill="1"/>
    <xf numFmtId="14" fontId="0" fillId="0" borderId="15" xfId="0" applyNumberFormat="1" applyFont="1" applyFill="1" applyBorder="1"/>
    <xf numFmtId="14" fontId="0" fillId="0" borderId="11" xfId="0" applyNumberFormat="1" applyFont="1" applyFill="1" applyBorder="1"/>
    <xf numFmtId="14" fontId="0" fillId="0" borderId="10" xfId="0" applyNumberFormat="1" applyFont="1" applyFill="1" applyBorder="1"/>
    <xf numFmtId="0" fontId="0" fillId="0" borderId="6" xfId="0" applyFill="1" applyBorder="1"/>
    <xf numFmtId="0" fontId="2" fillId="2" borderId="9" xfId="0" applyFont="1" applyFill="1" applyBorder="1"/>
    <xf numFmtId="14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Fill="1" applyBorder="1"/>
    <xf numFmtId="0" fontId="6" fillId="0" borderId="0" xfId="0" applyFont="1" applyFill="1" applyBorder="1"/>
    <xf numFmtId="9" fontId="0" fillId="0" borderId="1" xfId="1" applyFont="1" applyFill="1" applyBorder="1"/>
    <xf numFmtId="9" fontId="0" fillId="0" borderId="0" xfId="1" applyFont="1" applyBorder="1"/>
    <xf numFmtId="0" fontId="0" fillId="0" borderId="0" xfId="0" applyNumberFormat="1" applyFont="1"/>
    <xf numFmtId="9" fontId="0" fillId="0" borderId="1" xfId="0" applyNumberFormat="1" applyBorder="1"/>
    <xf numFmtId="14" fontId="0" fillId="6" borderId="0" xfId="0" applyNumberFormat="1" applyFont="1" applyFill="1" applyBorder="1"/>
    <xf numFmtId="165" fontId="0" fillId="6" borderId="0" xfId="0" applyNumberFormat="1" applyFill="1" applyAlignment="1">
      <alignment horizontal="left"/>
    </xf>
    <xf numFmtId="0" fontId="0" fillId="6" borderId="0" xfId="0" applyFill="1"/>
    <xf numFmtId="9" fontId="0" fillId="6" borderId="0" xfId="1" applyFont="1" applyFill="1"/>
    <xf numFmtId="0" fontId="0" fillId="6" borderId="0" xfId="0" applyFill="1" applyAlignment="1">
      <alignment wrapText="1"/>
    </xf>
    <xf numFmtId="0" fontId="0" fillId="0" borderId="8" xfId="0" applyNumberFormat="1" applyBorder="1"/>
    <xf numFmtId="0" fontId="0" fillId="0" borderId="9" xfId="0" applyNumberFormat="1" applyBorder="1"/>
    <xf numFmtId="9" fontId="0" fillId="0" borderId="8" xfId="0" applyNumberFormat="1" applyBorder="1"/>
    <xf numFmtId="9" fontId="0" fillId="0" borderId="8" xfId="0" applyNumberFormat="1" applyFont="1" applyBorder="1"/>
    <xf numFmtId="9" fontId="0" fillId="0" borderId="9" xfId="0" applyNumberFormat="1" applyFont="1" applyBorder="1"/>
    <xf numFmtId="14" fontId="0" fillId="6" borderId="0" xfId="0" applyNumberFormat="1" applyFont="1" applyFill="1" applyBorder="1" applyAlignment="1">
      <alignment wrapText="1"/>
    </xf>
    <xf numFmtId="165" fontId="0" fillId="6" borderId="0" xfId="0" applyNumberFormat="1" applyFill="1" applyAlignment="1">
      <alignment horizontal="left" wrapText="1"/>
    </xf>
    <xf numFmtId="9" fontId="0" fillId="6" borderId="0" xfId="1" applyFont="1" applyFill="1" applyAlignment="1">
      <alignment wrapText="1"/>
    </xf>
    <xf numFmtId="14" fontId="0" fillId="0" borderId="0" xfId="0" applyNumberFormat="1" applyFont="1" applyFill="1" applyBorder="1" applyAlignment="1">
      <alignment wrapText="1"/>
    </xf>
    <xf numFmtId="165" fontId="0" fillId="0" borderId="0" xfId="0" applyNumberFormat="1" applyAlignment="1">
      <alignment horizontal="left" wrapText="1"/>
    </xf>
    <xf numFmtId="9" fontId="0" fillId="0" borderId="0" xfId="1" applyFont="1" applyAlignment="1">
      <alignment wrapText="1"/>
    </xf>
    <xf numFmtId="9" fontId="0" fillId="6" borderId="0" xfId="0" applyNumberFormat="1" applyFill="1"/>
    <xf numFmtId="165" fontId="0" fillId="0" borderId="1" xfId="0" applyNumberFormat="1" applyFill="1" applyBorder="1"/>
    <xf numFmtId="9" fontId="0" fillId="0" borderId="1" xfId="0" applyNumberFormat="1" applyFill="1" applyBorder="1"/>
    <xf numFmtId="9" fontId="0" fillId="0" borderId="7" xfId="1" applyFont="1" applyFill="1" applyBorder="1"/>
    <xf numFmtId="0" fontId="0" fillId="0" borderId="0" xfId="1" applyNumberFormat="1" applyFont="1"/>
    <xf numFmtId="0" fontId="0" fillId="0" borderId="0" xfId="0" applyAlignment="1">
      <alignment vertical="center"/>
    </xf>
    <xf numFmtId="165" fontId="5" fillId="0" borderId="0" xfId="0" applyNumberFormat="1" applyFont="1" applyAlignment="1">
      <alignment horizontal="left"/>
    </xf>
    <xf numFmtId="9" fontId="0" fillId="6" borderId="0" xfId="0" applyNumberFormat="1" applyFill="1" applyAlignment="1">
      <alignment wrapText="1"/>
    </xf>
    <xf numFmtId="0" fontId="0" fillId="0" borderId="5" xfId="0" applyFill="1" applyBorder="1"/>
    <xf numFmtId="14" fontId="2" fillId="2" borderId="1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left"/>
    </xf>
    <xf numFmtId="9" fontId="0" fillId="0" borderId="0" xfId="1" applyFont="1" applyFill="1" applyAlignment="1">
      <alignment wrapText="1"/>
    </xf>
    <xf numFmtId="165" fontId="0" fillId="0" borderId="0" xfId="0" applyNumberFormat="1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9" fontId="8" fillId="0" borderId="0" xfId="1" applyFont="1" applyFill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8" fillId="0" borderId="18" xfId="0" applyFont="1" applyFill="1" applyBorder="1" applyAlignment="1">
      <alignment vertical="center" wrapText="1"/>
    </xf>
    <xf numFmtId="0" fontId="7" fillId="0" borderId="0" xfId="0" applyFont="1" applyFill="1" applyAlignment="1">
      <alignment horizontal="justify" vertical="center" wrapText="1"/>
    </xf>
    <xf numFmtId="0" fontId="9" fillId="0" borderId="0" xfId="0" applyFont="1" applyFill="1" applyAlignment="1">
      <alignment horizontal="justify"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7" fillId="0" borderId="0" xfId="0" applyFont="1" applyFill="1"/>
    <xf numFmtId="0" fontId="9" fillId="0" borderId="0" xfId="0" applyFont="1" applyFill="1" applyBorder="1" applyAlignment="1">
      <alignment horizontal="justify" vertical="center" wrapText="1"/>
    </xf>
    <xf numFmtId="0" fontId="8" fillId="0" borderId="0" xfId="0" applyFont="1" applyFill="1" applyAlignment="1">
      <alignment vertical="center"/>
    </xf>
    <xf numFmtId="0" fontId="0" fillId="0" borderId="16" xfId="0" applyFont="1" applyFill="1" applyBorder="1"/>
    <xf numFmtId="9" fontId="0" fillId="3" borderId="0" xfId="2" applyNumberFormat="1" applyFont="1" applyFill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/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center" wrapText="1"/>
    </xf>
    <xf numFmtId="9" fontId="2" fillId="2" borderId="17" xfId="1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/>
    </xf>
    <xf numFmtId="0" fontId="0" fillId="0" borderId="1" xfId="0" applyBorder="1" applyAlignment="1">
      <alignment horizontal="right" wrapText="1"/>
    </xf>
    <xf numFmtId="9" fontId="0" fillId="0" borderId="1" xfId="0" applyNumberFormat="1" applyBorder="1" applyAlignment="1">
      <alignment horizontal="right" wrapText="1"/>
    </xf>
    <xf numFmtId="9" fontId="0" fillId="0" borderId="1" xfId="0" applyNumberFormat="1" applyFill="1" applyBorder="1" applyAlignment="1">
      <alignment horizontal="right" wrapText="1"/>
    </xf>
    <xf numFmtId="9" fontId="0" fillId="0" borderId="8" xfId="0" applyNumberFormat="1" applyBorder="1" applyAlignment="1">
      <alignment horizontal="right" wrapText="1"/>
    </xf>
    <xf numFmtId="0" fontId="2" fillId="2" borderId="12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1" fillId="0" borderId="0" xfId="0" applyFont="1" applyFill="1"/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/>
    </xf>
    <xf numFmtId="165" fontId="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44">
    <dxf>
      <numFmt numFmtId="13" formatCode="0%"/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/>
    </dxf>
    <dxf>
      <border diagonalUp="0" diagonalDown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border diagonalUp="0" diagonalDown="0" outline="0">
        <left/>
        <right/>
        <top/>
        <bottom/>
      </border>
    </dxf>
    <dxf>
      <border diagonalUp="0" diagonalDown="0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>
        <left style="thin">
          <color indexed="64"/>
        </left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rgb="FF000000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/>
        <top style="thin">
          <color indexed="64"/>
        </top>
        <bottom/>
      </border>
    </dxf>
    <dxf>
      <numFmt numFmtId="19" formatCode="dd/mm/yyyy"/>
    </dxf>
    <dxf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dd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top/>
        <bottom/>
        <horizontal/>
      </border>
    </dxf>
    <dxf>
      <border diagonalUp="0" diagonalDown="0">
        <top/>
        <bottom/>
        <horizontal/>
      </border>
    </dxf>
    <dxf>
      <border diagonalUp="0" diagonalDown="0">
        <left style="thin">
          <color indexed="64"/>
        </left>
        <top/>
        <bottom/>
        <horizontal/>
      </border>
    </dxf>
    <dxf>
      <border diagonalUp="0" diagonalDown="0">
        <left style="thin">
          <color indexed="64"/>
        </left>
        <top/>
        <bottom/>
        <horizontal/>
      </border>
    </dxf>
    <dxf>
      <border diagonalUp="0" diagonalDown="0"/>
    </dxf>
    <dxf>
      <border diagonalUp="0" diagonalDown="0"/>
    </dxf>
    <dxf>
      <border diagonalUp="0" diagonalDown="0">
        <left style="thin">
          <color indexed="64"/>
        </left>
      </border>
    </dxf>
    <dxf>
      <border diagonalUp="0" diagonalDown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976.744428124999" createdVersion="8" refreshedVersion="8" minRefreshableVersion="3" recordCount="4" xr:uid="{F46FC2D1-416E-4015-8D34-8E83BF73E464}">
  <cacheSource type="worksheet">
    <worksheetSource ref="A53:B57" sheet="Chart data"/>
  </cacheSource>
  <cacheFields count="2">
    <cacheField name="Traffic Source" numFmtId="0">
      <sharedItems count="4">
        <s v="Facebook"/>
        <s v="Youtube"/>
        <s v="Twitter"/>
        <s v="Others"/>
      </sharedItems>
    </cacheField>
    <cacheField name="% Average Contribution" numFmtId="9">
      <sharedItems containsSemiMixedTypes="0" containsString="0" containsNumber="1" minValue="0.11151930176888539" maxValue="0.35966662987863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35966662987863618"/>
  </r>
  <r>
    <x v="1"/>
    <n v="0.26921439937406605"/>
  </r>
  <r>
    <x v="2"/>
    <n v="0.11151930176888539"/>
  </r>
  <r>
    <x v="3"/>
    <n v="0.25959966897841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CAF0F-60C3-47BB-A2AC-6D9E0697BC39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">
    <pivotField axis="axisRow" showAll="0">
      <items count="5">
        <item x="0"/>
        <item x="3"/>
        <item x="2"/>
        <item x="1"/>
        <item t="default"/>
      </items>
    </pivotField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% Average Contribution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7D15E-585F-4D69-979B-3F2E4D4A399F}" name="Table1" displayName="Table1" ref="B2:P369" totalsRowCount="1" headerRowDxfId="143" tableBorderDxfId="142">
  <autoFilter ref="B2:P368" xr:uid="{E367D15E-585F-4D69-979B-3F2E4D4A399F}"/>
  <tableColumns count="15">
    <tableColumn id="1" xr3:uid="{B1B54AC2-3249-401E-BB43-A384A9C03A4A}" name="Date" totalsRowFunction="count" dataDxfId="141" totalsRowDxfId="140"/>
    <tableColumn id="2" xr3:uid="{7D92D5A7-5CB8-41B0-9CAC-57E590D24FED}" name="Facebook" totalsRowFunction="sum" dataDxfId="139" totalsRowDxfId="138"/>
    <tableColumn id="3" xr3:uid="{0E2E7C2C-0535-412D-BF72-D6D5FE844D63}" name="Youtube" totalsRowFunction="sum" dataDxfId="137" totalsRowDxfId="136"/>
    <tableColumn id="4" xr3:uid="{6B85B336-D829-4A86-9B06-6E757B95429B}" name="Twitter" totalsRowFunction="sum" dataDxfId="135" totalsRowDxfId="134"/>
    <tableColumn id="5" xr3:uid="{043927C5-EE07-408A-8702-3E30E7CA5E8A}" name="Others" totalsRowFunction="sum" dataDxfId="133" totalsRowDxfId="132"/>
    <tableColumn id="6" xr3:uid="{EFE1EB5C-4141-4057-9D5E-19B85E6B9A8E}" name="Total" totalsRowFunction="sum" dataDxfId="131" totalsRowDxfId="130">
      <calculatedColumnFormula>SUM(C3:F3)</calculatedColumnFormula>
    </tableColumn>
    <tableColumn id="7" xr3:uid="{ACBF8EF7-9F04-4C70-87D5-A2E84068B685}" name="Facebook2" totalsRowFunction="sum" dataDxfId="129" totalsRowDxfId="128"/>
    <tableColumn id="8" xr3:uid="{468B8DF8-3810-4DBB-AB24-C95E2C9589CD}" name="Youtube3" totalsRowFunction="sum"/>
    <tableColumn id="9" xr3:uid="{95919B5A-335D-4058-934F-2397E0F8AAE9}" name="Twitter4" totalsRowFunction="sum"/>
    <tableColumn id="10" xr3:uid="{5B149E3D-8004-4D3A-AFE0-3A466FB8AE50}" name="Others5" totalsRowFunction="sum" dataDxfId="127" totalsRowDxfId="126"/>
    <tableColumn id="11" xr3:uid="{420F5486-9D6A-4C1B-88AC-1F2EE49A17FC}" name="Facebook6" totalsRowFunction="sum" dataDxfId="125" totalsRowDxfId="124"/>
    <tableColumn id="12" xr3:uid="{1C9D5DCA-60C6-4062-8C1C-46C34F8AB482}" name="Youtube7" totalsRowFunction="sum"/>
    <tableColumn id="13" xr3:uid="{5B4EA850-52B8-44EE-84F9-C24E5B3BE711}" name="Twitter8" totalsRowFunction="sum"/>
    <tableColumn id="14" xr3:uid="{59A2F223-6CAA-430D-8F9E-B45EC33C57C3}" name="Others9" totalsRowFunction="sum" dataDxfId="123" totalsRowDxfId="122"/>
    <tableColumn id="15" xr3:uid="{19A7916C-118D-4092-B725-6E0679C2A634}" name="Total Differencw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89E5A3-2F85-493E-BACE-F4F1A0BCA4C2}" name="Table6" displayName="Table6" ref="B1:T368" totalsRowCount="1" headerRowDxfId="121" headerRowBorderDxfId="120" tableBorderDxfId="119" totalsRowBorderDxfId="118">
  <autoFilter ref="B1:T367" xr:uid="{B389E5A3-2F85-493E-BACE-F4F1A0BCA4C2}"/>
  <tableColumns count="19">
    <tableColumn id="1" xr3:uid="{74EC1F05-8D70-4183-B95A-6F427134C343}" name="Date" totalsRowLabel="Total" dataDxfId="117" totalsRowDxfId="116"/>
    <tableColumn id="2" xr3:uid="{1735A0BC-91D3-4479-B70F-53A0AC412E5A}" name="Day of the week" totalsRowFunction="count" dataDxfId="115" totalsRowDxfId="114"/>
    <tableColumn id="3" xr3:uid="{768B9314-882B-444C-897B-41F6DEFD54E3}" name="Count of restaurants" totalsRowFunction="average" dataDxfId="113" totalsRowDxfId="112"/>
    <tableColumn id="11" xr3:uid="{44CF5DB6-30D9-4955-89E3-DC8A2F91897F}" name="% Change Restaurant Count" totalsRowFunction="average" dataDxfId="111" totalsRowDxfId="110" dataCellStyle="Percent"/>
    <tableColumn id="4" xr3:uid="{D6D79B4B-63D3-4ABA-9820-E679FE13F4E7}" name="Average Discount" totalsRowFunction="average" dataDxfId="109" totalsRowDxfId="108" dataCellStyle="Percent"/>
    <tableColumn id="12" xr3:uid="{B76A635C-1A71-4681-811F-4B58156C12F9}" name="% Change Average Discount" totalsRowFunction="average" dataDxfId="107" totalsRowDxfId="106" dataCellStyle="Percent"/>
    <tableColumn id="5" xr3:uid="{3180FBA7-2B3B-4C3B-9571-3F66AE1AA9E8}" name="Out of stock Items per restaurant" totalsRowFunction="average" dataDxfId="105" totalsRowDxfId="104"/>
    <tableColumn id="13" xr3:uid="{88AE1514-43AD-4892-A60D-08DCA3AB83B0}" name="% Change Out of Stock Items per restaurant" totalsRowFunction="average" dataDxfId="103" totalsRowDxfId="102"/>
    <tableColumn id="6" xr3:uid="{4BA39E4C-1407-4F1A-A486-C04607049E42}" name="Average Packaging charges" totalsRowFunction="average" dataDxfId="101" totalsRowDxfId="100"/>
    <tableColumn id="14" xr3:uid="{8FA2AB8E-71A3-4D74-88B8-073FE16D70DC}" name="% Change Average Packing Charge" dataDxfId="99" totalsRowDxfId="98"/>
    <tableColumn id="7" xr3:uid="{925B4D42-5683-4544-9F7F-EE73D11BAC5F}" name="Average Delivery Charges" totalsRowFunction="average" dataDxfId="97" totalsRowDxfId="96"/>
    <tableColumn id="15" xr3:uid="{FC2D5331-7159-467F-B74F-A9549B678AE2}" name="% Change Average Delivery Charges" dataDxfId="95" totalsRowDxfId="94"/>
    <tableColumn id="8" xr3:uid="{B506DC44-1872-4121-A74A-98004D405613}" name="Avg Cost for two" totalsRowFunction="average" dataDxfId="93" totalsRowDxfId="92"/>
    <tableColumn id="16" xr3:uid="{52A60E13-D8CE-4D18-9FE7-5EEF4D656BC5}" name="% Change Avg Cost for two" dataDxfId="91" totalsRowDxfId="90" dataCellStyle="Percent"/>
    <tableColumn id="9" xr3:uid="{4B2A26D6-B473-4376-8580-20EA724A69A7}" name="Number of images per restaurant" totalsRowFunction="average" dataDxfId="89" totalsRowDxfId="88"/>
    <tableColumn id="17" xr3:uid="{1825604C-E2DE-4150-8E31-D3A5167C68B5}" name="% Change Number of images per restaurant" dataDxfId="87" totalsRowDxfId="86" dataCellStyle="Percent"/>
    <tableColumn id="10" xr3:uid="{A321A4B7-6B5B-4539-8027-FFD5C801C7D2}" name="Success Rate of payments" totalsRowFunction="average" dataDxfId="85" totalsRowDxfId="84" dataCellStyle="Percent"/>
    <tableColumn id="18" xr3:uid="{8DE352C1-D90A-4744-A037-95AC4556B0D1}" name="% Change Success Rate of Payments" totalsRowDxfId="83"/>
    <tableColumn id="19" xr3:uid="{9FBD5B61-1183-415D-9A4E-FF6DDB9D3D75}" name="Column9" totalsRowFunction="count" dataDxfId="82" totalsRowDxfId="81">
      <calculatedColumnFormula>VLOOKUP(Table6[[#This Row],[Date]],Table2[#All],1,FALSE)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FA589-BCB8-4EDF-B1EF-25CFBBCA541B}" name="Table4" displayName="Table4" ref="B2:B5" totalsRowShown="0" headerRowDxfId="79" dataDxfId="77" headerRowBorderDxfId="78" tableBorderDxfId="76" totalsRowBorderDxfId="75">
  <autoFilter ref="B2:B5" xr:uid="{E05FA589-BCB8-4EDF-B1EF-25CFBBCA541B}"/>
  <tableColumns count="1">
    <tableColumn id="1" xr3:uid="{E8144C2A-1292-4B97-AFDF-82738EF58A98}" name="Reason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97E4EC-A1B6-40A1-8174-41DCF9DA28BE}" name="Table5" displayName="Table5" ref="D2:D38" totalsRowShown="0" headerRowDxfId="73" dataDxfId="71" headerRowBorderDxfId="72" tableBorderDxfId="70" totalsRowBorderDxfId="69">
  <autoFilter ref="D2:D38" xr:uid="{1397E4EC-A1B6-40A1-8174-41DCF9DA28BE}"/>
  <tableColumns count="1">
    <tableColumn id="1" xr3:uid="{BC10B197-BD57-4B04-9429-C9FE73A21B3D}" name="Date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04E239-BCD9-4FF7-9D17-343791D34C88}" name="Table24" displayName="Table24" ref="A2:M39" totalsRowCount="1" headerRowDxfId="67" dataDxfId="66" tableBorderDxfId="65" dataCellStyle="Percent">
  <autoFilter ref="A2:M38" xr:uid="{EC8DBEA5-4772-4C9B-B3AC-D614C7DE8912}"/>
  <sortState xmlns:xlrd2="http://schemas.microsoft.com/office/spreadsheetml/2017/richdata2" ref="A3:M38">
    <sortCondition ref="A2:A38"/>
  </sortState>
  <tableColumns count="13">
    <tableColumn id="1" xr3:uid="{3D7D1454-DB98-488C-A7AF-9CFA8E54498D}" name="Date" totalsRowLabel="Total" dataDxfId="64" totalsRowDxfId="63"/>
    <tableColumn id="2" xr3:uid="{2C6EB06D-716C-44EA-AE57-20F699A9F7BB}" name="Listing" totalsRowDxfId="62"/>
    <tableColumn id="3" xr3:uid="{8A91675F-F82A-46EB-92C6-E4679624E3A2}" name="Orders" totalsRowDxfId="61"/>
    <tableColumn id="4" xr3:uid="{59AEAB3D-78C9-416C-8E32-D988565A1D43}" name="Facebook" dataDxfId="60" totalsRowDxfId="59">
      <calculatedColumnFormula>IF(Table2[[#This Row],[Facebook]]&lt;&gt;0,VLOOKUP($A3,'Channel wise traffic'!$B$2:$K$368,7,FALSE),Table2[[#This Row],[Facebook2]])</calculatedColumnFormula>
    </tableColumn>
    <tableColumn id="5" xr3:uid="{846A979F-CE9E-4B26-94A4-6DE5C9193E01}" name="Youtube" dataDxfId="58">
      <calculatedColumnFormula>IF(Table2[[#This Row],[Youtube]]&lt;&gt;0,VLOOKUP($A3,'Channel wise traffic'!$B$2:$K$368,8,FALSE),Table2[[#This Row],[Youtube3]])</calculatedColumnFormula>
    </tableColumn>
    <tableColumn id="6" xr3:uid="{9C7EF644-DA23-4A27-AEAF-609A0DF5B1C0}" name="Twitter" dataDxfId="57">
      <calculatedColumnFormula>IF(Table2[[#This Row],[Twitter]]&lt;&gt;0,VLOOKUP($A3,'Channel wise traffic'!$B$2:$K$368,9,FALSE),Table2[[#This Row],[Twitter4]])</calculatedColumnFormula>
    </tableColumn>
    <tableColumn id="7" xr3:uid="{F7A4E367-3E81-4A4A-99C3-F2496BB1F164}" name="Others" dataDxfId="56">
      <calculatedColumnFormula>IF(Table2[[#This Row],[Others]]&lt;&gt;0,VLOOKUP($A3,'Channel wise traffic'!$B$2:$K$368,10,FALSE),Table2[[#This Row],[Others5]])</calculatedColumnFormula>
    </tableColumn>
    <tableColumn id="12" xr3:uid="{44E2BA19-AC0E-4E52-B982-B33ADD966124}" name="Total Diff wrt previous week" dataDxfId="55" totalsRowDxfId="54">
      <calculatedColumnFormula>VLOOKUP($A3,'Channel wise traffic'!$B$2:$P$368,15,FALSE)</calculatedColumnFormula>
    </tableColumn>
    <tableColumn id="13" xr3:uid="{58833F0E-5964-4714-810C-98046BE7CB79}" name="Overall conversion" dataDxfId="53" totalsRowDxfId="52" dataCellStyle="Percent">
      <calculatedColumnFormula>VLOOKUP(Table24[[#This Row],[Date]],'Session Details'!$A$2:$N$368,7,FALSE)</calculatedColumnFormula>
    </tableColumn>
    <tableColumn id="14" xr3:uid="{E6F89328-1FAF-4CFC-B4CA-7E0A9A5E9CC0}" name="Order Change with respect to same day last week" dataDxfId="51" totalsRowDxfId="50" dataCellStyle="Percent">
      <calculatedColumnFormula>VLOOKUP(Table24[[#This Row],[Date]],'Session Details'!$A$2:$N$368,8,FALSE)</calculatedColumnFormula>
    </tableColumn>
    <tableColumn id="15" xr3:uid="{7D540F16-7153-4B3A-A7AB-1D2D20725EE5}" name="Traffic Change with respect to same day last week" dataDxfId="49" totalsRowDxfId="48" dataCellStyle="Percent">
      <calculatedColumnFormula>VLOOKUP(Table24[[#This Row],[Date]],'Session Details'!$A$2:$N$368,9,FALSE)</calculatedColumnFormula>
    </tableColumn>
    <tableColumn id="16" xr3:uid="{1EFFB00A-F155-4312-80A8-EFB4C6F499B4}" name="Conversion change with respect to same day last week" dataDxfId="47" totalsRowDxfId="46" dataCellStyle="Percent">
      <calculatedColumnFormula>VLOOKUP(Table24[[#This Row],[Date]],'Session Details'!$A$2:$N$368,10,FALSE)</calculatedColumnFormula>
    </tableColumn>
    <tableColumn id="22" xr3:uid="{13BB90B6-1B6D-46BA-934F-6D2F9FA2B136}" name="Reason" totalsRowFunction="count" dataDxfId="45" totalsRow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E4BED2-C65D-4722-9B7F-B6A5E5E5A8DB}" name="Table18" displayName="Table18" ref="B2:K369" totalsRowCount="1" headerRowDxfId="43" tableBorderDxfId="42">
  <autoFilter ref="B2:K368" xr:uid="{E367D15E-585F-4D69-979B-3F2E4D4A399F}"/>
  <tableColumns count="10">
    <tableColumn id="1" xr3:uid="{EAF0CCC1-E48F-4718-9979-830949F90A8D}" name="Date" totalsRowFunction="count" dataDxfId="41" totalsRowDxfId="40"/>
    <tableColumn id="2" xr3:uid="{0B6D510C-9E3D-4CA7-BAFD-21E681AA69DC}" name="Facebook" totalsRowFunction="sum" dataDxfId="39" totalsRowDxfId="38"/>
    <tableColumn id="3" xr3:uid="{8910D521-0C0B-407D-9097-911D980AB6F4}" name="Youtube" totalsRowFunction="sum" dataDxfId="37" totalsRowDxfId="36"/>
    <tableColumn id="4" xr3:uid="{4FED758B-134B-43A4-A4B9-70EB320A4F3C}" name="Twitter" totalsRowFunction="sum" dataDxfId="35" totalsRowDxfId="34"/>
    <tableColumn id="5" xr3:uid="{B43FB5E6-892B-4568-9B90-644A022E70DC}" name="Others" totalsRowFunction="sum" dataDxfId="33" totalsRowDxfId="32"/>
    <tableColumn id="6" xr3:uid="{921C3DE1-FBCA-468E-A56A-53734A353B9F}" name="Total" totalsRowFunction="sum" dataDxfId="31" totalsRowDxfId="30">
      <calculatedColumnFormula>SUM(C3:F3)</calculatedColumnFormula>
    </tableColumn>
    <tableColumn id="7" xr3:uid="{1C62EBA0-44DC-4CE0-9C12-1B3991C92D3A}" name="Facebook % Change" totalsRowFunction="sum" dataDxfId="29" totalsRowDxfId="28" dataCellStyle="Percent"/>
    <tableColumn id="8" xr3:uid="{B935309D-F15F-47FD-8E27-7912654BFADA}" name="Youtube% " totalsRowFunction="sum" dataDxfId="27" totalsRowDxfId="26" dataCellStyle="Percent" totalsRowCellStyle="Percent"/>
    <tableColumn id="9" xr3:uid="{0055A930-5266-45F8-9873-059479778F33}" name="Twitter %" totalsRowFunction="sum" dataDxfId="25" totalsRowDxfId="24" dataCellStyle="Percent" totalsRowCellStyle="Percent"/>
    <tableColumn id="10" xr3:uid="{E0467B23-3780-42B0-A5D0-7957DEB74688}" name="Others %" totalsRowFunction="sum" dataDxfId="23" totalsRowDxfId="22" dataCellStyle="Percent" totalsRow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DBEA5-4772-4C9B-B3AC-D614C7DE8912}" name="Table2" displayName="Table2" ref="A2:V38" totalsRowShown="0" headerRowDxfId="21" dataDxfId="20" tableBorderDxfId="19" dataCellStyle="Percent">
  <autoFilter ref="A2:V38" xr:uid="{EC8DBEA5-4772-4C9B-B3AC-D614C7DE8912}"/>
  <sortState xmlns:xlrd2="http://schemas.microsoft.com/office/spreadsheetml/2017/richdata2" ref="A3:V38">
    <sortCondition ref="A3:A38"/>
  </sortState>
  <tableColumns count="22">
    <tableColumn id="1" xr3:uid="{B51C6EBD-DCF9-4C1D-9A86-9C7AE8C33E0E}" name="Date" dataDxfId="18"/>
    <tableColumn id="2" xr3:uid="{A760F847-CB44-4524-BA95-24C0A9D6A998}" name="Listing"/>
    <tableColumn id="3" xr3:uid="{E75477CA-3106-403C-AF71-2FFC285D6DFB}" name="Orders"/>
    <tableColumn id="27" xr3:uid="{E193C51D-BCD0-4DB2-AEF4-8E8C13B709B7}" name="Order Change with respect to same day last week" dataDxfId="17" dataCellStyle="Percent">
      <calculatedColumnFormula>VLOOKUP(Table2[[#This Row],[Date]],'Session Details'!$A$2:$N$368,8,FALSE)</calculatedColumnFormula>
    </tableColumn>
    <tableColumn id="28" xr3:uid="{48C4F24D-AE95-4C11-A2DC-D147D84BCB7C}" name="Traffic Change with respect to same day last week" dataDxfId="16" dataCellStyle="Percent">
      <calculatedColumnFormula>VLOOKUP(Table2[[#This Row],[Date]],'Session Details'!$A$2:$N$368,9,FALSE)</calculatedColumnFormula>
    </tableColumn>
    <tableColumn id="4" xr3:uid="{C1F05266-7913-4A99-9679-F0C6CA212424}" name="Facebook" dataDxfId="15">
      <calculatedColumnFormula>VLOOKUP($A3,'Channel wise traffic'!$B$2:$K$368,7,FALSE)</calculatedColumnFormula>
    </tableColumn>
    <tableColumn id="5" xr3:uid="{F8DCC742-0253-4B85-8E3B-CF841D9A04D1}" name="Youtube">
      <calculatedColumnFormula>VLOOKUP($A3,'Channel wise traffic'!$B$2:$K$368,8,FALSE)</calculatedColumnFormula>
    </tableColumn>
    <tableColumn id="6" xr3:uid="{8C18FD25-6DDE-45F2-8E9A-630EA64021F0}" name="Twitter">
      <calculatedColumnFormula>VLOOKUP($A3,'Channel wise traffic'!$B$2:$K$368,9,FALSE)</calculatedColumnFormula>
    </tableColumn>
    <tableColumn id="7" xr3:uid="{E83D6C90-E651-4D72-A242-02C4ECE1AEB2}" name="Others" dataDxfId="14">
      <calculatedColumnFormula>VLOOKUP($A3,'Channel wise traffic'!$B$2:$K$368,10,FALSE)</calculatedColumnFormula>
    </tableColumn>
    <tableColumn id="8" xr3:uid="{9CFEEFBE-71AF-4741-B563-5E5EEC6BD1EB}" name="Facebook2" dataDxfId="13">
      <calculatedColumnFormula>VLOOKUP($A3,'Channel wise traffic'!$B$2:$P$368,11,FALSE)</calculatedColumnFormula>
    </tableColumn>
    <tableColumn id="9" xr3:uid="{D0B3EB8B-CEE9-4259-88D3-1298E1ADF0AD}" name="Youtube3" dataDxfId="12">
      <calculatedColumnFormula>VLOOKUP($A3,'Channel wise traffic'!$B$2:$P$368,12,FALSE)</calculatedColumnFormula>
    </tableColumn>
    <tableColumn id="10" xr3:uid="{11EF5AE8-909A-458A-94E7-EB5288F48A11}" name="Twitter4" dataDxfId="11">
      <calculatedColumnFormula>VLOOKUP($A3,'Channel wise traffic'!$B$2:$P$368,13,FALSE)</calculatedColumnFormula>
    </tableColumn>
    <tableColumn id="11" xr3:uid="{B2B6864E-6333-4700-9B0E-CCB8E0DABDF1}" name="Others5" dataDxfId="10">
      <calculatedColumnFormula>VLOOKUP($A3,'Channel wise traffic'!$B$2:$P$368,14,FALSE)</calculatedColumnFormula>
    </tableColumn>
    <tableColumn id="12" xr3:uid="{300B6789-5122-43B2-8510-923CF5119F0B}" name="Total Diff wrt previous week">
      <calculatedColumnFormula>VLOOKUP($A3,'Channel wise traffic'!$B$2:$P$368,15,FALSE)</calculatedColumnFormula>
    </tableColumn>
    <tableColumn id="29" xr3:uid="{B9264CD7-69FE-4EC1-A403-96469629F310}" name="Conversion change with respect to same day last week" dataDxfId="9" dataCellStyle="Percent">
      <calculatedColumnFormula>VLOOKUP(Table2[[#This Row],[Date]],'Session Details'!$A$2:$N$368,10,FALSE)</calculatedColumnFormula>
    </tableColumn>
    <tableColumn id="26" xr3:uid="{6B023B2F-65DC-4B7D-9650-DCE0154408F5}" name="L2M" dataDxfId="8" dataCellStyle="Comma">
      <calculatedColumnFormula>VLOOKUP(Table2[[#This Row],[Date]],'Session Details'!$A$2:$N$368,11,FALSE)</calculatedColumnFormula>
    </tableColumn>
    <tableColumn id="25" xr3:uid="{848658D9-3516-471F-BA1A-B415CE69941E}" name="M2C" dataDxfId="7">
      <calculatedColumnFormula>VLOOKUP(Table2[[#This Row],[Date]],'Session Details'!$A$2:$N$368,12,FALSE)</calculatedColumnFormula>
    </tableColumn>
    <tableColumn id="24" xr3:uid="{5F6C82D4-01C6-4F0F-9C6C-6E5FBD682431}" name="C2P" dataDxfId="6">
      <calculatedColumnFormula>VLOOKUP(Table2[[#This Row],[Date]],'Session Details'!$A$2:$N$368,13,FALSE)</calculatedColumnFormula>
    </tableColumn>
    <tableColumn id="23" xr3:uid="{E1487C21-3702-45FD-A385-0883E0B6ED4D}" name="P2O" dataDxfId="5">
      <calculatedColumnFormula>VLOOKUP(Table2[[#This Row],[Date]],'Session Details'!$A$2:$N$368,14,FALSE)</calculatedColumnFormula>
    </tableColumn>
    <tableColumn id="30" xr3:uid="{D19B8E91-1F7E-4CDC-B644-F635F0725ED1}" name="Column1" dataDxfId="4">
      <calculatedColumnFormula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calculatedColumnFormula>
    </tableColumn>
    <tableColumn id="13" xr3:uid="{F20E5291-391F-417F-B0C1-485B2DD4F1D7}" name="Overall conversion" dataDxfId="3" dataCellStyle="Percent">
      <calculatedColumnFormula>VLOOKUP(Table2[[#This Row],[Date]],'Session Details'!$A$2:$N$368,7,FALSE)</calculatedColumnFormula>
    </tableColumn>
    <tableColumn id="22" xr3:uid="{ABB1D2BC-252C-479A-97F6-1243F7B46350}" name="Reas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EDD6-D74D-4D10-8CFE-8E85AC0B37EE}">
  <dimension ref="A2:B8"/>
  <sheetViews>
    <sheetView workbookViewId="0">
      <selection activeCell="A9" sqref="A9:XFD9"/>
    </sheetView>
  </sheetViews>
  <sheetFormatPr defaultRowHeight="15.6" x14ac:dyDescent="0.3"/>
  <cols>
    <col min="1" max="1" width="3.19921875" customWidth="1"/>
    <col min="2" max="2" width="88.8984375" customWidth="1"/>
  </cols>
  <sheetData>
    <row r="2" spans="1:2" x14ac:dyDescent="0.3">
      <c r="A2">
        <v>1</v>
      </c>
      <c r="B2" t="s">
        <v>184</v>
      </c>
    </row>
    <row r="3" spans="1:2" x14ac:dyDescent="0.3">
      <c r="A3">
        <v>2</v>
      </c>
      <c r="B3" t="s">
        <v>185</v>
      </c>
    </row>
    <row r="4" spans="1:2" x14ac:dyDescent="0.3">
      <c r="A4">
        <v>3</v>
      </c>
      <c r="B4" t="s">
        <v>186</v>
      </c>
    </row>
    <row r="5" spans="1:2" x14ac:dyDescent="0.3">
      <c r="A5">
        <v>4</v>
      </c>
      <c r="B5" t="s">
        <v>187</v>
      </c>
    </row>
    <row r="6" spans="1:2" x14ac:dyDescent="0.3">
      <c r="A6">
        <v>5</v>
      </c>
      <c r="B6" t="s">
        <v>188</v>
      </c>
    </row>
    <row r="7" spans="1:2" x14ac:dyDescent="0.3">
      <c r="A7">
        <v>6</v>
      </c>
      <c r="B7" t="s">
        <v>190</v>
      </c>
    </row>
    <row r="8" spans="1:2" x14ac:dyDescent="0.3">
      <c r="A8">
        <v>7</v>
      </c>
      <c r="B8" t="s">
        <v>189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667F-C8D5-48B3-B0DB-51F2679D3D23}">
  <sheetPr filterMode="1">
    <tabColor theme="7"/>
  </sheetPr>
  <dimension ref="A1:R368"/>
  <sheetViews>
    <sheetView workbookViewId="0">
      <pane xSplit="13" ySplit="11" topLeftCell="V12" activePane="bottomRight" state="frozen"/>
      <selection pane="topRight" activeCell="N1" sqref="N1"/>
      <selection pane="bottomLeft" activeCell="A12" sqref="A12"/>
      <selection pane="bottomRight" activeCell="I61" sqref="I61"/>
    </sheetView>
  </sheetViews>
  <sheetFormatPr defaultColWidth="11.19921875" defaultRowHeight="15.6" x14ac:dyDescent="0.3"/>
  <cols>
    <col min="2" max="4" width="11.19921875" customWidth="1"/>
    <col min="5" max="5" width="11.19921875" style="7" customWidth="1"/>
    <col min="6" max="6" width="11.19921875" customWidth="1"/>
    <col min="7" max="7" width="11.19921875" style="7" customWidth="1"/>
    <col min="8" max="8" width="11.19921875" customWidth="1"/>
    <col min="9" max="9" width="11.19921875" style="7" customWidth="1"/>
    <col min="10" max="10" width="11.19921875" customWidth="1"/>
    <col min="11" max="11" width="16.69921875" customWidth="1"/>
    <col min="12" max="12" width="14" customWidth="1"/>
    <col min="13" max="13" width="19.3984375" customWidth="1"/>
    <col min="14" max="14" width="16.796875" customWidth="1"/>
    <col min="15" max="18" width="8.296875" customWidth="1"/>
  </cols>
  <sheetData>
    <row r="1" spans="1:18" x14ac:dyDescent="0.3"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ht="15" customHeight="1" x14ac:dyDescent="0.3">
      <c r="A2" s="5" t="s">
        <v>0</v>
      </c>
      <c r="B2" s="1" t="s">
        <v>1</v>
      </c>
      <c r="C2" s="1" t="s">
        <v>82</v>
      </c>
      <c r="D2" s="1" t="s">
        <v>2</v>
      </c>
      <c r="E2" s="93" t="s">
        <v>83</v>
      </c>
      <c r="F2" s="1" t="s">
        <v>3</v>
      </c>
      <c r="G2" s="93" t="s">
        <v>84</v>
      </c>
      <c r="H2" s="1" t="s">
        <v>4</v>
      </c>
      <c r="I2" s="93" t="s">
        <v>85</v>
      </c>
      <c r="J2" s="1" t="s">
        <v>5</v>
      </c>
      <c r="K2" s="8" t="s">
        <v>17</v>
      </c>
      <c r="L2" s="8" t="s">
        <v>22</v>
      </c>
      <c r="M2" s="8" t="s">
        <v>23</v>
      </c>
      <c r="N2" s="8" t="s">
        <v>24</v>
      </c>
      <c r="O2" s="8" t="s">
        <v>18</v>
      </c>
      <c r="P2" s="8" t="s">
        <v>19</v>
      </c>
      <c r="Q2" s="8" t="s">
        <v>20</v>
      </c>
      <c r="R2" s="8" t="s">
        <v>21</v>
      </c>
    </row>
    <row r="3" spans="1:18" hidden="1" x14ac:dyDescent="0.3">
      <c r="A3" s="2">
        <v>43466</v>
      </c>
      <c r="B3" s="3">
        <v>20848646</v>
      </c>
      <c r="C3" s="3">
        <v>0</v>
      </c>
      <c r="D3" s="3">
        <v>5107918</v>
      </c>
      <c r="E3" s="4">
        <v>0</v>
      </c>
      <c r="F3" s="3">
        <v>2104462</v>
      </c>
      <c r="G3" s="4">
        <v>0</v>
      </c>
      <c r="H3" s="3">
        <v>1505532</v>
      </c>
      <c r="I3" s="110">
        <v>0</v>
      </c>
      <c r="J3" s="6">
        <v>1271572.67328</v>
      </c>
      <c r="K3" s="7">
        <f t="shared" ref="K3:K66" si="0">J3/B3</f>
        <v>6.0990659694639161E-2</v>
      </c>
      <c r="L3" s="61">
        <v>0</v>
      </c>
      <c r="M3" s="61">
        <v>0</v>
      </c>
      <c r="N3" s="61">
        <v>0</v>
      </c>
      <c r="O3" s="7">
        <v>0</v>
      </c>
      <c r="P3" s="7">
        <v>0</v>
      </c>
      <c r="Q3" s="7">
        <v>0</v>
      </c>
      <c r="R3" s="7">
        <v>0</v>
      </c>
    </row>
    <row r="4" spans="1:18" hidden="1" x14ac:dyDescent="0.3">
      <c r="A4" s="2">
        <v>43467</v>
      </c>
      <c r="B4" s="3">
        <v>21934513</v>
      </c>
      <c r="C4" s="3">
        <v>0</v>
      </c>
      <c r="D4" s="3">
        <v>5428792</v>
      </c>
      <c r="E4" s="4">
        <v>0</v>
      </c>
      <c r="F4" s="3">
        <v>2171516</v>
      </c>
      <c r="G4" s="4">
        <v>0</v>
      </c>
      <c r="H4" s="3">
        <v>1569355</v>
      </c>
      <c r="I4" s="4">
        <v>0</v>
      </c>
      <c r="J4" s="3">
        <v>1261133</v>
      </c>
      <c r="K4" s="7">
        <f t="shared" si="0"/>
        <v>5.749537270328272E-2</v>
      </c>
      <c r="L4" s="61">
        <v>0</v>
      </c>
      <c r="M4" s="61">
        <v>0</v>
      </c>
      <c r="N4" s="61">
        <v>0</v>
      </c>
      <c r="O4" s="7">
        <v>0</v>
      </c>
      <c r="P4" s="7">
        <v>0</v>
      </c>
      <c r="Q4" s="7">
        <v>0</v>
      </c>
      <c r="R4" s="7">
        <v>0</v>
      </c>
    </row>
    <row r="5" spans="1:18" s="14" customFormat="1" hidden="1" x14ac:dyDescent="0.3">
      <c r="A5" s="15">
        <v>43468</v>
      </c>
      <c r="B5" s="16">
        <v>20848646</v>
      </c>
      <c r="C5" s="16">
        <v>0</v>
      </c>
      <c r="D5" s="16">
        <v>5212161</v>
      </c>
      <c r="E5" s="109">
        <v>0</v>
      </c>
      <c r="F5" s="16">
        <v>2001470</v>
      </c>
      <c r="G5" s="109">
        <v>0</v>
      </c>
      <c r="H5" s="16">
        <v>1402630</v>
      </c>
      <c r="I5" s="109">
        <v>0</v>
      </c>
      <c r="J5" s="16">
        <v>1138655</v>
      </c>
      <c r="K5" s="7">
        <f t="shared" si="0"/>
        <v>5.4615297319547756E-2</v>
      </c>
      <c r="L5" s="61">
        <v>0</v>
      </c>
      <c r="M5" s="61">
        <v>0</v>
      </c>
      <c r="N5" s="61">
        <v>0</v>
      </c>
      <c r="O5" s="17">
        <v>0</v>
      </c>
      <c r="P5" s="17">
        <v>0</v>
      </c>
      <c r="Q5" s="17">
        <v>0</v>
      </c>
      <c r="R5" s="17">
        <v>0</v>
      </c>
    </row>
    <row r="6" spans="1:18" hidden="1" x14ac:dyDescent="0.3">
      <c r="A6" s="2">
        <v>43469</v>
      </c>
      <c r="B6" s="3">
        <v>21717340</v>
      </c>
      <c r="C6" s="3">
        <v>0</v>
      </c>
      <c r="D6" s="3">
        <v>5700801</v>
      </c>
      <c r="E6" s="4">
        <v>0</v>
      </c>
      <c r="F6" s="3">
        <v>2303123</v>
      </c>
      <c r="G6" s="4">
        <v>0</v>
      </c>
      <c r="H6" s="3">
        <v>1597216</v>
      </c>
      <c r="I6" s="4">
        <v>0</v>
      </c>
      <c r="J6" s="3">
        <v>1296620</v>
      </c>
      <c r="K6" s="7">
        <f t="shared" si="0"/>
        <v>5.9704365267569601E-2</v>
      </c>
      <c r="L6" s="61">
        <v>0</v>
      </c>
      <c r="M6" s="61">
        <v>0</v>
      </c>
      <c r="N6" s="61">
        <v>0</v>
      </c>
      <c r="O6" s="7">
        <v>0</v>
      </c>
      <c r="P6" s="7">
        <v>0</v>
      </c>
      <c r="Q6" s="7">
        <v>0</v>
      </c>
      <c r="R6" s="7">
        <v>0</v>
      </c>
    </row>
    <row r="7" spans="1:18" hidden="1" x14ac:dyDescent="0.3">
      <c r="A7" s="2">
        <v>43470</v>
      </c>
      <c r="B7" s="3">
        <v>42645263</v>
      </c>
      <c r="C7" s="3">
        <v>0</v>
      </c>
      <c r="D7" s="3">
        <v>8776395</v>
      </c>
      <c r="E7" s="4">
        <v>0</v>
      </c>
      <c r="F7" s="3">
        <v>2924294</v>
      </c>
      <c r="G7" s="4">
        <v>0</v>
      </c>
      <c r="H7" s="3">
        <v>2087946</v>
      </c>
      <c r="I7" s="4">
        <v>0</v>
      </c>
      <c r="J7" s="3">
        <v>1596026</v>
      </c>
      <c r="K7" s="7">
        <f t="shared" si="0"/>
        <v>3.7425633885761242E-2</v>
      </c>
      <c r="L7" s="61">
        <v>0</v>
      </c>
      <c r="M7" s="61">
        <v>0</v>
      </c>
      <c r="N7" s="61">
        <v>0</v>
      </c>
      <c r="O7" s="7">
        <v>0</v>
      </c>
      <c r="P7" s="7">
        <v>0</v>
      </c>
      <c r="Q7" s="7">
        <v>0</v>
      </c>
      <c r="R7" s="7">
        <v>0</v>
      </c>
    </row>
    <row r="8" spans="1:18" hidden="1" x14ac:dyDescent="0.3">
      <c r="A8" s="2">
        <v>43471</v>
      </c>
      <c r="B8" s="3">
        <v>43543058</v>
      </c>
      <c r="C8" s="3">
        <v>0</v>
      </c>
      <c r="D8" s="3">
        <v>8778280</v>
      </c>
      <c r="E8" s="4">
        <v>0</v>
      </c>
      <c r="F8" s="3">
        <v>3014461</v>
      </c>
      <c r="G8" s="4">
        <v>0</v>
      </c>
      <c r="H8" s="3">
        <v>2049833</v>
      </c>
      <c r="I8" s="4">
        <v>0</v>
      </c>
      <c r="J8" s="3">
        <v>1582881</v>
      </c>
      <c r="K8" s="7">
        <f t="shared" si="0"/>
        <v>3.6352086249890857E-2</v>
      </c>
      <c r="L8" s="61">
        <v>0</v>
      </c>
      <c r="M8" s="61">
        <v>0</v>
      </c>
      <c r="N8" s="61">
        <v>0</v>
      </c>
      <c r="O8" s="7">
        <v>0</v>
      </c>
      <c r="P8" s="7">
        <v>0</v>
      </c>
      <c r="Q8" s="7">
        <v>0</v>
      </c>
      <c r="R8" s="7">
        <v>0</v>
      </c>
    </row>
    <row r="9" spans="1:18" hidden="1" x14ac:dyDescent="0.3">
      <c r="A9" s="2">
        <v>43472</v>
      </c>
      <c r="B9" s="3">
        <v>22803207</v>
      </c>
      <c r="C9" s="3">
        <v>0</v>
      </c>
      <c r="D9" s="3">
        <v>5415761</v>
      </c>
      <c r="E9" s="4">
        <v>0</v>
      </c>
      <c r="F9" s="3">
        <v>2079652</v>
      </c>
      <c r="G9" s="4">
        <v>0</v>
      </c>
      <c r="H9" s="3">
        <v>1442239</v>
      </c>
      <c r="I9" s="4">
        <v>0</v>
      </c>
      <c r="J9" s="3">
        <v>1123504</v>
      </c>
      <c r="K9" s="7">
        <f t="shared" si="0"/>
        <v>4.9269561075334707E-2</v>
      </c>
      <c r="L9" s="61">
        <v>0</v>
      </c>
      <c r="M9" s="61">
        <v>0</v>
      </c>
      <c r="N9" s="61">
        <v>0</v>
      </c>
      <c r="O9" s="7">
        <v>0</v>
      </c>
      <c r="P9" s="7">
        <v>0</v>
      </c>
      <c r="Q9" s="7">
        <v>0</v>
      </c>
      <c r="R9" s="7">
        <v>0</v>
      </c>
    </row>
    <row r="10" spans="1:18" hidden="1" x14ac:dyDescent="0.3">
      <c r="A10" s="2">
        <v>43473</v>
      </c>
      <c r="B10" s="3">
        <v>21717340</v>
      </c>
      <c r="C10" s="4">
        <f>(B10-B3)/B3</f>
        <v>4.1666686651977307E-2</v>
      </c>
      <c r="D10" s="3">
        <v>5320748</v>
      </c>
      <c r="E10" s="4">
        <f>(D10-D3)/D3</f>
        <v>4.1666682981206828E-2</v>
      </c>
      <c r="F10" s="3">
        <v>2085733</v>
      </c>
      <c r="G10" s="4">
        <f>(F10-F3)/F3</f>
        <v>-8.89966176628516E-3</v>
      </c>
      <c r="H10" s="3">
        <v>1583488</v>
      </c>
      <c r="I10" s="4">
        <f>(H10-H3)/H3</f>
        <v>5.1779703121554374E-2</v>
      </c>
      <c r="J10" s="3">
        <v>1311445</v>
      </c>
      <c r="K10" s="7">
        <f t="shared" si="0"/>
        <v>6.0386999512831684E-2</v>
      </c>
      <c r="L10" s="7">
        <f t="shared" ref="L10:L73" si="1">(J10/J3)-1</f>
        <v>3.1356703048005974E-2</v>
      </c>
      <c r="M10" s="7">
        <f t="shared" ref="M10:M73" si="2">(B10/B3)-1</f>
        <v>4.1666686651977258E-2</v>
      </c>
      <c r="N10" s="7">
        <f>(K10/K3)-1</f>
        <v>-9.8975840699184747E-3</v>
      </c>
      <c r="O10" s="7">
        <f>('Session Details'!K10-'Session Details'!K3)/'Session Details'!K3</f>
        <v>-3.5239396031880484E-9</v>
      </c>
      <c r="P10" s="7">
        <f>('Session Details'!L10-'Session Details'!L3)/'Session Details'!L3</f>
        <v>-4.8543690197303063E-2</v>
      </c>
      <c r="Q10" s="7">
        <f>('Session Details'!M10-'Session Details'!M3)/'Session Details'!M3</f>
        <v>6.1224239914980792E-2</v>
      </c>
      <c r="R10" s="7">
        <f>('Session Details'!N10-'Session Details'!N3)/'Session Details'!N3</f>
        <v>-1.9417564355858386E-2</v>
      </c>
    </row>
    <row r="11" spans="1:18" hidden="1" x14ac:dyDescent="0.3">
      <c r="A11" s="2">
        <v>43474</v>
      </c>
      <c r="B11" s="3">
        <v>22586034</v>
      </c>
      <c r="C11" s="4">
        <f t="shared" ref="C11:C74" si="3">(B11-B4)/B4</f>
        <v>2.9703007310898581E-2</v>
      </c>
      <c r="D11" s="3">
        <v>5872368</v>
      </c>
      <c r="E11" s="4">
        <f t="shared" ref="E11:E74" si="4">(D11-D4)/D4</f>
        <v>8.1708048494029614E-2</v>
      </c>
      <c r="F11" s="3">
        <v>2372437</v>
      </c>
      <c r="G11" s="4">
        <f t="shared" ref="G11:G74" si="5">(F11-F4)/F4</f>
        <v>9.252568251857228E-2</v>
      </c>
      <c r="H11" s="3">
        <v>1766516</v>
      </c>
      <c r="I11" s="4">
        <f t="shared" ref="I11:I74" si="6">(H11-H4)/H4</f>
        <v>0.12563186786928388</v>
      </c>
      <c r="J11" s="3">
        <v>1506485</v>
      </c>
      <c r="K11" s="7">
        <f t="shared" si="0"/>
        <v>6.6699846462641474E-2</v>
      </c>
      <c r="L11" s="7">
        <f t="shared" si="1"/>
        <v>0.1945488699447242</v>
      </c>
      <c r="M11" s="7">
        <f t="shared" si="2"/>
        <v>2.9703007310898588E-2</v>
      </c>
      <c r="N11" s="7">
        <f t="shared" ref="N11:N74" si="7">(K11/K4)-1</f>
        <v>0.16009068776474278</v>
      </c>
      <c r="O11" s="7">
        <f>('Session Details'!K11-'Session Details'!K4)/'Session Details'!K4</f>
        <v>5.0504893948929833E-2</v>
      </c>
      <c r="P11" s="7">
        <f>('Session Details'!L11-'Session Details'!L4)/'Session Details'!L4</f>
        <v>1.0000511727358618E-2</v>
      </c>
      <c r="Q11" s="7">
        <f>('Session Details'!M11-'Session Details'!M4)/'Session Details'!M4</f>
        <v>3.0302432135410094E-2</v>
      </c>
      <c r="R11" s="7">
        <f>('Session Details'!N11-'Session Details'!N4)/'Session Details'!N4</f>
        <v>6.1225169651507649E-2</v>
      </c>
    </row>
    <row r="12" spans="1:18" x14ac:dyDescent="0.3">
      <c r="A12" s="20">
        <v>43475</v>
      </c>
      <c r="B12" s="21">
        <v>10641496</v>
      </c>
      <c r="C12" s="4">
        <f t="shared" si="3"/>
        <v>-0.48958335231937844</v>
      </c>
      <c r="D12" s="21">
        <v>2740185</v>
      </c>
      <c r="E12" s="4">
        <f t="shared" si="4"/>
        <v>-0.47427084466500558</v>
      </c>
      <c r="F12" s="21">
        <v>1063191</v>
      </c>
      <c r="G12" s="4">
        <f t="shared" si="5"/>
        <v>-0.46879493572224418</v>
      </c>
      <c r="H12" s="21">
        <v>760607</v>
      </c>
      <c r="I12" s="4">
        <f t="shared" si="6"/>
        <v>-0.45772798243300084</v>
      </c>
      <c r="J12" s="21">
        <v>623698</v>
      </c>
      <c r="K12" s="13">
        <f t="shared" si="0"/>
        <v>5.8609992429635833E-2</v>
      </c>
      <c r="L12" s="13">
        <f t="shared" si="1"/>
        <v>-0.4522502426107996</v>
      </c>
      <c r="M12" s="13">
        <f t="shared" si="2"/>
        <v>-0.48958335231937844</v>
      </c>
      <c r="N12" s="13">
        <f>(K12/K5)-1</f>
        <v>7.3142421741578811E-2</v>
      </c>
      <c r="O12" s="7">
        <f>('Session Details'!K12-'Session Details'!K5)/'Session Details'!K5</f>
        <v>3.0000016112237474E-2</v>
      </c>
      <c r="P12" s="7">
        <f>('Session Details'!L12-'Session Details'!L5)/'Session Details'!L5</f>
        <v>1.041583653330422E-2</v>
      </c>
      <c r="Q12" s="7">
        <f>('Session Details'!M12-'Session Details'!M5)/'Session Details'!M5</f>
        <v>2.0833674287895277E-2</v>
      </c>
      <c r="R12" s="7">
        <f>('Session Details'!N12-'Session Details'!N5)/'Session Details'!N5</f>
        <v>1.0101461341815329E-2</v>
      </c>
    </row>
    <row r="13" spans="1:18" hidden="1" x14ac:dyDescent="0.3">
      <c r="A13" s="2">
        <v>43476</v>
      </c>
      <c r="B13" s="3">
        <v>20631473</v>
      </c>
      <c r="C13" s="4">
        <f t="shared" si="3"/>
        <v>-0.05</v>
      </c>
      <c r="D13" s="3">
        <v>4951553</v>
      </c>
      <c r="E13" s="4">
        <f t="shared" si="4"/>
        <v>-0.13142854837416706</v>
      </c>
      <c r="F13" s="3">
        <v>2000427</v>
      </c>
      <c r="G13" s="4">
        <f t="shared" si="5"/>
        <v>-0.13142849947658028</v>
      </c>
      <c r="H13" s="3">
        <v>1431105</v>
      </c>
      <c r="I13" s="4">
        <f t="shared" si="6"/>
        <v>-0.10400033558391601</v>
      </c>
      <c r="J13" s="3">
        <v>1126566</v>
      </c>
      <c r="K13" s="7">
        <f t="shared" si="0"/>
        <v>5.4604244689654489E-2</v>
      </c>
      <c r="L13" s="7">
        <f t="shared" si="1"/>
        <v>-0.13115176381669258</v>
      </c>
      <c r="M13" s="7">
        <f t="shared" si="2"/>
        <v>-5.0000000000000044E-2</v>
      </c>
      <c r="N13" s="7">
        <f t="shared" si="7"/>
        <v>-8.5422909280729042E-2</v>
      </c>
      <c r="O13" s="7">
        <f>('Session Details'!K13-'Session Details'!K6)/'Session Details'!K6</f>
        <v>-8.5714261446491705E-2</v>
      </c>
      <c r="P13" s="7">
        <f>('Session Details'!L13-'Session Details'!L6)/'Session Details'!L6</f>
        <v>5.6296562220677193E-8</v>
      </c>
      <c r="Q13" s="7">
        <f>('Session Details'!M13-'Session Details'!M6)/'Session Details'!M6</f>
        <v>3.1578475549952356E-2</v>
      </c>
      <c r="R13" s="7">
        <f>('Session Details'!N13-'Session Details'!N6)/'Session Details'!N6</f>
        <v>-3.0302944645041761E-2</v>
      </c>
    </row>
    <row r="14" spans="1:18" hidden="1" x14ac:dyDescent="0.3">
      <c r="A14" s="2">
        <v>43477</v>
      </c>
      <c r="B14" s="3">
        <v>42645263</v>
      </c>
      <c r="C14" s="4">
        <f t="shared" si="3"/>
        <v>0</v>
      </c>
      <c r="D14" s="3">
        <v>9045060</v>
      </c>
      <c r="E14" s="4">
        <f t="shared" si="4"/>
        <v>3.0612227457857126E-2</v>
      </c>
      <c r="F14" s="3">
        <v>3075320</v>
      </c>
      <c r="G14" s="4">
        <f t="shared" si="5"/>
        <v>5.1645286007494455E-2</v>
      </c>
      <c r="H14" s="3">
        <v>2133042</v>
      </c>
      <c r="I14" s="4">
        <f t="shared" si="6"/>
        <v>2.1598259725107833E-2</v>
      </c>
      <c r="J14" s="3">
        <v>1680410</v>
      </c>
      <c r="K14" s="7">
        <f t="shared" si="0"/>
        <v>3.9404376518911377E-2</v>
      </c>
      <c r="L14" s="7">
        <f t="shared" si="1"/>
        <v>5.2871319138911188E-2</v>
      </c>
      <c r="M14" s="7">
        <f t="shared" si="2"/>
        <v>0</v>
      </c>
      <c r="N14" s="7">
        <f t="shared" si="7"/>
        <v>5.2871319138911188E-2</v>
      </c>
      <c r="O14" s="7">
        <f>('Session Details'!K14-'Session Details'!K7)/'Session Details'!K7</f>
        <v>3.061222745785705E-2</v>
      </c>
      <c r="P14" s="7">
        <f>('Session Details'!L14-'Session Details'!L7)/'Session Details'!L7</f>
        <v>2.0408314581632985E-2</v>
      </c>
      <c r="Q14" s="7">
        <f>('Session Details'!M14-'Session Details'!M7)/'Session Details'!M7</f>
        <v>-2.8571445792771436E-2</v>
      </c>
      <c r="R14" s="7">
        <f>('Session Details'!N14-'Session Details'!N7)/'Session Details'!N7</f>
        <v>3.0611895738955532E-2</v>
      </c>
    </row>
    <row r="15" spans="1:18" hidden="1" x14ac:dyDescent="0.3">
      <c r="A15" s="2">
        <v>43478</v>
      </c>
      <c r="B15" s="3">
        <v>46236443</v>
      </c>
      <c r="C15" s="4">
        <f t="shared" si="3"/>
        <v>6.1855669392811133E-2</v>
      </c>
      <c r="D15" s="3">
        <v>9806749</v>
      </c>
      <c r="E15" s="4">
        <f t="shared" si="4"/>
        <v>0.11716065106148357</v>
      </c>
      <c r="F15" s="3">
        <v>3300951</v>
      </c>
      <c r="G15" s="4">
        <f t="shared" si="5"/>
        <v>9.5038549180102183E-2</v>
      </c>
      <c r="H15" s="3">
        <v>2199754</v>
      </c>
      <c r="I15" s="4">
        <f t="shared" si="6"/>
        <v>7.3138153205651382E-2</v>
      </c>
      <c r="J15" s="3">
        <v>1630017</v>
      </c>
      <c r="K15" s="7">
        <f t="shared" si="0"/>
        <v>3.5253944599501305E-2</v>
      </c>
      <c r="L15" s="7">
        <f t="shared" si="1"/>
        <v>2.9778612542572747E-2</v>
      </c>
      <c r="M15" s="7">
        <f t="shared" si="2"/>
        <v>6.1855669392811174E-2</v>
      </c>
      <c r="N15" s="7">
        <f t="shared" si="7"/>
        <v>-3.0208490451984704E-2</v>
      </c>
      <c r="O15" s="7">
        <f>('Session Details'!K15-'Session Details'!K8)/'Session Details'!K8</f>
        <v>5.2083332285918729E-2</v>
      </c>
      <c r="P15" s="7">
        <f>('Session Details'!L15-'Session Details'!L8)/'Session Details'!L8</f>
        <v>-1.9802077579765993E-2</v>
      </c>
      <c r="Q15" s="7">
        <f>('Session Details'!M15-'Session Details'!M8)/'Session Details'!M8</f>
        <v>-1.9999657537945501E-2</v>
      </c>
      <c r="R15" s="7">
        <f>('Session Details'!N15-'Session Details'!N8)/'Session Details'!N8</f>
        <v>-4.0404434912276903E-2</v>
      </c>
    </row>
    <row r="16" spans="1:18" hidden="1" x14ac:dyDescent="0.3">
      <c r="A16" s="2">
        <v>43479</v>
      </c>
      <c r="B16" s="3">
        <v>21065820</v>
      </c>
      <c r="C16" s="4">
        <f t="shared" si="3"/>
        <v>-7.6190467419780028E-2</v>
      </c>
      <c r="D16" s="3">
        <v>5371784</v>
      </c>
      <c r="E16" s="4">
        <f t="shared" si="4"/>
        <v>-8.1201884647420734E-3</v>
      </c>
      <c r="F16" s="3">
        <v>2084252</v>
      </c>
      <c r="G16" s="4">
        <f t="shared" si="5"/>
        <v>2.211908530850354E-3</v>
      </c>
      <c r="H16" s="3">
        <v>1445428</v>
      </c>
      <c r="I16" s="4">
        <f t="shared" si="6"/>
        <v>2.2111453094806064E-3</v>
      </c>
      <c r="J16" s="3">
        <v>1197104</v>
      </c>
      <c r="K16" s="7">
        <f t="shared" si="0"/>
        <v>5.6826840825564828E-2</v>
      </c>
      <c r="L16" s="7">
        <f t="shared" si="1"/>
        <v>6.550933508024892E-2</v>
      </c>
      <c r="M16" s="7">
        <f t="shared" si="2"/>
        <v>-7.6190467419780084E-2</v>
      </c>
      <c r="N16" s="7">
        <f t="shared" si="7"/>
        <v>0.15338638269325777</v>
      </c>
      <c r="O16" s="7">
        <f>('Session Details'!K16-'Session Details'!K9)/'Session Details'!K9</f>
        <v>7.3684321880632953E-2</v>
      </c>
      <c r="P16" s="7">
        <f>('Session Details'!L16-'Session Details'!L9)/'Session Details'!L9</f>
        <v>1.0416682420020452E-2</v>
      </c>
      <c r="Q16" s="7">
        <f>('Session Details'!M16-'Session Details'!M9)/'Session Details'!M9</f>
        <v>-7.615369197496893E-7</v>
      </c>
      <c r="R16" s="7">
        <f>('Session Details'!N16-'Session Details'!N9)/'Session Details'!N9</f>
        <v>6.3158537067777326E-2</v>
      </c>
    </row>
    <row r="17" spans="1:18" hidden="1" x14ac:dyDescent="0.3">
      <c r="A17" s="2">
        <v>43480</v>
      </c>
      <c r="B17" s="3">
        <v>21282993</v>
      </c>
      <c r="C17" s="4">
        <f t="shared" si="3"/>
        <v>-2.0000009209230965E-2</v>
      </c>
      <c r="D17" s="3">
        <v>5054710</v>
      </c>
      <c r="E17" s="4">
        <f t="shared" si="4"/>
        <v>-5.0000112766099801E-2</v>
      </c>
      <c r="F17" s="3">
        <v>2042103</v>
      </c>
      <c r="G17" s="4">
        <f t="shared" si="5"/>
        <v>-2.0918305459040058E-2</v>
      </c>
      <c r="H17" s="3">
        <v>1475828</v>
      </c>
      <c r="I17" s="4">
        <f t="shared" si="6"/>
        <v>-6.7989148007436745E-2</v>
      </c>
      <c r="J17" s="3">
        <v>1198077</v>
      </c>
      <c r="K17" s="7">
        <f t="shared" si="0"/>
        <v>5.6292693419576843E-2</v>
      </c>
      <c r="L17" s="7">
        <f t="shared" si="1"/>
        <v>-8.6445104445859289E-2</v>
      </c>
      <c r="M17" s="7">
        <f t="shared" si="2"/>
        <v>-2.0000009209230951E-2</v>
      </c>
      <c r="N17" s="7">
        <f t="shared" si="7"/>
        <v>-6.7801118225535251E-2</v>
      </c>
      <c r="O17" s="7">
        <f>('Session Details'!K17-'Session Details'!K10)/'Session Details'!K10</f>
        <v>-3.0612350855903084E-2</v>
      </c>
      <c r="P17" s="7">
        <f>('Session Details'!L17-'Session Details'!L10)/'Session Details'!L10</f>
        <v>3.0612432378004529E-2</v>
      </c>
      <c r="Q17" s="7">
        <f>('Session Details'!M17-'Session Details'!M10)/'Session Details'!M10</f>
        <v>-4.8076521919313171E-2</v>
      </c>
      <c r="R17" s="7">
        <f>('Session Details'!N17-'Session Details'!N10)/'Session Details'!N10</f>
        <v>-1.9802297794028079E-2</v>
      </c>
    </row>
    <row r="18" spans="1:18" hidden="1" x14ac:dyDescent="0.3">
      <c r="A18" s="2">
        <v>43481</v>
      </c>
      <c r="B18" s="3">
        <v>21065820</v>
      </c>
      <c r="C18" s="4">
        <f t="shared" si="3"/>
        <v>-6.7307699970698701E-2</v>
      </c>
      <c r="D18" s="3">
        <v>5529777</v>
      </c>
      <c r="E18" s="4">
        <f t="shared" si="4"/>
        <v>-5.8339497797140781E-2</v>
      </c>
      <c r="F18" s="3">
        <v>2278268</v>
      </c>
      <c r="G18" s="4">
        <f t="shared" si="5"/>
        <v>-3.9692940212954018E-2</v>
      </c>
      <c r="H18" s="3">
        <v>1663135</v>
      </c>
      <c r="I18" s="4">
        <f t="shared" si="6"/>
        <v>-5.8522538148536439E-2</v>
      </c>
      <c r="J18" s="3">
        <v>1391046</v>
      </c>
      <c r="K18" s="7">
        <f t="shared" si="0"/>
        <v>6.6033318427670989E-2</v>
      </c>
      <c r="L18" s="7">
        <f t="shared" si="1"/>
        <v>-7.6628044753183744E-2</v>
      </c>
      <c r="M18" s="7">
        <f t="shared" si="2"/>
        <v>-6.7307699970698742E-2</v>
      </c>
      <c r="N18" s="7">
        <f t="shared" si="7"/>
        <v>-9.992947065385005E-3</v>
      </c>
      <c r="O18" s="7">
        <f>('Session Details'!K18-'Session Details'!K11)/'Session Details'!K11</f>
        <v>9.6153921001344948E-3</v>
      </c>
      <c r="P18" s="7">
        <f>('Session Details'!L18-'Session Details'!L11)/'Session Details'!L11</f>
        <v>1.9801783700777693E-2</v>
      </c>
      <c r="Q18" s="7">
        <f>('Session Details'!M18-'Session Details'!M11)/'Session Details'!M11</f>
        <v>-1.9607892854352358E-2</v>
      </c>
      <c r="R18" s="7">
        <f>('Session Details'!N18-'Session Details'!N11)/'Session Details'!N11</f>
        <v>-1.9230950647551162E-2</v>
      </c>
    </row>
    <row r="19" spans="1:18" x14ac:dyDescent="0.3">
      <c r="A19" s="11">
        <v>43482</v>
      </c>
      <c r="B19" s="12">
        <v>22368860</v>
      </c>
      <c r="C19" s="4">
        <f t="shared" si="3"/>
        <v>1.1020409160516529</v>
      </c>
      <c r="D19" s="12">
        <v>5648137</v>
      </c>
      <c r="E19" s="4">
        <f t="shared" si="4"/>
        <v>1.0612246983324118</v>
      </c>
      <c r="F19" s="12">
        <v>2168884</v>
      </c>
      <c r="G19" s="4">
        <f t="shared" si="5"/>
        <v>1.0399758839192581</v>
      </c>
      <c r="H19" s="12">
        <v>1535787</v>
      </c>
      <c r="I19" s="4">
        <f t="shared" si="6"/>
        <v>1.0191596974521664</v>
      </c>
      <c r="J19" s="12">
        <v>1284532</v>
      </c>
      <c r="K19" s="13">
        <f t="shared" si="0"/>
        <v>5.7425009589223593E-2</v>
      </c>
      <c r="L19" s="13">
        <f t="shared" si="1"/>
        <v>1.0595416371384867</v>
      </c>
      <c r="M19" s="13">
        <f t="shared" si="2"/>
        <v>1.1020409160516529</v>
      </c>
      <c r="N19" s="13">
        <f t="shared" si="7"/>
        <v>-2.0218102601444077E-2</v>
      </c>
      <c r="O19" s="7">
        <f>('Session Details'!K19-'Session Details'!K12)/'Session Details'!K12</f>
        <v>-1.941742304232023E-2</v>
      </c>
      <c r="P19" s="7">
        <f>('Session Details'!L19-'Session Details'!L12)/'Session Details'!L12</f>
        <v>-1.0308829711940092E-2</v>
      </c>
      <c r="Q19" s="7">
        <f>('Session Details'!M19-'Session Details'!M12)/'Session Details'!M12</f>
        <v>-1.0204133603334034E-2</v>
      </c>
      <c r="R19" s="7">
        <f>('Session Details'!N19-'Session Details'!N12)/'Session Details'!N12</f>
        <v>1.9999378819454256E-2</v>
      </c>
    </row>
    <row r="20" spans="1:18" hidden="1" x14ac:dyDescent="0.3">
      <c r="A20" s="2">
        <v>43483</v>
      </c>
      <c r="B20" s="3">
        <v>22151687</v>
      </c>
      <c r="C20" s="4">
        <f t="shared" si="3"/>
        <v>7.3684220220243124E-2</v>
      </c>
      <c r="D20" s="3">
        <v>5759438</v>
      </c>
      <c r="E20" s="4">
        <f t="shared" si="4"/>
        <v>0.16315790217735729</v>
      </c>
      <c r="F20" s="3">
        <v>2395926</v>
      </c>
      <c r="G20" s="4">
        <f t="shared" si="5"/>
        <v>0.19770728949369309</v>
      </c>
      <c r="H20" s="3">
        <v>1661575</v>
      </c>
      <c r="I20" s="4">
        <f t="shared" si="6"/>
        <v>0.16104338954863551</v>
      </c>
      <c r="J20" s="3">
        <v>1307991</v>
      </c>
      <c r="K20" s="7">
        <f t="shared" si="0"/>
        <v>5.9047015245385151E-2</v>
      </c>
      <c r="L20" s="7">
        <f t="shared" si="1"/>
        <v>0.16104249551291261</v>
      </c>
      <c r="M20" s="7">
        <f t="shared" si="2"/>
        <v>7.3684220220243013E-2</v>
      </c>
      <c r="N20" s="7">
        <f t="shared" si="7"/>
        <v>8.136309880269077E-2</v>
      </c>
      <c r="O20" s="7">
        <f>('Session Details'!K20-'Session Details'!K13)/'Session Details'!K13</f>
        <v>8.3333330482178961E-2</v>
      </c>
      <c r="P20" s="7">
        <f>('Session Details'!L20-'Session Details'!L13)/'Session Details'!L13</f>
        <v>2.9703092977885079E-2</v>
      </c>
      <c r="Q20" s="7">
        <f>('Session Details'!M20-'Session Details'!M13)/'Session Details'!M13</f>
        <v>-3.0611736495781545E-2</v>
      </c>
      <c r="R20" s="7">
        <f>('Session Details'!N20-'Session Details'!N13)/'Session Details'!N13</f>
        <v>-7.7002783089419763E-7</v>
      </c>
    </row>
    <row r="21" spans="1:18" hidden="1" x14ac:dyDescent="0.3">
      <c r="A21" s="2">
        <v>43484</v>
      </c>
      <c r="B21" s="3">
        <v>42645263</v>
      </c>
      <c r="C21" s="4">
        <f t="shared" si="3"/>
        <v>0</v>
      </c>
      <c r="D21" s="3">
        <v>8686840</v>
      </c>
      <c r="E21" s="4">
        <f t="shared" si="4"/>
        <v>-3.9603938503448288E-2</v>
      </c>
      <c r="F21" s="3">
        <v>2894455</v>
      </c>
      <c r="G21" s="4">
        <f t="shared" si="5"/>
        <v>-5.8811765930049553E-2</v>
      </c>
      <c r="H21" s="3">
        <v>2046958</v>
      </c>
      <c r="I21" s="4">
        <f t="shared" si="6"/>
        <v>-4.0357386305567351E-2</v>
      </c>
      <c r="J21" s="3">
        <v>1612594</v>
      </c>
      <c r="K21" s="7">
        <f t="shared" si="0"/>
        <v>3.7814141279888462E-2</v>
      </c>
      <c r="L21" s="7">
        <f t="shared" si="1"/>
        <v>-4.0356817681399204E-2</v>
      </c>
      <c r="M21" s="7">
        <f t="shared" si="2"/>
        <v>0</v>
      </c>
      <c r="N21" s="7">
        <f t="shared" si="7"/>
        <v>-4.0356817681399204E-2</v>
      </c>
      <c r="O21" s="7">
        <f>('Session Details'!K21-'Session Details'!K14)/'Session Details'!K14</f>
        <v>-3.960393850344824E-2</v>
      </c>
      <c r="P21" s="7">
        <f>('Session Details'!L21-'Session Details'!L14)/'Session Details'!L14</f>
        <v>-1.9999902328493989E-2</v>
      </c>
      <c r="Q21" s="7">
        <f>('Session Details'!M21-'Session Details'!M14)/'Session Details'!M14</f>
        <v>1.9607533282349425E-2</v>
      </c>
      <c r="R21" s="7">
        <f>('Session Details'!N21-'Session Details'!N14)/'Session Details'!N14</f>
        <v>5.9253743022841988E-7</v>
      </c>
    </row>
    <row r="22" spans="1:18" hidden="1" x14ac:dyDescent="0.3">
      <c r="A22" s="2">
        <v>43485</v>
      </c>
      <c r="B22" s="3">
        <v>44440853</v>
      </c>
      <c r="C22" s="4">
        <f t="shared" si="3"/>
        <v>-3.8834951036350263E-2</v>
      </c>
      <c r="D22" s="3">
        <v>9239253</v>
      </c>
      <c r="E22" s="4">
        <f t="shared" si="4"/>
        <v>-5.7867903012507001E-2</v>
      </c>
      <c r="F22" s="3">
        <v>3267000</v>
      </c>
      <c r="G22" s="4">
        <f t="shared" si="5"/>
        <v>-1.0285217805414257E-2</v>
      </c>
      <c r="H22" s="3">
        <v>2310422</v>
      </c>
      <c r="I22" s="4">
        <f t="shared" si="6"/>
        <v>5.0309261853825477E-2</v>
      </c>
      <c r="J22" s="3">
        <v>1820150</v>
      </c>
      <c r="K22" s="7">
        <f t="shared" si="0"/>
        <v>4.0956684607291405E-2</v>
      </c>
      <c r="L22" s="7">
        <f t="shared" si="1"/>
        <v>0.11664479572912434</v>
      </c>
      <c r="M22" s="7">
        <f t="shared" si="2"/>
        <v>-3.8834951036350263E-2</v>
      </c>
      <c r="N22" s="7">
        <f t="shared" si="7"/>
        <v>0.16176175666511861</v>
      </c>
      <c r="O22" s="7">
        <f>('Session Details'!K22-'Session Details'!K15)/'Session Details'!K15</f>
        <v>-1.9801960128157488E-2</v>
      </c>
      <c r="P22" s="7">
        <f>('Session Details'!L22-'Session Details'!L15)/'Session Details'!L15</f>
        <v>5.0505322299537782E-2</v>
      </c>
      <c r="Q22" s="7">
        <f>('Session Details'!M22-'Session Details'!M15)/'Session Details'!M15</f>
        <v>6.122418372379753E-2</v>
      </c>
      <c r="R22" s="7">
        <f>('Session Details'!N22-'Session Details'!N15)/'Session Details'!N15</f>
        <v>6.3158096652613377E-2</v>
      </c>
    </row>
    <row r="23" spans="1:18" x14ac:dyDescent="0.3">
      <c r="A23" s="11">
        <v>43486</v>
      </c>
      <c r="B23" s="12">
        <v>22151687</v>
      </c>
      <c r="C23" s="4">
        <f t="shared" si="3"/>
        <v>5.1546391263193173E-2</v>
      </c>
      <c r="D23" s="12">
        <v>5759438</v>
      </c>
      <c r="E23" s="4">
        <f t="shared" si="4"/>
        <v>7.216485249593059E-2</v>
      </c>
      <c r="F23" s="12">
        <v>2395926</v>
      </c>
      <c r="G23" s="4">
        <f t="shared" si="5"/>
        <v>0.14953757990876343</v>
      </c>
      <c r="H23" s="12">
        <v>1818987</v>
      </c>
      <c r="I23" s="4">
        <f t="shared" si="6"/>
        <v>0.25844179025174552</v>
      </c>
      <c r="J23" s="12">
        <v>1476653</v>
      </c>
      <c r="K23" s="13">
        <f t="shared" si="0"/>
        <v>6.6660972593193465E-2</v>
      </c>
      <c r="L23" s="13">
        <f t="shared" si="1"/>
        <v>0.23352106416819263</v>
      </c>
      <c r="M23" s="13">
        <f t="shared" si="2"/>
        <v>5.154639126319327E-2</v>
      </c>
      <c r="N23" s="13">
        <f t="shared" si="7"/>
        <v>0.17305434588235169</v>
      </c>
      <c r="O23" s="7">
        <f>('Session Details'!K23-'Session Details'!K16)/'Session Details'!K16</f>
        <v>1.9607752357904969E-2</v>
      </c>
      <c r="P23" s="7">
        <f>('Session Details'!L23-'Session Details'!L16)/'Session Details'!L16</f>
        <v>7.2164954141813245E-2</v>
      </c>
      <c r="Q23" s="7">
        <f>('Session Details'!M23-'Session Details'!M16)/'Session Details'!M16</f>
        <v>9.4737407672766602E-2</v>
      </c>
      <c r="R23" s="7">
        <f>('Session Details'!N23-'Session Details'!N16)/'Session Details'!N16</f>
        <v>-1.9802843704489256E-2</v>
      </c>
    </row>
    <row r="24" spans="1:18" x14ac:dyDescent="0.3">
      <c r="A24" s="11">
        <v>43487</v>
      </c>
      <c r="B24" s="12">
        <v>37570998</v>
      </c>
      <c r="C24" s="4">
        <f t="shared" si="3"/>
        <v>0.76530612964069478</v>
      </c>
      <c r="D24" s="12">
        <v>9768459</v>
      </c>
      <c r="E24" s="4">
        <f t="shared" si="4"/>
        <v>0.9325458829487745</v>
      </c>
      <c r="F24" s="12">
        <v>3751088</v>
      </c>
      <c r="G24" s="4">
        <f t="shared" si="5"/>
        <v>0.83687502540273428</v>
      </c>
      <c r="H24" s="12">
        <v>2656145</v>
      </c>
      <c r="I24" s="4">
        <f t="shared" si="6"/>
        <v>0.79976596188715754</v>
      </c>
      <c r="J24" s="12">
        <v>2221600</v>
      </c>
      <c r="K24" s="13">
        <f t="shared" si="0"/>
        <v>5.9130715665311848E-2</v>
      </c>
      <c r="L24" s="13">
        <f t="shared" si="1"/>
        <v>0.85430485686646174</v>
      </c>
      <c r="M24" s="13">
        <f t="shared" si="2"/>
        <v>0.76530612964069489</v>
      </c>
      <c r="N24" s="13">
        <f t="shared" si="7"/>
        <v>5.041546377221362E-2</v>
      </c>
      <c r="O24" s="7">
        <f>('Session Details'!K24-'Session Details'!K17)/'Session Details'!K17</f>
        <v>9.4736969696082918E-2</v>
      </c>
      <c r="P24" s="7">
        <f>('Session Details'!L24-'Session Details'!L17)/'Session Details'!L17</f>
        <v>-4.9505089835207759E-2</v>
      </c>
      <c r="Q24" s="7">
        <f>('Session Details'!M24-'Session Details'!M17)/'Session Details'!M17</f>
        <v>-2.0202279960467341E-2</v>
      </c>
      <c r="R24" s="7">
        <f>('Session Details'!N24-'Session Details'!N17)/'Session Details'!N17</f>
        <v>3.0303326173652678E-2</v>
      </c>
    </row>
    <row r="25" spans="1:18" hidden="1" x14ac:dyDescent="0.3">
      <c r="A25" s="2">
        <v>43488</v>
      </c>
      <c r="B25" s="3">
        <v>21500167</v>
      </c>
      <c r="C25" s="4">
        <f t="shared" si="3"/>
        <v>2.0618565999329722E-2</v>
      </c>
      <c r="D25" s="3">
        <v>5428792</v>
      </c>
      <c r="E25" s="4">
        <f t="shared" si="4"/>
        <v>-1.8262038414930657E-2</v>
      </c>
      <c r="F25" s="3">
        <v>2258377</v>
      </c>
      <c r="G25" s="4">
        <f t="shared" si="5"/>
        <v>-8.7307551174839841E-3</v>
      </c>
      <c r="H25" s="3">
        <v>1648615</v>
      </c>
      <c r="I25" s="4">
        <f t="shared" si="6"/>
        <v>-8.7304999293502938E-3</v>
      </c>
      <c r="J25" s="3">
        <v>1392420</v>
      </c>
      <c r="K25" s="7">
        <f t="shared" si="0"/>
        <v>6.4763217885702939E-2</v>
      </c>
      <c r="L25" s="7">
        <f t="shared" si="1"/>
        <v>9.8774591206907125E-4</v>
      </c>
      <c r="M25" s="7">
        <f t="shared" si="2"/>
        <v>2.0618565999329652E-2</v>
      </c>
      <c r="N25" s="7">
        <f t="shared" si="7"/>
        <v>-1.9234237688042999E-2</v>
      </c>
      <c r="O25" s="7">
        <f>('Session Details'!K25-'Session Details'!K18)/'Session Details'!K18</f>
        <v>-3.809513731135291E-2</v>
      </c>
      <c r="P25" s="7">
        <f>('Session Details'!L25-'Session Details'!L18)/'Session Details'!L18</f>
        <v>9.7085817910697089E-3</v>
      </c>
      <c r="Q25" s="7">
        <f>('Session Details'!M25-'Session Details'!M18)/'Session Details'!M18</f>
        <v>2.5743574218770199E-7</v>
      </c>
      <c r="R25" s="7">
        <f>('Session Details'!N25-'Session Details'!N18)/'Session Details'!N18</f>
        <v>9.8038382505732935E-3</v>
      </c>
    </row>
    <row r="26" spans="1:18" hidden="1" x14ac:dyDescent="0.3">
      <c r="A26" s="2">
        <v>43489</v>
      </c>
      <c r="B26" s="3">
        <v>20631473</v>
      </c>
      <c r="C26" s="4">
        <f t="shared" si="3"/>
        <v>-7.7669894666067024E-2</v>
      </c>
      <c r="D26" s="3">
        <v>4899974</v>
      </c>
      <c r="E26" s="4">
        <f t="shared" si="4"/>
        <v>-0.13246190735104335</v>
      </c>
      <c r="F26" s="3">
        <v>1861990</v>
      </c>
      <c r="G26" s="4">
        <f t="shared" si="5"/>
        <v>-0.14149857714843209</v>
      </c>
      <c r="H26" s="3">
        <v>1332067</v>
      </c>
      <c r="I26" s="4">
        <f t="shared" si="6"/>
        <v>-0.13264860296382247</v>
      </c>
      <c r="J26" s="3">
        <v>1059526</v>
      </c>
      <c r="K26" s="7">
        <f t="shared" si="0"/>
        <v>5.1354840248197496E-2</v>
      </c>
      <c r="L26" s="7">
        <f t="shared" si="1"/>
        <v>-0.17516574129721951</v>
      </c>
      <c r="M26" s="7">
        <f t="shared" si="2"/>
        <v>-7.7669894666066996E-2</v>
      </c>
      <c r="N26" s="7">
        <f t="shared" si="7"/>
        <v>-0.10570602224444781</v>
      </c>
      <c r="O26" s="7">
        <f>('Session Details'!K26-'Session Details'!K19)/'Session Details'!K19</f>
        <v>-5.9406076379929687E-2</v>
      </c>
      <c r="P26" s="7">
        <f>('Session Details'!L26-'Session Details'!L19)/'Session Details'!L19</f>
        <v>-1.0416453034120903E-2</v>
      </c>
      <c r="Q26" s="7">
        <f>('Session Details'!M26-'Session Details'!M19)/'Session Details'!M19</f>
        <v>1.0308630771063716E-2</v>
      </c>
      <c r="R26" s="7">
        <f>('Session Details'!N26-'Session Details'!N19)/'Session Details'!N19</f>
        <v>-4.901950752449611E-2</v>
      </c>
    </row>
    <row r="27" spans="1:18" hidden="1" x14ac:dyDescent="0.3">
      <c r="A27" s="2">
        <v>43490</v>
      </c>
      <c r="B27" s="3">
        <v>20631473</v>
      </c>
      <c r="C27" s="4">
        <f t="shared" si="3"/>
        <v>-6.8627459389436124E-2</v>
      </c>
      <c r="D27" s="3">
        <v>5054710</v>
      </c>
      <c r="E27" s="4">
        <f t="shared" si="4"/>
        <v>-0.1223605497619733</v>
      </c>
      <c r="F27" s="3">
        <v>2021884</v>
      </c>
      <c r="G27" s="4">
        <f t="shared" si="5"/>
        <v>-0.15611583997168527</v>
      </c>
      <c r="H27" s="3">
        <v>1520254</v>
      </c>
      <c r="I27" s="4">
        <f t="shared" si="6"/>
        <v>-8.5052435189503936E-2</v>
      </c>
      <c r="J27" s="3">
        <v>1234142</v>
      </c>
      <c r="K27" s="7">
        <f t="shared" si="0"/>
        <v>5.9818414322622526E-2</v>
      </c>
      <c r="L27" s="7">
        <f t="shared" si="1"/>
        <v>-5.6459868607658614E-2</v>
      </c>
      <c r="M27" s="7">
        <f t="shared" si="2"/>
        <v>-6.8627459389436152E-2</v>
      </c>
      <c r="N27" s="7">
        <f t="shared" si="7"/>
        <v>1.3064150220491788E-2</v>
      </c>
      <c r="O27" s="7">
        <f>('Session Details'!K27-'Session Details'!K20)/'Session Details'!K20</f>
        <v>-5.7692371236661426E-2</v>
      </c>
      <c r="P27" s="7">
        <f>('Session Details'!L27-'Session Details'!L20)/'Session Details'!L20</f>
        <v>-3.8461454986506195E-2</v>
      </c>
      <c r="Q27" s="7">
        <f>('Session Details'!M27-'Session Details'!M20)/'Session Details'!M20</f>
        <v>8.4209904804703278E-2</v>
      </c>
      <c r="R27" s="7">
        <f>('Session Details'!N27-'Session Details'!N20)/'Session Details'!N20</f>
        <v>3.1250497494648789E-2</v>
      </c>
    </row>
    <row r="28" spans="1:18" hidden="1" x14ac:dyDescent="0.3">
      <c r="A28" s="2">
        <v>43491</v>
      </c>
      <c r="B28" s="3">
        <v>47134238</v>
      </c>
      <c r="C28" s="4">
        <f t="shared" si="3"/>
        <v>0.10526315666056509</v>
      </c>
      <c r="D28" s="3">
        <v>9997171</v>
      </c>
      <c r="E28" s="4">
        <f t="shared" si="4"/>
        <v>0.15084092719562003</v>
      </c>
      <c r="F28" s="3">
        <v>3568990</v>
      </c>
      <c r="G28" s="4">
        <f t="shared" si="5"/>
        <v>0.23304387181697417</v>
      </c>
      <c r="H28" s="3">
        <v>2378375</v>
      </c>
      <c r="I28" s="4">
        <f t="shared" si="6"/>
        <v>0.16190708358451908</v>
      </c>
      <c r="J28" s="3">
        <v>1762376</v>
      </c>
      <c r="K28" s="7">
        <f t="shared" si="0"/>
        <v>3.7390569462478637E-2</v>
      </c>
      <c r="L28" s="7">
        <f t="shared" si="1"/>
        <v>9.2882647461171253E-2</v>
      </c>
      <c r="M28" s="7">
        <f t="shared" si="2"/>
        <v>0.10526315666056507</v>
      </c>
      <c r="N28" s="7">
        <f t="shared" si="7"/>
        <v>-1.120141309767364E-2</v>
      </c>
      <c r="O28" s="7">
        <f>('Session Details'!K28-'Session Details'!K21)/'Session Details'!K21</f>
        <v>4.1237030530143895E-2</v>
      </c>
      <c r="P28" s="7">
        <f>('Session Details'!L28-'Session Details'!L21)/'Session Details'!L21</f>
        <v>7.14285898935373E-2</v>
      </c>
      <c r="Q28" s="7">
        <f>('Session Details'!M28-'Session Details'!M21)/'Session Details'!M21</f>
        <v>-5.7692017176672036E-2</v>
      </c>
      <c r="R28" s="7">
        <f>('Session Details'!N28-'Session Details'!N21)/'Session Details'!N21</f>
        <v>-5.9406158287980654E-2</v>
      </c>
    </row>
    <row r="29" spans="1:18" hidden="1" x14ac:dyDescent="0.3">
      <c r="A29" s="2">
        <v>43492</v>
      </c>
      <c r="B29" s="3">
        <v>45338648</v>
      </c>
      <c r="C29" s="4">
        <f t="shared" si="3"/>
        <v>2.0202019974729108E-2</v>
      </c>
      <c r="D29" s="3">
        <v>9616327</v>
      </c>
      <c r="E29" s="4">
        <f t="shared" si="4"/>
        <v>4.0812173884620329E-2</v>
      </c>
      <c r="F29" s="3">
        <v>3400333</v>
      </c>
      <c r="G29" s="4">
        <f t="shared" si="5"/>
        <v>4.0812059993878179E-2</v>
      </c>
      <c r="H29" s="3">
        <v>2358471</v>
      </c>
      <c r="I29" s="4">
        <f t="shared" si="6"/>
        <v>2.0796633688564253E-2</v>
      </c>
      <c r="J29" s="3">
        <v>1784419</v>
      </c>
      <c r="K29" s="7">
        <f t="shared" si="0"/>
        <v>3.9357569727266679E-2</v>
      </c>
      <c r="L29" s="7">
        <f t="shared" si="1"/>
        <v>-1.9630799659368758E-2</v>
      </c>
      <c r="M29" s="7">
        <f t="shared" si="2"/>
        <v>2.0202019974729035E-2</v>
      </c>
      <c r="N29" s="7">
        <f t="shared" si="7"/>
        <v>-3.9044050937170782E-2</v>
      </c>
      <c r="O29" s="7">
        <f>('Session Details'!K29-'Session Details'!K22)/'Session Details'!K22</f>
        <v>2.0202032054790306E-2</v>
      </c>
      <c r="P29" s="7">
        <f>('Session Details'!L29-'Session Details'!L22)/'Session Details'!L22</f>
        <v>-1.0942487509698732E-7</v>
      </c>
      <c r="Q29" s="7">
        <f>('Session Details'!M29-'Session Details'!M22)/'Session Details'!M22</f>
        <v>-1.9230586457108807E-2</v>
      </c>
      <c r="R29" s="7">
        <f>('Session Details'!N29-'Session Details'!N22)/'Session Details'!N22</f>
        <v>-3.9603807471280353E-2</v>
      </c>
    </row>
    <row r="30" spans="1:18" hidden="1" x14ac:dyDescent="0.3">
      <c r="A30" s="2">
        <v>43493</v>
      </c>
      <c r="B30" s="3">
        <v>21282993</v>
      </c>
      <c r="C30" s="4">
        <f t="shared" si="3"/>
        <v>-3.9215703977760252E-2</v>
      </c>
      <c r="D30" s="3">
        <v>5267540</v>
      </c>
      <c r="E30" s="4">
        <f t="shared" si="4"/>
        <v>-8.540729147531409E-2</v>
      </c>
      <c r="F30" s="3">
        <v>2043805</v>
      </c>
      <c r="G30" s="4">
        <f t="shared" si="5"/>
        <v>-0.14696655906735015</v>
      </c>
      <c r="H30" s="3">
        <v>1536737</v>
      </c>
      <c r="I30" s="4">
        <f t="shared" si="6"/>
        <v>-0.15516878350422517</v>
      </c>
      <c r="J30" s="3">
        <v>1310529</v>
      </c>
      <c r="K30" s="7">
        <f t="shared" si="0"/>
        <v>6.157634877763668E-2</v>
      </c>
      <c r="L30" s="7">
        <f t="shared" si="1"/>
        <v>-0.11250036399885421</v>
      </c>
      <c r="M30" s="7">
        <f t="shared" si="2"/>
        <v>-3.9215703977760197E-2</v>
      </c>
      <c r="N30" s="7">
        <f t="shared" si="7"/>
        <v>-7.6275872039646142E-2</v>
      </c>
      <c r="O30" s="7">
        <f>('Session Details'!K30-'Session Details'!K23)/'Session Details'!K23</f>
        <v>-4.8076959301679281E-2</v>
      </c>
      <c r="P30" s="7">
        <f>('Session Details'!L30-'Session Details'!L23)/'Session Details'!L23</f>
        <v>-6.7307848639353601E-2</v>
      </c>
      <c r="Q30" s="7">
        <f>('Session Details'!M30-'Session Details'!M23)/'Session Details'!M23</f>
        <v>-9.6153609498675022E-3</v>
      </c>
      <c r="R30" s="7">
        <f>('Session Details'!N30-'Session Details'!N23)/'Session Details'!N23</f>
        <v>5.0505259124245847E-2</v>
      </c>
    </row>
    <row r="31" spans="1:18" x14ac:dyDescent="0.3">
      <c r="A31" s="11">
        <v>43494</v>
      </c>
      <c r="B31" s="12">
        <v>22368860</v>
      </c>
      <c r="C31" s="4">
        <f t="shared" si="3"/>
        <v>-0.40462427961056557</v>
      </c>
      <c r="D31" s="12">
        <v>2628341</v>
      </c>
      <c r="E31" s="4">
        <f t="shared" si="4"/>
        <v>-0.73093596441362962</v>
      </c>
      <c r="F31" s="12">
        <v>1093389</v>
      </c>
      <c r="G31" s="4">
        <f t="shared" si="5"/>
        <v>-0.70851416975554826</v>
      </c>
      <c r="H31" s="12">
        <v>790192</v>
      </c>
      <c r="I31" s="4">
        <f t="shared" si="6"/>
        <v>-0.70250419310692747</v>
      </c>
      <c r="J31" s="12">
        <v>628519</v>
      </c>
      <c r="K31" s="13">
        <f t="shared" si="0"/>
        <v>2.8097945089736356E-2</v>
      </c>
      <c r="L31" s="13">
        <f t="shared" si="1"/>
        <v>-0.71708723442563915</v>
      </c>
      <c r="M31" s="13">
        <f t="shared" si="2"/>
        <v>-0.40462427961056557</v>
      </c>
      <c r="N31" s="13">
        <f t="shared" si="7"/>
        <v>-0.52481642115115479</v>
      </c>
      <c r="O31" s="7">
        <f>('Session Details'!K31-'Session Details'!K24)/'Session Details'!K24</f>
        <v>-0.54807690946756127</v>
      </c>
      <c r="P31" s="7">
        <f>('Session Details'!L31-'Session Details'!L24)/'Session Details'!L24</f>
        <v>8.3332559140494589E-2</v>
      </c>
      <c r="Q31" s="7">
        <f>('Session Details'!M31-'Session Details'!M24)/'Session Details'!M24</f>
        <v>2.0618417861274784E-2</v>
      </c>
      <c r="R31" s="7">
        <f>('Session Details'!N31-'Session Details'!N24)/'Session Details'!N24</f>
        <v>-4.9019317183025657E-2</v>
      </c>
    </row>
    <row r="32" spans="1:18" hidden="1" x14ac:dyDescent="0.3">
      <c r="A32" s="2">
        <v>43495</v>
      </c>
      <c r="B32" s="3">
        <v>22368860</v>
      </c>
      <c r="C32" s="4">
        <f t="shared" si="3"/>
        <v>4.0404011745583182E-2</v>
      </c>
      <c r="D32" s="3">
        <v>5536293</v>
      </c>
      <c r="E32" s="4">
        <f t="shared" si="4"/>
        <v>1.9802011202492194E-2</v>
      </c>
      <c r="F32" s="3">
        <v>2303097</v>
      </c>
      <c r="G32" s="4">
        <f t="shared" si="5"/>
        <v>1.9801831138025229E-2</v>
      </c>
      <c r="H32" s="3">
        <v>1614011</v>
      </c>
      <c r="I32" s="4">
        <f t="shared" si="6"/>
        <v>-2.0989739872559695E-2</v>
      </c>
      <c r="J32" s="3">
        <v>1283784</v>
      </c>
      <c r="K32" s="7">
        <f t="shared" si="0"/>
        <v>5.739157024542154E-2</v>
      </c>
      <c r="L32" s="7">
        <f t="shared" si="1"/>
        <v>-7.8019563062868946E-2</v>
      </c>
      <c r="M32" s="7">
        <f t="shared" si="2"/>
        <v>4.0404011745583279E-2</v>
      </c>
      <c r="N32" s="7">
        <f t="shared" si="7"/>
        <v>-0.11382460416483964</v>
      </c>
      <c r="O32" s="7">
        <f>('Session Details'!K32-'Session Details'!K25)/'Session Details'!K25</f>
        <v>-1.9801923397551106E-2</v>
      </c>
      <c r="P32" s="7">
        <f>('Session Details'!L32-'Session Details'!L25)/'Session Details'!L25</f>
        <v>-1.7656806419582858E-7</v>
      </c>
      <c r="Q32" s="7">
        <f>('Session Details'!M32-'Session Details'!M25)/'Session Details'!M25</f>
        <v>-3.9999507517126574E-2</v>
      </c>
      <c r="R32" s="7">
        <f>('Session Details'!N32-'Session Details'!N25)/'Session Details'!N25</f>
        <v>-5.825252861281105E-2</v>
      </c>
    </row>
    <row r="33" spans="1:18" x14ac:dyDescent="0.3">
      <c r="A33" s="11">
        <v>43496</v>
      </c>
      <c r="B33" s="12">
        <v>20848646</v>
      </c>
      <c r="C33" s="4">
        <f t="shared" si="3"/>
        <v>1.0526296401619022E-2</v>
      </c>
      <c r="D33" s="12">
        <v>5316404</v>
      </c>
      <c r="E33" s="4">
        <f t="shared" si="4"/>
        <v>8.4986165232713476E-2</v>
      </c>
      <c r="F33" s="12">
        <v>2147827</v>
      </c>
      <c r="G33" s="4">
        <f t="shared" si="5"/>
        <v>0.15351156558305898</v>
      </c>
      <c r="H33" s="12">
        <v>1520876</v>
      </c>
      <c r="I33" s="4">
        <f t="shared" si="6"/>
        <v>0.1417413688650796</v>
      </c>
      <c r="J33" s="12">
        <v>1272061</v>
      </c>
      <c r="K33" s="13">
        <f t="shared" si="0"/>
        <v>6.1014082161498638E-2</v>
      </c>
      <c r="L33" s="13">
        <f t="shared" si="1"/>
        <v>0.20059441674862155</v>
      </c>
      <c r="M33" s="13">
        <f t="shared" si="2"/>
        <v>1.0526296401619062E-2</v>
      </c>
      <c r="N33" s="13">
        <f t="shared" si="7"/>
        <v>0.18808824770202981</v>
      </c>
      <c r="O33" s="7">
        <f>('Session Details'!K33-'Session Details'!K26)/'Session Details'!K26</f>
        <v>7.3684246611135498E-2</v>
      </c>
      <c r="P33" s="7">
        <f>('Session Details'!L33-'Session Details'!L26)/'Session Details'!L26</f>
        <v>6.3157856336027843E-2</v>
      </c>
      <c r="Q33" s="7">
        <f>('Session Details'!M33-'Session Details'!M26)/'Session Details'!M26</f>
        <v>-1.0203796016583467E-2</v>
      </c>
      <c r="R33" s="7">
        <f>('Session Details'!N33-'Session Details'!N26)/'Session Details'!N26</f>
        <v>5.1546742098031673E-2</v>
      </c>
    </row>
    <row r="34" spans="1:18" hidden="1" x14ac:dyDescent="0.3">
      <c r="A34" s="2">
        <v>43497</v>
      </c>
      <c r="B34" s="3">
        <v>20631473</v>
      </c>
      <c r="C34" s="4">
        <f t="shared" si="3"/>
        <v>0</v>
      </c>
      <c r="D34" s="3">
        <v>5054710</v>
      </c>
      <c r="E34" s="4">
        <f t="shared" si="4"/>
        <v>0</v>
      </c>
      <c r="F34" s="3">
        <v>2082540</v>
      </c>
      <c r="G34" s="4">
        <f t="shared" si="5"/>
        <v>2.9999742814127813E-2</v>
      </c>
      <c r="H34" s="3">
        <v>1565862</v>
      </c>
      <c r="I34" s="4">
        <f t="shared" si="6"/>
        <v>3.0000249958230665E-2</v>
      </c>
      <c r="J34" s="3">
        <v>1322527</v>
      </c>
      <c r="K34" s="7">
        <f t="shared" si="0"/>
        <v>6.4102403158514176E-2</v>
      </c>
      <c r="L34" s="7">
        <f t="shared" si="1"/>
        <v>7.1616556279585408E-2</v>
      </c>
      <c r="M34" s="7">
        <f t="shared" si="2"/>
        <v>0</v>
      </c>
      <c r="N34" s="7">
        <f t="shared" si="7"/>
        <v>7.1616556279585408E-2</v>
      </c>
      <c r="O34" s="7">
        <f>('Session Details'!K34-'Session Details'!K27)/'Session Details'!K27</f>
        <v>0</v>
      </c>
      <c r="P34" s="7">
        <f>('Session Details'!L34-'Session Details'!L27)/'Session Details'!L27</f>
        <v>2.9999742814127706E-2</v>
      </c>
      <c r="Q34" s="7">
        <f>('Session Details'!M34-'Session Details'!M27)/'Session Details'!M27</f>
        <v>4.9237303825277334E-7</v>
      </c>
      <c r="R34" s="7">
        <f>('Session Details'!N34-'Session Details'!N27)/'Session Details'!N27</f>
        <v>4.0404171089319846E-2</v>
      </c>
    </row>
    <row r="35" spans="1:18" hidden="1" x14ac:dyDescent="0.3">
      <c r="A35" s="2">
        <v>43498</v>
      </c>
      <c r="B35" s="3">
        <v>43543058</v>
      </c>
      <c r="C35" s="4">
        <f t="shared" si="3"/>
        <v>-7.6190475382247616E-2</v>
      </c>
      <c r="D35" s="3">
        <v>9052601</v>
      </c>
      <c r="E35" s="4">
        <f t="shared" si="4"/>
        <v>-9.4483729447060572E-2</v>
      </c>
      <c r="F35" s="3">
        <v>2985548</v>
      </c>
      <c r="G35" s="4">
        <f t="shared" si="5"/>
        <v>-0.16347538099014006</v>
      </c>
      <c r="H35" s="3">
        <v>2070776</v>
      </c>
      <c r="I35" s="4">
        <f t="shared" si="6"/>
        <v>-0.12933158143690546</v>
      </c>
      <c r="J35" s="3">
        <v>1566749</v>
      </c>
      <c r="K35" s="7">
        <f t="shared" si="0"/>
        <v>3.598160239457688E-2</v>
      </c>
      <c r="L35" s="7">
        <f t="shared" si="1"/>
        <v>-0.11100185204519353</v>
      </c>
      <c r="M35" s="7">
        <f t="shared" si="2"/>
        <v>-7.6190475382247658E-2</v>
      </c>
      <c r="N35" s="7">
        <f t="shared" si="7"/>
        <v>-3.7682418004241769E-2</v>
      </c>
      <c r="O35" s="7">
        <f>('Session Details'!K35-'Session Details'!K28)/'Session Details'!K28</f>
        <v>-1.9801976032215386E-2</v>
      </c>
      <c r="P35" s="7">
        <f>('Session Details'!L35-'Session Details'!L28)/'Session Details'!L28</f>
        <v>-7.6190405171793166E-2</v>
      </c>
      <c r="Q35" s="7">
        <f>('Session Details'!M35-'Session Details'!M28)/'Session Details'!M28</f>
        <v>4.0816251879888923E-2</v>
      </c>
      <c r="R35" s="7">
        <f>('Session Details'!N35-'Session Details'!N28)/'Session Details'!N28</f>
        <v>2.1052479911884671E-2</v>
      </c>
    </row>
    <row r="36" spans="1:18" hidden="1" x14ac:dyDescent="0.3">
      <c r="A36" s="2">
        <v>43499</v>
      </c>
      <c r="B36" s="3">
        <v>44889750</v>
      </c>
      <c r="C36" s="4">
        <f t="shared" si="3"/>
        <v>-9.9010010179394845E-3</v>
      </c>
      <c r="D36" s="3">
        <v>9709653</v>
      </c>
      <c r="E36" s="4">
        <f t="shared" si="4"/>
        <v>9.7049528369823525E-3</v>
      </c>
      <c r="F36" s="3">
        <v>3268269</v>
      </c>
      <c r="G36" s="4">
        <f t="shared" si="5"/>
        <v>-3.8838549047990299E-2</v>
      </c>
      <c r="H36" s="3">
        <v>2333544</v>
      </c>
      <c r="I36" s="4">
        <f t="shared" si="6"/>
        <v>-1.0569135681549614E-2</v>
      </c>
      <c r="J36" s="3">
        <v>1892971</v>
      </c>
      <c r="K36" s="7">
        <f t="shared" si="0"/>
        <v>4.2169337098112596E-2</v>
      </c>
      <c r="L36" s="7">
        <f t="shared" si="1"/>
        <v>6.0833246003320962E-2</v>
      </c>
      <c r="M36" s="7">
        <f t="shared" si="2"/>
        <v>-9.9010010179394481E-3</v>
      </c>
      <c r="N36" s="7">
        <f t="shared" si="7"/>
        <v>7.1441590279339273E-2</v>
      </c>
      <c r="O36" s="7">
        <f>('Session Details'!K36-'Session Details'!K29)/'Session Details'!K29</f>
        <v>1.9802013611849942E-2</v>
      </c>
      <c r="P36" s="7">
        <f>('Session Details'!L36-'Session Details'!L29)/'Session Details'!L29</f>
        <v>-4.8076917666472083E-2</v>
      </c>
      <c r="Q36" s="7">
        <f>('Session Details'!M36-'Session Details'!M29)/'Session Details'!M29</f>
        <v>2.9411721972869845E-2</v>
      </c>
      <c r="R36" s="7">
        <f>('Session Details'!N36-'Session Details'!N29)/'Session Details'!N29</f>
        <v>7.2165104465438959E-2</v>
      </c>
    </row>
    <row r="37" spans="1:18" hidden="1" x14ac:dyDescent="0.3">
      <c r="A37" s="2">
        <v>43500</v>
      </c>
      <c r="B37" s="3">
        <v>21282993</v>
      </c>
      <c r="C37" s="4">
        <f t="shared" si="3"/>
        <v>0</v>
      </c>
      <c r="D37" s="3">
        <v>5054710</v>
      </c>
      <c r="E37" s="4">
        <f t="shared" si="4"/>
        <v>-4.0404059579993698E-2</v>
      </c>
      <c r="F37" s="3">
        <v>2001665</v>
      </c>
      <c r="G37" s="4">
        <f t="shared" si="5"/>
        <v>-2.0618405376246755E-2</v>
      </c>
      <c r="H37" s="3">
        <v>1475828</v>
      </c>
      <c r="I37" s="4">
        <f t="shared" si="6"/>
        <v>-3.9635279166181328E-2</v>
      </c>
      <c r="J37" s="3">
        <v>1198077</v>
      </c>
      <c r="K37" s="7">
        <f t="shared" si="0"/>
        <v>5.6292693419576843E-2</v>
      </c>
      <c r="L37" s="7">
        <f t="shared" si="1"/>
        <v>-8.5806571239552931E-2</v>
      </c>
      <c r="M37" s="7">
        <f t="shared" si="2"/>
        <v>0</v>
      </c>
      <c r="N37" s="7">
        <f t="shared" si="7"/>
        <v>-8.5806571239552931E-2</v>
      </c>
      <c r="O37" s="7">
        <f>('Session Details'!K37-'Session Details'!K30)/'Session Details'!K30</f>
        <v>-4.040405957999374E-2</v>
      </c>
      <c r="P37" s="7">
        <f>('Session Details'!L37-'Session Details'!L30)/'Session Details'!L30</f>
        <v>2.0618734792778412E-2</v>
      </c>
      <c r="Q37" s="7">
        <f>('Session Details'!M37-'Session Details'!M30)/'Session Details'!M30</f>
        <v>-1.9417226027450874E-2</v>
      </c>
      <c r="R37" s="7">
        <f>('Session Details'!N37-'Session Details'!N30)/'Session Details'!N30</f>
        <v>-4.8076830678748954E-2</v>
      </c>
    </row>
    <row r="38" spans="1:18" x14ac:dyDescent="0.3">
      <c r="A38" s="11">
        <v>43501</v>
      </c>
      <c r="B38" s="12">
        <v>22368860</v>
      </c>
      <c r="C38" s="4">
        <f t="shared" si="3"/>
        <v>0</v>
      </c>
      <c r="D38" s="12">
        <v>5871825</v>
      </c>
      <c r="E38" s="4">
        <f t="shared" si="4"/>
        <v>1.234042310339488</v>
      </c>
      <c r="F38" s="12">
        <v>2372217</v>
      </c>
      <c r="G38" s="4">
        <f t="shared" si="5"/>
        <v>1.1696002063309581</v>
      </c>
      <c r="H38" s="12">
        <v>1679767</v>
      </c>
      <c r="I38" s="4">
        <f t="shared" si="6"/>
        <v>1.1257706987668821</v>
      </c>
      <c r="J38" s="12">
        <v>1349861</v>
      </c>
      <c r="K38" s="13">
        <f t="shared" si="0"/>
        <v>6.0345542866288224E-2</v>
      </c>
      <c r="L38" s="13">
        <f t="shared" si="1"/>
        <v>1.1476852728398028</v>
      </c>
      <c r="M38" s="13">
        <f t="shared" si="2"/>
        <v>0</v>
      </c>
      <c r="N38" s="13">
        <f t="shared" si="7"/>
        <v>1.1476852728398028</v>
      </c>
      <c r="O38" s="7">
        <f>('Session Details'!K38-'Session Details'!K31)/'Session Details'!K31</f>
        <v>1.234042310339488</v>
      </c>
      <c r="P38" s="7">
        <f>('Session Details'!L38-'Session Details'!L31)/'Session Details'!L31</f>
        <v>-2.8845516358522751E-2</v>
      </c>
      <c r="Q38" s="7">
        <f>('Session Details'!M38-'Session Details'!M31)/'Session Details'!M31</f>
        <v>-2.0201651638942671E-2</v>
      </c>
      <c r="R38" s="7">
        <f>('Session Details'!N38-'Session Details'!N31)/'Session Details'!N31</f>
        <v>1.0309001853131626E-2</v>
      </c>
    </row>
    <row r="39" spans="1:18" hidden="1" x14ac:dyDescent="0.3">
      <c r="A39" s="2">
        <v>43502</v>
      </c>
      <c r="B39" s="3">
        <v>20631473</v>
      </c>
      <c r="C39" s="4">
        <f t="shared" si="3"/>
        <v>-7.7669894666067024E-2</v>
      </c>
      <c r="D39" s="3">
        <v>5364183</v>
      </c>
      <c r="E39" s="4">
        <f t="shared" si="4"/>
        <v>-3.1087588752979657E-2</v>
      </c>
      <c r="F39" s="3">
        <v>2145673</v>
      </c>
      <c r="G39" s="4">
        <f t="shared" si="5"/>
        <v>-6.8353178350716443E-2</v>
      </c>
      <c r="H39" s="3">
        <v>1488024</v>
      </c>
      <c r="I39" s="4">
        <f t="shared" si="6"/>
        <v>-7.8058327979177347E-2</v>
      </c>
      <c r="J39" s="3">
        <v>1281189</v>
      </c>
      <c r="K39" s="7">
        <f t="shared" si="0"/>
        <v>6.2098765318404553E-2</v>
      </c>
      <c r="L39" s="7">
        <f t="shared" si="1"/>
        <v>-2.0213680806117074E-3</v>
      </c>
      <c r="M39" s="7">
        <f t="shared" si="2"/>
        <v>-7.7669894666066996E-2</v>
      </c>
      <c r="N39" s="7">
        <f t="shared" si="7"/>
        <v>8.2018928090899168E-2</v>
      </c>
      <c r="O39" s="7">
        <f>('Session Details'!K39-'Session Details'!K32)/'Session Details'!K32</f>
        <v>5.0505025959466134E-2</v>
      </c>
      <c r="P39" s="7">
        <f>('Session Details'!L39-'Session Details'!L32)/'Session Details'!L32</f>
        <v>-3.8461257349129037E-2</v>
      </c>
      <c r="Q39" s="7">
        <f>('Session Details'!M39-'Session Details'!M32)/'Session Details'!M32</f>
        <v>-1.0417198237503781E-2</v>
      </c>
      <c r="R39" s="7">
        <f>('Session Details'!N39-'Session Details'!N32)/'Session Details'!N32</f>
        <v>8.2474805300750492E-2</v>
      </c>
    </row>
    <row r="40" spans="1:18" hidden="1" x14ac:dyDescent="0.3">
      <c r="A40" s="2">
        <v>43503</v>
      </c>
      <c r="B40" s="3">
        <v>22151687</v>
      </c>
      <c r="C40" s="4">
        <f t="shared" si="3"/>
        <v>6.2500029977965957E-2</v>
      </c>
      <c r="D40" s="3">
        <v>5482542</v>
      </c>
      <c r="E40" s="4">
        <f t="shared" si="4"/>
        <v>3.1250070536400165E-2</v>
      </c>
      <c r="F40" s="3">
        <v>2193017</v>
      </c>
      <c r="G40" s="4">
        <f t="shared" si="5"/>
        <v>2.1039869598436001E-2</v>
      </c>
      <c r="H40" s="3">
        <v>1616911</v>
      </c>
      <c r="I40" s="4">
        <f t="shared" si="6"/>
        <v>6.3144529863052606E-2</v>
      </c>
      <c r="J40" s="3">
        <v>1378902</v>
      </c>
      <c r="K40" s="7">
        <f t="shared" si="0"/>
        <v>6.2248170985803472E-2</v>
      </c>
      <c r="L40" s="7">
        <f t="shared" si="1"/>
        <v>8.3990469010527091E-2</v>
      </c>
      <c r="M40" s="7">
        <f t="shared" si="2"/>
        <v>6.2500029977965887E-2</v>
      </c>
      <c r="N40" s="7">
        <f t="shared" si="7"/>
        <v>2.0226294989381444E-2</v>
      </c>
      <c r="O40" s="7">
        <f>('Session Details'!K40-'Session Details'!K33)/'Session Details'!K33</f>
        <v>-2.9411725703399515E-2</v>
      </c>
      <c r="P40" s="7">
        <f>('Session Details'!L40-'Session Details'!L33)/'Session Details'!L33</f>
        <v>-9.900800232336783E-3</v>
      </c>
      <c r="Q40" s="7">
        <f>('Session Details'!M40-'Session Details'!M33)/'Session Details'!M33</f>
        <v>4.123703835500165E-2</v>
      </c>
      <c r="R40" s="7">
        <f>('Session Details'!N40-'Session Details'!N33)/'Session Details'!N33</f>
        <v>1.9607813013118498E-2</v>
      </c>
    </row>
    <row r="41" spans="1:18" hidden="1" x14ac:dyDescent="0.3">
      <c r="A41" s="2">
        <v>43504</v>
      </c>
      <c r="B41" s="3">
        <v>21934513</v>
      </c>
      <c r="C41" s="4">
        <f t="shared" si="3"/>
        <v>6.3157875348987438E-2</v>
      </c>
      <c r="D41" s="3">
        <v>5209447</v>
      </c>
      <c r="E41" s="4">
        <f t="shared" si="4"/>
        <v>3.061243869579066E-2</v>
      </c>
      <c r="F41" s="3">
        <v>2104616</v>
      </c>
      <c r="G41" s="4">
        <f t="shared" si="5"/>
        <v>1.0600516676750507E-2</v>
      </c>
      <c r="H41" s="3">
        <v>1490279</v>
      </c>
      <c r="I41" s="4">
        <f t="shared" si="6"/>
        <v>-4.8269259998646112E-2</v>
      </c>
      <c r="J41" s="3">
        <v>1246469</v>
      </c>
      <c r="K41" s="7">
        <f t="shared" si="0"/>
        <v>5.6826837231353164E-2</v>
      </c>
      <c r="L41" s="7">
        <f t="shared" si="1"/>
        <v>-5.7509600938203898E-2</v>
      </c>
      <c r="M41" s="7">
        <f t="shared" si="2"/>
        <v>6.3157875348987425E-2</v>
      </c>
      <c r="N41" s="7">
        <f t="shared" si="7"/>
        <v>-0.11349911342902064</v>
      </c>
      <c r="O41" s="7">
        <f>('Session Details'!K41-'Session Details'!K34)/'Session Details'!K34</f>
        <v>-3.0612044935013533E-2</v>
      </c>
      <c r="P41" s="7">
        <f>('Session Details'!L41-'Session Details'!L34)/'Session Details'!L34</f>
        <v>-1.9417504842426082E-2</v>
      </c>
      <c r="Q41" s="7">
        <f>('Session Details'!M41-'Session Details'!M34)/'Session Details'!M34</f>
        <v>-5.8252272489413837E-2</v>
      </c>
      <c r="R41" s="7">
        <f>('Session Details'!N41-'Session Details'!N34)/'Session Details'!N34</f>
        <v>-9.7089865349358727E-3</v>
      </c>
    </row>
    <row r="42" spans="1:18" hidden="1" x14ac:dyDescent="0.3">
      <c r="A42" s="2">
        <v>43505</v>
      </c>
      <c r="B42" s="3">
        <v>43991955</v>
      </c>
      <c r="C42" s="4">
        <f t="shared" si="3"/>
        <v>1.0309266749248525E-2</v>
      </c>
      <c r="D42" s="3">
        <v>9145927</v>
      </c>
      <c r="E42" s="4">
        <f t="shared" si="4"/>
        <v>1.0309302265724515E-2</v>
      </c>
      <c r="F42" s="3">
        <v>3265096</v>
      </c>
      <c r="G42" s="4">
        <f t="shared" si="5"/>
        <v>9.3633731562848765E-2</v>
      </c>
      <c r="H42" s="3">
        <v>2286873</v>
      </c>
      <c r="I42" s="4">
        <f t="shared" si="6"/>
        <v>0.10435556525669604</v>
      </c>
      <c r="J42" s="3">
        <v>1855111</v>
      </c>
      <c r="K42" s="7">
        <f t="shared" si="0"/>
        <v>4.2169323913883797E-2</v>
      </c>
      <c r="L42" s="7">
        <f t="shared" si="1"/>
        <v>0.1840511785869976</v>
      </c>
      <c r="M42" s="7">
        <f t="shared" si="2"/>
        <v>1.0309266749248591E-2</v>
      </c>
      <c r="N42" s="7">
        <f t="shared" si="7"/>
        <v>0.1719690371610445</v>
      </c>
      <c r="O42" s="7">
        <f>('Session Details'!K42-'Session Details'!K35)/'Session Details'!K35</f>
        <v>3.5154063409676791E-8</v>
      </c>
      <c r="P42" s="7">
        <f>('Session Details'!L42-'Session Details'!L35)/'Session Details'!L35</f>
        <v>8.247417806632136E-2</v>
      </c>
      <c r="Q42" s="7">
        <f>('Session Details'!M42-'Session Details'!M35)/'Session Details'!M35</f>
        <v>9.8038615529217662E-3</v>
      </c>
      <c r="R42" s="7">
        <f>('Session Details'!N42-'Session Details'!N35)/'Session Details'!N35</f>
        <v>7.2164813432870359E-2</v>
      </c>
    </row>
    <row r="43" spans="1:18" hidden="1" x14ac:dyDescent="0.3">
      <c r="A43" s="2">
        <v>43506</v>
      </c>
      <c r="B43" s="3">
        <v>46236443</v>
      </c>
      <c r="C43" s="4">
        <f t="shared" si="3"/>
        <v>3.0000011138400191E-2</v>
      </c>
      <c r="D43" s="3">
        <v>10000942</v>
      </c>
      <c r="E43" s="4">
        <f t="shared" si="4"/>
        <v>2.999993923572758E-2</v>
      </c>
      <c r="F43" s="3">
        <v>3366317</v>
      </c>
      <c r="G43" s="4">
        <f t="shared" si="5"/>
        <v>2.9999978581934351E-2</v>
      </c>
      <c r="H43" s="3">
        <v>2197531</v>
      </c>
      <c r="I43" s="4">
        <f t="shared" si="6"/>
        <v>-5.8286023319037483E-2</v>
      </c>
      <c r="J43" s="3">
        <v>1799778</v>
      </c>
      <c r="K43" s="7">
        <f t="shared" si="0"/>
        <v>3.892552893828792E-2</v>
      </c>
      <c r="L43" s="7">
        <f t="shared" si="1"/>
        <v>-4.9231076440156785E-2</v>
      </c>
      <c r="M43" s="7">
        <f t="shared" si="2"/>
        <v>3.0000011138400229E-2</v>
      </c>
      <c r="N43" s="7">
        <f t="shared" si="7"/>
        <v>-7.6923385166750902E-2</v>
      </c>
      <c r="O43" s="7">
        <f>('Session Details'!K43-'Session Details'!K36)/'Session Details'!K36</f>
        <v>-6.9808419177508549E-8</v>
      </c>
      <c r="P43" s="7">
        <f>('Session Details'!L43-'Session Details'!L36)/'Session Details'!L36</f>
        <v>3.8200203078742611E-8</v>
      </c>
      <c r="Q43" s="7">
        <f>('Session Details'!M43-'Session Details'!M36)/'Session Details'!M36</f>
        <v>-8.5714566734769015E-2</v>
      </c>
      <c r="R43" s="7">
        <f>('Session Details'!N43-'Session Details'!N36)/'Session Details'!N36</f>
        <v>9.6153897075994619E-3</v>
      </c>
    </row>
    <row r="44" spans="1:18" hidden="1" x14ac:dyDescent="0.3">
      <c r="A44" s="2">
        <v>43507</v>
      </c>
      <c r="B44" s="3">
        <v>22368860</v>
      </c>
      <c r="C44" s="4">
        <f t="shared" si="3"/>
        <v>5.102040864271299E-2</v>
      </c>
      <c r="D44" s="3">
        <v>5312604</v>
      </c>
      <c r="E44" s="4">
        <f t="shared" si="4"/>
        <v>5.1020533324364799E-2</v>
      </c>
      <c r="F44" s="3">
        <v>2125041</v>
      </c>
      <c r="G44" s="4">
        <f t="shared" si="5"/>
        <v>6.1636687457691471E-2</v>
      </c>
      <c r="H44" s="3">
        <v>1582306</v>
      </c>
      <c r="I44" s="4">
        <f t="shared" si="6"/>
        <v>7.214797388313543E-2</v>
      </c>
      <c r="J44" s="3">
        <v>1297491</v>
      </c>
      <c r="K44" s="7">
        <f t="shared" si="0"/>
        <v>5.8004341750093655E-2</v>
      </c>
      <c r="L44" s="7">
        <f t="shared" si="1"/>
        <v>8.2977972200451333E-2</v>
      </c>
      <c r="M44" s="7">
        <f t="shared" si="2"/>
        <v>5.1020408642713067E-2</v>
      </c>
      <c r="N44" s="7">
        <f t="shared" si="7"/>
        <v>3.0406225507084272E-2</v>
      </c>
      <c r="O44" s="7">
        <f>('Session Details'!K44-'Session Details'!K37)/'Session Details'!K37</f>
        <v>1.1862914442437809E-7</v>
      </c>
      <c r="P44" s="7">
        <f>('Session Details'!L44-'Session Details'!L37)/'Session Details'!L37</f>
        <v>1.010080564244337E-2</v>
      </c>
      <c r="Q44" s="7">
        <f>('Session Details'!M44-'Session Details'!M37)/'Session Details'!M37</f>
        <v>9.9010203298601253E-3</v>
      </c>
      <c r="R44" s="7">
        <f>('Session Details'!N44-'Session Details'!N37)/'Session Details'!N37</f>
        <v>1.010121604585182E-2</v>
      </c>
    </row>
    <row r="45" spans="1:18" hidden="1" x14ac:dyDescent="0.3">
      <c r="A45" s="2">
        <v>43508</v>
      </c>
      <c r="B45" s="3">
        <v>22803207</v>
      </c>
      <c r="C45" s="4">
        <f t="shared" si="3"/>
        <v>1.9417484842768028E-2</v>
      </c>
      <c r="D45" s="3">
        <v>5814817</v>
      </c>
      <c r="E45" s="4">
        <f t="shared" si="4"/>
        <v>-9.7087362106329806E-3</v>
      </c>
      <c r="F45" s="3">
        <v>2256149</v>
      </c>
      <c r="G45" s="4">
        <f t="shared" si="5"/>
        <v>-4.8928070239779922E-2</v>
      </c>
      <c r="H45" s="3">
        <v>1712868</v>
      </c>
      <c r="I45" s="4">
        <f t="shared" si="6"/>
        <v>1.9705709184666683E-2</v>
      </c>
      <c r="J45" s="3">
        <v>1404552</v>
      </c>
      <c r="K45" s="7">
        <f t="shared" si="0"/>
        <v>6.1594494142863325E-2</v>
      </c>
      <c r="L45" s="7">
        <f t="shared" si="1"/>
        <v>4.0516023501679044E-2</v>
      </c>
      <c r="M45" s="7">
        <f t="shared" si="2"/>
        <v>1.9417484842767951E-2</v>
      </c>
      <c r="N45" s="7">
        <f t="shared" si="7"/>
        <v>2.0696661547025652E-2</v>
      </c>
      <c r="O45" s="7">
        <f>('Session Details'!K45-'Session Details'!K38)/'Session Details'!K38</f>
        <v>-2.8571435635021826E-2</v>
      </c>
      <c r="P45" s="7">
        <f>('Session Details'!L45-'Session Details'!L38)/'Session Details'!L38</f>
        <v>-3.9603837237817865E-2</v>
      </c>
      <c r="Q45" s="7">
        <f>('Session Details'!M45-'Session Details'!M38)/'Session Details'!M38</f>
        <v>7.2164656822276574E-2</v>
      </c>
      <c r="R45" s="7">
        <f>('Session Details'!N45-'Session Details'!N38)/'Session Details'!N38</f>
        <v>2.0408157108046318E-2</v>
      </c>
    </row>
    <row r="46" spans="1:18" hidden="1" x14ac:dyDescent="0.3">
      <c r="A46" s="2">
        <v>43509</v>
      </c>
      <c r="B46" s="3">
        <v>21717340</v>
      </c>
      <c r="C46" s="4">
        <f t="shared" si="3"/>
        <v>5.2631578947368418E-2</v>
      </c>
      <c r="D46" s="3">
        <v>5483628</v>
      </c>
      <c r="E46" s="4">
        <f t="shared" si="4"/>
        <v>2.2267137418689853E-2</v>
      </c>
      <c r="F46" s="3">
        <v>2259254</v>
      </c>
      <c r="G46" s="4">
        <f t="shared" si="5"/>
        <v>5.2934906670308104E-2</v>
      </c>
      <c r="H46" s="3">
        <v>1682241</v>
      </c>
      <c r="I46" s="4">
        <f t="shared" si="6"/>
        <v>0.13052007225689907</v>
      </c>
      <c r="J46" s="3">
        <v>1393232</v>
      </c>
      <c r="K46" s="7">
        <f t="shared" si="0"/>
        <v>6.4152976377401652E-2</v>
      </c>
      <c r="L46" s="7">
        <f t="shared" si="1"/>
        <v>8.7452358707419409E-2</v>
      </c>
      <c r="M46" s="7">
        <f t="shared" si="2"/>
        <v>5.2631578947368363E-2</v>
      </c>
      <c r="N46" s="7">
        <f t="shared" si="7"/>
        <v>3.3079740772048449E-2</v>
      </c>
      <c r="O46" s="7">
        <f>('Session Details'!K46-'Session Details'!K39)/'Session Details'!K39</f>
        <v>-2.8846219452244665E-2</v>
      </c>
      <c r="P46" s="7">
        <f>('Session Details'!L46-'Session Details'!L39)/'Session Details'!L39</f>
        <v>2.9999760462863873E-2</v>
      </c>
      <c r="Q46" s="7">
        <f>('Session Details'!M46-'Session Details'!M39)/'Session Details'!M39</f>
        <v>7.3684674233033209E-2</v>
      </c>
      <c r="R46" s="7">
        <f>('Session Details'!N46-'Session Details'!N39)/'Session Details'!N39</f>
        <v>-3.8095487737340221E-2</v>
      </c>
    </row>
    <row r="47" spans="1:18" hidden="1" x14ac:dyDescent="0.3">
      <c r="A47" s="2">
        <v>43510</v>
      </c>
      <c r="B47" s="3">
        <v>21500167</v>
      </c>
      <c r="C47" s="4">
        <f t="shared" si="3"/>
        <v>-2.9411755411675868E-2</v>
      </c>
      <c r="D47" s="3">
        <v>5213790</v>
      </c>
      <c r="E47" s="4">
        <f t="shared" si="4"/>
        <v>-4.9019597113893518E-2</v>
      </c>
      <c r="F47" s="3">
        <v>1981240</v>
      </c>
      <c r="G47" s="4">
        <f t="shared" si="5"/>
        <v>-9.6568790848406555E-2</v>
      </c>
      <c r="H47" s="3">
        <v>1402916</v>
      </c>
      <c r="I47" s="4">
        <f t="shared" si="6"/>
        <v>-0.13234803894586653</v>
      </c>
      <c r="J47" s="3">
        <v>1184903</v>
      </c>
      <c r="K47" s="7">
        <f t="shared" si="0"/>
        <v>5.5111339367736073E-2</v>
      </c>
      <c r="L47" s="7">
        <f t="shared" si="1"/>
        <v>-0.14069092654880477</v>
      </c>
      <c r="M47" s="7">
        <f t="shared" si="2"/>
        <v>-2.9411755411675844E-2</v>
      </c>
      <c r="N47" s="7">
        <f t="shared" si="7"/>
        <v>-0.1146512661343102</v>
      </c>
      <c r="O47" s="7">
        <f>('Session Details'!K47-'Session Details'!K40)/'Session Details'!K40</f>
        <v>-2.020201853004552E-2</v>
      </c>
      <c r="P47" s="7">
        <f>('Session Details'!L47-'Session Details'!L40)/'Session Details'!L40</f>
        <v>-5.0000182538154594E-2</v>
      </c>
      <c r="Q47" s="7">
        <f>('Session Details'!M47-'Session Details'!M40)/'Session Details'!M40</f>
        <v>-3.9603732674964941E-2</v>
      </c>
      <c r="R47" s="7">
        <f>('Session Details'!N47-'Session Details'!N40)/'Session Details'!N40</f>
        <v>-9.6154771468530773E-3</v>
      </c>
    </row>
    <row r="48" spans="1:18" hidden="1" x14ac:dyDescent="0.3">
      <c r="A48" s="2">
        <v>43511</v>
      </c>
      <c r="B48" s="3">
        <v>21500167</v>
      </c>
      <c r="C48" s="4">
        <f t="shared" si="3"/>
        <v>-1.9801944086928213E-2</v>
      </c>
      <c r="D48" s="3">
        <v>5482542</v>
      </c>
      <c r="E48" s="4">
        <f t="shared" si="4"/>
        <v>5.2423030697884059E-2</v>
      </c>
      <c r="F48" s="3">
        <v>2214947</v>
      </c>
      <c r="G48" s="4">
        <f t="shared" si="5"/>
        <v>5.2423339934695924E-2</v>
      </c>
      <c r="H48" s="3">
        <v>1633080</v>
      </c>
      <c r="I48" s="4">
        <f t="shared" si="6"/>
        <v>9.5821654871336176E-2</v>
      </c>
      <c r="J48" s="3">
        <v>1285561</v>
      </c>
      <c r="K48" s="7">
        <f t="shared" si="0"/>
        <v>5.9793070444522596E-2</v>
      </c>
      <c r="L48" s="7">
        <f t="shared" si="1"/>
        <v>3.1362191919734883E-2</v>
      </c>
      <c r="M48" s="7">
        <f t="shared" si="2"/>
        <v>-1.9801944086928258E-2</v>
      </c>
      <c r="N48" s="7">
        <f t="shared" si="7"/>
        <v>5.2197752992891644E-2</v>
      </c>
      <c r="O48" s="7">
        <f>('Session Details'!K48-'Session Details'!K41)/'Session Details'!K41</f>
        <v>7.3684062469939707E-2</v>
      </c>
      <c r="P48" s="7">
        <f>('Session Details'!L48-'Session Details'!L41)/'Session Details'!L41</f>
        <v>2.9383318570581471E-7</v>
      </c>
      <c r="Q48" s="7">
        <f>('Session Details'!M48-'Session Details'!M41)/'Session Details'!M41</f>
        <v>4.1236556896707688E-2</v>
      </c>
      <c r="R48" s="7">
        <f>('Session Details'!N48-'Session Details'!N41)/'Session Details'!N41</f>
        <v>-5.8822950491126957E-2</v>
      </c>
    </row>
    <row r="49" spans="1:18" hidden="1" x14ac:dyDescent="0.3">
      <c r="A49" s="2">
        <v>43512</v>
      </c>
      <c r="B49" s="3">
        <v>45787545</v>
      </c>
      <c r="C49" s="4">
        <f t="shared" si="3"/>
        <v>4.0816326530612242E-2</v>
      </c>
      <c r="D49" s="3">
        <v>9807692</v>
      </c>
      <c r="E49" s="4">
        <f t="shared" si="4"/>
        <v>7.2356252132779977E-2</v>
      </c>
      <c r="F49" s="3">
        <v>3334615</v>
      </c>
      <c r="G49" s="4">
        <f t="shared" si="5"/>
        <v>2.129156386213453E-2</v>
      </c>
      <c r="H49" s="3">
        <v>2290213</v>
      </c>
      <c r="I49" s="4">
        <f t="shared" si="6"/>
        <v>1.4605096129081065E-3</v>
      </c>
      <c r="J49" s="3">
        <v>1768503</v>
      </c>
      <c r="K49" s="7">
        <f t="shared" si="0"/>
        <v>3.8624106184334629E-2</v>
      </c>
      <c r="L49" s="7">
        <f t="shared" si="1"/>
        <v>-4.6686155168073507E-2</v>
      </c>
      <c r="M49" s="7">
        <f t="shared" si="2"/>
        <v>4.081632653061229E-2</v>
      </c>
      <c r="N49" s="7">
        <f t="shared" si="7"/>
        <v>-8.4071011828148912E-2</v>
      </c>
      <c r="O49" s="7">
        <f>('Session Details'!K49-'Session Details'!K42)/'Session Details'!K42</f>
        <v>3.0303065774631734E-2</v>
      </c>
      <c r="P49" s="7">
        <f>('Session Details'!L49-'Session Details'!L42)/'Session Details'!L42</f>
        <v>-4.7619145381102852E-2</v>
      </c>
      <c r="Q49" s="7">
        <f>('Session Details'!M49-'Session Details'!M42)/'Session Details'!M42</f>
        <v>-1.941762269555317E-2</v>
      </c>
      <c r="R49" s="7">
        <f>('Session Details'!N49-'Session Details'!N42)/'Session Details'!N42</f>
        <v>-4.8076448665551039E-2</v>
      </c>
    </row>
    <row r="50" spans="1:18" hidden="1" x14ac:dyDescent="0.3">
      <c r="A50" s="2">
        <v>43513</v>
      </c>
      <c r="B50" s="3">
        <v>45338648</v>
      </c>
      <c r="C50" s="4">
        <f t="shared" si="3"/>
        <v>-1.9417475518175131E-2</v>
      </c>
      <c r="D50" s="3">
        <v>9901960</v>
      </c>
      <c r="E50" s="4">
        <f t="shared" si="4"/>
        <v>-9.8972676773847901E-3</v>
      </c>
      <c r="F50" s="3">
        <v>3232000</v>
      </c>
      <c r="G50" s="4">
        <f t="shared" si="5"/>
        <v>-3.9900282712531231E-2</v>
      </c>
      <c r="H50" s="3">
        <v>2087872</v>
      </c>
      <c r="I50" s="4">
        <f t="shared" si="6"/>
        <v>-4.9901002534207706E-2</v>
      </c>
      <c r="J50" s="3">
        <v>1579683</v>
      </c>
      <c r="K50" s="7">
        <f t="shared" si="0"/>
        <v>3.4841863833257665E-2</v>
      </c>
      <c r="L50" s="7">
        <f t="shared" si="1"/>
        <v>-0.12229008244350137</v>
      </c>
      <c r="M50" s="7">
        <f t="shared" si="2"/>
        <v>-1.9417475518175187E-2</v>
      </c>
      <c r="N50" s="7">
        <f t="shared" si="7"/>
        <v>-0.10490968822811508</v>
      </c>
      <c r="O50" s="7">
        <f>('Session Details'!K50-'Session Details'!K43)/'Session Details'!K43</f>
        <v>9.708726805855647E-3</v>
      </c>
      <c r="P50" s="7">
        <f>('Session Details'!L50-'Session Details'!L43)/'Session Details'!L43</f>
        <v>-3.0302931257208503E-2</v>
      </c>
      <c r="Q50" s="7">
        <f>('Session Details'!M50-'Session Details'!M43)/'Session Details'!M43</f>
        <v>-1.0416334513597298E-2</v>
      </c>
      <c r="R50" s="7">
        <f>('Session Details'!N50-'Session Details'!N43)/'Session Details'!N43</f>
        <v>-7.619109177293909E-2</v>
      </c>
    </row>
    <row r="51" spans="1:18" hidden="1" x14ac:dyDescent="0.3">
      <c r="A51" s="2">
        <v>43514</v>
      </c>
      <c r="B51" s="3">
        <v>21717340</v>
      </c>
      <c r="C51" s="4">
        <f t="shared" si="3"/>
        <v>-2.9126204911649498E-2</v>
      </c>
      <c r="D51" s="3">
        <v>5592215</v>
      </c>
      <c r="E51" s="4">
        <f t="shared" si="4"/>
        <v>5.2631628482002424E-2</v>
      </c>
      <c r="F51" s="3">
        <v>2348730</v>
      </c>
      <c r="G51" s="4">
        <f t="shared" si="5"/>
        <v>0.10526338080065278</v>
      </c>
      <c r="H51" s="3">
        <v>1800301</v>
      </c>
      <c r="I51" s="4">
        <f t="shared" si="6"/>
        <v>0.13777044389643975</v>
      </c>
      <c r="J51" s="3">
        <v>1431960</v>
      </c>
      <c r="K51" s="7">
        <f t="shared" si="0"/>
        <v>6.5936251861415815E-2</v>
      </c>
      <c r="L51" s="7">
        <f t="shared" si="1"/>
        <v>0.10363771309396363</v>
      </c>
      <c r="M51" s="7">
        <f t="shared" si="2"/>
        <v>-2.9126204911649523E-2</v>
      </c>
      <c r="N51" s="7">
        <f t="shared" si="7"/>
        <v>0.13674683432312817</v>
      </c>
      <c r="O51" s="7">
        <f>('Session Details'!K51-'Session Details'!K44)/'Session Details'!K44</f>
        <v>8.4210567642534762E-2</v>
      </c>
      <c r="P51" s="7">
        <f>('Session Details'!L51-'Session Details'!L44)/'Session Details'!L44</f>
        <v>5.0000162349815157E-2</v>
      </c>
      <c r="Q51" s="7">
        <f>('Session Details'!M51-'Session Details'!M44)/'Session Details'!M44</f>
        <v>2.9411146393214342E-2</v>
      </c>
      <c r="R51" s="7">
        <f>('Session Details'!N51-'Session Details'!N44)/'Session Details'!N44</f>
        <v>-2.9999663803521141E-2</v>
      </c>
    </row>
    <row r="52" spans="1:18" x14ac:dyDescent="0.3">
      <c r="A52" s="11">
        <v>43515</v>
      </c>
      <c r="B52" s="12">
        <v>21934513</v>
      </c>
      <c r="C52" s="4">
        <f t="shared" si="3"/>
        <v>-3.809525563663041E-2</v>
      </c>
      <c r="D52" s="12">
        <v>5648137</v>
      </c>
      <c r="E52" s="4">
        <f t="shared" si="4"/>
        <v>-2.8664702603710488E-2</v>
      </c>
      <c r="F52" s="12">
        <v>948887</v>
      </c>
      <c r="G52" s="4">
        <f t="shared" si="5"/>
        <v>-0.57942183783074608</v>
      </c>
      <c r="H52" s="12">
        <v>727321</v>
      </c>
      <c r="I52" s="4">
        <f t="shared" si="6"/>
        <v>-0.57537825448312419</v>
      </c>
      <c r="J52" s="12">
        <v>620260</v>
      </c>
      <c r="K52" s="13">
        <f t="shared" si="0"/>
        <v>2.8277810407735061E-2</v>
      </c>
      <c r="L52" s="13">
        <f t="shared" si="1"/>
        <v>-0.55839299648571217</v>
      </c>
      <c r="M52" s="13">
        <f t="shared" si="2"/>
        <v>-3.809525563663041E-2</v>
      </c>
      <c r="N52" s="13">
        <f t="shared" si="7"/>
        <v>-0.54090360183579034</v>
      </c>
      <c r="O52" s="7">
        <f>('Session Details'!K52-'Session Details'!K45)/'Session Details'!K45</f>
        <v>9.8040404605360051E-3</v>
      </c>
      <c r="P52" s="7">
        <f>('Session Details'!L52-'Session Details'!L45)/'Session Details'!L45</f>
        <v>-0.56701031734702356</v>
      </c>
      <c r="Q52" s="7">
        <f>('Session Details'!M52-'Session Details'!M45)/'Session Details'!M45</f>
        <v>9.6143445174755055E-3</v>
      </c>
      <c r="R52" s="7">
        <f>('Session Details'!N52-'Session Details'!N45)/'Session Details'!N45</f>
        <v>4.0000914170649778E-2</v>
      </c>
    </row>
    <row r="53" spans="1:18" hidden="1" x14ac:dyDescent="0.3">
      <c r="A53" s="2">
        <v>43516</v>
      </c>
      <c r="B53" s="3">
        <v>22151687</v>
      </c>
      <c r="C53" s="4">
        <f t="shared" si="3"/>
        <v>2.0000009209230965E-2</v>
      </c>
      <c r="D53" s="3">
        <v>5427163</v>
      </c>
      <c r="E53" s="4">
        <f t="shared" si="4"/>
        <v>-1.0297015041866444E-2</v>
      </c>
      <c r="F53" s="3">
        <v>2105739</v>
      </c>
      <c r="G53" s="4">
        <f t="shared" si="5"/>
        <v>-6.7949420472421432E-2</v>
      </c>
      <c r="H53" s="3">
        <v>1537189</v>
      </c>
      <c r="I53" s="4">
        <f t="shared" si="6"/>
        <v>-8.6225457589013704E-2</v>
      </c>
      <c r="J53" s="3">
        <v>1222680</v>
      </c>
      <c r="K53" s="7">
        <f t="shared" si="0"/>
        <v>5.5195796148618387E-2</v>
      </c>
      <c r="L53" s="7">
        <f t="shared" si="1"/>
        <v>-0.12241464451003137</v>
      </c>
      <c r="M53" s="7">
        <f t="shared" si="2"/>
        <v>2.0000009209230951E-2</v>
      </c>
      <c r="N53" s="7">
        <f t="shared" si="7"/>
        <v>-0.13962220826808736</v>
      </c>
      <c r="O53" s="7">
        <f>('Session Details'!K53-'Session Details'!K46)/'Session Details'!K46</f>
        <v>-2.9702964683878331E-2</v>
      </c>
      <c r="P53" s="7">
        <f>('Session Details'!L53-'Session Details'!L46)/'Session Details'!L46</f>
        <v>-5.8252229514083737E-2</v>
      </c>
      <c r="Q53" s="7">
        <f>('Session Details'!M53-'Session Details'!M46)/'Session Details'!M46</f>
        <v>-1.9608417738290161E-2</v>
      </c>
      <c r="R53" s="7">
        <f>('Session Details'!N53-'Session Details'!N46)/'Session Details'!N46</f>
        <v>-3.9604065599740647E-2</v>
      </c>
    </row>
    <row r="54" spans="1:18" hidden="1" x14ac:dyDescent="0.3">
      <c r="A54" s="2">
        <v>43517</v>
      </c>
      <c r="B54" s="3">
        <v>20848646</v>
      </c>
      <c r="C54" s="4">
        <f t="shared" si="3"/>
        <v>-3.0303066948270681E-2</v>
      </c>
      <c r="D54" s="3">
        <v>5003675</v>
      </c>
      <c r="E54" s="4">
        <f t="shared" si="4"/>
        <v>-4.0299858644095757E-2</v>
      </c>
      <c r="F54" s="3">
        <v>1921411</v>
      </c>
      <c r="G54" s="4">
        <f t="shared" si="5"/>
        <v>-3.0197754941349863E-2</v>
      </c>
      <c r="H54" s="3">
        <v>1444709</v>
      </c>
      <c r="I54" s="4">
        <f t="shared" si="6"/>
        <v>2.979009434634718E-2</v>
      </c>
      <c r="J54" s="3">
        <v>1149121</v>
      </c>
      <c r="K54" s="7">
        <f t="shared" si="0"/>
        <v>5.5117296346247138E-2</v>
      </c>
      <c r="L54" s="7">
        <f t="shared" si="1"/>
        <v>-3.019825251518482E-2</v>
      </c>
      <c r="M54" s="7">
        <f t="shared" si="2"/>
        <v>-3.0303066948270674E-2</v>
      </c>
      <c r="N54" s="7">
        <f t="shared" si="7"/>
        <v>1.0808988820465437E-4</v>
      </c>
      <c r="O54" s="7">
        <f>('Session Details'!K54-'Session Details'!K47)/'Session Details'!K47</f>
        <v>-1.0309191825908099E-2</v>
      </c>
      <c r="P54" s="7">
        <f>('Session Details'!L54-'Session Details'!L47)/'Session Details'!L47</f>
        <v>1.0526312613097354E-2</v>
      </c>
      <c r="Q54" s="7">
        <f>('Session Details'!M54-'Session Details'!M47)/'Session Details'!M47</f>
        <v>6.1855754194577263E-2</v>
      </c>
      <c r="R54" s="7">
        <f>('Session Details'!N54-'Session Details'!N47)/'Session Details'!N47</f>
        <v>-5.825298494409116E-2</v>
      </c>
    </row>
    <row r="55" spans="1:18" hidden="1" x14ac:dyDescent="0.3">
      <c r="A55" s="2">
        <v>43518</v>
      </c>
      <c r="B55" s="3">
        <v>22151687</v>
      </c>
      <c r="C55" s="4">
        <f t="shared" si="3"/>
        <v>3.0303020437004047E-2</v>
      </c>
      <c r="D55" s="3">
        <v>5704059</v>
      </c>
      <c r="E55" s="4">
        <f t="shared" si="4"/>
        <v>4.0404068039971243E-2</v>
      </c>
      <c r="F55" s="3">
        <v>2304440</v>
      </c>
      <c r="G55" s="4">
        <f t="shared" si="5"/>
        <v>4.040412705134705E-2</v>
      </c>
      <c r="H55" s="3">
        <v>1749530</v>
      </c>
      <c r="I55" s="4">
        <f t="shared" si="6"/>
        <v>7.1306978225194106E-2</v>
      </c>
      <c r="J55" s="3">
        <v>1377230</v>
      </c>
      <c r="K55" s="7">
        <f t="shared" si="0"/>
        <v>6.2172691407205237E-2</v>
      </c>
      <c r="L55" s="7">
        <f t="shared" si="1"/>
        <v>7.1306612443905903E-2</v>
      </c>
      <c r="M55" s="7">
        <f t="shared" si="2"/>
        <v>3.0303020437004058E-2</v>
      </c>
      <c r="N55" s="7">
        <f t="shared" si="7"/>
        <v>3.9797604387794561E-2</v>
      </c>
      <c r="O55" s="7">
        <f>('Session Details'!K55-'Session Details'!K48)/'Session Details'!K48</f>
        <v>9.8039580614669424E-3</v>
      </c>
      <c r="P55" s="7">
        <f>('Session Details'!L55-'Session Details'!L48)/'Session Details'!L48</f>
        <v>5.6719670357095083E-8</v>
      </c>
      <c r="Q55" s="7">
        <f>('Session Details'!M55-'Session Details'!M48)/'Session Details'!M48</f>
        <v>2.9702737974934858E-2</v>
      </c>
      <c r="R55" s="7">
        <f>('Session Details'!N55-'Session Details'!N48)/'Session Details'!N48</f>
        <v>-3.4143461735862446E-7</v>
      </c>
    </row>
    <row r="56" spans="1:18" hidden="1" x14ac:dyDescent="0.3">
      <c r="A56" s="2">
        <v>43519</v>
      </c>
      <c r="B56" s="3">
        <v>43094160</v>
      </c>
      <c r="C56" s="4">
        <f t="shared" si="3"/>
        <v>-5.8823529411764705E-2</v>
      </c>
      <c r="D56" s="3">
        <v>9049773</v>
      </c>
      <c r="E56" s="4">
        <f t="shared" si="4"/>
        <v>-7.7278018110682925E-2</v>
      </c>
      <c r="F56" s="3">
        <v>2923076</v>
      </c>
      <c r="G56" s="4">
        <f t="shared" si="5"/>
        <v>-0.12341424722194316</v>
      </c>
      <c r="H56" s="3">
        <v>1908184</v>
      </c>
      <c r="I56" s="4">
        <f t="shared" si="6"/>
        <v>-0.16680937537250903</v>
      </c>
      <c r="J56" s="3">
        <v>1443732</v>
      </c>
      <c r="K56" s="7">
        <f t="shared" si="0"/>
        <v>3.3501801636230989E-2</v>
      </c>
      <c r="L56" s="7">
        <f t="shared" si="1"/>
        <v>-0.18364175802924843</v>
      </c>
      <c r="M56" s="7">
        <f t="shared" si="2"/>
        <v>-5.8823529411764719E-2</v>
      </c>
      <c r="N56" s="7">
        <f t="shared" si="7"/>
        <v>-0.13261936790607654</v>
      </c>
      <c r="O56" s="7">
        <f>('Session Details'!K56-'Session Details'!K49)/'Session Details'!K49</f>
        <v>-1.9607894242600545E-2</v>
      </c>
      <c r="P56" s="7">
        <f>('Session Details'!L56-'Session Details'!L49)/'Session Details'!L49</f>
        <v>-5.0000140905708243E-2</v>
      </c>
      <c r="Q56" s="7">
        <f>('Session Details'!M56-'Session Details'!M49)/'Session Details'!M49</f>
        <v>-4.950471532652561E-2</v>
      </c>
      <c r="R56" s="7">
        <f>('Session Details'!N56-'Session Details'!N49)/'Session Details'!N49</f>
        <v>-2.0202318844220118E-2</v>
      </c>
    </row>
    <row r="57" spans="1:18" hidden="1" x14ac:dyDescent="0.3">
      <c r="A57" s="2">
        <v>43520</v>
      </c>
      <c r="B57" s="3">
        <v>44440853</v>
      </c>
      <c r="C57" s="4">
        <f t="shared" si="3"/>
        <v>-1.9801979979641209E-2</v>
      </c>
      <c r="D57" s="3">
        <v>8959276</v>
      </c>
      <c r="E57" s="4">
        <f t="shared" si="4"/>
        <v>-9.5201758035782819E-2</v>
      </c>
      <c r="F57" s="3">
        <v>3168000</v>
      </c>
      <c r="G57" s="4">
        <f t="shared" si="5"/>
        <v>-1.9801980198019802E-2</v>
      </c>
      <c r="H57" s="3">
        <v>2046528</v>
      </c>
      <c r="I57" s="4">
        <f t="shared" si="6"/>
        <v>-1.9801980198019802E-2</v>
      </c>
      <c r="J57" s="3">
        <v>1644180</v>
      </c>
      <c r="K57" s="7">
        <f t="shared" si="0"/>
        <v>3.699703963828057E-2</v>
      </c>
      <c r="L57" s="7">
        <f t="shared" si="1"/>
        <v>4.0829077732684294E-2</v>
      </c>
      <c r="M57" s="7">
        <f t="shared" si="2"/>
        <v>-1.9801979979641171E-2</v>
      </c>
      <c r="N57" s="7">
        <f t="shared" si="7"/>
        <v>6.1855927551318857E-2</v>
      </c>
      <c r="O57" s="7">
        <f>('Session Details'!K57-'Session Details'!K50)/'Session Details'!K50</f>
        <v>-7.6923005878521952E-2</v>
      </c>
      <c r="P57" s="7">
        <f>('Session Details'!L57-'Session Details'!L50)/'Session Details'!L50</f>
        <v>8.3333249713304525E-2</v>
      </c>
      <c r="Q57" s="7">
        <f>('Session Details'!M57-'Session Details'!M50)/'Session Details'!M50</f>
        <v>0</v>
      </c>
      <c r="R57" s="7">
        <f>('Session Details'!N57-'Session Details'!N50)/'Session Details'!N50</f>
        <v>6.185592778789005E-2</v>
      </c>
    </row>
    <row r="58" spans="1:18" hidden="1" x14ac:dyDescent="0.3">
      <c r="A58" s="2">
        <v>43521</v>
      </c>
      <c r="B58" s="3">
        <v>21065820</v>
      </c>
      <c r="C58" s="4">
        <f t="shared" si="3"/>
        <v>-2.9999990790769034E-2</v>
      </c>
      <c r="D58" s="3">
        <v>5055796</v>
      </c>
      <c r="E58" s="4">
        <f t="shared" si="4"/>
        <v>-9.5922456486383298E-2</v>
      </c>
      <c r="F58" s="3">
        <v>2042541</v>
      </c>
      <c r="G58" s="4">
        <f t="shared" si="5"/>
        <v>-0.13036364333065104</v>
      </c>
      <c r="H58" s="3">
        <v>1505966</v>
      </c>
      <c r="I58" s="4">
        <f t="shared" si="6"/>
        <v>-0.16349210493134203</v>
      </c>
      <c r="J58" s="3">
        <v>1271939</v>
      </c>
      <c r="K58" s="7">
        <f t="shared" si="0"/>
        <v>6.0379277901358691E-2</v>
      </c>
      <c r="L58" s="7">
        <f t="shared" si="1"/>
        <v>-0.11174962987792958</v>
      </c>
      <c r="M58" s="7">
        <f t="shared" si="2"/>
        <v>-2.9999990790768982E-2</v>
      </c>
      <c r="N58" s="7">
        <f t="shared" si="7"/>
        <v>-8.427797764023226E-2</v>
      </c>
      <c r="O58" s="7">
        <f>('Session Details'!K58-'Session Details'!K51)/'Session Details'!K51</f>
        <v>-6.7961304195611291E-2</v>
      </c>
      <c r="P58" s="7">
        <f>('Session Details'!L58-'Session Details'!L51)/'Session Details'!L51</f>
        <v>-3.8095390258688543E-2</v>
      </c>
      <c r="Q58" s="7">
        <f>('Session Details'!M58-'Session Details'!M51)/'Session Details'!M51</f>
        <v>-3.809461431393104E-2</v>
      </c>
      <c r="R58" s="7">
        <f>('Session Details'!N58-'Session Details'!N51)/'Session Details'!N51</f>
        <v>6.185533377322841E-2</v>
      </c>
    </row>
    <row r="59" spans="1:18" x14ac:dyDescent="0.3">
      <c r="A59" s="11">
        <v>43522</v>
      </c>
      <c r="B59" s="12">
        <v>22368860</v>
      </c>
      <c r="C59" s="4">
        <f t="shared" si="3"/>
        <v>1.9801989677181345E-2</v>
      </c>
      <c r="D59" s="12">
        <v>5480370</v>
      </c>
      <c r="E59" s="4">
        <f t="shared" si="4"/>
        <v>-2.9703068463105622E-2</v>
      </c>
      <c r="F59" s="12">
        <v>2257912</v>
      </c>
      <c r="G59" s="4">
        <f t="shared" si="5"/>
        <v>1.3795372894770399</v>
      </c>
      <c r="H59" s="12">
        <v>1681241</v>
      </c>
      <c r="I59" s="4">
        <f t="shared" si="6"/>
        <v>1.3115529456732309</v>
      </c>
      <c r="J59" s="12">
        <v>1364832</v>
      </c>
      <c r="K59" s="13">
        <f t="shared" si="0"/>
        <v>6.1014821497385206E-2</v>
      </c>
      <c r="L59" s="13">
        <f t="shared" si="1"/>
        <v>1.2004191790539451</v>
      </c>
      <c r="M59" s="13">
        <f t="shared" si="2"/>
        <v>1.9801989677181275E-2</v>
      </c>
      <c r="N59" s="13">
        <f t="shared" si="7"/>
        <v>1.157692572996929</v>
      </c>
      <c r="O59" s="7">
        <f>('Session Details'!K59-'Session Details'!K52)/'Session Details'!K52</f>
        <v>-4.854379442420774E-2</v>
      </c>
      <c r="P59" s="7">
        <f>('Session Details'!L59-'Session Details'!L52)/'Session Details'!L52</f>
        <v>1.4523805158365186</v>
      </c>
      <c r="Q59" s="7">
        <f>('Session Details'!M59-'Session Details'!M52)/'Session Details'!M52</f>
        <v>-2.857040488688881E-2</v>
      </c>
      <c r="R59" s="7">
        <f>('Session Details'!N59-'Session Details'!N52)/'Session Details'!N52</f>
        <v>-4.8077534554121351E-2</v>
      </c>
    </row>
    <row r="60" spans="1:18" hidden="1" x14ac:dyDescent="0.3">
      <c r="A60" s="2">
        <v>43523</v>
      </c>
      <c r="B60" s="3">
        <v>21500167</v>
      </c>
      <c r="C60" s="4">
        <f t="shared" si="3"/>
        <v>-2.9411755411675868E-2</v>
      </c>
      <c r="D60" s="3">
        <v>5482542</v>
      </c>
      <c r="E60" s="4">
        <f t="shared" si="4"/>
        <v>1.020404214872485E-2</v>
      </c>
      <c r="F60" s="3">
        <v>2105296</v>
      </c>
      <c r="G60" s="4">
        <f t="shared" si="5"/>
        <v>-2.10377449436991E-4</v>
      </c>
      <c r="H60" s="3">
        <v>1613709</v>
      </c>
      <c r="I60" s="4">
        <f t="shared" si="6"/>
        <v>4.9779174844472605E-2</v>
      </c>
      <c r="J60" s="3">
        <v>1323241</v>
      </c>
      <c r="K60" s="7">
        <f t="shared" si="0"/>
        <v>6.1545614971269758E-2</v>
      </c>
      <c r="L60" s="7">
        <f t="shared" si="1"/>
        <v>8.2246376811594191E-2</v>
      </c>
      <c r="M60" s="7">
        <f t="shared" si="2"/>
        <v>-2.9411755411675844E-2</v>
      </c>
      <c r="N60" s="7">
        <f t="shared" si="7"/>
        <v>0.11504171088598958</v>
      </c>
      <c r="O60" s="7">
        <f>('Session Details'!K60-'Session Details'!K53)/'Session Details'!K53</f>
        <v>4.0816275883501715E-2</v>
      </c>
      <c r="P60" s="7">
        <f>('Session Details'!L60-'Session Details'!L53)/'Session Details'!L53</f>
        <v>-1.0309223843541628E-2</v>
      </c>
      <c r="Q60" s="7">
        <f>('Session Details'!M60-'Session Details'!M53)/'Session Details'!M53</f>
        <v>5.0000071181356319E-2</v>
      </c>
      <c r="R60" s="7">
        <f>('Session Details'!N60-'Session Details'!N53)/'Session Details'!N53</f>
        <v>3.0927649114330814E-2</v>
      </c>
    </row>
    <row r="61" spans="1:18" x14ac:dyDescent="0.3">
      <c r="A61" s="11">
        <v>43524</v>
      </c>
      <c r="B61" s="12">
        <v>22586034</v>
      </c>
      <c r="C61" s="4">
        <f t="shared" si="3"/>
        <v>8.3333373303954614E-2</v>
      </c>
      <c r="D61" s="12">
        <v>5759438</v>
      </c>
      <c r="E61" s="4">
        <f t="shared" si="4"/>
        <v>0.15104158443543994</v>
      </c>
      <c r="F61" s="12">
        <v>2280737</v>
      </c>
      <c r="G61" s="4">
        <f t="shared" si="5"/>
        <v>0.18701152434330812</v>
      </c>
      <c r="H61" s="12">
        <v>1648289</v>
      </c>
      <c r="I61" s="4">
        <f t="shared" si="6"/>
        <v>0.14091419102393632</v>
      </c>
      <c r="J61" s="12">
        <v>1405660</v>
      </c>
      <c r="K61" s="13">
        <f t="shared" si="0"/>
        <v>6.2235804656984049E-2</v>
      </c>
      <c r="L61" s="13">
        <f t="shared" si="1"/>
        <v>0.22324803045110131</v>
      </c>
      <c r="M61" s="13">
        <f t="shared" si="2"/>
        <v>8.3333373303954517E-2</v>
      </c>
      <c r="N61" s="13">
        <f t="shared" si="7"/>
        <v>0.12915198644756454</v>
      </c>
      <c r="O61" s="7">
        <f>('Session Details'!K61-'Session Details'!K54)/'Session Details'!K54</f>
        <v>6.2499884892301134E-2</v>
      </c>
      <c r="P61" s="7">
        <f>('Session Details'!L61-'Session Details'!L54)/'Session Details'!L54</f>
        <v>3.124990477690745E-2</v>
      </c>
      <c r="Q61" s="7">
        <f>('Session Details'!M61-'Session Details'!M54)/'Session Details'!M54</f>
        <v>-3.8834781612482043E-2</v>
      </c>
      <c r="R61" s="7">
        <f>('Session Details'!N61-'Session Details'!N54)/'Session Details'!N54</f>
        <v>7.2164795630487166E-2</v>
      </c>
    </row>
    <row r="62" spans="1:18" hidden="1" x14ac:dyDescent="0.3">
      <c r="A62" s="2">
        <v>43525</v>
      </c>
      <c r="B62" s="3">
        <v>22368860</v>
      </c>
      <c r="C62" s="4">
        <f t="shared" si="3"/>
        <v>9.8039034227957438E-3</v>
      </c>
      <c r="D62" s="3">
        <v>5815903</v>
      </c>
      <c r="E62" s="4">
        <f t="shared" si="4"/>
        <v>1.9607791574385889E-2</v>
      </c>
      <c r="F62" s="3">
        <v>2442679</v>
      </c>
      <c r="G62" s="4">
        <f t="shared" si="5"/>
        <v>5.9988109909565879E-2</v>
      </c>
      <c r="H62" s="3">
        <v>1872313</v>
      </c>
      <c r="I62" s="4">
        <f t="shared" si="6"/>
        <v>7.0180562779717987E-2</v>
      </c>
      <c r="J62" s="3">
        <v>1458532</v>
      </c>
      <c r="K62" s="7">
        <f t="shared" si="0"/>
        <v>6.5203680473658474E-2</v>
      </c>
      <c r="L62" s="7">
        <f t="shared" si="1"/>
        <v>5.9032986501891482E-2</v>
      </c>
      <c r="M62" s="7">
        <f t="shared" si="2"/>
        <v>9.80390342279569E-3</v>
      </c>
      <c r="N62" s="7">
        <f t="shared" si="7"/>
        <v>4.8751131692233107E-2</v>
      </c>
      <c r="O62" s="7">
        <f>('Session Details'!K62-'Session Details'!K55)/'Session Details'!K55</f>
        <v>9.7087049459398667E-3</v>
      </c>
      <c r="P62" s="7">
        <f>('Session Details'!L62-'Session Details'!L55)/'Session Details'!L55</f>
        <v>3.9603775754624614E-2</v>
      </c>
      <c r="Q62" s="7">
        <f>('Session Details'!M62-'Session Details'!M55)/'Session Details'!M55</f>
        <v>9.6156294347694276E-3</v>
      </c>
      <c r="R62" s="7">
        <f>('Session Details'!N62-'Session Details'!N55)/'Session Details'!N55</f>
        <v>-1.0416537793278051E-2</v>
      </c>
    </row>
    <row r="63" spans="1:18" x14ac:dyDescent="0.3">
      <c r="A63" s="11">
        <v>43526</v>
      </c>
      <c r="B63" s="12">
        <v>46685340</v>
      </c>
      <c r="C63" s="4">
        <f t="shared" si="3"/>
        <v>8.3333333333333329E-2</v>
      </c>
      <c r="D63" s="12">
        <v>9803921</v>
      </c>
      <c r="E63" s="4">
        <f t="shared" si="4"/>
        <v>8.3333360958335642E-2</v>
      </c>
      <c r="F63" s="12">
        <v>3333333</v>
      </c>
      <c r="G63" s="4">
        <f t="shared" si="5"/>
        <v>0.14035112326877577</v>
      </c>
      <c r="H63" s="12">
        <v>1110666</v>
      </c>
      <c r="I63" s="4">
        <f t="shared" si="6"/>
        <v>-0.41794606809406221</v>
      </c>
      <c r="J63" s="12">
        <v>900972</v>
      </c>
      <c r="K63" s="13">
        <f t="shared" si="0"/>
        <v>1.9298820571939712E-2</v>
      </c>
      <c r="L63" s="13">
        <f t="shared" si="1"/>
        <v>-0.37594234941110949</v>
      </c>
      <c r="M63" s="13">
        <f t="shared" si="2"/>
        <v>8.3333333333333259E-2</v>
      </c>
      <c r="N63" s="13">
        <f t="shared" si="7"/>
        <v>-0.42394678407179354</v>
      </c>
      <c r="O63" s="7">
        <f>('Session Details'!K63-'Session Details'!K56)/'Session Details'!K56</f>
        <v>2.5500002082327328E-8</v>
      </c>
      <c r="P63" s="7">
        <f>('Session Details'!L63-'Session Details'!L56)/'Session Details'!L56</f>
        <v>5.2631779252141957E-2</v>
      </c>
      <c r="Q63" s="7">
        <f>('Session Details'!M63-'Session Details'!M56)/'Session Details'!M56</f>
        <v>-0.48958358524039425</v>
      </c>
      <c r="R63" s="7">
        <f>('Session Details'!N63-'Session Details'!N56)/'Session Details'!N56</f>
        <v>7.2164650697249616E-2</v>
      </c>
    </row>
    <row r="64" spans="1:18" hidden="1" x14ac:dyDescent="0.3">
      <c r="A64" s="2">
        <v>43527</v>
      </c>
      <c r="B64" s="3">
        <v>43991955</v>
      </c>
      <c r="C64" s="4">
        <f t="shared" si="3"/>
        <v>-1.0101021238273711E-2</v>
      </c>
      <c r="D64" s="3">
        <v>8961161</v>
      </c>
      <c r="E64" s="4">
        <f t="shared" si="4"/>
        <v>2.1039646507150801E-4</v>
      </c>
      <c r="F64" s="3">
        <v>2924923</v>
      </c>
      <c r="G64" s="4">
        <f t="shared" si="5"/>
        <v>-7.6728851010101004E-2</v>
      </c>
      <c r="H64" s="3">
        <v>2088395</v>
      </c>
      <c r="I64" s="4">
        <f t="shared" si="6"/>
        <v>2.045757497576383E-2</v>
      </c>
      <c r="J64" s="3">
        <v>1694106</v>
      </c>
      <c r="K64" s="7">
        <f t="shared" si="0"/>
        <v>3.8509450193791116E-2</v>
      </c>
      <c r="L64" s="7">
        <f t="shared" si="1"/>
        <v>3.03652884720651E-2</v>
      </c>
      <c r="M64" s="7">
        <f t="shared" si="2"/>
        <v>-1.0101021238273722E-2</v>
      </c>
      <c r="N64" s="7">
        <f t="shared" si="7"/>
        <v>4.0879231697923846E-2</v>
      </c>
      <c r="O64" s="7">
        <f>('Session Details'!K64-'Session Details'!K57)/'Session Details'!K57</f>
        <v>1.0416636368535206E-2</v>
      </c>
      <c r="P64" s="7">
        <f>('Session Details'!L64-'Session Details'!L57)/'Session Details'!L57</f>
        <v>-7.6923063134606506E-2</v>
      </c>
      <c r="Q64" s="7">
        <f>('Session Details'!M64-'Session Details'!M57)/'Session Details'!M57</f>
        <v>0.10526314625144655</v>
      </c>
      <c r="R64" s="7">
        <f>('Session Details'!N64-'Session Details'!N57)/'Session Details'!N57</f>
        <v>9.7090890785308959E-3</v>
      </c>
    </row>
    <row r="65" spans="1:18" hidden="1" x14ac:dyDescent="0.3">
      <c r="A65" s="2">
        <v>43528</v>
      </c>
      <c r="B65" s="3">
        <v>21717340</v>
      </c>
      <c r="C65" s="4">
        <f t="shared" si="3"/>
        <v>3.0927825263863454E-2</v>
      </c>
      <c r="D65" s="3">
        <v>5700801</v>
      </c>
      <c r="E65" s="4">
        <f t="shared" si="4"/>
        <v>0.12757733895908774</v>
      </c>
      <c r="F65" s="3">
        <v>2371533</v>
      </c>
      <c r="G65" s="4">
        <f t="shared" si="5"/>
        <v>0.16106996138633203</v>
      </c>
      <c r="H65" s="3">
        <v>1765843</v>
      </c>
      <c r="I65" s="4">
        <f t="shared" si="6"/>
        <v>0.17256498486685623</v>
      </c>
      <c r="J65" s="3">
        <v>1375592</v>
      </c>
      <c r="K65" s="7">
        <f t="shared" si="0"/>
        <v>6.3340722206310721E-2</v>
      </c>
      <c r="L65" s="7">
        <f t="shared" si="1"/>
        <v>8.1492115581014435E-2</v>
      </c>
      <c r="M65" s="7">
        <f t="shared" si="2"/>
        <v>3.0927825263863395E-2</v>
      </c>
      <c r="N65" s="7">
        <f t="shared" si="7"/>
        <v>4.9047362073294742E-2</v>
      </c>
      <c r="O65" s="7">
        <f>('Session Details'!K65-'Session Details'!K58)/'Session Details'!K58</f>
        <v>9.3750029174435298E-2</v>
      </c>
      <c r="P65" s="7">
        <f>('Session Details'!L65-'Session Details'!L58)/'Session Details'!L58</f>
        <v>2.9703170922326768E-2</v>
      </c>
      <c r="Q65" s="7">
        <f>('Session Details'!M65-'Session Details'!M58)/'Session Details'!M58</f>
        <v>9.900371091160631E-3</v>
      </c>
      <c r="R65" s="7">
        <f>('Session Details'!N65-'Session Details'!N58)/'Session Details'!N58</f>
        <v>-7.7669784158003893E-2</v>
      </c>
    </row>
    <row r="66" spans="1:18" hidden="1" x14ac:dyDescent="0.3">
      <c r="A66" s="2">
        <v>43529</v>
      </c>
      <c r="B66" s="3">
        <v>21717340</v>
      </c>
      <c r="C66" s="4">
        <f t="shared" si="3"/>
        <v>-2.9126204911649498E-2</v>
      </c>
      <c r="D66" s="3">
        <v>5266455</v>
      </c>
      <c r="E66" s="4">
        <f t="shared" si="4"/>
        <v>-3.9032948505301653E-2</v>
      </c>
      <c r="F66" s="3">
        <v>2001252</v>
      </c>
      <c r="G66" s="4">
        <f t="shared" si="5"/>
        <v>-0.11367139197630377</v>
      </c>
      <c r="H66" s="3">
        <v>1490132</v>
      </c>
      <c r="I66" s="4">
        <f t="shared" si="6"/>
        <v>-0.11367138917026173</v>
      </c>
      <c r="J66" s="3">
        <v>1258566</v>
      </c>
      <c r="K66" s="7">
        <f t="shared" si="0"/>
        <v>5.7952124891906653E-2</v>
      </c>
      <c r="L66" s="7">
        <f t="shared" si="1"/>
        <v>-7.7860132236055479E-2</v>
      </c>
      <c r="M66" s="7">
        <f t="shared" si="2"/>
        <v>-2.9126204911649523E-2</v>
      </c>
      <c r="N66" s="7">
        <f t="shared" si="7"/>
        <v>-5.019594469533617E-2</v>
      </c>
      <c r="O66" s="7">
        <f>('Session Details'!K66-'Session Details'!K59)/'Session Details'!K59</f>
        <v>-1.020394581022812E-2</v>
      </c>
      <c r="P66" s="7">
        <f>('Session Details'!L66-'Session Details'!L59)/'Session Details'!L59</f>
        <v>-7.7670137966654257E-2</v>
      </c>
      <c r="Q66" s="7">
        <f>('Session Details'!M66-'Session Details'!M59)/'Session Details'!M59</f>
        <v>3.1659161333654564E-9</v>
      </c>
      <c r="R66" s="7">
        <f>('Session Details'!N66-'Session Details'!N59)/'Session Details'!N59</f>
        <v>4.0404040326173625E-2</v>
      </c>
    </row>
    <row r="67" spans="1:18" hidden="1" x14ac:dyDescent="0.3">
      <c r="A67" s="2">
        <v>43530</v>
      </c>
      <c r="B67" s="3">
        <v>21065820</v>
      </c>
      <c r="C67" s="4">
        <f t="shared" si="3"/>
        <v>-2.0202029128424909E-2</v>
      </c>
      <c r="D67" s="3">
        <v>5161125</v>
      </c>
      <c r="E67" s="4">
        <f t="shared" si="4"/>
        <v>-5.8625542677101246E-2</v>
      </c>
      <c r="F67" s="3">
        <v>2002516</v>
      </c>
      <c r="G67" s="4">
        <f t="shared" si="5"/>
        <v>-4.8819738412080774E-2</v>
      </c>
      <c r="H67" s="3">
        <v>1417982</v>
      </c>
      <c r="I67" s="4">
        <f t="shared" si="6"/>
        <v>-0.12129014586892681</v>
      </c>
      <c r="J67" s="3">
        <v>1104608</v>
      </c>
      <c r="K67" s="7">
        <f t="shared" ref="K67:K130" si="8">J67/B67</f>
        <v>5.2436031448099336E-2</v>
      </c>
      <c r="L67" s="7">
        <f t="shared" si="1"/>
        <v>-0.16522538222440208</v>
      </c>
      <c r="M67" s="7">
        <f t="shared" si="2"/>
        <v>-2.0202029128424948E-2</v>
      </c>
      <c r="N67" s="7">
        <f t="shared" si="7"/>
        <v>-0.14801352667323064</v>
      </c>
      <c r="O67" s="7">
        <f>('Session Details'!K67-'Session Details'!K60)/'Session Details'!K60</f>
        <v>-3.9215751298705907E-2</v>
      </c>
      <c r="P67" s="7">
        <f>('Session Details'!L67-'Session Details'!L60)/'Session Details'!L60</f>
        <v>1.041647581229933E-2</v>
      </c>
      <c r="Q67" s="7">
        <f>('Session Details'!M67-'Session Details'!M60)/'Session Details'!M60</f>
        <v>-7.6189982470685924E-2</v>
      </c>
      <c r="R67" s="7">
        <f>('Session Details'!N67-'Session Details'!N60)/'Session Details'!N60</f>
        <v>-4.9999708264249862E-2</v>
      </c>
    </row>
    <row r="68" spans="1:18" hidden="1" x14ac:dyDescent="0.3">
      <c r="A68" s="2">
        <v>43531</v>
      </c>
      <c r="B68" s="3">
        <v>21717340</v>
      </c>
      <c r="C68" s="4">
        <f t="shared" si="3"/>
        <v>-3.8461555490441571E-2</v>
      </c>
      <c r="D68" s="3">
        <v>5157868</v>
      </c>
      <c r="E68" s="4">
        <f t="shared" si="4"/>
        <v>-0.10444942718369396</v>
      </c>
      <c r="F68" s="3">
        <v>2042515</v>
      </c>
      <c r="G68" s="4">
        <f t="shared" si="5"/>
        <v>-0.10444957046779177</v>
      </c>
      <c r="H68" s="3">
        <v>1446305</v>
      </c>
      <c r="I68" s="4">
        <f t="shared" si="6"/>
        <v>-0.12254161739840526</v>
      </c>
      <c r="J68" s="3">
        <v>1221549</v>
      </c>
      <c r="K68" s="7">
        <f t="shared" si="8"/>
        <v>5.624763437879593E-2</v>
      </c>
      <c r="L68" s="7">
        <f t="shared" si="1"/>
        <v>-0.13097833046398133</v>
      </c>
      <c r="M68" s="7">
        <f t="shared" si="2"/>
        <v>-3.8461555490441612E-2</v>
      </c>
      <c r="N68" s="7">
        <f t="shared" si="7"/>
        <v>-9.6217447676498091E-2</v>
      </c>
      <c r="O68" s="7">
        <f>('Session Details'!K68-'Session Details'!K61)/'Session Details'!K61</f>
        <v>-6.8627387776377669E-2</v>
      </c>
      <c r="P68" s="7">
        <f>('Session Details'!L68-'Session Details'!L61)/'Session Details'!L61</f>
        <v>-1.5999554041270306E-7</v>
      </c>
      <c r="Q68" s="7">
        <f>('Session Details'!M68-'Session Details'!M61)/'Session Details'!M61</f>
        <v>-2.0202153149615272E-2</v>
      </c>
      <c r="R68" s="7">
        <f>('Session Details'!N68-'Session Details'!N61)/'Session Details'!N61</f>
        <v>-9.6149438342156036E-3</v>
      </c>
    </row>
    <row r="69" spans="1:18" hidden="1" x14ac:dyDescent="0.3">
      <c r="A69" s="2">
        <v>43532</v>
      </c>
      <c r="B69" s="3">
        <v>21717340</v>
      </c>
      <c r="C69" s="4">
        <f t="shared" si="3"/>
        <v>-2.9126204911649498E-2</v>
      </c>
      <c r="D69" s="3">
        <v>5700801</v>
      </c>
      <c r="E69" s="4">
        <f t="shared" si="4"/>
        <v>-1.9790907791962829E-2</v>
      </c>
      <c r="F69" s="3">
        <v>2394336</v>
      </c>
      <c r="G69" s="4">
        <f t="shared" si="5"/>
        <v>-1.979097540036984E-2</v>
      </c>
      <c r="H69" s="3">
        <v>1730387</v>
      </c>
      <c r="I69" s="4">
        <f t="shared" si="6"/>
        <v>-7.5802496697934582E-2</v>
      </c>
      <c r="J69" s="3">
        <v>1390539</v>
      </c>
      <c r="K69" s="7">
        <f t="shared" si="8"/>
        <v>6.402897408246129E-2</v>
      </c>
      <c r="L69" s="7">
        <f t="shared" si="1"/>
        <v>-4.6617420803931608E-2</v>
      </c>
      <c r="M69" s="7">
        <f t="shared" si="2"/>
        <v>-2.9126204911649523E-2</v>
      </c>
      <c r="N69" s="7">
        <f t="shared" si="7"/>
        <v>-1.8015952207970032E-2</v>
      </c>
      <c r="O69" s="7">
        <f>('Session Details'!K69-'Session Details'!K62)/'Session Details'!K62</f>
        <v>9.6153559473063609E-3</v>
      </c>
      <c r="P69" s="7">
        <f>('Session Details'!L69-'Session Details'!L62)/'Session Details'!L62</f>
        <v>-6.8973454269025549E-8</v>
      </c>
      <c r="Q69" s="7">
        <f>('Session Details'!M69-'Session Details'!M62)/'Session Details'!M62</f>
        <v>-5.7142425637677456E-2</v>
      </c>
      <c r="R69" s="7">
        <f>('Session Details'!N69-'Session Details'!N62)/'Session Details'!N62</f>
        <v>3.157883005496933E-2</v>
      </c>
    </row>
    <row r="70" spans="1:18" x14ac:dyDescent="0.3">
      <c r="A70" s="11">
        <v>43533</v>
      </c>
      <c r="B70" s="12">
        <v>46685340</v>
      </c>
      <c r="C70" s="4">
        <f t="shared" si="3"/>
        <v>0</v>
      </c>
      <c r="D70" s="12">
        <v>9705882</v>
      </c>
      <c r="E70" s="4">
        <f t="shared" si="4"/>
        <v>-9.999978579998757E-3</v>
      </c>
      <c r="F70" s="12">
        <v>3267000</v>
      </c>
      <c r="G70" s="4">
        <f t="shared" si="5"/>
        <v>-1.9899901989990199E-2</v>
      </c>
      <c r="H70" s="12">
        <v>2310422</v>
      </c>
      <c r="I70" s="4">
        <f t="shared" si="6"/>
        <v>1.0802131333812326</v>
      </c>
      <c r="J70" s="12">
        <v>1820150</v>
      </c>
      <c r="K70" s="13">
        <f t="shared" si="8"/>
        <v>3.8987613670586958E-2</v>
      </c>
      <c r="L70" s="13">
        <f t="shared" si="1"/>
        <v>1.0202070652584099</v>
      </c>
      <c r="M70" s="13">
        <f t="shared" si="2"/>
        <v>0</v>
      </c>
      <c r="N70" s="13">
        <f t="shared" si="7"/>
        <v>1.0202070652584103</v>
      </c>
      <c r="O70" s="7">
        <f>('Session Details'!K70-'Session Details'!K63)/'Session Details'!K63</f>
        <v>-9.9999785799987032E-3</v>
      </c>
      <c r="P70" s="7">
        <f>('Session Details'!L70-'Session Details'!L63)/'Session Details'!L63</f>
        <v>-9.9999224199929654E-3</v>
      </c>
      <c r="Q70" s="7">
        <f>('Session Details'!M70-'Session Details'!M63)/'Session Details'!M63</f>
        <v>1.1224496738699308</v>
      </c>
      <c r="R70" s="7">
        <f>('Session Details'!N70-'Session Details'!N63)/'Session Details'!N63</f>
        <v>-2.8846115409956692E-2</v>
      </c>
    </row>
    <row r="71" spans="1:18" hidden="1" x14ac:dyDescent="0.3">
      <c r="A71" s="2">
        <v>43534</v>
      </c>
      <c r="B71" s="3">
        <v>46236443</v>
      </c>
      <c r="C71" s="4">
        <f t="shared" si="3"/>
        <v>5.1020419528979788E-2</v>
      </c>
      <c r="D71" s="3">
        <v>10098039</v>
      </c>
      <c r="E71" s="4">
        <f t="shared" si="4"/>
        <v>0.12686726641782242</v>
      </c>
      <c r="F71" s="3">
        <v>3502000</v>
      </c>
      <c r="G71" s="4">
        <f t="shared" si="5"/>
        <v>0.19729647583885115</v>
      </c>
      <c r="H71" s="3">
        <v>2262292</v>
      </c>
      <c r="I71" s="4">
        <f t="shared" si="6"/>
        <v>8.3268251456261863E-2</v>
      </c>
      <c r="J71" s="3">
        <v>1711650</v>
      </c>
      <c r="K71" s="7">
        <f t="shared" si="8"/>
        <v>3.7019499964562587E-2</v>
      </c>
      <c r="L71" s="7">
        <f t="shared" si="1"/>
        <v>1.0355904530176874E-2</v>
      </c>
      <c r="M71" s="7">
        <f t="shared" si="2"/>
        <v>5.1020419528979843E-2</v>
      </c>
      <c r="N71" s="7">
        <f t="shared" si="7"/>
        <v>-3.8690508997938244E-2</v>
      </c>
      <c r="O71" s="7">
        <f>('Session Details'!K71-'Session Details'!K64)/'Session Details'!K64</f>
        <v>7.2164960337149073E-2</v>
      </c>
      <c r="P71" s="7">
        <f>('Session Details'!L71-'Session Details'!L64)/'Session Details'!L64</f>
        <v>6.2500004676606546E-2</v>
      </c>
      <c r="Q71" s="7">
        <f>('Session Details'!M71-'Session Details'!M64)/'Session Details'!M64</f>
        <v>-9.5238085706966347E-2</v>
      </c>
      <c r="R71" s="7">
        <f>('Session Details'!N71-'Session Details'!N64)/'Session Details'!N64</f>
        <v>-6.7307748406793266E-2</v>
      </c>
    </row>
    <row r="72" spans="1:18" hidden="1" x14ac:dyDescent="0.3">
      <c r="A72" s="2">
        <v>43535</v>
      </c>
      <c r="B72" s="3">
        <v>21282993</v>
      </c>
      <c r="C72" s="4">
        <f t="shared" si="3"/>
        <v>-2.0000009209230965E-2</v>
      </c>
      <c r="D72" s="3">
        <v>5107918</v>
      </c>
      <c r="E72" s="4">
        <f t="shared" si="4"/>
        <v>-0.10399994667416035</v>
      </c>
      <c r="F72" s="3">
        <v>2104462</v>
      </c>
      <c r="G72" s="4">
        <f t="shared" si="5"/>
        <v>-0.11261534205933461</v>
      </c>
      <c r="H72" s="3">
        <v>1459444</v>
      </c>
      <c r="I72" s="4">
        <f t="shared" si="6"/>
        <v>-0.1735142931732889</v>
      </c>
      <c r="J72" s="3">
        <v>1220679</v>
      </c>
      <c r="K72" s="7">
        <f t="shared" si="8"/>
        <v>5.735466811458332E-2</v>
      </c>
      <c r="L72" s="7">
        <f t="shared" si="1"/>
        <v>-0.11261551390237801</v>
      </c>
      <c r="M72" s="7">
        <f t="shared" si="2"/>
        <v>-2.0000009209230951E-2</v>
      </c>
      <c r="N72" s="7">
        <f t="shared" si="7"/>
        <v>-9.4505617921909368E-2</v>
      </c>
      <c r="O72" s="7">
        <f>('Session Details'!K72-'Session Details'!K65)/'Session Details'!K65</f>
        <v>-8.5714222708460699E-2</v>
      </c>
      <c r="P72" s="7">
        <f>('Session Details'!L72-'Session Details'!L65)/'Session Details'!L65</f>
        <v>-9.6153960629744833E-3</v>
      </c>
      <c r="Q72" s="7">
        <f>('Session Details'!M72-'Session Details'!M65)/'Session Details'!M65</f>
        <v>-6.8627455488447536E-2</v>
      </c>
      <c r="R72" s="7">
        <f>('Session Details'!N72-'Session Details'!N65)/'Session Details'!N65</f>
        <v>7.3684007803028431E-2</v>
      </c>
    </row>
    <row r="73" spans="1:18" hidden="1" x14ac:dyDescent="0.3">
      <c r="A73" s="2">
        <v>43536</v>
      </c>
      <c r="B73" s="3">
        <v>21500167</v>
      </c>
      <c r="C73" s="4">
        <f t="shared" si="3"/>
        <v>-9.999981581538071E-3</v>
      </c>
      <c r="D73" s="3">
        <v>5428792</v>
      </c>
      <c r="E73" s="4">
        <f t="shared" si="4"/>
        <v>3.0824719854247305E-2</v>
      </c>
      <c r="F73" s="3">
        <v>2149801</v>
      </c>
      <c r="G73" s="4">
        <f t="shared" si="5"/>
        <v>7.4228033251184752E-2</v>
      </c>
      <c r="H73" s="3">
        <v>1600742</v>
      </c>
      <c r="I73" s="4">
        <f t="shared" si="6"/>
        <v>7.4228323396853438E-2</v>
      </c>
      <c r="J73" s="3">
        <v>1299482</v>
      </c>
      <c r="K73" s="7">
        <f t="shared" si="8"/>
        <v>6.04405537873264E-2</v>
      </c>
      <c r="L73" s="7">
        <f t="shared" si="1"/>
        <v>3.2510015366695066E-2</v>
      </c>
      <c r="M73" s="7">
        <f t="shared" si="2"/>
        <v>-9.9999815815380311E-3</v>
      </c>
      <c r="N73" s="7">
        <f t="shared" si="7"/>
        <v>4.2939390057935123E-2</v>
      </c>
      <c r="O73" s="7">
        <f>('Session Details'!K73-'Session Details'!K66)/'Session Details'!K66</f>
        <v>4.1237071390163416E-2</v>
      </c>
      <c r="P73" s="7">
        <f>('Session Details'!L73-'Session Details'!L66)/'Session Details'!L66</f>
        <v>4.2105425453004712E-2</v>
      </c>
      <c r="Q73" s="7">
        <f>('Session Details'!M73-'Session Details'!M66)/'Session Details'!M66</f>
        <v>2.7009690657731057E-7</v>
      </c>
      <c r="R73" s="7">
        <f>('Session Details'!N73-'Session Details'!N66)/'Session Details'!N66</f>
        <v>-3.8835606101167902E-2</v>
      </c>
    </row>
    <row r="74" spans="1:18" hidden="1" x14ac:dyDescent="0.3">
      <c r="A74" s="2">
        <v>43537</v>
      </c>
      <c r="B74" s="3">
        <v>21717340</v>
      </c>
      <c r="C74" s="4">
        <f t="shared" si="3"/>
        <v>3.0927825263863454E-2</v>
      </c>
      <c r="D74" s="3">
        <v>5700801</v>
      </c>
      <c r="E74" s="4">
        <f t="shared" si="4"/>
        <v>0.10456557436605392</v>
      </c>
      <c r="F74" s="3">
        <v>2166304</v>
      </c>
      <c r="G74" s="4">
        <f t="shared" si="5"/>
        <v>8.1791106787661119E-2</v>
      </c>
      <c r="H74" s="3">
        <v>1533960</v>
      </c>
      <c r="I74" s="4">
        <f t="shared" si="6"/>
        <v>8.179088310006756E-2</v>
      </c>
      <c r="J74" s="3">
        <v>1232690</v>
      </c>
      <c r="K74" s="7">
        <f t="shared" si="8"/>
        <v>5.6760634589687317E-2</v>
      </c>
      <c r="L74" s="7">
        <f t="shared" ref="L74:L137" si="9">(J74/J67)-1</f>
        <v>0.11595244647875091</v>
      </c>
      <c r="M74" s="7">
        <f t="shared" ref="M74:M137" si="10">(B74/B67)-1</f>
        <v>3.0927825263863395E-2</v>
      </c>
      <c r="N74" s="7">
        <f t="shared" si="7"/>
        <v>8.2473883361452227E-2</v>
      </c>
      <c r="O74" s="7">
        <f>('Session Details'!K74-'Session Details'!K67)/'Session Details'!K67</f>
        <v>7.1428617307271888E-2</v>
      </c>
      <c r="P74" s="7">
        <f>('Session Details'!L74-'Session Details'!L67)/'Session Details'!L67</f>
        <v>-2.0618483960505259E-2</v>
      </c>
      <c r="Q74" s="7">
        <f>('Session Details'!M74-'Session Details'!M67)/'Session Details'!M67</f>
        <v>-2.0677521942661656E-7</v>
      </c>
      <c r="R74" s="7">
        <f>('Session Details'!N74-'Session Details'!N67)/'Session Details'!N67</f>
        <v>3.1578712588875936E-2</v>
      </c>
    </row>
    <row r="75" spans="1:18" hidden="1" x14ac:dyDescent="0.3">
      <c r="A75" s="2">
        <v>43538</v>
      </c>
      <c r="B75" s="3">
        <v>22803207</v>
      </c>
      <c r="C75" s="4">
        <f t="shared" ref="C75:C138" si="11">(B75-B68)/B68</f>
        <v>0.05</v>
      </c>
      <c r="D75" s="3">
        <v>5415761</v>
      </c>
      <c r="E75" s="4">
        <f t="shared" ref="E75:E138" si="12">(D75-D68)/D68</f>
        <v>4.9999922448577594E-2</v>
      </c>
      <c r="F75" s="3">
        <v>2144641</v>
      </c>
      <c r="G75" s="4">
        <f t="shared" ref="G75:G138" si="13">(F75-F68)/F68</f>
        <v>5.0000122398121925E-2</v>
      </c>
      <c r="H75" s="3">
        <v>1628211</v>
      </c>
      <c r="I75" s="4">
        <f t="shared" ref="I75:I138" si="14">(H75-H68)/H68</f>
        <v>0.12577291788384884</v>
      </c>
      <c r="J75" s="3">
        <v>1268377</v>
      </c>
      <c r="K75" s="7">
        <f t="shared" si="8"/>
        <v>5.5622746397030909E-2</v>
      </c>
      <c r="L75" s="7">
        <f t="shared" si="9"/>
        <v>3.8334933760332257E-2</v>
      </c>
      <c r="M75" s="7">
        <f t="shared" si="10"/>
        <v>5.0000000000000044E-2</v>
      </c>
      <c r="N75" s="7">
        <f t="shared" ref="N75:N138" si="15">(K75/K68)-1</f>
        <v>-1.1109586894921697E-2</v>
      </c>
      <c r="O75" s="7">
        <f>('Session Details'!K75-'Session Details'!K68)/'Session Details'!K68</f>
        <v>-7.3858497520592566E-8</v>
      </c>
      <c r="P75" s="7">
        <f>('Session Details'!L75-'Session Details'!L68)/'Session Details'!L68</f>
        <v>1.9042815152831688E-7</v>
      </c>
      <c r="Q75" s="7">
        <f>('Session Details'!M75-'Session Details'!M68)/'Session Details'!M68</f>
        <v>7.2164558717067034E-2</v>
      </c>
      <c r="R75" s="7">
        <f>('Session Details'!N75-'Session Details'!N68)/'Session Details'!N68</f>
        <v>-7.7669290790789935E-2</v>
      </c>
    </row>
    <row r="76" spans="1:18" hidden="1" x14ac:dyDescent="0.3">
      <c r="A76" s="2">
        <v>43539</v>
      </c>
      <c r="B76" s="3">
        <v>21500167</v>
      </c>
      <c r="C76" s="4">
        <f t="shared" si="11"/>
        <v>-9.999981581538071E-3</v>
      </c>
      <c r="D76" s="3">
        <v>5106289</v>
      </c>
      <c r="E76" s="4">
        <f t="shared" si="12"/>
        <v>-0.10428569599254561</v>
      </c>
      <c r="F76" s="3">
        <v>2124216</v>
      </c>
      <c r="G76" s="4">
        <f t="shared" si="13"/>
        <v>-0.11281624634136563</v>
      </c>
      <c r="H76" s="3">
        <v>1519664</v>
      </c>
      <c r="I76" s="4">
        <f t="shared" si="14"/>
        <v>-0.12177796065273259</v>
      </c>
      <c r="J76" s="3">
        <v>1183818</v>
      </c>
      <c r="K76" s="7">
        <f t="shared" si="8"/>
        <v>5.5060874643438819E-2</v>
      </c>
      <c r="L76" s="7">
        <f t="shared" si="9"/>
        <v>-0.14866249706049239</v>
      </c>
      <c r="M76" s="7">
        <f t="shared" si="10"/>
        <v>-9.9999815815380311E-3</v>
      </c>
      <c r="N76" s="7">
        <f t="shared" si="15"/>
        <v>-0.14006314434263278</v>
      </c>
      <c r="O76" s="7">
        <f>('Session Details'!K76-'Session Details'!K69)/'Session Details'!K69</f>
        <v>-9.5238093592796363E-2</v>
      </c>
      <c r="P76" s="7">
        <f>('Session Details'!L76-'Session Details'!L69)/'Session Details'!L69</f>
        <v>-9.523740226826824E-3</v>
      </c>
      <c r="Q76" s="7">
        <f>('Session Details'!M76-'Session Details'!M69)/'Session Details'!M69</f>
        <v>-1.0101305704043821E-2</v>
      </c>
      <c r="R76" s="7">
        <f>('Session Details'!N76-'Session Details'!N69)/'Session Details'!N69</f>
        <v>-3.0612459267979023E-2</v>
      </c>
    </row>
    <row r="77" spans="1:18" hidden="1" x14ac:dyDescent="0.3">
      <c r="A77" s="2">
        <v>43540</v>
      </c>
      <c r="B77" s="3">
        <v>42645263</v>
      </c>
      <c r="C77" s="4">
        <f t="shared" si="11"/>
        <v>-8.6538450828461358E-2</v>
      </c>
      <c r="D77" s="3">
        <v>9313725</v>
      </c>
      <c r="E77" s="4">
        <f t="shared" si="12"/>
        <v>-4.0404056014692949E-2</v>
      </c>
      <c r="F77" s="3">
        <v>3293333</v>
      </c>
      <c r="G77" s="4">
        <f t="shared" si="13"/>
        <v>8.0602999693908783E-3</v>
      </c>
      <c r="H77" s="3">
        <v>2217072</v>
      </c>
      <c r="I77" s="4">
        <f t="shared" si="14"/>
        <v>-4.0403874270587795E-2</v>
      </c>
      <c r="J77" s="3">
        <v>1815781</v>
      </c>
      <c r="K77" s="7">
        <f t="shared" si="8"/>
        <v>4.2578726739239479E-2</v>
      </c>
      <c r="L77" s="7">
        <f t="shared" si="9"/>
        <v>-2.4003516193720209E-3</v>
      </c>
      <c r="M77" s="7">
        <f t="shared" si="10"/>
        <v>-8.6538450828461344E-2</v>
      </c>
      <c r="N77" s="7">
        <f t="shared" si="15"/>
        <v>9.2109075948952679E-2</v>
      </c>
      <c r="O77" s="7">
        <f>('Session Details'!K77-'Session Details'!K70)/'Session Details'!K70</f>
        <v>5.0505021098709461E-2</v>
      </c>
      <c r="P77" s="7">
        <f>('Session Details'!L77-'Session Details'!L70)/'Session Details'!L70</f>
        <v>5.0504961268183268E-2</v>
      </c>
      <c r="Q77" s="7">
        <f>('Session Details'!M77-'Session Details'!M70)/'Session Details'!M70</f>
        <v>-4.8076661923349362E-2</v>
      </c>
      <c r="R77" s="7">
        <f>('Session Details'!N77-'Session Details'!N70)/'Session Details'!N70</f>
        <v>3.9603664116847438E-2</v>
      </c>
    </row>
    <row r="78" spans="1:18" hidden="1" x14ac:dyDescent="0.3">
      <c r="A78" s="2">
        <v>43541</v>
      </c>
      <c r="B78" s="3">
        <v>42645263</v>
      </c>
      <c r="C78" s="4">
        <f t="shared" si="11"/>
        <v>-7.7669902072700525E-2</v>
      </c>
      <c r="D78" s="3">
        <v>8686840</v>
      </c>
      <c r="E78" s="4">
        <f t="shared" si="12"/>
        <v>-0.13974980686844249</v>
      </c>
      <c r="F78" s="3">
        <v>2894455</v>
      </c>
      <c r="G78" s="4">
        <f t="shared" si="13"/>
        <v>-0.17348515134209022</v>
      </c>
      <c r="H78" s="3">
        <v>1968229</v>
      </c>
      <c r="I78" s="4">
        <f t="shared" si="14"/>
        <v>-0.12998454664561426</v>
      </c>
      <c r="J78" s="3">
        <v>1504514</v>
      </c>
      <c r="K78" s="7">
        <f t="shared" si="8"/>
        <v>3.5279744903906445E-2</v>
      </c>
      <c r="L78" s="7">
        <f t="shared" si="9"/>
        <v>-0.12101539450238075</v>
      </c>
      <c r="M78" s="7">
        <f t="shared" si="10"/>
        <v>-7.7669902072700525E-2</v>
      </c>
      <c r="N78" s="7">
        <f t="shared" si="15"/>
        <v>-4.6995639117804022E-2</v>
      </c>
      <c r="O78" s="7">
        <f>('Session Details'!K78-'Session Details'!K71)/'Session Details'!K71</f>
        <v>-6.7307686190931637E-2</v>
      </c>
      <c r="P78" s="7">
        <f>('Session Details'!L78-'Session Details'!L71)/'Session Details'!L71</f>
        <v>-3.9215736006802261E-2</v>
      </c>
      <c r="Q78" s="7">
        <f>('Session Details'!M78-'Session Details'!M71)/'Session Details'!M71</f>
        <v>5.263136502279657E-2</v>
      </c>
      <c r="R78" s="7">
        <f>('Session Details'!N78-'Session Details'!N71)/'Session Details'!N71</f>
        <v>1.0309187162886112E-2</v>
      </c>
    </row>
    <row r="79" spans="1:18" hidden="1" x14ac:dyDescent="0.3">
      <c r="A79" s="2">
        <v>43542</v>
      </c>
      <c r="B79" s="3">
        <v>22368860</v>
      </c>
      <c r="C79" s="4">
        <f t="shared" si="11"/>
        <v>5.102040864271299E-2</v>
      </c>
      <c r="D79" s="3">
        <v>5368526</v>
      </c>
      <c r="E79" s="4">
        <f t="shared" si="12"/>
        <v>5.102039617707254E-2</v>
      </c>
      <c r="F79" s="3">
        <v>2233307</v>
      </c>
      <c r="G79" s="4">
        <f t="shared" si="13"/>
        <v>6.1224674049709618E-2</v>
      </c>
      <c r="H79" s="3">
        <v>1614011</v>
      </c>
      <c r="I79" s="4">
        <f t="shared" si="14"/>
        <v>0.10590814036030159</v>
      </c>
      <c r="J79" s="3">
        <v>1310254</v>
      </c>
      <c r="K79" s="7">
        <f t="shared" si="8"/>
        <v>5.8574911729967462E-2</v>
      </c>
      <c r="L79" s="7">
        <f t="shared" si="9"/>
        <v>7.3381290249115549E-2</v>
      </c>
      <c r="M79" s="7">
        <f t="shared" si="10"/>
        <v>5.1020408642713067E-2</v>
      </c>
      <c r="N79" s="7">
        <f t="shared" si="15"/>
        <v>2.1275401907066005E-2</v>
      </c>
      <c r="O79" s="7">
        <f>('Session Details'!K79-'Session Details'!K72)/'Session Details'!K72</f>
        <v>-1.1860512274271822E-8</v>
      </c>
      <c r="P79" s="7">
        <f>('Session Details'!L79-'Session Details'!L72)/'Session Details'!L72</f>
        <v>9.708924688572769E-3</v>
      </c>
      <c r="Q79" s="7">
        <f>('Session Details'!M79-'Session Details'!M72)/'Session Details'!M72</f>
        <v>4.2105566712915335E-2</v>
      </c>
      <c r="R79" s="7">
        <f>('Session Details'!N79-'Session Details'!N72)/'Session Details'!N72</f>
        <v>-2.9411891389631087E-2</v>
      </c>
    </row>
    <row r="80" spans="1:18" x14ac:dyDescent="0.3">
      <c r="A80" s="11">
        <v>43543</v>
      </c>
      <c r="B80" s="12">
        <v>21934513</v>
      </c>
      <c r="C80" s="4">
        <f t="shared" si="11"/>
        <v>2.0201982617158276E-2</v>
      </c>
      <c r="D80" s="12">
        <v>5757809</v>
      </c>
      <c r="E80" s="4">
        <f t="shared" si="12"/>
        <v>6.0605932222122343E-2</v>
      </c>
      <c r="F80" s="12">
        <v>2418280</v>
      </c>
      <c r="G80" s="4">
        <f t="shared" si="13"/>
        <v>0.12488551265907867</v>
      </c>
      <c r="H80" s="12">
        <v>1835958</v>
      </c>
      <c r="I80" s="4">
        <f t="shared" si="14"/>
        <v>0.14694185571441243</v>
      </c>
      <c r="J80" s="12">
        <v>707578</v>
      </c>
      <c r="K80" s="13">
        <f t="shared" si="8"/>
        <v>3.2258660130726403E-2</v>
      </c>
      <c r="L80" s="13">
        <f t="shared" si="9"/>
        <v>-0.45549226537958976</v>
      </c>
      <c r="M80" s="13">
        <f t="shared" si="10"/>
        <v>2.0201982617158221E-2</v>
      </c>
      <c r="N80" s="13">
        <f t="shared" si="15"/>
        <v>-0.46627457709544307</v>
      </c>
      <c r="O80" s="7">
        <f>('Session Details'!K80-'Session Details'!K73)/'Session Details'!K73</f>
        <v>3.9603872853995574E-2</v>
      </c>
      <c r="P80" s="7">
        <f>('Session Details'!L80-'Session Details'!L73)/'Session Details'!L73</f>
        <v>6.060646889111905E-2</v>
      </c>
      <c r="Q80" s="7">
        <f>('Session Details'!M80-'Session Details'!M73)/'Session Details'!M73</f>
        <v>1.9607633672155223E-2</v>
      </c>
      <c r="R80" s="7">
        <f>('Session Details'!N80-'Session Details'!N73)/'Session Details'!N73</f>
        <v>-0.52525253838500408</v>
      </c>
    </row>
    <row r="81" spans="1:18" hidden="1" x14ac:dyDescent="0.3">
      <c r="A81" s="2">
        <v>43544</v>
      </c>
      <c r="B81" s="3">
        <v>21282993</v>
      </c>
      <c r="C81" s="4">
        <f t="shared" si="11"/>
        <v>-2.0000009209230965E-2</v>
      </c>
      <c r="D81" s="3">
        <v>5427163</v>
      </c>
      <c r="E81" s="4">
        <f t="shared" si="12"/>
        <v>-4.7999921414552095E-2</v>
      </c>
      <c r="F81" s="3">
        <v>2149156</v>
      </c>
      <c r="G81" s="4">
        <f t="shared" si="13"/>
        <v>-7.9157865193435449E-3</v>
      </c>
      <c r="H81" s="3">
        <v>1600262</v>
      </c>
      <c r="I81" s="4">
        <f t="shared" si="14"/>
        <v>4.3222769824506506E-2</v>
      </c>
      <c r="J81" s="3">
        <v>1377825</v>
      </c>
      <c r="K81" s="7">
        <f t="shared" si="8"/>
        <v>6.4738310067573676E-2</v>
      </c>
      <c r="L81" s="7">
        <f t="shared" si="9"/>
        <v>0.11773844194404104</v>
      </c>
      <c r="M81" s="7">
        <f t="shared" si="10"/>
        <v>-2.0000009209230951E-2</v>
      </c>
      <c r="N81" s="7">
        <f t="shared" si="15"/>
        <v>0.14054944127308611</v>
      </c>
      <c r="O81" s="7">
        <f>('Session Details'!K81-'Session Details'!K74)/'Session Details'!K74</f>
        <v>-2.8571339253511557E-2</v>
      </c>
      <c r="P81" s="7">
        <f>('Session Details'!L81-'Session Details'!L74)/'Session Details'!L74</f>
        <v>4.2105180237766868E-2</v>
      </c>
      <c r="Q81" s="7">
        <f>('Session Details'!M81-'Session Details'!M74)/'Session Details'!M74</f>
        <v>5.154658813129788E-2</v>
      </c>
      <c r="R81" s="7">
        <f>('Session Details'!N81-'Session Details'!N74)/'Session Details'!N74</f>
        <v>7.1428341361902778E-2</v>
      </c>
    </row>
    <row r="82" spans="1:18" hidden="1" x14ac:dyDescent="0.3">
      <c r="A82" s="2">
        <v>43545</v>
      </c>
      <c r="B82" s="3">
        <v>21717340</v>
      </c>
      <c r="C82" s="4">
        <f t="shared" si="11"/>
        <v>-4.7619047619047616E-2</v>
      </c>
      <c r="D82" s="3">
        <v>5429335</v>
      </c>
      <c r="E82" s="4">
        <f t="shared" si="12"/>
        <v>2.5063882988928055E-3</v>
      </c>
      <c r="F82" s="3">
        <v>2128299</v>
      </c>
      <c r="G82" s="4">
        <f t="shared" si="13"/>
        <v>-7.6199233344881497E-3</v>
      </c>
      <c r="H82" s="3">
        <v>1475975</v>
      </c>
      <c r="I82" s="4">
        <f t="shared" si="14"/>
        <v>-9.3498938405403229E-2</v>
      </c>
      <c r="J82" s="3">
        <v>1234506</v>
      </c>
      <c r="K82" s="7">
        <f t="shared" si="8"/>
        <v>5.6844254406847247E-2</v>
      </c>
      <c r="L82" s="7">
        <f t="shared" si="9"/>
        <v>-2.6704205453110585E-2</v>
      </c>
      <c r="M82" s="7">
        <f t="shared" si="10"/>
        <v>-4.7619047619047672E-2</v>
      </c>
      <c r="N82" s="7">
        <f t="shared" si="15"/>
        <v>2.1960584274233863E-2</v>
      </c>
      <c r="O82" s="7">
        <f>('Session Details'!K82-'Session Details'!K75)/'Session Details'!K75</f>
        <v>5.2631707713837433E-2</v>
      </c>
      <c r="P82" s="7">
        <f>('Session Details'!L82-'Session Details'!L75)/'Session Details'!L75</f>
        <v>-1.0100994618661494E-2</v>
      </c>
      <c r="Q82" s="7">
        <f>('Session Details'!M82-'Session Details'!M75)/'Session Details'!M75</f>
        <v>-8.653843128277669E-2</v>
      </c>
      <c r="R82" s="7">
        <f>('Session Details'!N82-'Session Details'!N75)/'Session Details'!N75</f>
        <v>7.368411994443369E-2</v>
      </c>
    </row>
    <row r="83" spans="1:18" hidden="1" x14ac:dyDescent="0.3">
      <c r="A83" s="2">
        <v>43546</v>
      </c>
      <c r="B83" s="3">
        <v>21065820</v>
      </c>
      <c r="C83" s="4">
        <f t="shared" si="11"/>
        <v>-2.0202029128424909E-2</v>
      </c>
      <c r="D83" s="3">
        <v>5529777</v>
      </c>
      <c r="E83" s="4">
        <f t="shared" si="12"/>
        <v>8.293459300873883E-2</v>
      </c>
      <c r="F83" s="3">
        <v>2123434</v>
      </c>
      <c r="G83" s="4">
        <f t="shared" si="13"/>
        <v>-3.6813582046270246E-4</v>
      </c>
      <c r="H83" s="3">
        <v>1612111</v>
      </c>
      <c r="I83" s="4">
        <f t="shared" si="14"/>
        <v>6.0833842217753398E-2</v>
      </c>
      <c r="J83" s="3">
        <v>1361589</v>
      </c>
      <c r="K83" s="7">
        <f t="shared" si="8"/>
        <v>6.4634986912448691E-2</v>
      </c>
      <c r="L83" s="7">
        <f t="shared" si="9"/>
        <v>0.15016750885693586</v>
      </c>
      <c r="M83" s="7">
        <f t="shared" si="10"/>
        <v>-2.0202029128424948E-2</v>
      </c>
      <c r="N83" s="7">
        <f t="shared" si="15"/>
        <v>0.17388231354858696</v>
      </c>
      <c r="O83" s="7">
        <f>('Session Details'!K83-'Session Details'!K76)/'Session Details'!K76</f>
        <v>0.10526315138764689</v>
      </c>
      <c r="P83" s="7">
        <f>('Session Details'!L83-'Session Details'!L76)/'Session Details'!L76</f>
        <v>-7.6923139557080675E-2</v>
      </c>
      <c r="Q83" s="7">
        <f>('Session Details'!M83-'Session Details'!M76)/'Session Details'!M76</f>
        <v>6.122451697600554E-2</v>
      </c>
      <c r="R83" s="7">
        <f>('Session Details'!N83-'Session Details'!N76)/'Session Details'!N76</f>
        <v>8.4210800112130182E-2</v>
      </c>
    </row>
    <row r="84" spans="1:18" hidden="1" x14ac:dyDescent="0.3">
      <c r="A84" s="2">
        <v>43547</v>
      </c>
      <c r="B84" s="3">
        <v>44440853</v>
      </c>
      <c r="C84" s="4">
        <f t="shared" si="11"/>
        <v>4.2105262664226033E-2</v>
      </c>
      <c r="D84" s="3">
        <v>9612556</v>
      </c>
      <c r="E84" s="4">
        <f t="shared" si="12"/>
        <v>3.2085014320263915E-2</v>
      </c>
      <c r="F84" s="3">
        <v>3268269</v>
      </c>
      <c r="G84" s="4">
        <f t="shared" si="13"/>
        <v>-7.6105270860857372E-3</v>
      </c>
      <c r="H84" s="3">
        <v>2289095</v>
      </c>
      <c r="I84" s="4">
        <f t="shared" si="14"/>
        <v>3.2485638716288873E-2</v>
      </c>
      <c r="J84" s="3">
        <v>1874769</v>
      </c>
      <c r="K84" s="7">
        <f t="shared" si="8"/>
        <v>4.2185711421875723E-2</v>
      </c>
      <c r="L84" s="7">
        <f t="shared" si="9"/>
        <v>3.2486296530253478E-2</v>
      </c>
      <c r="M84" s="7">
        <f t="shared" si="10"/>
        <v>4.2105262664225984E-2</v>
      </c>
      <c r="N84" s="7">
        <f t="shared" si="15"/>
        <v>-9.2303210420231485E-3</v>
      </c>
      <c r="O84" s="7">
        <f>('Session Details'!K84-'Session Details'!K77)/'Session Details'!K77</f>
        <v>-9.6153898295691445E-3</v>
      </c>
      <c r="P84" s="7">
        <f>('Session Details'!L84-'Session Details'!L77)/'Session Details'!L77</f>
        <v>-3.8461503515282817E-2</v>
      </c>
      <c r="Q84" s="7">
        <f>('Session Details'!M84-'Session Details'!M77)/'Session Details'!M77</f>
        <v>4.0403658943138201E-2</v>
      </c>
      <c r="R84" s="7">
        <f>('Session Details'!N84-'Session Details'!N77)/'Session Details'!N77</f>
        <v>6.3711681766143312E-7</v>
      </c>
    </row>
    <row r="85" spans="1:18" x14ac:dyDescent="0.3">
      <c r="A85" s="11">
        <v>43548</v>
      </c>
      <c r="B85" s="12">
        <v>45338648</v>
      </c>
      <c r="C85" s="4">
        <f t="shared" si="11"/>
        <v>6.315789399633906E-2</v>
      </c>
      <c r="D85" s="12">
        <v>9425904</v>
      </c>
      <c r="E85" s="4">
        <f t="shared" si="12"/>
        <v>8.5078578631585244E-2</v>
      </c>
      <c r="F85" s="12">
        <v>3300951</v>
      </c>
      <c r="G85" s="4">
        <f t="shared" si="13"/>
        <v>0.14043956461579124</v>
      </c>
      <c r="H85" s="12">
        <v>2289540</v>
      </c>
      <c r="I85" s="4">
        <f t="shared" si="14"/>
        <v>0.16324878863181064</v>
      </c>
      <c r="J85" s="12">
        <v>1839416</v>
      </c>
      <c r="K85" s="13">
        <f t="shared" si="8"/>
        <v>4.05705966353474E-2</v>
      </c>
      <c r="L85" s="13">
        <f t="shared" si="9"/>
        <v>0.22259812803337153</v>
      </c>
      <c r="M85" s="13">
        <f t="shared" si="10"/>
        <v>6.3157893996339087E-2</v>
      </c>
      <c r="N85" s="13">
        <f t="shared" si="15"/>
        <v>0.14996853706998059</v>
      </c>
      <c r="O85" s="7">
        <f>('Session Details'!K85-'Session Details'!K78)/'Session Details'!K78</f>
        <v>2.0618465760384719E-2</v>
      </c>
      <c r="P85" s="7">
        <f>('Session Details'!L85-'Session Details'!L78)/'Session Details'!L78</f>
        <v>5.1020255191124339E-2</v>
      </c>
      <c r="Q85" s="7">
        <f>('Session Details'!M85-'Session Details'!M78)/'Session Details'!M78</f>
        <v>2.0000379435892196E-2</v>
      </c>
      <c r="R85" s="7">
        <f>('Session Details'!N85-'Session Details'!N78)/'Session Details'!N78</f>
        <v>5.1020332005990231E-2</v>
      </c>
    </row>
    <row r="86" spans="1:18" hidden="1" x14ac:dyDescent="0.3">
      <c r="A86" s="2">
        <v>43549</v>
      </c>
      <c r="B86" s="3">
        <v>22368860</v>
      </c>
      <c r="C86" s="4">
        <f t="shared" si="11"/>
        <v>0</v>
      </c>
      <c r="D86" s="3">
        <v>5536293</v>
      </c>
      <c r="E86" s="4">
        <f t="shared" si="12"/>
        <v>3.1250104777363473E-2</v>
      </c>
      <c r="F86" s="3">
        <v>2258807</v>
      </c>
      <c r="G86" s="4">
        <f t="shared" si="13"/>
        <v>1.141804507844197E-2</v>
      </c>
      <c r="H86" s="3">
        <v>1632440</v>
      </c>
      <c r="I86" s="4">
        <f t="shared" si="14"/>
        <v>1.1418137794599914E-2</v>
      </c>
      <c r="J86" s="3">
        <v>1351986</v>
      </c>
      <c r="K86" s="7">
        <f t="shared" si="8"/>
        <v>6.044054100208951E-2</v>
      </c>
      <c r="L86" s="7">
        <f t="shared" si="9"/>
        <v>3.1850312992747876E-2</v>
      </c>
      <c r="M86" s="7">
        <f t="shared" si="10"/>
        <v>0</v>
      </c>
      <c r="N86" s="7">
        <f t="shared" si="15"/>
        <v>3.1850312992747876E-2</v>
      </c>
      <c r="O86" s="7">
        <f>('Session Details'!K86-'Session Details'!K79)/'Session Details'!K79</f>
        <v>3.1250104777363424E-2</v>
      </c>
      <c r="P86" s="7">
        <f>('Session Details'!L86-'Session Details'!L79)/'Session Details'!L79</f>
        <v>-1.9231086238971198E-2</v>
      </c>
      <c r="Q86" s="7">
        <f>('Session Details'!M86-'Session Details'!M79)/'Session Details'!M79</f>
        <v>9.1669471776935875E-8</v>
      </c>
      <c r="R86" s="7">
        <f>('Session Details'!N86-'Session Details'!N79)/'Session Details'!N79</f>
        <v>2.0201511555547554E-2</v>
      </c>
    </row>
    <row r="87" spans="1:18" x14ac:dyDescent="0.3">
      <c r="A87" s="11">
        <v>43550</v>
      </c>
      <c r="B87" s="12">
        <v>20848646</v>
      </c>
      <c r="C87" s="4">
        <f t="shared" si="11"/>
        <v>-4.9504951397826798E-2</v>
      </c>
      <c r="D87" s="12">
        <v>5107918</v>
      </c>
      <c r="E87" s="4">
        <f t="shared" si="12"/>
        <v>-0.11287123279011166</v>
      </c>
      <c r="F87" s="12">
        <v>2043167</v>
      </c>
      <c r="G87" s="4">
        <f t="shared" si="13"/>
        <v>-0.15511561936583027</v>
      </c>
      <c r="H87" s="12">
        <v>1476597</v>
      </c>
      <c r="I87" s="4">
        <f t="shared" si="14"/>
        <v>-0.19573486975192242</v>
      </c>
      <c r="J87" s="12">
        <v>1259241</v>
      </c>
      <c r="K87" s="13">
        <f t="shared" si="8"/>
        <v>6.0399174123825596E-2</v>
      </c>
      <c r="L87" s="13">
        <f t="shared" si="9"/>
        <v>0.77964973472889199</v>
      </c>
      <c r="M87" s="13">
        <f t="shared" si="10"/>
        <v>-4.9504951397826846E-2</v>
      </c>
      <c r="N87" s="13">
        <f t="shared" si="15"/>
        <v>0.87233982685769784</v>
      </c>
      <c r="O87" s="7">
        <f>('Session Details'!K87-'Session Details'!K80)/'Session Details'!K80</f>
        <v>-6.6666608611452766E-2</v>
      </c>
      <c r="P87" s="7">
        <f>('Session Details'!L87-'Session Details'!L80)/'Session Details'!L80</f>
        <v>-4.7619227486649492E-2</v>
      </c>
      <c r="Q87" s="7">
        <f>('Session Details'!M87-'Session Details'!M80)/'Session Details'!M80</f>
        <v>-4.8076697021672159E-2</v>
      </c>
      <c r="R87" s="7">
        <f>('Session Details'!N87-'Session Details'!N80)/'Session Details'!N80</f>
        <v>1.2127650047192209</v>
      </c>
    </row>
    <row r="88" spans="1:18" hidden="1" x14ac:dyDescent="0.3">
      <c r="A88" s="2">
        <v>43551</v>
      </c>
      <c r="B88" s="3">
        <v>20848646</v>
      </c>
      <c r="C88" s="4">
        <f t="shared" si="11"/>
        <v>-2.0408172854259738E-2</v>
      </c>
      <c r="D88" s="3">
        <v>5212161</v>
      </c>
      <c r="E88" s="4">
        <f t="shared" si="12"/>
        <v>-3.9615909822498421E-2</v>
      </c>
      <c r="F88" s="3">
        <v>2084864</v>
      </c>
      <c r="G88" s="4">
        <f t="shared" si="13"/>
        <v>-2.9914999190379852E-2</v>
      </c>
      <c r="H88" s="3">
        <v>1476292</v>
      </c>
      <c r="I88" s="4">
        <f t="shared" si="14"/>
        <v>-7.746856452255943E-2</v>
      </c>
      <c r="J88" s="3">
        <v>1150032</v>
      </c>
      <c r="K88" s="7">
        <f t="shared" si="8"/>
        <v>5.5160992229423438E-2</v>
      </c>
      <c r="L88" s="7">
        <f t="shared" si="9"/>
        <v>-0.16532796254967064</v>
      </c>
      <c r="M88" s="7">
        <f t="shared" si="10"/>
        <v>-2.0408172854259776E-2</v>
      </c>
      <c r="N88" s="7">
        <f t="shared" si="15"/>
        <v>-0.14793895342886554</v>
      </c>
      <c r="O88" s="7">
        <f>('Session Details'!K88-'Session Details'!K81)/'Session Details'!K81</f>
        <v>-1.9607898347013177E-2</v>
      </c>
      <c r="P88" s="7">
        <f>('Session Details'!L88-'Session Details'!L81)/'Session Details'!L81</f>
        <v>1.0101073863401474E-2</v>
      </c>
      <c r="Q88" s="7">
        <f>('Session Details'!M88-'Session Details'!M81)/'Session Details'!M81</f>
        <v>-4.9019998549087923E-2</v>
      </c>
      <c r="R88" s="7">
        <f>('Session Details'!N88-'Session Details'!N81)/'Session Details'!N81</f>
        <v>-9.523729452280523E-2</v>
      </c>
    </row>
    <row r="89" spans="1:18" hidden="1" x14ac:dyDescent="0.3">
      <c r="A89" s="2">
        <v>43552</v>
      </c>
      <c r="B89" s="3">
        <v>21500167</v>
      </c>
      <c r="C89" s="4">
        <f t="shared" si="11"/>
        <v>-9.999981581538071E-3</v>
      </c>
      <c r="D89" s="3">
        <v>5267540</v>
      </c>
      <c r="E89" s="4">
        <f t="shared" si="12"/>
        <v>-2.9800150478833963E-2</v>
      </c>
      <c r="F89" s="3">
        <v>2064876</v>
      </c>
      <c r="G89" s="4">
        <f t="shared" si="13"/>
        <v>-2.9799854249802308E-2</v>
      </c>
      <c r="H89" s="3">
        <v>1552580</v>
      </c>
      <c r="I89" s="4">
        <f t="shared" si="14"/>
        <v>5.1901285590880607E-2</v>
      </c>
      <c r="J89" s="3">
        <v>1311309</v>
      </c>
      <c r="K89" s="7">
        <f t="shared" si="8"/>
        <v>6.0990642537799823E-2</v>
      </c>
      <c r="L89" s="7">
        <f t="shared" si="9"/>
        <v>6.221354938736634E-2</v>
      </c>
      <c r="M89" s="7">
        <f t="shared" si="10"/>
        <v>-9.9999815815380311E-3</v>
      </c>
      <c r="N89" s="7">
        <f t="shared" si="15"/>
        <v>7.2942959217582981E-2</v>
      </c>
      <c r="O89" s="7">
        <f>('Session Details'!K89-'Session Details'!K82)/'Session Details'!K82</f>
        <v>-2.0000170231235903E-2</v>
      </c>
      <c r="P89" s="7">
        <f>('Session Details'!L89-'Session Details'!L82)/'Session Details'!L82</f>
        <v>3.0532784735651883E-7</v>
      </c>
      <c r="Q89" s="7">
        <f>('Session Details'!M89-'Session Details'!M82)/'Session Details'!M82</f>
        <v>8.4210603552845584E-2</v>
      </c>
      <c r="R89" s="7">
        <f>('Session Details'!N89-'Session Details'!N82)/'Session Details'!N82</f>
        <v>9.8034520327570113E-3</v>
      </c>
    </row>
    <row r="90" spans="1:18" hidden="1" x14ac:dyDescent="0.3">
      <c r="A90" s="2">
        <v>43553</v>
      </c>
      <c r="B90" s="3">
        <v>22803207</v>
      </c>
      <c r="C90" s="4">
        <f t="shared" si="11"/>
        <v>8.2474216527056624E-2</v>
      </c>
      <c r="D90" s="3">
        <v>5757809</v>
      </c>
      <c r="E90" s="4">
        <f t="shared" si="12"/>
        <v>4.1237105944778606E-2</v>
      </c>
      <c r="F90" s="3">
        <v>2234030</v>
      </c>
      <c r="G90" s="4">
        <f t="shared" si="13"/>
        <v>5.2083558989824974E-2</v>
      </c>
      <c r="H90" s="3">
        <v>1712384</v>
      </c>
      <c r="I90" s="4">
        <f t="shared" si="14"/>
        <v>6.2199811303315963E-2</v>
      </c>
      <c r="J90" s="3">
        <v>1390113</v>
      </c>
      <c r="K90" s="7">
        <f t="shared" si="8"/>
        <v>6.0961293733815598E-2</v>
      </c>
      <c r="L90" s="7">
        <f t="shared" si="9"/>
        <v>2.0949052908036059E-2</v>
      </c>
      <c r="M90" s="7">
        <f t="shared" si="10"/>
        <v>8.2474216527056665E-2</v>
      </c>
      <c r="N90" s="7">
        <f t="shared" si="15"/>
        <v>-5.6837532644808841E-2</v>
      </c>
      <c r="O90" s="7">
        <f>('Session Details'!K90-'Session Details'!K83)/'Session Details'!K83</f>
        <v>-3.8095235851973268E-2</v>
      </c>
      <c r="P90" s="7">
        <f>('Session Details'!L90-'Session Details'!L83)/'Session Details'!L83</f>
        <v>1.041689062281804E-2</v>
      </c>
      <c r="Q90" s="7">
        <f>('Session Details'!M90-'Session Details'!M83)/'Session Details'!M83</f>
        <v>9.6154456811436209E-3</v>
      </c>
      <c r="R90" s="7">
        <f>('Session Details'!N90-'Session Details'!N83)/'Session Details'!N83</f>
        <v>-3.8835215329840057E-2</v>
      </c>
    </row>
    <row r="91" spans="1:18" hidden="1" x14ac:dyDescent="0.3">
      <c r="A91" s="2">
        <v>43554</v>
      </c>
      <c r="B91" s="3">
        <v>44889750</v>
      </c>
      <c r="C91" s="4">
        <f t="shared" si="11"/>
        <v>1.0100998736455397E-2</v>
      </c>
      <c r="D91" s="3">
        <v>9898190</v>
      </c>
      <c r="E91" s="4">
        <f t="shared" si="12"/>
        <v>2.971467734492262E-2</v>
      </c>
      <c r="F91" s="3">
        <v>3399038</v>
      </c>
      <c r="G91" s="4">
        <f t="shared" si="13"/>
        <v>4.0011700383291583E-2</v>
      </c>
      <c r="H91" s="3">
        <v>2311346</v>
      </c>
      <c r="I91" s="4">
        <f t="shared" si="14"/>
        <v>9.7204353685626851E-3</v>
      </c>
      <c r="J91" s="3">
        <v>1748764</v>
      </c>
      <c r="K91" s="7">
        <f t="shared" si="8"/>
        <v>3.8956866545258102E-2</v>
      </c>
      <c r="L91" s="7">
        <f t="shared" si="9"/>
        <v>-6.7210947055343917E-2</v>
      </c>
      <c r="M91" s="7">
        <f t="shared" si="10"/>
        <v>1.0100998736455313E-2</v>
      </c>
      <c r="N91" s="7">
        <f t="shared" si="15"/>
        <v>-7.6538827195012704E-2</v>
      </c>
      <c r="O91" s="7">
        <f>('Session Details'!K91-'Session Details'!K84)/'Session Details'!K84</f>
        <v>1.9417542040847509E-2</v>
      </c>
      <c r="P91" s="7">
        <f>('Session Details'!L91-'Session Details'!L84)/'Session Details'!L84</f>
        <v>9.9998798355669782E-3</v>
      </c>
      <c r="Q91" s="7">
        <f>('Session Details'!M91-'Session Details'!M84)/'Session Details'!M84</f>
        <v>-2.9125888683334239E-2</v>
      </c>
      <c r="R91" s="7">
        <f>('Session Details'!N91-'Session Details'!N84)/'Session Details'!N84</f>
        <v>-7.6190774920610049E-2</v>
      </c>
    </row>
    <row r="92" spans="1:18" hidden="1" x14ac:dyDescent="0.3">
      <c r="A92" s="2">
        <v>43555</v>
      </c>
      <c r="B92" s="3">
        <v>42645263</v>
      </c>
      <c r="C92" s="4">
        <f t="shared" si="11"/>
        <v>-5.9405939938923631E-2</v>
      </c>
      <c r="D92" s="3">
        <v>8597285</v>
      </c>
      <c r="E92" s="4">
        <f t="shared" si="12"/>
        <v>-8.790870350472485E-2</v>
      </c>
      <c r="F92" s="3">
        <v>2806153</v>
      </c>
      <c r="G92" s="4">
        <f t="shared" si="13"/>
        <v>-0.14989559069492397</v>
      </c>
      <c r="H92" s="3">
        <v>2003593</v>
      </c>
      <c r="I92" s="4">
        <f t="shared" si="14"/>
        <v>-0.12489277322082165</v>
      </c>
      <c r="J92" s="3">
        <v>1640943</v>
      </c>
      <c r="K92" s="7">
        <f t="shared" si="8"/>
        <v>3.8478904444791441E-2</v>
      </c>
      <c r="L92" s="7">
        <f t="shared" si="9"/>
        <v>-0.10790000739365102</v>
      </c>
      <c r="M92" s="7">
        <f t="shared" si="10"/>
        <v>-5.9405939938923624E-2</v>
      </c>
      <c r="N92" s="7">
        <f t="shared" si="15"/>
        <v>-5.1556850626484518E-2</v>
      </c>
      <c r="O92" s="7">
        <f>('Session Details'!K92-'Session Details'!K85)/'Session Details'!K85</f>
        <v>-3.0302938085692871E-2</v>
      </c>
      <c r="P92" s="7">
        <f>('Session Details'!L92-'Session Details'!L85)/'Session Details'!L85</f>
        <v>-6.7961274741228886E-2</v>
      </c>
      <c r="Q92" s="7">
        <f>('Session Details'!M92-'Session Details'!M85)/'Session Details'!M85</f>
        <v>2.9411466639187218E-2</v>
      </c>
      <c r="R92" s="7">
        <f>('Session Details'!N92-'Session Details'!N85)/'Session Details'!N85</f>
        <v>1.9417924235081731E-2</v>
      </c>
    </row>
    <row r="93" spans="1:18" hidden="1" x14ac:dyDescent="0.3">
      <c r="A93" s="2">
        <v>43556</v>
      </c>
      <c r="B93" s="3">
        <v>21065820</v>
      </c>
      <c r="C93" s="4">
        <f t="shared" si="11"/>
        <v>-5.8252409823298996E-2</v>
      </c>
      <c r="D93" s="3">
        <v>5424448</v>
      </c>
      <c r="E93" s="4">
        <f t="shared" si="12"/>
        <v>-2.0202146093062631E-2</v>
      </c>
      <c r="F93" s="3">
        <v>2278268</v>
      </c>
      <c r="G93" s="4">
        <f t="shared" si="13"/>
        <v>8.6156099215205194E-3</v>
      </c>
      <c r="H93" s="3">
        <v>1629873</v>
      </c>
      <c r="I93" s="4">
        <f t="shared" si="14"/>
        <v>-1.572492710298694E-3</v>
      </c>
      <c r="J93" s="3">
        <v>1363225</v>
      </c>
      <c r="K93" s="7">
        <f t="shared" si="8"/>
        <v>6.4712648261496586E-2</v>
      </c>
      <c r="L93" s="7">
        <f t="shared" si="9"/>
        <v>8.3129559033894296E-3</v>
      </c>
      <c r="M93" s="7">
        <f t="shared" si="10"/>
        <v>-5.8252409823299045E-2</v>
      </c>
      <c r="N93" s="7">
        <f t="shared" si="15"/>
        <v>7.068280972632901E-2</v>
      </c>
      <c r="O93" s="7">
        <f>('Session Details'!K93-'Session Details'!K86)/'Session Details'!K86</f>
        <v>4.0403887546021762E-2</v>
      </c>
      <c r="P93" s="7">
        <f>('Session Details'!L93-'Session Details'!L86)/'Session Details'!L86</f>
        <v>2.9411940330010503E-2</v>
      </c>
      <c r="Q93" s="7">
        <f>('Session Details'!M93-'Session Details'!M86)/'Session Details'!M86</f>
        <v>-1.0101075703767668E-2</v>
      </c>
      <c r="R93" s="7">
        <f>('Session Details'!N93-'Session Details'!N86)/'Session Details'!N86</f>
        <v>9.9010178921481781E-3</v>
      </c>
    </row>
    <row r="94" spans="1:18" hidden="1" x14ac:dyDescent="0.3">
      <c r="A94" s="2">
        <v>43557</v>
      </c>
      <c r="B94" s="3">
        <v>22803207</v>
      </c>
      <c r="C94" s="4">
        <f t="shared" si="11"/>
        <v>9.3750020984576174E-2</v>
      </c>
      <c r="D94" s="3">
        <v>5700801</v>
      </c>
      <c r="E94" s="4">
        <f t="shared" si="12"/>
        <v>0.11607136214794364</v>
      </c>
      <c r="F94" s="3">
        <v>2257517</v>
      </c>
      <c r="G94" s="4">
        <f t="shared" si="13"/>
        <v>0.10491066075362415</v>
      </c>
      <c r="H94" s="3">
        <v>1565588</v>
      </c>
      <c r="I94" s="4">
        <f t="shared" si="14"/>
        <v>6.0267628879105133E-2</v>
      </c>
      <c r="J94" s="3">
        <v>1309458</v>
      </c>
      <c r="K94" s="7">
        <f t="shared" si="8"/>
        <v>5.7424291241139895E-2</v>
      </c>
      <c r="L94" s="7">
        <f t="shared" si="9"/>
        <v>3.9878784124722788E-2</v>
      </c>
      <c r="M94" s="7">
        <f t="shared" si="10"/>
        <v>9.3750020984576077E-2</v>
      </c>
      <c r="N94" s="7">
        <f t="shared" si="15"/>
        <v>-4.9253701326889554E-2</v>
      </c>
      <c r="O94" s="7">
        <f>('Session Details'!K94-'Session Details'!K87)/'Session Details'!K87</f>
        <v>2.0408082957817226E-2</v>
      </c>
      <c r="P94" s="7">
        <f>('Session Details'!L94-'Session Details'!L87)/'Session Details'!L87</f>
        <v>-9.9999890444641328E-3</v>
      </c>
      <c r="Q94" s="7">
        <f>('Session Details'!M94-'Session Details'!M87)/'Session Details'!M87</f>
        <v>-4.040420050257227E-2</v>
      </c>
      <c r="R94" s="7">
        <f>('Session Details'!N94-'Session Details'!N87)/'Session Details'!N87</f>
        <v>-1.9229904034641882E-2</v>
      </c>
    </row>
    <row r="95" spans="1:18" hidden="1" x14ac:dyDescent="0.3">
      <c r="A95" s="2">
        <v>43558</v>
      </c>
      <c r="B95" s="3">
        <v>22368860</v>
      </c>
      <c r="C95" s="4">
        <f t="shared" si="11"/>
        <v>7.2916677658587517E-2</v>
      </c>
      <c r="D95" s="3">
        <v>5536293</v>
      </c>
      <c r="E95" s="4">
        <f t="shared" si="12"/>
        <v>6.2187641555968821E-2</v>
      </c>
      <c r="F95" s="3">
        <v>2303097</v>
      </c>
      <c r="G95" s="4">
        <f t="shared" si="13"/>
        <v>0.104674933233055</v>
      </c>
      <c r="H95" s="3">
        <v>1597198</v>
      </c>
      <c r="I95" s="4">
        <f t="shared" si="14"/>
        <v>8.189843201751415E-2</v>
      </c>
      <c r="J95" s="3">
        <v>1335896</v>
      </c>
      <c r="K95" s="7">
        <f t="shared" si="8"/>
        <v>5.9721237470304701E-2</v>
      </c>
      <c r="L95" s="7">
        <f t="shared" si="9"/>
        <v>0.16161637241398497</v>
      </c>
      <c r="M95" s="7">
        <f t="shared" si="10"/>
        <v>7.2916677658587448E-2</v>
      </c>
      <c r="N95" s="7">
        <f t="shared" si="15"/>
        <v>8.267155931340886E-2</v>
      </c>
      <c r="O95" s="7">
        <f>('Session Details'!K95-'Session Details'!K88)/'Session Details'!K88</f>
        <v>-9.9998782067891763E-3</v>
      </c>
      <c r="P95" s="7">
        <f>('Session Details'!L95-'Session Details'!L88)/'Session Details'!L88</f>
        <v>3.9999798542984161E-2</v>
      </c>
      <c r="Q95" s="7">
        <f>('Session Details'!M95-'Session Details'!M88)/'Session Details'!M88</f>
        <v>-2.0618283741517408E-2</v>
      </c>
      <c r="R95" s="7">
        <f>('Session Details'!N95-'Session Details'!N88)/'Session Details'!N88</f>
        <v>7.3683386570598516E-2</v>
      </c>
    </row>
    <row r="96" spans="1:18" x14ac:dyDescent="0.3">
      <c r="A96" s="11">
        <v>43559</v>
      </c>
      <c r="B96" s="12">
        <v>22151687</v>
      </c>
      <c r="C96" s="4">
        <f t="shared" si="11"/>
        <v>3.0303020437004047E-2</v>
      </c>
      <c r="D96" s="12">
        <v>5814817</v>
      </c>
      <c r="E96" s="4">
        <f t="shared" si="12"/>
        <v>0.10389612608542127</v>
      </c>
      <c r="F96" s="12">
        <v>1162963</v>
      </c>
      <c r="G96" s="4">
        <f t="shared" si="13"/>
        <v>-0.43678797177167056</v>
      </c>
      <c r="H96" s="12">
        <v>806515</v>
      </c>
      <c r="I96" s="4">
        <f t="shared" si="14"/>
        <v>-0.48053240412732356</v>
      </c>
      <c r="J96" s="12">
        <v>628275</v>
      </c>
      <c r="K96" s="13">
        <f t="shared" si="8"/>
        <v>2.8362399667348135E-2</v>
      </c>
      <c r="L96" s="13">
        <f t="shared" si="9"/>
        <v>-0.52087951809985289</v>
      </c>
      <c r="M96" s="13">
        <f t="shared" si="10"/>
        <v>3.0303020437004058E-2</v>
      </c>
      <c r="N96" s="13">
        <f t="shared" si="15"/>
        <v>-0.53497129252622422</v>
      </c>
      <c r="O96" s="7">
        <f>('Session Details'!K96-'Session Details'!K89)/'Session Details'!K89</f>
        <v>7.1428603225100404E-2</v>
      </c>
      <c r="P96" s="7">
        <f>('Session Details'!L96-'Session Details'!L89)/'Session Details'!L89</f>
        <v>-0.48979617291931027</v>
      </c>
      <c r="Q96" s="7">
        <f>('Session Details'!M96-'Session Details'!M89)/'Session Details'!M89</f>
        <v>-7.7669563438227479E-2</v>
      </c>
      <c r="R96" s="7">
        <f>('Session Details'!N96-'Session Details'!N89)/'Session Details'!N89</f>
        <v>-7.7670126670266071E-2</v>
      </c>
    </row>
    <row r="97" spans="1:18" hidden="1" x14ac:dyDescent="0.3">
      <c r="A97" s="2">
        <v>43560</v>
      </c>
      <c r="B97" s="3">
        <v>22586034</v>
      </c>
      <c r="C97" s="4">
        <f t="shared" si="11"/>
        <v>-9.5237919824172103E-3</v>
      </c>
      <c r="D97" s="3">
        <v>5928833</v>
      </c>
      <c r="E97" s="4">
        <f t="shared" si="12"/>
        <v>2.9702965138301739E-2</v>
      </c>
      <c r="F97" s="3">
        <v>2418964</v>
      </c>
      <c r="G97" s="4">
        <f t="shared" si="13"/>
        <v>8.2780446099649518E-2</v>
      </c>
      <c r="H97" s="3">
        <v>1854136</v>
      </c>
      <c r="I97" s="4">
        <f t="shared" si="14"/>
        <v>8.2780497832261921E-2</v>
      </c>
      <c r="J97" s="3">
        <v>1566003</v>
      </c>
      <c r="K97" s="7">
        <f t="shared" si="8"/>
        <v>6.9335014726357003E-2</v>
      </c>
      <c r="L97" s="7">
        <f t="shared" si="9"/>
        <v>0.12652928215188264</v>
      </c>
      <c r="M97" s="7">
        <f t="shared" si="10"/>
        <v>-9.5237919824172623E-3</v>
      </c>
      <c r="N97" s="7">
        <f t="shared" si="15"/>
        <v>0.13736127433753009</v>
      </c>
      <c r="O97" s="7">
        <f>('Session Details'!K97-'Session Details'!K90)/'Session Details'!K90</f>
        <v>3.9603936776260902E-2</v>
      </c>
      <c r="P97" s="7">
        <f>('Session Details'!L97-'Session Details'!L90)/'Session Details'!L90</f>
        <v>5.15464000380138E-2</v>
      </c>
      <c r="Q97" s="7">
        <f>('Session Details'!M97-'Session Details'!M90)/'Session Details'!M90</f>
        <v>4.7777564326643082E-8</v>
      </c>
      <c r="R97" s="7">
        <f>('Session Details'!N97-'Session Details'!N90)/'Session Details'!N90</f>
        <v>4.0404111828026293E-2</v>
      </c>
    </row>
    <row r="98" spans="1:18" hidden="1" x14ac:dyDescent="0.3">
      <c r="A98" s="2">
        <v>43561</v>
      </c>
      <c r="B98" s="3">
        <v>46685340</v>
      </c>
      <c r="C98" s="4">
        <f t="shared" si="11"/>
        <v>0.04</v>
      </c>
      <c r="D98" s="3">
        <v>9999999</v>
      </c>
      <c r="E98" s="4">
        <f t="shared" si="12"/>
        <v>1.0285617875591397E-2</v>
      </c>
      <c r="F98" s="3">
        <v>3434000</v>
      </c>
      <c r="G98" s="4">
        <f t="shared" si="13"/>
        <v>1.0285851467385773E-2</v>
      </c>
      <c r="H98" s="3">
        <v>2288417</v>
      </c>
      <c r="I98" s="4">
        <f t="shared" si="14"/>
        <v>-9.9201936880069022E-3</v>
      </c>
      <c r="J98" s="3">
        <v>1856364</v>
      </c>
      <c r="K98" s="7">
        <f t="shared" si="8"/>
        <v>3.9763317563929063E-2</v>
      </c>
      <c r="L98" s="7">
        <f t="shared" si="9"/>
        <v>6.1529171460528609E-2</v>
      </c>
      <c r="M98" s="7">
        <f t="shared" si="10"/>
        <v>4.0000000000000036E-2</v>
      </c>
      <c r="N98" s="7">
        <f t="shared" si="15"/>
        <v>2.0701126404354619E-2</v>
      </c>
      <c r="O98" s="7">
        <f>('Session Details'!K98-'Session Details'!K91)/'Session Details'!K91</f>
        <v>-2.8571521273469822E-2</v>
      </c>
      <c r="P98" s="7">
        <f>('Session Details'!L98-'Session Details'!L91)/'Session Details'!L91</f>
        <v>2.3121361951123686E-7</v>
      </c>
      <c r="Q98" s="7">
        <f>('Session Details'!M98-'Session Details'!M91)/'Session Details'!M91</f>
        <v>-2.0000324785350989E-2</v>
      </c>
      <c r="R98" s="7">
        <f>('Session Details'!N98-'Session Details'!N91)/'Session Details'!N91</f>
        <v>7.2165258490304501E-2</v>
      </c>
    </row>
    <row r="99" spans="1:18" hidden="1" x14ac:dyDescent="0.3">
      <c r="A99" s="2">
        <v>43562</v>
      </c>
      <c r="B99" s="3">
        <v>43094160</v>
      </c>
      <c r="C99" s="4">
        <f t="shared" si="11"/>
        <v>1.0526303941424866E-2</v>
      </c>
      <c r="D99" s="3">
        <v>8687782</v>
      </c>
      <c r="E99" s="4">
        <f t="shared" si="12"/>
        <v>1.0526230083101816E-2</v>
      </c>
      <c r="F99" s="3">
        <v>2983384</v>
      </c>
      <c r="G99" s="4">
        <f t="shared" si="13"/>
        <v>6.3157996018036081E-2</v>
      </c>
      <c r="H99" s="3">
        <v>1947553</v>
      </c>
      <c r="I99" s="4">
        <f t="shared" si="14"/>
        <v>-2.7969752339921331E-2</v>
      </c>
      <c r="J99" s="3">
        <v>1503900</v>
      </c>
      <c r="K99" s="7">
        <f t="shared" si="8"/>
        <v>3.4898000100245602E-2</v>
      </c>
      <c r="L99" s="7">
        <f t="shared" si="9"/>
        <v>-8.3514783877319365E-2</v>
      </c>
      <c r="M99" s="7">
        <f t="shared" si="10"/>
        <v>1.0526303941424953E-2</v>
      </c>
      <c r="N99" s="7">
        <f t="shared" si="15"/>
        <v>-9.306149424507737E-2</v>
      </c>
      <c r="O99" s="7">
        <f>('Session Details'!K99-'Session Details'!K92)/'Session Details'!K92</f>
        <v>-7.3088966438340671E-8</v>
      </c>
      <c r="P99" s="7">
        <f>('Session Details'!L99-'Session Details'!L92)/'Session Details'!L92</f>
        <v>5.2083522790502844E-2</v>
      </c>
      <c r="Q99" s="7">
        <f>('Session Details'!M99-'Session Details'!M92)/'Session Details'!M92</f>
        <v>-8.571421058701359E-2</v>
      </c>
      <c r="R99" s="7">
        <f>('Session Details'!N99-'Session Details'!N92)/'Session Details'!N92</f>
        <v>-5.7143315931895006E-2</v>
      </c>
    </row>
    <row r="100" spans="1:18" hidden="1" x14ac:dyDescent="0.3">
      <c r="A100" s="2">
        <v>43563</v>
      </c>
      <c r="B100" s="3">
        <v>21500167</v>
      </c>
      <c r="C100" s="4">
        <f t="shared" si="11"/>
        <v>2.0618565999329722E-2</v>
      </c>
      <c r="D100" s="3">
        <v>5536293</v>
      </c>
      <c r="E100" s="4">
        <f t="shared" si="12"/>
        <v>2.0618687836992815E-2</v>
      </c>
      <c r="F100" s="3">
        <v>2170226</v>
      </c>
      <c r="G100" s="4">
        <f t="shared" si="13"/>
        <v>-4.742286684446255E-2</v>
      </c>
      <c r="H100" s="3">
        <v>1520894</v>
      </c>
      <c r="I100" s="4">
        <f t="shared" si="14"/>
        <v>-6.6863491818074175E-2</v>
      </c>
      <c r="J100" s="3">
        <v>1259605</v>
      </c>
      <c r="K100" s="7">
        <f t="shared" si="8"/>
        <v>5.8585824007785614E-2</v>
      </c>
      <c r="L100" s="7">
        <f t="shared" si="9"/>
        <v>-7.6010929963872487E-2</v>
      </c>
      <c r="M100" s="7">
        <f t="shared" si="10"/>
        <v>2.0618565999329652E-2</v>
      </c>
      <c r="N100" s="7">
        <f t="shared" si="15"/>
        <v>-9.46773840710885E-2</v>
      </c>
      <c r="O100" s="7">
        <f>('Session Details'!K100-'Session Details'!K93)/'Session Details'!K93</f>
        <v>1.1937629511762774E-7</v>
      </c>
      <c r="P100" s="7">
        <f>('Session Details'!L100-'Session Details'!L93)/'Session Details'!L93</f>
        <v>-6.6666969253381489E-2</v>
      </c>
      <c r="Q100" s="7">
        <f>('Session Details'!M100-'Session Details'!M93)/'Session Details'!M93</f>
        <v>-2.0408452289015163E-2</v>
      </c>
      <c r="R100" s="7">
        <f>('Session Details'!N100-'Session Details'!N93)/'Session Details'!N93</f>
        <v>-9.8028938591424621E-3</v>
      </c>
    </row>
    <row r="101" spans="1:18" hidden="1" x14ac:dyDescent="0.3">
      <c r="A101" s="2">
        <v>43564</v>
      </c>
      <c r="B101" s="3">
        <v>21717340</v>
      </c>
      <c r="C101" s="4">
        <f t="shared" si="11"/>
        <v>-4.7619047619047616E-2</v>
      </c>
      <c r="D101" s="3">
        <v>5592215</v>
      </c>
      <c r="E101" s="4">
        <f t="shared" si="12"/>
        <v>-1.9047498763770213E-2</v>
      </c>
      <c r="F101" s="3">
        <v>2214517</v>
      </c>
      <c r="G101" s="4">
        <f t="shared" si="13"/>
        <v>-1.9047475611479337E-2</v>
      </c>
      <c r="H101" s="3">
        <v>1535767</v>
      </c>
      <c r="I101" s="4">
        <f t="shared" si="14"/>
        <v>-1.9047795460874765E-2</v>
      </c>
      <c r="J101" s="3">
        <v>1322295</v>
      </c>
      <c r="K101" s="7">
        <f t="shared" si="8"/>
        <v>6.088660029266936E-2</v>
      </c>
      <c r="L101" s="7">
        <f t="shared" si="9"/>
        <v>9.8032926600166714E-3</v>
      </c>
      <c r="M101" s="7">
        <f t="shared" si="10"/>
        <v>-4.7619047619047672E-2</v>
      </c>
      <c r="N101" s="7">
        <f t="shared" si="15"/>
        <v>6.0293457293017383E-2</v>
      </c>
      <c r="O101" s="7">
        <f>('Session Details'!K101-'Session Details'!K94)/'Session Details'!K94</f>
        <v>3.0000126298041295E-2</v>
      </c>
      <c r="P101" s="7">
        <f>('Session Details'!L101-'Session Details'!L94)/'Session Details'!L94</f>
        <v>2.3601847134639069E-8</v>
      </c>
      <c r="Q101" s="7">
        <f>('Session Details'!M101-'Session Details'!M94)/'Session Details'!M94</f>
        <v>-3.2606001570720258E-7</v>
      </c>
      <c r="R101" s="7">
        <f>('Session Details'!N101-'Session Details'!N94)/'Session Details'!N94</f>
        <v>2.9411308713502862E-2</v>
      </c>
    </row>
    <row r="102" spans="1:18" hidden="1" x14ac:dyDescent="0.3">
      <c r="A102" s="2">
        <v>43565</v>
      </c>
      <c r="B102" s="3">
        <v>21500167</v>
      </c>
      <c r="C102" s="4">
        <f t="shared" si="11"/>
        <v>-3.8834924980530969E-2</v>
      </c>
      <c r="D102" s="3">
        <v>5375041</v>
      </c>
      <c r="E102" s="4">
        <f t="shared" si="12"/>
        <v>-2.9126348623528416E-2</v>
      </c>
      <c r="F102" s="3">
        <v>2064016</v>
      </c>
      <c r="G102" s="4">
        <f t="shared" si="13"/>
        <v>-0.10380848049387412</v>
      </c>
      <c r="H102" s="3">
        <v>1521799</v>
      </c>
      <c r="I102" s="4">
        <f t="shared" si="14"/>
        <v>-4.7207046339902754E-2</v>
      </c>
      <c r="J102" s="3">
        <v>1210438</v>
      </c>
      <c r="K102" s="7">
        <f t="shared" si="8"/>
        <v>5.6299004561220382E-2</v>
      </c>
      <c r="L102" s="7">
        <f t="shared" si="9"/>
        <v>-9.3912999215507775E-2</v>
      </c>
      <c r="M102" s="7">
        <f t="shared" si="10"/>
        <v>-3.8834924980530983E-2</v>
      </c>
      <c r="N102" s="7">
        <f t="shared" si="15"/>
        <v>-5.7303449393291017E-2</v>
      </c>
      <c r="O102" s="7">
        <f>('Session Details'!K102-'Session Details'!K95)/'Session Details'!K95</f>
        <v>1.0100841790163849E-2</v>
      </c>
      <c r="P102" s="7">
        <f>('Session Details'!L102-'Session Details'!L95)/'Session Details'!L95</f>
        <v>-7.6922606525023987E-2</v>
      </c>
      <c r="Q102" s="7">
        <f>('Session Details'!M102-'Session Details'!M95)/'Session Details'!M95</f>
        <v>6.315774354254472E-2</v>
      </c>
      <c r="R102" s="7">
        <f>('Session Details'!N102-'Session Details'!N95)/'Session Details'!N95</f>
        <v>-4.9020044382346521E-2</v>
      </c>
    </row>
    <row r="103" spans="1:18" x14ac:dyDescent="0.3">
      <c r="A103" s="11">
        <v>43566</v>
      </c>
      <c r="B103" s="12">
        <v>20631473</v>
      </c>
      <c r="C103" s="4">
        <f t="shared" si="11"/>
        <v>-6.8627459389436124E-2</v>
      </c>
      <c r="D103" s="12">
        <v>5106289</v>
      </c>
      <c r="E103" s="4">
        <f t="shared" si="12"/>
        <v>-0.12184871854092742</v>
      </c>
      <c r="F103" s="12">
        <v>1981240</v>
      </c>
      <c r="G103" s="4">
        <f t="shared" si="13"/>
        <v>0.70361395848363184</v>
      </c>
      <c r="H103" s="12">
        <v>1504157</v>
      </c>
      <c r="I103" s="4">
        <f t="shared" si="14"/>
        <v>0.86500809036409743</v>
      </c>
      <c r="J103" s="12">
        <v>1208741</v>
      </c>
      <c r="K103" s="13">
        <f t="shared" si="8"/>
        <v>5.8587237081908793E-2</v>
      </c>
      <c r="L103" s="13">
        <f t="shared" si="9"/>
        <v>0.9239043412518404</v>
      </c>
      <c r="M103" s="13">
        <f t="shared" si="10"/>
        <v>-6.8627459389436152E-2</v>
      </c>
      <c r="N103" s="13">
        <f t="shared" si="15"/>
        <v>1.0656657324153227</v>
      </c>
      <c r="O103" s="7">
        <f>('Session Details'!K103-'Session Details'!K96)/'Session Details'!K96</f>
        <v>-5.7142826131208489E-2</v>
      </c>
      <c r="P103" s="7">
        <f>('Session Details'!L103-'Session Details'!L96)/'Session Details'!L96</f>
        <v>0.94000053800870187</v>
      </c>
      <c r="Q103" s="7">
        <f>('Session Details'!M103-'Session Details'!M96)/'Session Details'!M96</f>
        <v>9.4736328659880575E-2</v>
      </c>
      <c r="R103" s="7">
        <f>('Session Details'!N103-'Session Details'!N96)/'Session Details'!N96</f>
        <v>3.1579622196837173E-2</v>
      </c>
    </row>
    <row r="104" spans="1:18" x14ac:dyDescent="0.3">
      <c r="A104" s="11">
        <v>43567</v>
      </c>
      <c r="B104" s="12">
        <v>20631473</v>
      </c>
      <c r="C104" s="4">
        <f t="shared" si="11"/>
        <v>-8.6538477715919493E-2</v>
      </c>
      <c r="D104" s="12">
        <v>5054710</v>
      </c>
      <c r="E104" s="4">
        <f t="shared" si="12"/>
        <v>-0.14743592879070805</v>
      </c>
      <c r="F104" s="12">
        <v>1920790</v>
      </c>
      <c r="G104" s="4">
        <f t="shared" si="13"/>
        <v>-0.20594518975892159</v>
      </c>
      <c r="H104" s="12">
        <v>1402176</v>
      </c>
      <c r="I104" s="4">
        <f t="shared" si="14"/>
        <v>-0.24375773945384804</v>
      </c>
      <c r="J104" s="12">
        <v>1138287</v>
      </c>
      <c r="K104" s="13">
        <f t="shared" si="8"/>
        <v>5.5172357300906243E-2</v>
      </c>
      <c r="L104" s="13">
        <f t="shared" si="9"/>
        <v>-0.27312591355188975</v>
      </c>
      <c r="M104" s="13">
        <f t="shared" si="10"/>
        <v>-8.6538477715919493E-2</v>
      </c>
      <c r="N104" s="13">
        <f t="shared" si="15"/>
        <v>-0.20426414390111858</v>
      </c>
      <c r="O104" s="7">
        <f>('Session Details'!K104-'Session Details'!K97)/'Session Details'!K97</f>
        <v>-6.6666684462544673E-2</v>
      </c>
      <c r="P104" s="7">
        <f>('Session Details'!L104-'Session Details'!L97)/'Session Details'!L97</f>
        <v>-6.8627406366330954E-2</v>
      </c>
      <c r="Q104" s="7">
        <f>('Session Details'!M104-'Session Details'!M97)/'Session Details'!M97</f>
        <v>-4.7619571353577396E-2</v>
      </c>
      <c r="R104" s="7">
        <f>('Session Details'!N104-'Session Details'!N97)/'Session Details'!N97</f>
        <v>-3.8834346650810342E-2</v>
      </c>
    </row>
    <row r="105" spans="1:18" hidden="1" x14ac:dyDescent="0.3">
      <c r="A105" s="2">
        <v>43568</v>
      </c>
      <c r="B105" s="3">
        <v>43094160</v>
      </c>
      <c r="C105" s="4">
        <f t="shared" si="11"/>
        <v>-7.6923076923076927E-2</v>
      </c>
      <c r="D105" s="3">
        <v>9140271</v>
      </c>
      <c r="E105" s="4">
        <f t="shared" si="12"/>
        <v>-8.5972808597280861E-2</v>
      </c>
      <c r="F105" s="3">
        <v>3107692</v>
      </c>
      <c r="G105" s="4">
        <f t="shared" si="13"/>
        <v>-9.5022714036109499E-2</v>
      </c>
      <c r="H105" s="3">
        <v>2113230</v>
      </c>
      <c r="I105" s="4">
        <f t="shared" si="14"/>
        <v>-7.6553792425069378E-2</v>
      </c>
      <c r="J105" s="3">
        <v>1598870</v>
      </c>
      <c r="K105" s="7">
        <f t="shared" si="8"/>
        <v>3.7101778988150598E-2</v>
      </c>
      <c r="L105" s="7">
        <f t="shared" si="9"/>
        <v>-0.13870878771620221</v>
      </c>
      <c r="M105" s="7">
        <f t="shared" si="10"/>
        <v>-7.6923076923076872E-2</v>
      </c>
      <c r="N105" s="7">
        <f t="shared" si="15"/>
        <v>-6.6934520025885735E-2</v>
      </c>
      <c r="O105" s="7">
        <f>('Session Details'!K105-'Session Details'!K98)/'Session Details'!K98</f>
        <v>-9.8038759803875906E-3</v>
      </c>
      <c r="P105" s="7">
        <f>('Session Details'!L105-'Session Details'!L98)/'Session Details'!L98</f>
        <v>-9.9011337123790597E-3</v>
      </c>
      <c r="Q105" s="7">
        <f>('Session Details'!M105-'Session Details'!M98)/'Session Details'!M98</f>
        <v>2.0408160400809221E-2</v>
      </c>
      <c r="R105" s="7">
        <f>('Session Details'!N105-'Session Details'!N98)/'Session Details'!N98</f>
        <v>-6.7307651253838113E-2</v>
      </c>
    </row>
    <row r="106" spans="1:18" x14ac:dyDescent="0.3">
      <c r="A106" s="11">
        <v>43569</v>
      </c>
      <c r="B106" s="12">
        <v>46685340</v>
      </c>
      <c r="C106" s="4">
        <f t="shared" si="11"/>
        <v>8.3333333333333329E-2</v>
      </c>
      <c r="D106" s="12">
        <v>9803921</v>
      </c>
      <c r="E106" s="4">
        <f t="shared" si="12"/>
        <v>0.1284722613896159</v>
      </c>
      <c r="F106" s="12">
        <v>3466666</v>
      </c>
      <c r="G106" s="4">
        <f t="shared" si="13"/>
        <v>0.16199121534472263</v>
      </c>
      <c r="H106" s="12">
        <v>2357333</v>
      </c>
      <c r="I106" s="4">
        <f t="shared" si="14"/>
        <v>0.21040762433679597</v>
      </c>
      <c r="J106" s="12">
        <v>1930656</v>
      </c>
      <c r="K106" s="13">
        <f t="shared" si="8"/>
        <v>4.1354652231300019E-2</v>
      </c>
      <c r="L106" s="13">
        <f t="shared" si="9"/>
        <v>0.28376620785956508</v>
      </c>
      <c r="M106" s="13">
        <f t="shared" si="10"/>
        <v>8.3333333333333259E-2</v>
      </c>
      <c r="N106" s="13">
        <f t="shared" si="15"/>
        <v>0.18501496110113713</v>
      </c>
      <c r="O106" s="7">
        <f>('Session Details'!K106-'Session Details'!K99)/'Session Details'!K99</f>
        <v>4.1666702821183961E-2</v>
      </c>
      <c r="P106" s="7">
        <f>('Session Details'!L106-'Session Details'!L99)/'Session Details'!L99</f>
        <v>2.9702948935431541E-2</v>
      </c>
      <c r="Q106" s="7">
        <f>('Session Details'!M106-'Session Details'!M99)/'Session Details'!M99</f>
        <v>4.1666759914109848E-2</v>
      </c>
      <c r="R106" s="7">
        <f>('Session Details'!N106-'Session Details'!N99)/'Session Details'!N99</f>
        <v>6.0606511432843735E-2</v>
      </c>
    </row>
    <row r="107" spans="1:18" hidden="1" x14ac:dyDescent="0.3">
      <c r="A107" s="2">
        <v>43570</v>
      </c>
      <c r="B107" s="3">
        <v>21065820</v>
      </c>
      <c r="C107" s="4">
        <f t="shared" si="11"/>
        <v>-2.0202029128424909E-2</v>
      </c>
      <c r="D107" s="3">
        <v>5477113</v>
      </c>
      <c r="E107" s="4">
        <f t="shared" si="12"/>
        <v>-1.0689463147994516E-2</v>
      </c>
      <c r="F107" s="3">
        <v>2256570</v>
      </c>
      <c r="G107" s="4">
        <f t="shared" si="13"/>
        <v>3.9785718169444102E-2</v>
      </c>
      <c r="H107" s="3">
        <v>1729661</v>
      </c>
      <c r="I107" s="4">
        <f t="shared" si="14"/>
        <v>0.13726597645858291</v>
      </c>
      <c r="J107" s="3">
        <v>1418322</v>
      </c>
      <c r="K107" s="7">
        <f t="shared" si="8"/>
        <v>6.732811730091684E-2</v>
      </c>
      <c r="L107" s="7">
        <f t="shared" si="9"/>
        <v>0.12600537470079898</v>
      </c>
      <c r="M107" s="7">
        <f t="shared" si="10"/>
        <v>-2.0202029128424948E-2</v>
      </c>
      <c r="N107" s="7">
        <f t="shared" si="15"/>
        <v>0.14922199083466747</v>
      </c>
      <c r="O107" s="7">
        <f>('Session Details'!K107-'Session Details'!K100)/'Session Details'!K100</f>
        <v>9.7087014499209045E-3</v>
      </c>
      <c r="P107" s="7">
        <f>('Session Details'!L107-'Session Details'!L100)/'Session Details'!L100</f>
        <v>5.1020563753471221E-2</v>
      </c>
      <c r="Q107" s="7">
        <f>('Session Details'!M107-'Session Details'!M100)/'Session Details'!M100</f>
        <v>9.3750333925295581E-2</v>
      </c>
      <c r="R107" s="7">
        <f>('Session Details'!N107-'Session Details'!N100)/'Session Details'!N100</f>
        <v>-9.9014671949028236E-3</v>
      </c>
    </row>
    <row r="108" spans="1:18" hidden="1" x14ac:dyDescent="0.3">
      <c r="A108" s="2">
        <v>43571</v>
      </c>
      <c r="B108" s="3">
        <v>22586034</v>
      </c>
      <c r="C108" s="4">
        <f t="shared" si="11"/>
        <v>4.000001841846193E-2</v>
      </c>
      <c r="D108" s="3">
        <v>5872368</v>
      </c>
      <c r="E108" s="4">
        <f t="shared" si="12"/>
        <v>5.0096965156024936E-2</v>
      </c>
      <c r="F108" s="3">
        <v>2254989</v>
      </c>
      <c r="G108" s="4">
        <f t="shared" si="13"/>
        <v>1.8275768485859444E-2</v>
      </c>
      <c r="H108" s="3">
        <v>1596758</v>
      </c>
      <c r="I108" s="4">
        <f t="shared" si="14"/>
        <v>3.9713706571374435E-2</v>
      </c>
      <c r="J108" s="3">
        <v>1296248</v>
      </c>
      <c r="K108" s="7">
        <f t="shared" si="8"/>
        <v>5.7391572154721807E-2</v>
      </c>
      <c r="L108" s="7">
        <f t="shared" si="9"/>
        <v>-1.9698327529031001E-2</v>
      </c>
      <c r="M108" s="7">
        <f t="shared" si="10"/>
        <v>4.0000018418461902E-2</v>
      </c>
      <c r="N108" s="7">
        <f t="shared" si="15"/>
        <v>-5.7402254702145883E-2</v>
      </c>
      <c r="O108" s="7">
        <f>('Session Details'!K108-'Session Details'!K101)/'Session Details'!K101</f>
        <v>9.7086024603321303E-3</v>
      </c>
      <c r="P108" s="7">
        <f>('Session Details'!L108-'Session Details'!L101)/'Session Details'!L101</f>
        <v>-3.030310316670376E-2</v>
      </c>
      <c r="Q108" s="7">
        <f>('Session Details'!M108-'Session Details'!M101)/'Session Details'!M101</f>
        <v>2.1053175130929927E-2</v>
      </c>
      <c r="R108" s="7">
        <f>('Session Details'!N108-'Session Details'!N101)/'Session Details'!N101</f>
        <v>-5.7142686226890581E-2</v>
      </c>
    </row>
    <row r="109" spans="1:18" hidden="1" x14ac:dyDescent="0.3">
      <c r="A109" s="2">
        <v>43572</v>
      </c>
      <c r="B109" s="3">
        <v>21934513</v>
      </c>
      <c r="C109" s="4">
        <f t="shared" si="11"/>
        <v>2.0201982617158276E-2</v>
      </c>
      <c r="D109" s="3">
        <v>5319119</v>
      </c>
      <c r="E109" s="4">
        <f t="shared" si="12"/>
        <v>-1.0404013662407412E-2</v>
      </c>
      <c r="F109" s="3">
        <v>2191477</v>
      </c>
      <c r="G109" s="4">
        <f t="shared" si="13"/>
        <v>6.1753881752854629E-2</v>
      </c>
      <c r="H109" s="3">
        <v>1551785</v>
      </c>
      <c r="I109" s="4">
        <f t="shared" si="14"/>
        <v>1.9704310490412991E-2</v>
      </c>
      <c r="J109" s="3">
        <v>1336086</v>
      </c>
      <c r="K109" s="7">
        <f t="shared" si="8"/>
        <v>6.0912498946295274E-2</v>
      </c>
      <c r="L109" s="7">
        <f t="shared" si="9"/>
        <v>0.10380374707337348</v>
      </c>
      <c r="M109" s="7">
        <f t="shared" si="10"/>
        <v>2.0201982617158221E-2</v>
      </c>
      <c r="N109" s="7">
        <f t="shared" si="15"/>
        <v>8.1946286990884687E-2</v>
      </c>
      <c r="O109" s="7">
        <f>('Session Details'!K109-'Session Details'!K102)/'Session Details'!K102</f>
        <v>-2.9999938052513029E-2</v>
      </c>
      <c r="P109" s="7">
        <f>('Session Details'!L109-'Session Details'!L102)/'Session Details'!L102</f>
        <v>7.291651988435402E-2</v>
      </c>
      <c r="Q109" s="7">
        <f>('Session Details'!M109-'Session Details'!M102)/'Session Details'!M102</f>
        <v>-3.9603878059783257E-2</v>
      </c>
      <c r="R109" s="7">
        <f>('Session Details'!N109-'Session Details'!N102)/'Session Details'!N102</f>
        <v>8.2474336646192969E-2</v>
      </c>
    </row>
    <row r="110" spans="1:18" x14ac:dyDescent="0.3">
      <c r="A110" s="11">
        <v>43573</v>
      </c>
      <c r="B110" s="12">
        <v>22803207</v>
      </c>
      <c r="C110" s="4">
        <f t="shared" si="11"/>
        <v>0.10526315789473684</v>
      </c>
      <c r="D110" s="12">
        <v>5415761</v>
      </c>
      <c r="E110" s="4">
        <f t="shared" si="12"/>
        <v>6.0606048737155298E-2</v>
      </c>
      <c r="F110" s="12">
        <v>3639391</v>
      </c>
      <c r="G110" s="4">
        <f t="shared" si="13"/>
        <v>0.83692586461004215</v>
      </c>
      <c r="H110" s="12">
        <v>2656756</v>
      </c>
      <c r="I110" s="4">
        <f t="shared" si="14"/>
        <v>0.76627572786617359</v>
      </c>
      <c r="J110" s="12">
        <v>2091398</v>
      </c>
      <c r="K110" s="13">
        <f t="shared" si="8"/>
        <v>9.1715082005789803E-2</v>
      </c>
      <c r="L110" s="13">
        <f t="shared" si="9"/>
        <v>0.7302283946685022</v>
      </c>
      <c r="M110" s="13">
        <f t="shared" si="10"/>
        <v>0.10526315789473695</v>
      </c>
      <c r="N110" s="13">
        <f t="shared" si="15"/>
        <v>0.56544473803340667</v>
      </c>
      <c r="O110" s="7">
        <f>('Session Details'!K110-'Session Details'!K103)/'Session Details'!K103</f>
        <v>-4.0404051142573713E-2</v>
      </c>
      <c r="P110" s="7">
        <f>('Session Details'!L110-'Session Details'!L103)/'Session Details'!L103</f>
        <v>0.73195869172841055</v>
      </c>
      <c r="Q110" s="7">
        <f>('Session Details'!M110-'Session Details'!M103)/'Session Details'!M103</f>
        <v>-3.8461071350240295E-2</v>
      </c>
      <c r="R110" s="7">
        <f>('Session Details'!N110-'Session Details'!N103)/'Session Details'!N103</f>
        <v>-2.0408667021212992E-2</v>
      </c>
    </row>
    <row r="111" spans="1:18" x14ac:dyDescent="0.3">
      <c r="A111" s="11">
        <v>43574</v>
      </c>
      <c r="B111" s="12">
        <v>22151687</v>
      </c>
      <c r="C111" s="4">
        <f t="shared" si="11"/>
        <v>7.3684220220243124E-2</v>
      </c>
      <c r="D111" s="12">
        <v>5537921</v>
      </c>
      <c r="E111" s="4">
        <f t="shared" si="12"/>
        <v>9.5596186527021329E-2</v>
      </c>
      <c r="F111" s="12">
        <v>2281623</v>
      </c>
      <c r="G111" s="4">
        <f t="shared" si="13"/>
        <v>0.18785655901998657</v>
      </c>
      <c r="H111" s="12">
        <v>1748864</v>
      </c>
      <c r="I111" s="4">
        <f t="shared" si="14"/>
        <v>0.24724998858916428</v>
      </c>
      <c r="J111" s="12">
        <v>1419728</v>
      </c>
      <c r="K111" s="13">
        <f t="shared" si="8"/>
        <v>6.409119088762856E-2</v>
      </c>
      <c r="L111" s="13">
        <f t="shared" si="9"/>
        <v>0.2472495952251057</v>
      </c>
      <c r="M111" s="13">
        <f t="shared" si="10"/>
        <v>7.3684220220243013E-2</v>
      </c>
      <c r="N111" s="13">
        <f t="shared" si="15"/>
        <v>0.16165402428030418</v>
      </c>
      <c r="O111" s="7">
        <f>('Session Details'!K111-'Session Details'!K104)/'Session Details'!K104</f>
        <v>2.0408203728917135E-2</v>
      </c>
      <c r="P111" s="7">
        <f>('Session Details'!L111-'Session Details'!L104)/'Session Details'!L104</f>
        <v>8.4210198636621297E-2</v>
      </c>
      <c r="Q111" s="7">
        <f>('Session Details'!M111-'Session Details'!M104)/'Session Details'!M104</f>
        <v>5.0000506473760434E-2</v>
      </c>
      <c r="R111" s="7">
        <f>('Session Details'!N111-'Session Details'!N104)/'Session Details'!N104</f>
        <v>-3.1538509698005319E-7</v>
      </c>
    </row>
    <row r="112" spans="1:18" hidden="1" x14ac:dyDescent="0.3">
      <c r="A112" s="2">
        <v>43575</v>
      </c>
      <c r="B112" s="3">
        <v>44440853</v>
      </c>
      <c r="C112" s="4">
        <f t="shared" si="11"/>
        <v>3.1250011602500197E-2</v>
      </c>
      <c r="D112" s="3">
        <v>9612556</v>
      </c>
      <c r="E112" s="4">
        <f t="shared" si="12"/>
        <v>5.1670787441641504E-2</v>
      </c>
      <c r="F112" s="3">
        <v>3300951</v>
      </c>
      <c r="G112" s="4">
        <f t="shared" si="13"/>
        <v>6.218730813735724E-2</v>
      </c>
      <c r="H112" s="3">
        <v>2132414</v>
      </c>
      <c r="I112" s="4">
        <f t="shared" si="14"/>
        <v>9.0780464028998257E-3</v>
      </c>
      <c r="J112" s="3">
        <v>1596752</v>
      </c>
      <c r="K112" s="7">
        <f t="shared" si="8"/>
        <v>3.5929823399204329E-2</v>
      </c>
      <c r="L112" s="7">
        <f t="shared" si="9"/>
        <v>-1.3246855591761975E-3</v>
      </c>
      <c r="M112" s="7">
        <f t="shared" si="10"/>
        <v>3.1250011602500294E-2</v>
      </c>
      <c r="N112" s="7">
        <f t="shared" si="15"/>
        <v>-3.1587584771085031E-2</v>
      </c>
      <c r="O112" s="7">
        <f>('Session Details'!K112-'Session Details'!K105)/'Session Details'!K105</f>
        <v>1.9801964227286358E-2</v>
      </c>
      <c r="P112" s="7">
        <f>('Session Details'!L112-'Session Details'!L105)/'Session Details'!L105</f>
        <v>9.9998220177807424E-3</v>
      </c>
      <c r="Q112" s="7">
        <f>('Session Details'!M112-'Session Details'!M105)/'Session Details'!M105</f>
        <v>-4.9999902397242321E-2</v>
      </c>
      <c r="R112" s="7">
        <f>('Session Details'!N112-'Session Details'!N105)/'Session Details'!N105</f>
        <v>-1.0309145064803441E-2</v>
      </c>
    </row>
    <row r="113" spans="1:18" hidden="1" x14ac:dyDescent="0.3">
      <c r="A113" s="2">
        <v>43576</v>
      </c>
      <c r="B113" s="3">
        <v>46685340</v>
      </c>
      <c r="C113" s="4">
        <f t="shared" si="11"/>
        <v>0</v>
      </c>
      <c r="D113" s="3">
        <v>10098039</v>
      </c>
      <c r="E113" s="4">
        <f t="shared" si="12"/>
        <v>3.0000037740002188E-2</v>
      </c>
      <c r="F113" s="3">
        <v>3536333</v>
      </c>
      <c r="G113" s="4">
        <f t="shared" si="13"/>
        <v>2.0096253864664206E-2</v>
      </c>
      <c r="H113" s="3">
        <v>2356612</v>
      </c>
      <c r="I113" s="4">
        <f t="shared" si="14"/>
        <v>-3.0585411564679237E-4</v>
      </c>
      <c r="J113" s="3">
        <v>1930065</v>
      </c>
      <c r="K113" s="7">
        <f t="shared" si="8"/>
        <v>4.1341993011082281E-2</v>
      </c>
      <c r="L113" s="7">
        <f t="shared" si="9"/>
        <v>-3.0611356968823777E-4</v>
      </c>
      <c r="M113" s="7">
        <f t="shared" si="10"/>
        <v>0</v>
      </c>
      <c r="N113" s="7">
        <f t="shared" si="15"/>
        <v>-3.0611356968823777E-4</v>
      </c>
      <c r="O113" s="7">
        <f>('Session Details'!K113-'Session Details'!K106)/'Session Details'!K106</f>
        <v>3.0000037740002233E-2</v>
      </c>
      <c r="P113" s="7">
        <f>('Session Details'!L113-'Session Details'!L106)/'Session Details'!L106</f>
        <v>-9.6153237985005472E-3</v>
      </c>
      <c r="Q113" s="7">
        <f>('Session Details'!M113-'Session Details'!M106)/'Session Details'!M106</f>
        <v>-2.0000179299764102E-2</v>
      </c>
      <c r="R113" s="7">
        <f>('Session Details'!N113-'Session Details'!N106)/'Session Details'!N106</f>
        <v>-2.5953342084003483E-7</v>
      </c>
    </row>
    <row r="114" spans="1:18" hidden="1" x14ac:dyDescent="0.3">
      <c r="A114" s="2">
        <v>43577</v>
      </c>
      <c r="B114" s="3">
        <v>20848646</v>
      </c>
      <c r="C114" s="4">
        <f t="shared" si="11"/>
        <v>-1.0309306734795987E-2</v>
      </c>
      <c r="D114" s="3">
        <v>5368526</v>
      </c>
      <c r="E114" s="4">
        <f t="shared" si="12"/>
        <v>-1.9825590598550734E-2</v>
      </c>
      <c r="F114" s="3">
        <v>2211832</v>
      </c>
      <c r="G114" s="4">
        <f t="shared" si="13"/>
        <v>-1.9825664614880105E-2</v>
      </c>
      <c r="H114" s="3">
        <v>1695369</v>
      </c>
      <c r="I114" s="4">
        <f t="shared" si="14"/>
        <v>-1.9825850267769233E-2</v>
      </c>
      <c r="J114" s="3">
        <v>1459713</v>
      </c>
      <c r="K114" s="7">
        <f t="shared" si="8"/>
        <v>7.0014762589378707E-2</v>
      </c>
      <c r="L114" s="7">
        <f t="shared" si="9"/>
        <v>2.9183076903552152E-2</v>
      </c>
      <c r="M114" s="7">
        <f t="shared" si="10"/>
        <v>-1.030930673479602E-2</v>
      </c>
      <c r="N114" s="7">
        <f t="shared" si="15"/>
        <v>3.9903763779018941E-2</v>
      </c>
      <c r="O114" s="7">
        <f>('Session Details'!K114-'Session Details'!K107)/'Session Details'!K107</f>
        <v>-9.6154120964384894E-3</v>
      </c>
      <c r="P114" s="7">
        <f>('Session Details'!L114-'Session Details'!L107)/'Session Details'!L107</f>
        <v>-7.5513427642975811E-8</v>
      </c>
      <c r="Q114" s="7">
        <f>('Session Details'!M114-'Session Details'!M107)/'Session Details'!M107</f>
        <v>-1.8940802918652761E-7</v>
      </c>
      <c r="R114" s="7">
        <f>('Session Details'!N114-'Session Details'!N107)/'Session Details'!N107</f>
        <v>5.0000224128242884E-2</v>
      </c>
    </row>
    <row r="115" spans="1:18" hidden="1" x14ac:dyDescent="0.3">
      <c r="A115" s="2">
        <v>43578</v>
      </c>
      <c r="B115" s="3">
        <v>20631473</v>
      </c>
      <c r="C115" s="4">
        <f t="shared" si="11"/>
        <v>-8.6538477715919493E-2</v>
      </c>
      <c r="D115" s="3">
        <v>4899974</v>
      </c>
      <c r="E115" s="4">
        <f t="shared" si="12"/>
        <v>-0.16558805578941918</v>
      </c>
      <c r="F115" s="3">
        <v>1881590</v>
      </c>
      <c r="G115" s="4">
        <f t="shared" si="13"/>
        <v>-0.16558794743566377</v>
      </c>
      <c r="H115" s="3">
        <v>1414767</v>
      </c>
      <c r="I115" s="4">
        <f t="shared" si="14"/>
        <v>-0.11397531748705815</v>
      </c>
      <c r="J115" s="3">
        <v>1148508</v>
      </c>
      <c r="K115" s="7">
        <f t="shared" si="8"/>
        <v>5.5667765457173127E-2</v>
      </c>
      <c r="L115" s="7">
        <f t="shared" si="9"/>
        <v>-0.11397510352957152</v>
      </c>
      <c r="M115" s="7">
        <f t="shared" si="10"/>
        <v>-8.6538477715919493E-2</v>
      </c>
      <c r="N115" s="7">
        <f t="shared" si="15"/>
        <v>-3.0035885633198478E-2</v>
      </c>
      <c r="O115" s="7">
        <f>('Session Details'!K115-'Session Details'!K108)/'Session Details'!K108</f>
        <v>-8.6538487002538189E-2</v>
      </c>
      <c r="P115" s="7">
        <f>('Session Details'!L115-'Session Details'!L108)/'Session Details'!L108</f>
        <v>1.2985642903662535E-7</v>
      </c>
      <c r="Q115" s="7">
        <f>('Session Details'!M115-'Session Details'!M108)/'Session Details'!M108</f>
        <v>6.1855086812311E-2</v>
      </c>
      <c r="R115" s="7">
        <f>('Session Details'!N115-'Session Details'!N108)/'Session Details'!N108</f>
        <v>2.4148027801427596E-7</v>
      </c>
    </row>
    <row r="116" spans="1:18" hidden="1" x14ac:dyDescent="0.3">
      <c r="A116" s="2">
        <v>43579</v>
      </c>
      <c r="B116" s="3">
        <v>21717340</v>
      </c>
      <c r="C116" s="4">
        <f t="shared" si="11"/>
        <v>-9.9009720434641065E-3</v>
      </c>
      <c r="D116" s="3">
        <v>5700801</v>
      </c>
      <c r="E116" s="4">
        <f t="shared" si="12"/>
        <v>7.1756619846256489E-2</v>
      </c>
      <c r="F116" s="3">
        <v>2325927</v>
      </c>
      <c r="G116" s="4">
        <f t="shared" si="13"/>
        <v>6.1351316942865476E-2</v>
      </c>
      <c r="H116" s="3">
        <v>1765843</v>
      </c>
      <c r="I116" s="4">
        <f t="shared" si="14"/>
        <v>0.13794307845481171</v>
      </c>
      <c r="J116" s="3">
        <v>1476951</v>
      </c>
      <c r="K116" s="7">
        <f t="shared" si="8"/>
        <v>6.8007914413091106E-2</v>
      </c>
      <c r="L116" s="7">
        <f t="shared" si="9"/>
        <v>0.10543108751981545</v>
      </c>
      <c r="M116" s="7">
        <f t="shared" si="10"/>
        <v>-9.9009720434640736E-3</v>
      </c>
      <c r="N116" s="7">
        <f t="shared" si="15"/>
        <v>0.11648537803467307</v>
      </c>
      <c r="O116" s="7">
        <f>('Session Details'!K116-'Session Details'!K109)/'Session Details'!K109</f>
        <v>8.2474166304610616E-2</v>
      </c>
      <c r="P116" s="7">
        <f>('Session Details'!L116-'Session Details'!L109)/'Session Details'!L109</f>
        <v>-9.7086434650468026E-3</v>
      </c>
      <c r="Q116" s="7">
        <f>('Session Details'!M116-'Session Details'!M109)/'Session Details'!M109</f>
        <v>7.2164381660695054E-2</v>
      </c>
      <c r="R116" s="7">
        <f>('Session Details'!N116-'Session Details'!N109)/'Session Details'!N109</f>
        <v>-2.857084115239206E-2</v>
      </c>
    </row>
    <row r="117" spans="1:18" x14ac:dyDescent="0.3">
      <c r="A117" s="11">
        <v>43580</v>
      </c>
      <c r="B117" s="12">
        <v>22803207</v>
      </c>
      <c r="C117" s="4">
        <f t="shared" si="11"/>
        <v>0</v>
      </c>
      <c r="D117" s="12">
        <v>5700801</v>
      </c>
      <c r="E117" s="4">
        <f t="shared" si="12"/>
        <v>5.2631569229144345E-2</v>
      </c>
      <c r="F117" s="12">
        <v>2189107</v>
      </c>
      <c r="G117" s="4">
        <f t="shared" si="13"/>
        <v>-0.39849634183301547</v>
      </c>
      <c r="H117" s="12">
        <v>1518146</v>
      </c>
      <c r="I117" s="4">
        <f t="shared" si="14"/>
        <v>-0.42857153611396753</v>
      </c>
      <c r="J117" s="12">
        <v>1282226</v>
      </c>
      <c r="K117" s="13">
        <f t="shared" si="8"/>
        <v>5.6230073252415767E-2</v>
      </c>
      <c r="L117" s="13">
        <f t="shared" si="9"/>
        <v>-0.38690483590402214</v>
      </c>
      <c r="M117" s="13">
        <f t="shared" si="10"/>
        <v>0</v>
      </c>
      <c r="N117" s="13">
        <f t="shared" si="15"/>
        <v>-0.38690483590402214</v>
      </c>
      <c r="O117" s="7">
        <f>('Session Details'!K117-'Session Details'!K110)/'Session Details'!K110</f>
        <v>5.2631569229144366E-2</v>
      </c>
      <c r="P117" s="7">
        <f>('Session Details'!L117-'Session Details'!L110)/'Session Details'!L110</f>
        <v>-0.42857151946575822</v>
      </c>
      <c r="Q117" s="7">
        <f>('Session Details'!M117-'Session Details'!M110)/'Session Details'!M110</f>
        <v>-5.0000018906955497E-2</v>
      </c>
      <c r="R117" s="7">
        <f>('Session Details'!N117-'Session Details'!N110)/'Session Details'!N110</f>
        <v>7.2916739090294294E-2</v>
      </c>
    </row>
    <row r="118" spans="1:18" hidden="1" x14ac:dyDescent="0.3">
      <c r="A118" s="2">
        <v>43581</v>
      </c>
      <c r="B118" s="3">
        <v>22151687</v>
      </c>
      <c r="C118" s="4">
        <f t="shared" si="11"/>
        <v>0</v>
      </c>
      <c r="D118" s="3">
        <v>5759438</v>
      </c>
      <c r="E118" s="4">
        <f t="shared" si="12"/>
        <v>4.0000028891708637E-2</v>
      </c>
      <c r="F118" s="3">
        <v>2188586</v>
      </c>
      <c r="G118" s="4">
        <f t="shared" si="13"/>
        <v>-4.0776675200065921E-2</v>
      </c>
      <c r="H118" s="3">
        <v>1533761</v>
      </c>
      <c r="I118" s="4">
        <f t="shared" si="14"/>
        <v>-0.12299584187220962</v>
      </c>
      <c r="J118" s="3">
        <v>1307991</v>
      </c>
      <c r="K118" s="7">
        <f t="shared" si="8"/>
        <v>5.9047015245385151E-2</v>
      </c>
      <c r="L118" s="7">
        <f t="shared" si="9"/>
        <v>-7.8703103693101739E-2</v>
      </c>
      <c r="M118" s="7">
        <f t="shared" si="10"/>
        <v>0</v>
      </c>
      <c r="N118" s="7">
        <f t="shared" si="15"/>
        <v>-7.8703103693101739E-2</v>
      </c>
      <c r="O118" s="7">
        <f>('Session Details'!K118-'Session Details'!K111)/'Session Details'!K111</f>
        <v>4.0000028891708589E-2</v>
      </c>
      <c r="P118" s="7">
        <f>('Session Details'!L118-'Session Details'!L111)/'Session Details'!L111</f>
        <v>-7.7669905622844537E-2</v>
      </c>
      <c r="Q118" s="7">
        <f>('Session Details'!M118-'Session Details'!M111)/'Session Details'!M111</f>
        <v>-8.5714311304192117E-2</v>
      </c>
      <c r="R118" s="7">
        <f>('Session Details'!N118-'Session Details'!N111)/'Session Details'!N111</f>
        <v>5.0504593129481981E-2</v>
      </c>
    </row>
    <row r="119" spans="1:18" hidden="1" x14ac:dyDescent="0.3">
      <c r="A119" s="2">
        <v>43582</v>
      </c>
      <c r="B119" s="3">
        <v>47134238</v>
      </c>
      <c r="C119" s="4">
        <f t="shared" si="11"/>
        <v>6.0606059924187321E-2</v>
      </c>
      <c r="D119" s="3">
        <v>9997171</v>
      </c>
      <c r="E119" s="4">
        <f t="shared" si="12"/>
        <v>4.0011730490828873E-2</v>
      </c>
      <c r="F119" s="3">
        <v>3297067</v>
      </c>
      <c r="G119" s="4">
        <f t="shared" si="13"/>
        <v>-1.1766306134201932E-3</v>
      </c>
      <c r="H119" s="3">
        <v>2354106</v>
      </c>
      <c r="I119" s="4">
        <f t="shared" si="14"/>
        <v>0.10396292652364879</v>
      </c>
      <c r="J119" s="3">
        <v>1744392</v>
      </c>
      <c r="K119" s="7">
        <f t="shared" si="8"/>
        <v>3.7009020915963468E-2</v>
      </c>
      <c r="L119" s="7">
        <f t="shared" si="9"/>
        <v>9.246269927953743E-2</v>
      </c>
      <c r="M119" s="7">
        <f t="shared" si="10"/>
        <v>6.0606059924187328E-2</v>
      </c>
      <c r="N119" s="7">
        <f t="shared" si="15"/>
        <v>3.0036259982926472E-2</v>
      </c>
      <c r="O119" s="7">
        <f>('Session Details'!K119-'Session Details'!K112)/'Session Details'!K112</f>
        <v>-1.9417510621078857E-2</v>
      </c>
      <c r="P119" s="7">
        <f>('Session Details'!L119-'Session Details'!L112)/'Session Details'!L112</f>
        <v>-3.9603746666213448E-2</v>
      </c>
      <c r="Q119" s="7">
        <f>('Session Details'!M119-'Session Details'!M112)/'Session Details'!M112</f>
        <v>0.10526341329162096</v>
      </c>
      <c r="R119" s="7">
        <f>('Session Details'!N119-'Session Details'!N112)/'Session Details'!N112</f>
        <v>-1.0417222324960951E-2</v>
      </c>
    </row>
    <row r="120" spans="1:18" hidden="1" x14ac:dyDescent="0.3">
      <c r="A120" s="2">
        <v>43583</v>
      </c>
      <c r="B120" s="3">
        <v>46236443</v>
      </c>
      <c r="C120" s="4">
        <f t="shared" si="11"/>
        <v>-9.6153739053844306E-3</v>
      </c>
      <c r="D120" s="3">
        <v>9224170</v>
      </c>
      <c r="E120" s="4">
        <f t="shared" si="12"/>
        <v>-8.6538485343540458E-2</v>
      </c>
      <c r="F120" s="3">
        <v>3261666</v>
      </c>
      <c r="G120" s="4">
        <f t="shared" si="13"/>
        <v>-7.7670004493355121E-2</v>
      </c>
      <c r="H120" s="3">
        <v>2151395</v>
      </c>
      <c r="I120" s="4">
        <f t="shared" si="14"/>
        <v>-8.7081369355668223E-2</v>
      </c>
      <c r="J120" s="3">
        <v>1644526</v>
      </c>
      <c r="K120" s="7">
        <f t="shared" si="8"/>
        <v>3.5567744690048933E-2</v>
      </c>
      <c r="L120" s="7">
        <f t="shared" si="9"/>
        <v>-0.14794268586809256</v>
      </c>
      <c r="M120" s="7">
        <f t="shared" si="10"/>
        <v>-9.6153739053844722E-3</v>
      </c>
      <c r="N120" s="7">
        <f t="shared" si="15"/>
        <v>-0.13967029406360465</v>
      </c>
      <c r="O120" s="7">
        <f>('Session Details'!K120-'Session Details'!K113)/'Session Details'!K113</f>
        <v>-7.7669936922877172E-2</v>
      </c>
      <c r="P120" s="7">
        <f>('Session Details'!L120-'Session Details'!L113)/'Session Details'!L113</f>
        <v>9.7086529732132061E-3</v>
      </c>
      <c r="Q120" s="7">
        <f>('Session Details'!M120-'Session Details'!M113)/'Session Details'!M113</f>
        <v>-1.0203901974524152E-2</v>
      </c>
      <c r="R120" s="7">
        <f>('Session Details'!N120-'Session Details'!N113)/'Session Details'!N113</f>
        <v>-6.6666748239620016E-2</v>
      </c>
    </row>
    <row r="121" spans="1:18" hidden="1" x14ac:dyDescent="0.3">
      <c r="A121" s="2">
        <v>43584</v>
      </c>
      <c r="B121" s="3">
        <v>20631473</v>
      </c>
      <c r="C121" s="4">
        <f t="shared" si="11"/>
        <v>-1.0416647680621562E-2</v>
      </c>
      <c r="D121" s="3">
        <v>5209447</v>
      </c>
      <c r="E121" s="4">
        <f t="shared" si="12"/>
        <v>-2.9631783472781916E-2</v>
      </c>
      <c r="F121" s="3">
        <v>2062941</v>
      </c>
      <c r="G121" s="4">
        <f t="shared" si="13"/>
        <v>-6.7315691245989753E-2</v>
      </c>
      <c r="H121" s="3">
        <v>1475828</v>
      </c>
      <c r="I121" s="4">
        <f t="shared" si="14"/>
        <v>-0.12949452302124198</v>
      </c>
      <c r="J121" s="3">
        <v>1210178</v>
      </c>
      <c r="K121" s="7">
        <f t="shared" si="8"/>
        <v>5.8656887949784291E-2</v>
      </c>
      <c r="L121" s="7">
        <f t="shared" si="9"/>
        <v>-0.17094798772087394</v>
      </c>
      <c r="M121" s="7">
        <f t="shared" si="10"/>
        <v>-1.041664768062156E-2</v>
      </c>
      <c r="N121" s="7">
        <f t="shared" si="15"/>
        <v>-0.16222114050726522</v>
      </c>
      <c r="O121" s="7">
        <f>('Session Details'!K121-'Session Details'!K114)/'Session Details'!K114</f>
        <v>-1.9417400006906022E-2</v>
      </c>
      <c r="P121" s="7">
        <f>('Session Details'!L121-'Session Details'!L114)/'Session Details'!L114</f>
        <v>-3.8834647643419498E-2</v>
      </c>
      <c r="Q121" s="7">
        <f>('Session Details'!M121-'Session Details'!M114)/'Session Details'!M114</f>
        <v>-6.66665357095136E-2</v>
      </c>
      <c r="R121" s="7">
        <f>('Session Details'!N121-'Session Details'!N114)/'Session Details'!N114</f>
        <v>-4.7619992976383599E-2</v>
      </c>
    </row>
    <row r="122" spans="1:18" hidden="1" x14ac:dyDescent="0.3">
      <c r="A122" s="2">
        <v>43585</v>
      </c>
      <c r="B122" s="3">
        <v>21065820</v>
      </c>
      <c r="C122" s="4">
        <f t="shared" si="11"/>
        <v>2.1052641272874699E-2</v>
      </c>
      <c r="D122" s="3">
        <v>5319119</v>
      </c>
      <c r="E122" s="4">
        <f t="shared" si="12"/>
        <v>8.5540249805407129E-2</v>
      </c>
      <c r="F122" s="3">
        <v>2148924</v>
      </c>
      <c r="G122" s="4">
        <f t="shared" si="13"/>
        <v>0.14207877380300704</v>
      </c>
      <c r="H122" s="3">
        <v>1490279</v>
      </c>
      <c r="I122" s="4">
        <f t="shared" si="14"/>
        <v>5.3374159843988446E-2</v>
      </c>
      <c r="J122" s="3">
        <v>1246469</v>
      </c>
      <c r="K122" s="7">
        <f t="shared" si="8"/>
        <v>5.9170210321743945E-2</v>
      </c>
      <c r="L122" s="7">
        <f t="shared" si="9"/>
        <v>8.5294138133996444E-2</v>
      </c>
      <c r="M122" s="7">
        <f t="shared" si="10"/>
        <v>2.105264127287465E-2</v>
      </c>
      <c r="N122" s="7">
        <f t="shared" si="15"/>
        <v>6.2916929318195036E-2</v>
      </c>
      <c r="O122" s="7">
        <f>('Session Details'!K122-'Session Details'!K115)/'Session Details'!K115</f>
        <v>6.3157966519865397E-2</v>
      </c>
      <c r="P122" s="7">
        <f>('Session Details'!L122-'Session Details'!L115)/'Session Details'!L115</f>
        <v>5.2083305071124665E-2</v>
      </c>
      <c r="Q122" s="7">
        <f>('Session Details'!M122-'Session Details'!M115)/'Session Details'!M115</f>
        <v>-7.7669435763735611E-2</v>
      </c>
      <c r="R122" s="7">
        <f>('Session Details'!N122-'Session Details'!N115)/'Session Details'!N115</f>
        <v>3.0302602348566857E-2</v>
      </c>
    </row>
    <row r="123" spans="1:18" hidden="1" x14ac:dyDescent="0.3">
      <c r="A123" s="2">
        <v>43586</v>
      </c>
      <c r="B123" s="3">
        <v>22803207</v>
      </c>
      <c r="C123" s="4">
        <f t="shared" si="11"/>
        <v>0.05</v>
      </c>
      <c r="D123" s="3">
        <v>5529777</v>
      </c>
      <c r="E123" s="4">
        <f t="shared" si="12"/>
        <v>-2.9999994737581612E-2</v>
      </c>
      <c r="F123" s="3">
        <v>2278268</v>
      </c>
      <c r="G123" s="4">
        <f t="shared" si="13"/>
        <v>-2.0490324932811735E-2</v>
      </c>
      <c r="H123" s="3">
        <v>1696398</v>
      </c>
      <c r="I123" s="4">
        <f t="shared" si="14"/>
        <v>-3.9326825771034003E-2</v>
      </c>
      <c r="J123" s="3">
        <v>1460599</v>
      </c>
      <c r="K123" s="7">
        <f t="shared" si="8"/>
        <v>6.4052350180393486E-2</v>
      </c>
      <c r="L123" s="7">
        <f t="shared" si="9"/>
        <v>-1.1071457346926161E-2</v>
      </c>
      <c r="M123" s="7">
        <f t="shared" si="10"/>
        <v>5.0000000000000044E-2</v>
      </c>
      <c r="N123" s="7">
        <f t="shared" si="15"/>
        <v>-5.8163292711358228E-2</v>
      </c>
      <c r="O123" s="7">
        <f>('Session Details'!K123-'Session Details'!K116)/'Session Details'!K116</f>
        <v>-7.6190471178649244E-2</v>
      </c>
      <c r="P123" s="7">
        <f>('Session Details'!L123-'Session Details'!L116)/'Session Details'!L116</f>
        <v>9.8037832506991923E-3</v>
      </c>
      <c r="Q123" s="7">
        <f>('Session Details'!M123-'Session Details'!M116)/'Session Details'!M116</f>
        <v>-1.923054086926736E-2</v>
      </c>
      <c r="R123" s="7">
        <f>('Session Details'!N123-'Session Details'!N116)/'Session Details'!N116</f>
        <v>2.9412051030555303E-2</v>
      </c>
    </row>
    <row r="124" spans="1:18" hidden="1" x14ac:dyDescent="0.3">
      <c r="A124" s="2">
        <v>43587</v>
      </c>
      <c r="B124" s="3">
        <v>21282993</v>
      </c>
      <c r="C124" s="4">
        <f t="shared" si="11"/>
        <v>-6.6666675437362821E-2</v>
      </c>
      <c r="D124" s="3">
        <v>5533578</v>
      </c>
      <c r="E124" s="4">
        <f t="shared" si="12"/>
        <v>-2.9333246328016011E-2</v>
      </c>
      <c r="F124" s="3">
        <v>2169162</v>
      </c>
      <c r="G124" s="4">
        <f t="shared" si="13"/>
        <v>-9.111021069321875E-3</v>
      </c>
      <c r="H124" s="3">
        <v>1615158</v>
      </c>
      <c r="I124" s="4">
        <f t="shared" si="14"/>
        <v>6.3901627379711834E-2</v>
      </c>
      <c r="J124" s="3">
        <v>1284697</v>
      </c>
      <c r="K124" s="7">
        <f t="shared" si="8"/>
        <v>6.0362609713774752E-2</v>
      </c>
      <c r="L124" s="7">
        <f t="shared" si="9"/>
        <v>1.9271173724444424E-3</v>
      </c>
      <c r="M124" s="7">
        <f t="shared" si="10"/>
        <v>-6.6666675437362821E-2</v>
      </c>
      <c r="N124" s="7">
        <f t="shared" si="15"/>
        <v>7.3493350129709034E-2</v>
      </c>
      <c r="O124" s="7">
        <f>('Session Details'!K124-'Session Details'!K117)/'Session Details'!K117</f>
        <v>4.00001029930451E-2</v>
      </c>
      <c r="P124" s="7">
        <f>('Session Details'!L124-'Session Details'!L117)/'Session Details'!L117</f>
        <v>2.0833334594179076E-2</v>
      </c>
      <c r="Q124" s="7">
        <f>('Session Details'!M124-'Session Details'!M117)/'Session Details'!M117</f>
        <v>7.368398478689879E-2</v>
      </c>
      <c r="R124" s="7">
        <f>('Session Details'!N124-'Session Details'!N117)/'Session Details'!N117</f>
        <v>-5.8252105657460675E-2</v>
      </c>
    </row>
    <row r="125" spans="1:18" hidden="1" x14ac:dyDescent="0.3">
      <c r="A125" s="2">
        <v>43588</v>
      </c>
      <c r="B125" s="3">
        <v>20848646</v>
      </c>
      <c r="C125" s="4">
        <f t="shared" si="11"/>
        <v>-5.8823555966640372E-2</v>
      </c>
      <c r="D125" s="3">
        <v>5264283</v>
      </c>
      <c r="E125" s="4">
        <f t="shared" si="12"/>
        <v>-8.5972798040364354E-2</v>
      </c>
      <c r="F125" s="3">
        <v>2147827</v>
      </c>
      <c r="G125" s="4">
        <f t="shared" si="13"/>
        <v>-1.862343997448581E-2</v>
      </c>
      <c r="H125" s="3">
        <v>1552235</v>
      </c>
      <c r="I125" s="4">
        <f t="shared" si="14"/>
        <v>1.2044901389460287E-2</v>
      </c>
      <c r="J125" s="3">
        <v>1260104</v>
      </c>
      <c r="K125" s="7">
        <f t="shared" si="8"/>
        <v>6.0440567699216532E-2</v>
      </c>
      <c r="L125" s="7">
        <f t="shared" si="9"/>
        <v>-3.6611108180407914E-2</v>
      </c>
      <c r="M125" s="7">
        <f t="shared" si="10"/>
        <v>-5.8823555966640351E-2</v>
      </c>
      <c r="N125" s="7">
        <f t="shared" si="15"/>
        <v>2.3600726438755881E-2</v>
      </c>
      <c r="O125" s="7">
        <f>('Session Details'!K125-'Session Details'!K118)/'Session Details'!K118</f>
        <v>-2.8846070517210831E-2</v>
      </c>
      <c r="P125" s="7">
        <f>('Session Details'!L125-'Session Details'!L118)/'Session Details'!L118</f>
        <v>7.3684194432599409E-2</v>
      </c>
      <c r="Q125" s="7">
        <f>('Session Details'!M125-'Session Details'!M118)/'Session Details'!M118</f>
        <v>3.1250330009052654E-2</v>
      </c>
      <c r="R125" s="7">
        <f>('Session Details'!N125-'Session Details'!N118)/'Session Details'!N118</f>
        <v>-4.8076927716415849E-2</v>
      </c>
    </row>
    <row r="126" spans="1:18" hidden="1" x14ac:dyDescent="0.3">
      <c r="A126" s="2">
        <v>43589</v>
      </c>
      <c r="B126" s="3">
        <v>43094160</v>
      </c>
      <c r="C126" s="4">
        <f t="shared" si="11"/>
        <v>-8.5714295413028635E-2</v>
      </c>
      <c r="D126" s="3">
        <v>9321266</v>
      </c>
      <c r="E126" s="4">
        <f t="shared" si="12"/>
        <v>-6.7609626763411368E-2</v>
      </c>
      <c r="F126" s="3">
        <v>3042461</v>
      </c>
      <c r="G126" s="4">
        <f t="shared" si="13"/>
        <v>-7.7221967281829576E-2</v>
      </c>
      <c r="H126" s="3">
        <v>1986118</v>
      </c>
      <c r="I126" s="4">
        <f t="shared" si="14"/>
        <v>-0.15631751501419222</v>
      </c>
      <c r="J126" s="3">
        <v>1487205</v>
      </c>
      <c r="K126" s="7">
        <f t="shared" si="8"/>
        <v>3.4510592618582192E-2</v>
      </c>
      <c r="L126" s="7">
        <f t="shared" si="9"/>
        <v>-0.14743647070153953</v>
      </c>
      <c r="M126" s="7">
        <f t="shared" si="10"/>
        <v>-8.5714295413028663E-2</v>
      </c>
      <c r="N126" s="7">
        <f t="shared" si="15"/>
        <v>-6.750862993794049E-2</v>
      </c>
      <c r="O126" s="7">
        <f>('Session Details'!K126-'Session Details'!K119)/'Session Details'!K119</f>
        <v>1.9801981545578308E-2</v>
      </c>
      <c r="P126" s="7">
        <f>('Session Details'!L126-'Session Details'!L119)/'Session Details'!L119</f>
        <v>-1.0309351956360475E-2</v>
      </c>
      <c r="Q126" s="7">
        <f>('Session Details'!M126-'Session Details'!M119)/'Session Details'!M119</f>
        <v>-8.5714597582449759E-2</v>
      </c>
      <c r="R126" s="7">
        <f>('Session Details'!N126-'Session Details'!N119)/'Session Details'!N119</f>
        <v>1.0526524457601024E-2</v>
      </c>
    </row>
    <row r="127" spans="1:18" hidden="1" x14ac:dyDescent="0.3">
      <c r="A127" s="2">
        <v>43590</v>
      </c>
      <c r="B127" s="3">
        <v>43991955</v>
      </c>
      <c r="C127" s="4">
        <f t="shared" si="11"/>
        <v>-4.8543699609418484E-2</v>
      </c>
      <c r="D127" s="3">
        <v>8868778</v>
      </c>
      <c r="E127" s="4">
        <f t="shared" si="12"/>
        <v>-3.8528344555661918E-2</v>
      </c>
      <c r="F127" s="3">
        <v>3136000</v>
      </c>
      <c r="G127" s="4">
        <f t="shared" si="13"/>
        <v>-3.8528163214749764E-2</v>
      </c>
      <c r="H127" s="3">
        <v>2068505</v>
      </c>
      <c r="I127" s="4">
        <f t="shared" si="14"/>
        <v>-3.8528489654387037E-2</v>
      </c>
      <c r="J127" s="3">
        <v>1532762</v>
      </c>
      <c r="K127" s="7">
        <f t="shared" si="8"/>
        <v>3.4841870519280171E-2</v>
      </c>
      <c r="L127" s="7">
        <f t="shared" si="9"/>
        <v>-6.796122408523797E-2</v>
      </c>
      <c r="M127" s="7">
        <f t="shared" si="10"/>
        <v>-4.8543699609418511E-2</v>
      </c>
      <c r="N127" s="7">
        <f t="shared" si="15"/>
        <v>-2.040821472079013E-2</v>
      </c>
      <c r="O127" s="7">
        <f>('Session Details'!K127-'Session Details'!K120)/'Session Details'!K120</f>
        <v>1.0526342670330969E-2</v>
      </c>
      <c r="P127" s="7">
        <f>('Session Details'!L127-'Session Details'!L120)/'Session Details'!L120</f>
        <v>1.8860765287287306E-7</v>
      </c>
      <c r="Q127" s="7">
        <f>('Session Details'!M127-'Session Details'!M120)/'Session Details'!M120</f>
        <v>-3.3952074815768431E-7</v>
      </c>
      <c r="R127" s="7">
        <f>('Session Details'!N127-'Session Details'!N120)/'Session Details'!N120</f>
        <v>-3.061217531060376E-2</v>
      </c>
    </row>
    <row r="128" spans="1:18" hidden="1" x14ac:dyDescent="0.3">
      <c r="A128" s="2">
        <v>43591</v>
      </c>
      <c r="B128" s="3">
        <v>21717340</v>
      </c>
      <c r="C128" s="4">
        <f t="shared" si="11"/>
        <v>5.2631578947368418E-2</v>
      </c>
      <c r="D128" s="3">
        <v>5157868</v>
      </c>
      <c r="E128" s="4">
        <f t="shared" si="12"/>
        <v>-9.901050917688576E-3</v>
      </c>
      <c r="F128" s="3">
        <v>1959989</v>
      </c>
      <c r="G128" s="4">
        <f t="shared" si="13"/>
        <v>-4.9905450519428331E-2</v>
      </c>
      <c r="H128" s="3">
        <v>1430792</v>
      </c>
      <c r="I128" s="4">
        <f t="shared" si="14"/>
        <v>-3.0515751157994021E-2</v>
      </c>
      <c r="J128" s="3">
        <v>1161517</v>
      </c>
      <c r="K128" s="7">
        <f t="shared" si="8"/>
        <v>5.3483391612416623E-2</v>
      </c>
      <c r="L128" s="7">
        <f t="shared" si="9"/>
        <v>-4.0209787320542922E-2</v>
      </c>
      <c r="M128" s="7">
        <f t="shared" si="10"/>
        <v>5.2631578947368363E-2</v>
      </c>
      <c r="N128" s="7">
        <f t="shared" si="15"/>
        <v>-8.8199297954515754E-2</v>
      </c>
      <c r="O128" s="7">
        <f>('Session Details'!K128-'Session Details'!K121)/'Session Details'!K121</f>
        <v>-5.9405998371804124E-2</v>
      </c>
      <c r="P128" s="7">
        <f>('Session Details'!L128-'Session Details'!L121)/'Session Details'!L121</f>
        <v>-4.0404446079675513E-2</v>
      </c>
      <c r="Q128" s="7">
        <f>('Session Details'!M128-'Session Details'!M121)/'Session Details'!M121</f>
        <v>2.040817871446059E-2</v>
      </c>
      <c r="R128" s="7">
        <f>('Session Details'!N128-'Session Details'!N121)/'Session Details'!N121</f>
        <v>-9.9991682939954262E-3</v>
      </c>
    </row>
    <row r="129" spans="1:18" hidden="1" x14ac:dyDescent="0.3">
      <c r="A129" s="2">
        <v>43592</v>
      </c>
      <c r="B129" s="3">
        <v>22151687</v>
      </c>
      <c r="C129" s="4">
        <f t="shared" si="11"/>
        <v>5.1546391263193173E-2</v>
      </c>
      <c r="D129" s="3">
        <v>5814817</v>
      </c>
      <c r="E129" s="4">
        <f t="shared" si="12"/>
        <v>9.3191748483160461E-2</v>
      </c>
      <c r="F129" s="3">
        <v>2372445</v>
      </c>
      <c r="G129" s="4">
        <f t="shared" si="13"/>
        <v>0.10401531184909285</v>
      </c>
      <c r="H129" s="3">
        <v>1679928</v>
      </c>
      <c r="I129" s="4">
        <f t="shared" si="14"/>
        <v>0.12725737932293216</v>
      </c>
      <c r="J129" s="3">
        <v>1308664</v>
      </c>
      <c r="K129" s="7">
        <f t="shared" si="8"/>
        <v>5.9077396678636714E-2</v>
      </c>
      <c r="L129" s="7">
        <f t="shared" si="9"/>
        <v>4.9896948901256177E-2</v>
      </c>
      <c r="M129" s="7">
        <f t="shared" si="10"/>
        <v>5.154639126319327E-2</v>
      </c>
      <c r="N129" s="7">
        <f t="shared" si="15"/>
        <v>-1.5685873449249321E-3</v>
      </c>
      <c r="O129" s="7">
        <f>('Session Details'!K129-'Session Details'!K122)/'Session Details'!K122</f>
        <v>3.9603918158988623E-2</v>
      </c>
      <c r="P129" s="7">
        <f>('Session Details'!L129-'Session Details'!L122)/'Session Details'!L122</f>
        <v>9.9008827874436274E-3</v>
      </c>
      <c r="Q129" s="7">
        <f>('Session Details'!M129-'Session Details'!M122)/'Session Details'!M122</f>
        <v>2.1052305366047554E-2</v>
      </c>
      <c r="R129" s="7">
        <f>('Session Details'!N129-'Session Details'!N122)/'Session Details'!N122</f>
        <v>-6.8627122643580452E-2</v>
      </c>
    </row>
    <row r="130" spans="1:18" hidden="1" x14ac:dyDescent="0.3">
      <c r="A130" s="2">
        <v>43593</v>
      </c>
      <c r="B130" s="3">
        <v>22803207</v>
      </c>
      <c r="C130" s="4">
        <f t="shared" si="11"/>
        <v>0</v>
      </c>
      <c r="D130" s="3">
        <v>5757809</v>
      </c>
      <c r="E130" s="4">
        <f t="shared" si="12"/>
        <v>4.1237105944778606E-2</v>
      </c>
      <c r="F130" s="3">
        <v>2187967</v>
      </c>
      <c r="G130" s="4">
        <f t="shared" si="13"/>
        <v>-3.9635811063492093E-2</v>
      </c>
      <c r="H130" s="3">
        <v>1565272</v>
      </c>
      <c r="I130" s="4">
        <f t="shared" si="14"/>
        <v>-7.7296719284035934E-2</v>
      </c>
      <c r="J130" s="3">
        <v>1334864</v>
      </c>
      <c r="K130" s="7">
        <f t="shared" si="8"/>
        <v>5.8538432773951488E-2</v>
      </c>
      <c r="L130" s="7">
        <f t="shared" si="9"/>
        <v>-8.6084544765537951E-2</v>
      </c>
      <c r="M130" s="7">
        <f t="shared" si="10"/>
        <v>0</v>
      </c>
      <c r="N130" s="7">
        <f t="shared" si="15"/>
        <v>-8.6084544765537951E-2</v>
      </c>
      <c r="O130" s="7">
        <f>('Session Details'!K130-'Session Details'!K123)/'Session Details'!K123</f>
        <v>4.1237105944778536E-2</v>
      </c>
      <c r="P130" s="7">
        <f>('Session Details'!L130-'Session Details'!L123)/'Session Details'!L123</f>
        <v>-7.7670029762231391E-2</v>
      </c>
      <c r="Q130" s="7">
        <f>('Session Details'!M130-'Session Details'!M123)/'Session Details'!M123</f>
        <v>-3.9215235901547865E-2</v>
      </c>
      <c r="R130" s="7">
        <f>('Session Details'!N130-'Session Details'!N123)/'Session Details'!N123</f>
        <v>-9.5239993887127668E-3</v>
      </c>
    </row>
    <row r="131" spans="1:18" hidden="1" x14ac:dyDescent="0.3">
      <c r="A131" s="2">
        <v>43594</v>
      </c>
      <c r="B131" s="3">
        <v>21065820</v>
      </c>
      <c r="C131" s="4">
        <f t="shared" si="11"/>
        <v>-1.0204062934193512E-2</v>
      </c>
      <c r="D131" s="3">
        <v>5108461</v>
      </c>
      <c r="E131" s="4">
        <f t="shared" si="12"/>
        <v>-7.6824976534170114E-2</v>
      </c>
      <c r="F131" s="3">
        <v>2063818</v>
      </c>
      <c r="G131" s="4">
        <f t="shared" si="13"/>
        <v>-4.8564376473495298E-2</v>
      </c>
      <c r="H131" s="3">
        <v>1506587</v>
      </c>
      <c r="I131" s="4">
        <f t="shared" si="14"/>
        <v>-6.7220049060215781E-2</v>
      </c>
      <c r="J131" s="3">
        <v>1210693</v>
      </c>
      <c r="K131" s="7">
        <f t="shared" ref="K131:K194" si="16">J131/B131</f>
        <v>5.7471914219337297E-2</v>
      </c>
      <c r="L131" s="7">
        <f t="shared" si="9"/>
        <v>-5.7604244424950046E-2</v>
      </c>
      <c r="M131" s="7">
        <f t="shared" si="10"/>
        <v>-1.0204062934193514E-2</v>
      </c>
      <c r="N131" s="7">
        <f t="shared" si="15"/>
        <v>-4.7888842250930708E-2</v>
      </c>
      <c r="O131" s="7">
        <f>('Session Details'!K131-'Session Details'!K124)/'Session Details'!K124</f>
        <v>-6.7307725870718774E-2</v>
      </c>
      <c r="P131" s="7">
        <f>('Session Details'!L131-'Session Details'!L124)/'Session Details'!L124</f>
        <v>3.0612396720372134E-2</v>
      </c>
      <c r="Q131" s="7">
        <f>('Session Details'!M131-'Session Details'!M124)/'Session Details'!M124</f>
        <v>-1.9607918944187775E-2</v>
      </c>
      <c r="R131" s="7">
        <f>('Session Details'!N131-'Session Details'!N124)/'Session Details'!N124</f>
        <v>1.0308759987366569E-2</v>
      </c>
    </row>
    <row r="132" spans="1:18" hidden="1" x14ac:dyDescent="0.3">
      <c r="A132" s="2">
        <v>43595</v>
      </c>
      <c r="B132" s="3">
        <v>21065820</v>
      </c>
      <c r="C132" s="4">
        <f t="shared" si="11"/>
        <v>1.041669564536709E-2</v>
      </c>
      <c r="D132" s="3">
        <v>5213790</v>
      </c>
      <c r="E132" s="4">
        <f t="shared" si="12"/>
        <v>-9.5916195994782197E-3</v>
      </c>
      <c r="F132" s="3">
        <v>2168936</v>
      </c>
      <c r="G132" s="4">
        <f t="shared" si="13"/>
        <v>9.8280727451512621E-3</v>
      </c>
      <c r="H132" s="3">
        <v>1583323</v>
      </c>
      <c r="I132" s="4">
        <f t="shared" si="14"/>
        <v>2.0027895260704726E-2</v>
      </c>
      <c r="J132" s="3">
        <v>1337275</v>
      </c>
      <c r="K132" s="7">
        <f t="shared" si="16"/>
        <v>6.3480794955999814E-2</v>
      </c>
      <c r="L132" s="7">
        <f t="shared" si="9"/>
        <v>6.1241770520528371E-2</v>
      </c>
      <c r="M132" s="7">
        <f t="shared" si="10"/>
        <v>1.0416695645367069E-2</v>
      </c>
      <c r="N132" s="7">
        <f t="shared" si="15"/>
        <v>5.030110358845441E-2</v>
      </c>
      <c r="O132" s="7">
        <f>('Session Details'!K132-'Session Details'!K125)/'Session Details'!K125</f>
        <v>-1.9802043385739595E-2</v>
      </c>
      <c r="P132" s="7">
        <f>('Session Details'!L132-'Session Details'!L125)/'Session Details'!L125</f>
        <v>1.9607762544149799E-2</v>
      </c>
      <c r="Q132" s="7">
        <f>('Session Details'!M132-'Session Details'!M125)/'Session Details'!M125</f>
        <v>1.0100553540590286E-2</v>
      </c>
      <c r="R132" s="7">
        <f>('Session Details'!N132-'Session Details'!N125)/'Session Details'!N125</f>
        <v>4.0404655060232518E-2</v>
      </c>
    </row>
    <row r="133" spans="1:18" hidden="1" x14ac:dyDescent="0.3">
      <c r="A133" s="2">
        <v>43596</v>
      </c>
      <c r="B133" s="3">
        <v>45787545</v>
      </c>
      <c r="C133" s="4">
        <f t="shared" si="11"/>
        <v>6.25E-2</v>
      </c>
      <c r="D133" s="3">
        <v>10096153</v>
      </c>
      <c r="E133" s="4">
        <f t="shared" si="12"/>
        <v>8.3131089703909325E-2</v>
      </c>
      <c r="F133" s="3">
        <v>3398365</v>
      </c>
      <c r="G133" s="4">
        <f t="shared" si="13"/>
        <v>0.11697898510449271</v>
      </c>
      <c r="H133" s="3">
        <v>2218452</v>
      </c>
      <c r="I133" s="4">
        <f t="shared" si="14"/>
        <v>0.1169789508981843</v>
      </c>
      <c r="J133" s="3">
        <v>1678481</v>
      </c>
      <c r="K133" s="7">
        <f t="shared" si="16"/>
        <v>3.6658025670518041E-2</v>
      </c>
      <c r="L133" s="7">
        <f t="shared" si="9"/>
        <v>0.12861441428720322</v>
      </c>
      <c r="M133" s="7">
        <f t="shared" si="10"/>
        <v>6.25E-2</v>
      </c>
      <c r="N133" s="7">
        <f t="shared" si="15"/>
        <v>6.2225331093838321E-2</v>
      </c>
      <c r="O133" s="7">
        <f>('Session Details'!K133-'Session Details'!K126)/'Session Details'!K126</f>
        <v>1.9417496191914706E-2</v>
      </c>
      <c r="P133" s="7">
        <f>('Session Details'!L133-'Session Details'!L126)/'Session Details'!L126</f>
        <v>3.1250045098268037E-2</v>
      </c>
      <c r="Q133" s="7">
        <f>('Session Details'!M133-'Session Details'!M126)/'Session Details'!M126</f>
        <v>-3.0623949731961275E-8</v>
      </c>
      <c r="R133" s="7">
        <f>('Session Details'!N133-'Session Details'!N126)/'Session Details'!N126</f>
        <v>1.0416904794546551E-2</v>
      </c>
    </row>
    <row r="134" spans="1:18" hidden="1" x14ac:dyDescent="0.3">
      <c r="A134" s="2">
        <v>43597</v>
      </c>
      <c r="B134" s="3">
        <v>42645263</v>
      </c>
      <c r="C134" s="4">
        <f t="shared" si="11"/>
        <v>-3.0612233532244702E-2</v>
      </c>
      <c r="D134" s="3">
        <v>8955505</v>
      </c>
      <c r="E134" s="4">
        <f t="shared" si="12"/>
        <v>9.778912044026809E-3</v>
      </c>
      <c r="F134" s="3">
        <v>3166666</v>
      </c>
      <c r="G134" s="4">
        <f t="shared" si="13"/>
        <v>9.7786989795918371E-3</v>
      </c>
      <c r="H134" s="3">
        <v>2088733</v>
      </c>
      <c r="I134" s="4">
        <f t="shared" si="14"/>
        <v>9.7790433187253598E-3</v>
      </c>
      <c r="J134" s="3">
        <v>1564043</v>
      </c>
      <c r="K134" s="7">
        <f t="shared" si="16"/>
        <v>3.6675656098075889E-2</v>
      </c>
      <c r="L134" s="7">
        <f t="shared" si="9"/>
        <v>2.0408256467735919E-2</v>
      </c>
      <c r="M134" s="7">
        <f t="shared" si="10"/>
        <v>-3.0612233532244737E-2</v>
      </c>
      <c r="N134" s="7">
        <f t="shared" si="15"/>
        <v>5.2631662751314368E-2</v>
      </c>
      <c r="O134" s="7">
        <f>('Session Details'!K134-'Session Details'!K127)/'Session Details'!K127</f>
        <v>4.1666654948048554E-2</v>
      </c>
      <c r="P134" s="7">
        <f>('Session Details'!L134-'Session Details'!L127)/'Session Details'!L127</f>
        <v>-2.1100107402946526E-7</v>
      </c>
      <c r="Q134" s="7">
        <f>('Session Details'!M134-'Session Details'!M127)/'Session Details'!M127</f>
        <v>3.4100455271643502E-7</v>
      </c>
      <c r="R134" s="7">
        <f>('Session Details'!N134-'Session Details'!N127)/'Session Details'!N127</f>
        <v>1.0526276237697413E-2</v>
      </c>
    </row>
    <row r="135" spans="1:18" hidden="1" x14ac:dyDescent="0.3">
      <c r="A135" s="2">
        <v>43598</v>
      </c>
      <c r="B135" s="3">
        <v>20848646</v>
      </c>
      <c r="C135" s="4">
        <f t="shared" si="11"/>
        <v>-4.000001841846193E-2</v>
      </c>
      <c r="D135" s="3">
        <v>5420648</v>
      </c>
      <c r="E135" s="4">
        <f t="shared" si="12"/>
        <v>5.0947406951864609E-2</v>
      </c>
      <c r="F135" s="3">
        <v>2059846</v>
      </c>
      <c r="G135" s="4">
        <f t="shared" si="13"/>
        <v>5.0947734910757152E-2</v>
      </c>
      <c r="H135" s="3">
        <v>1428503</v>
      </c>
      <c r="I135" s="4">
        <f t="shared" si="14"/>
        <v>-1.5998132502837588E-3</v>
      </c>
      <c r="J135" s="3">
        <v>1229941</v>
      </c>
      <c r="K135" s="7">
        <f t="shared" si="16"/>
        <v>5.8993807079845854E-2</v>
      </c>
      <c r="L135" s="7">
        <f t="shared" si="9"/>
        <v>5.8909167924360961E-2</v>
      </c>
      <c r="M135" s="7">
        <f t="shared" si="10"/>
        <v>-4.0000018418461902E-2</v>
      </c>
      <c r="N135" s="7">
        <f t="shared" si="15"/>
        <v>0.10303040441717126</v>
      </c>
      <c r="O135" s="7">
        <f>('Session Details'!K135-'Session Details'!K128)/'Session Details'!K128</f>
        <v>9.4736903245035919E-2</v>
      </c>
      <c r="P135" s="7">
        <f>('Session Details'!L135-'Session Details'!L128)/'Session Details'!L128</f>
        <v>3.1206023284715942E-7</v>
      </c>
      <c r="Q135" s="7">
        <f>('Session Details'!M135-'Session Details'!M128)/'Session Details'!M128</f>
        <v>-5.0000153590419101E-2</v>
      </c>
      <c r="R135" s="7">
        <f>('Session Details'!N135-'Session Details'!N128)/'Session Details'!N128</f>
        <v>6.0605939359477931E-2</v>
      </c>
    </row>
    <row r="136" spans="1:18" hidden="1" x14ac:dyDescent="0.3">
      <c r="A136" s="2">
        <v>43599</v>
      </c>
      <c r="B136" s="3">
        <v>22803207</v>
      </c>
      <c r="C136" s="4">
        <f t="shared" si="11"/>
        <v>2.9411755411675868E-2</v>
      </c>
      <c r="D136" s="3">
        <v>5700801</v>
      </c>
      <c r="E136" s="4">
        <f t="shared" si="12"/>
        <v>-1.9607839765206712E-2</v>
      </c>
      <c r="F136" s="3">
        <v>2280320</v>
      </c>
      <c r="G136" s="4">
        <f t="shared" si="13"/>
        <v>-3.883124793198578E-2</v>
      </c>
      <c r="H136" s="3">
        <v>1731219</v>
      </c>
      <c r="I136" s="4">
        <f t="shared" si="14"/>
        <v>3.0531665642813264E-2</v>
      </c>
      <c r="J136" s="3">
        <v>1433796</v>
      </c>
      <c r="K136" s="7">
        <f t="shared" si="16"/>
        <v>6.287694533492591E-2</v>
      </c>
      <c r="L136" s="7">
        <f t="shared" si="9"/>
        <v>9.5618126577945217E-2</v>
      </c>
      <c r="M136" s="7">
        <f t="shared" si="10"/>
        <v>2.9411755411675955E-2</v>
      </c>
      <c r="N136" s="7">
        <f t="shared" si="15"/>
        <v>6.4314761142194588E-2</v>
      </c>
      <c r="O136" s="7">
        <f>('Session Details'!K136-'Session Details'!K129)/'Session Details'!K129</f>
        <v>-4.7619035744621896E-2</v>
      </c>
      <c r="P136" s="7">
        <f>('Session Details'!L136-'Session Details'!L129)/'Session Details'!L129</f>
        <v>-1.9607876262673529E-2</v>
      </c>
      <c r="Q136" s="7">
        <f>('Session Details'!M136-'Session Details'!M129)/'Session Details'!M129</f>
        <v>7.2165177473321254E-2</v>
      </c>
      <c r="R136" s="7">
        <f>('Session Details'!N136-'Session Details'!N129)/'Session Details'!N129</f>
        <v>6.3158137789519536E-2</v>
      </c>
    </row>
    <row r="137" spans="1:18" hidden="1" x14ac:dyDescent="0.3">
      <c r="A137" s="2">
        <v>43600</v>
      </c>
      <c r="B137" s="3">
        <v>21934513</v>
      </c>
      <c r="C137" s="4">
        <f t="shared" si="11"/>
        <v>-3.809525563663041E-2</v>
      </c>
      <c r="D137" s="3">
        <v>5483628</v>
      </c>
      <c r="E137" s="4">
        <f t="shared" si="12"/>
        <v>-4.7618981456314373E-2</v>
      </c>
      <c r="F137" s="3">
        <v>2303123</v>
      </c>
      <c r="G137" s="4">
        <f t="shared" si="13"/>
        <v>5.2631506782323499E-2</v>
      </c>
      <c r="H137" s="3">
        <v>1647654</v>
      </c>
      <c r="I137" s="4">
        <f t="shared" si="14"/>
        <v>5.2631108203558229E-2</v>
      </c>
      <c r="J137" s="3">
        <v>1283523</v>
      </c>
      <c r="K137" s="7">
        <f t="shared" si="16"/>
        <v>5.8516138470911118E-2</v>
      </c>
      <c r="L137" s="7">
        <f t="shared" si="9"/>
        <v>-3.8461596087691285E-2</v>
      </c>
      <c r="M137" s="7">
        <f t="shared" si="10"/>
        <v>-3.809525563663041E-2</v>
      </c>
      <c r="N137" s="7">
        <f t="shared" si="15"/>
        <v>-3.808489907213275E-4</v>
      </c>
      <c r="O137" s="7">
        <f>('Session Details'!K137-'Session Details'!K130)/'Session Details'!K130</f>
        <v>-9.9009032604232428E-3</v>
      </c>
      <c r="P137" s="7">
        <f>('Session Details'!L137-'Session Details'!L130)/'Session Details'!L130</f>
        <v>0.10526300533785722</v>
      </c>
      <c r="Q137" s="7">
        <f>('Session Details'!M137-'Session Details'!M130)/'Session Details'!M130</f>
        <v>-3.7864985286076532E-7</v>
      </c>
      <c r="R137" s="7">
        <f>('Session Details'!N137-'Session Details'!N130)/'Session Details'!N130</f>
        <v>-8.6538107777101678E-2</v>
      </c>
    </row>
    <row r="138" spans="1:18" hidden="1" x14ac:dyDescent="0.3">
      <c r="A138" s="2">
        <v>43601</v>
      </c>
      <c r="B138" s="3">
        <v>21065820</v>
      </c>
      <c r="C138" s="4">
        <f t="shared" si="11"/>
        <v>0</v>
      </c>
      <c r="D138" s="3">
        <v>5424448</v>
      </c>
      <c r="E138" s="4">
        <f t="shared" si="12"/>
        <v>6.1855615614957227E-2</v>
      </c>
      <c r="F138" s="3">
        <v>2256570</v>
      </c>
      <c r="G138" s="4">
        <f t="shared" si="13"/>
        <v>9.3395832384444752E-2</v>
      </c>
      <c r="H138" s="3">
        <v>1680242</v>
      </c>
      <c r="I138" s="4">
        <f t="shared" si="14"/>
        <v>0.11526383806577384</v>
      </c>
      <c r="J138" s="3">
        <v>1377798</v>
      </c>
      <c r="K138" s="7">
        <f t="shared" si="16"/>
        <v>6.5404432393327203E-2</v>
      </c>
      <c r="L138" s="7">
        <f t="shared" ref="L138:L201" si="17">(J138/J131)-1</f>
        <v>0.13802425552968423</v>
      </c>
      <c r="M138" s="7">
        <f t="shared" ref="M138:M201" si="18">(B138/B131)-1</f>
        <v>0</v>
      </c>
      <c r="N138" s="7">
        <f t="shared" si="15"/>
        <v>0.13802425552968423</v>
      </c>
      <c r="O138" s="7">
        <f>('Session Details'!K138-'Session Details'!K131)/'Session Details'!K131</f>
        <v>6.1855615614957275E-2</v>
      </c>
      <c r="P138" s="7">
        <f>('Session Details'!L138-'Session Details'!L131)/'Session Details'!L131</f>
        <v>2.9702924112918656E-2</v>
      </c>
      <c r="Q138" s="7">
        <f>('Session Details'!M138-'Session Details'!M131)/'Session Details'!M131</f>
        <v>2.0000081428552724E-2</v>
      </c>
      <c r="R138" s="7">
        <f>('Session Details'!N138-'Session Details'!N131)/'Session Details'!N131</f>
        <v>2.0408101372124038E-2</v>
      </c>
    </row>
    <row r="139" spans="1:18" hidden="1" x14ac:dyDescent="0.3">
      <c r="A139" s="2">
        <v>43602</v>
      </c>
      <c r="B139" s="3">
        <v>20631473</v>
      </c>
      <c r="C139" s="4">
        <f t="shared" ref="C139:C202" si="19">(B139-B132)/B132</f>
        <v>-2.0618565999329722E-2</v>
      </c>
      <c r="D139" s="3">
        <v>5312604</v>
      </c>
      <c r="E139" s="4">
        <f t="shared" ref="E139:E202" si="20">(D139-D132)/D132</f>
        <v>1.8952431916130108E-2</v>
      </c>
      <c r="F139" s="3">
        <v>2082540</v>
      </c>
      <c r="G139" s="4">
        <f t="shared" ref="G139:G202" si="21">(F139-F132)/F132</f>
        <v>-3.983335607874091E-2</v>
      </c>
      <c r="H139" s="3">
        <v>1489849</v>
      </c>
      <c r="I139" s="4">
        <f t="shared" ref="I139:I202" si="22">(H139-H132)/H132</f>
        <v>-5.9036595817783234E-2</v>
      </c>
      <c r="J139" s="3">
        <v>1185026</v>
      </c>
      <c r="K139" s="7">
        <f t="shared" si="16"/>
        <v>5.7437779648598045E-2</v>
      </c>
      <c r="L139" s="7">
        <f t="shared" si="17"/>
        <v>-0.11385018040418016</v>
      </c>
      <c r="M139" s="7">
        <f t="shared" si="18"/>
        <v>-2.0618565999329763E-2</v>
      </c>
      <c r="N139" s="7">
        <f t="shared" ref="N139:N202" si="23">(K139/K132)-1</f>
        <v>-9.5194386138206633E-2</v>
      </c>
      <c r="O139" s="7">
        <f>('Session Details'!K139-'Session Details'!K132)/'Session Details'!K132</f>
        <v>4.0404071939383598E-2</v>
      </c>
      <c r="P139" s="7">
        <f>('Session Details'!L139-'Session Details'!L132)/'Session Details'!L132</f>
        <v>-5.7692377144951498E-2</v>
      </c>
      <c r="Q139" s="7">
        <f>('Session Details'!M139-'Session Details'!M132)/'Session Details'!M132</f>
        <v>-1.9999902996648184E-2</v>
      </c>
      <c r="R139" s="7">
        <f>('Session Details'!N139-'Session Details'!N132)/'Session Details'!N132</f>
        <v>-5.8252621029438414E-2</v>
      </c>
    </row>
    <row r="140" spans="1:18" hidden="1" x14ac:dyDescent="0.3">
      <c r="A140" s="2">
        <v>43603</v>
      </c>
      <c r="B140" s="3">
        <v>44889750</v>
      </c>
      <c r="C140" s="4">
        <f t="shared" si="19"/>
        <v>-1.9607843137254902E-2</v>
      </c>
      <c r="D140" s="3">
        <v>9332579</v>
      </c>
      <c r="E140" s="4">
        <f t="shared" si="20"/>
        <v>-7.5630193005197133E-2</v>
      </c>
      <c r="F140" s="3">
        <v>3331730</v>
      </c>
      <c r="G140" s="4">
        <f t="shared" si="21"/>
        <v>-1.9607958533000427E-2</v>
      </c>
      <c r="H140" s="3">
        <v>2152298</v>
      </c>
      <c r="I140" s="4">
        <f t="shared" si="22"/>
        <v>-2.9819892429495884E-2</v>
      </c>
      <c r="J140" s="3">
        <v>1745944</v>
      </c>
      <c r="K140" s="7">
        <f t="shared" si="16"/>
        <v>3.8894045968177589E-2</v>
      </c>
      <c r="L140" s="7">
        <f t="shared" si="17"/>
        <v>4.0192888689237538E-2</v>
      </c>
      <c r="M140" s="7">
        <f t="shared" si="18"/>
        <v>-1.9607843137254943E-2</v>
      </c>
      <c r="N140" s="7">
        <f t="shared" si="23"/>
        <v>6.0996746463022111E-2</v>
      </c>
      <c r="O140" s="7">
        <f>('Session Details'!K140-'Session Details'!K133)/'Session Details'!K133</f>
        <v>-5.7142796865301125E-2</v>
      </c>
      <c r="P140" s="7">
        <f>('Session Details'!L140-'Session Details'!L133)/'Session Details'!L133</f>
        <v>6.0605867963525774E-2</v>
      </c>
      <c r="Q140" s="7">
        <f>('Session Details'!M140-'Session Details'!M133)/'Session Details'!M133</f>
        <v>-1.0416173800447195E-2</v>
      </c>
      <c r="R140" s="7">
        <f>('Session Details'!N140-'Session Details'!N133)/'Session Details'!N133</f>
        <v>7.2164725469435975E-2</v>
      </c>
    </row>
    <row r="141" spans="1:18" hidden="1" x14ac:dyDescent="0.3">
      <c r="A141" s="2">
        <v>43604</v>
      </c>
      <c r="B141" s="3">
        <v>47134238</v>
      </c>
      <c r="C141" s="4">
        <f t="shared" si="19"/>
        <v>0.10526315666056509</v>
      </c>
      <c r="D141" s="3">
        <v>9403280</v>
      </c>
      <c r="E141" s="4">
        <f t="shared" si="20"/>
        <v>4.9999972084209657E-2</v>
      </c>
      <c r="F141" s="3">
        <v>3069230</v>
      </c>
      <c r="G141" s="4">
        <f t="shared" si="21"/>
        <v>-3.0769269635635713E-2</v>
      </c>
      <c r="H141" s="3">
        <v>2066206</v>
      </c>
      <c r="I141" s="4">
        <f t="shared" si="22"/>
        <v>-1.0785006987489545E-2</v>
      </c>
      <c r="J141" s="3">
        <v>1547175</v>
      </c>
      <c r="K141" s="7">
        <f t="shared" si="16"/>
        <v>3.2824865016381509E-2</v>
      </c>
      <c r="L141" s="7">
        <f t="shared" si="17"/>
        <v>-1.0784869725448676E-2</v>
      </c>
      <c r="M141" s="7">
        <f t="shared" si="18"/>
        <v>0.10526315666056507</v>
      </c>
      <c r="N141" s="7">
        <f t="shared" si="23"/>
        <v>-0.10499583351411135</v>
      </c>
      <c r="O141" s="7">
        <f>('Session Details'!K141-'Session Details'!K134)/'Session Details'!K134</f>
        <v>-5.0000024196343557E-2</v>
      </c>
      <c r="P141" s="7">
        <f>('Session Details'!L141-'Session Details'!L134)/'Session Details'!L134</f>
        <v>-7.6923089397346864E-2</v>
      </c>
      <c r="Q141" s="7">
        <f>('Session Details'!M141-'Session Details'!M134)/'Session Details'!M134</f>
        <v>2.061868451140985E-2</v>
      </c>
      <c r="R141" s="7">
        <f>('Session Details'!N141-'Session Details'!N134)/'Session Details'!N134</f>
        <v>1.387585527838792E-7</v>
      </c>
    </row>
    <row r="142" spans="1:18" hidden="1" x14ac:dyDescent="0.3">
      <c r="A142" s="2">
        <v>43605</v>
      </c>
      <c r="B142" s="3">
        <v>22368860</v>
      </c>
      <c r="C142" s="4">
        <f t="shared" si="19"/>
        <v>7.2916677658587517E-2</v>
      </c>
      <c r="D142" s="3">
        <v>5480370</v>
      </c>
      <c r="E142" s="4">
        <f t="shared" si="20"/>
        <v>1.1017501966554552E-2</v>
      </c>
      <c r="F142" s="3">
        <v>2148305</v>
      </c>
      <c r="G142" s="4">
        <f t="shared" si="21"/>
        <v>4.2944472547947761E-2</v>
      </c>
      <c r="H142" s="3">
        <v>1536897</v>
      </c>
      <c r="I142" s="4">
        <f t="shared" si="22"/>
        <v>7.5879434624918529E-2</v>
      </c>
      <c r="J142" s="3">
        <v>1310666</v>
      </c>
      <c r="K142" s="7">
        <f t="shared" si="16"/>
        <v>5.8593330192061643E-2</v>
      </c>
      <c r="L142" s="7">
        <f t="shared" si="17"/>
        <v>6.5633229561417927E-2</v>
      </c>
      <c r="M142" s="7">
        <f t="shared" si="18"/>
        <v>7.2916677658587448E-2</v>
      </c>
      <c r="N142" s="7">
        <f t="shared" si="23"/>
        <v>-6.7884564093682043E-3</v>
      </c>
      <c r="O142" s="7">
        <f>('Session Details'!K142-'Session Details'!K135)/'Session Details'!K135</f>
        <v>-5.7692435005404809E-2</v>
      </c>
      <c r="P142" s="7">
        <f>('Session Details'!L142-'Session Details'!L135)/'Session Details'!L135</f>
        <v>3.1579048354050447E-2</v>
      </c>
      <c r="Q142" s="7">
        <f>('Session Details'!M142-'Session Details'!M135)/'Session Details'!M135</f>
        <v>3.157882604862898E-2</v>
      </c>
      <c r="R142" s="7">
        <f>('Session Details'!N142-'Session Details'!N135)/'Session Details'!N135</f>
        <v>-9.5235625235950659E-3</v>
      </c>
    </row>
    <row r="143" spans="1:18" hidden="1" x14ac:dyDescent="0.3">
      <c r="A143" s="2">
        <v>43606</v>
      </c>
      <c r="B143" s="3">
        <v>22368860</v>
      </c>
      <c r="C143" s="4">
        <f t="shared" si="19"/>
        <v>-1.9047627818315205E-2</v>
      </c>
      <c r="D143" s="3">
        <v>5424448</v>
      </c>
      <c r="E143" s="4">
        <f t="shared" si="20"/>
        <v>-4.8476170278527526E-2</v>
      </c>
      <c r="F143" s="3">
        <v>2148081</v>
      </c>
      <c r="G143" s="4">
        <f t="shared" si="21"/>
        <v>-5.7991422256525399E-2</v>
      </c>
      <c r="H143" s="3">
        <v>1521056</v>
      </c>
      <c r="I143" s="4">
        <f t="shared" si="22"/>
        <v>-0.12139596434650959</v>
      </c>
      <c r="J143" s="3">
        <v>1234793</v>
      </c>
      <c r="K143" s="7">
        <f t="shared" si="16"/>
        <v>5.5201427341402286E-2</v>
      </c>
      <c r="L143" s="7">
        <f t="shared" si="17"/>
        <v>-0.13879450075185029</v>
      </c>
      <c r="M143" s="7">
        <f t="shared" si="18"/>
        <v>-1.9047627818315149E-2</v>
      </c>
      <c r="N143" s="7">
        <f t="shared" si="23"/>
        <v>-0.12207205602369087</v>
      </c>
      <c r="O143" s="7">
        <f>('Session Details'!K143-'Session Details'!K136)/'Session Details'!K136</f>
        <v>-2.9999970737378243E-2</v>
      </c>
      <c r="P143" s="7">
        <f>('Session Details'!L143-'Session Details'!L136)/'Session Details'!L136</f>
        <v>-1.000001437776192E-2</v>
      </c>
      <c r="Q143" s="7">
        <f>('Session Details'!M143-'Session Details'!M136)/'Session Details'!M136</f>
        <v>-6.7307818196163299E-2</v>
      </c>
      <c r="R143" s="7">
        <f>('Session Details'!N143-'Session Details'!N136)/'Session Details'!N136</f>
        <v>-1.9802477224453E-2</v>
      </c>
    </row>
    <row r="144" spans="1:18" hidden="1" x14ac:dyDescent="0.3">
      <c r="A144" s="2">
        <v>43607</v>
      </c>
      <c r="B144" s="3">
        <v>21934513</v>
      </c>
      <c r="C144" s="4">
        <f t="shared" si="19"/>
        <v>0</v>
      </c>
      <c r="D144" s="3">
        <v>5648137</v>
      </c>
      <c r="E144" s="4">
        <f t="shared" si="20"/>
        <v>3.0000029177763336E-2</v>
      </c>
      <c r="F144" s="3">
        <v>2372217</v>
      </c>
      <c r="G144" s="4">
        <f t="shared" si="21"/>
        <v>3.0000134599845515E-2</v>
      </c>
      <c r="H144" s="3">
        <v>1818304</v>
      </c>
      <c r="I144" s="4">
        <f t="shared" si="22"/>
        <v>0.10357150226928712</v>
      </c>
      <c r="J144" s="3">
        <v>1476099</v>
      </c>
      <c r="K144" s="7">
        <f t="shared" si="16"/>
        <v>6.7295727058084218E-2</v>
      </c>
      <c r="L144" s="7">
        <f t="shared" si="17"/>
        <v>0.15003704647287197</v>
      </c>
      <c r="M144" s="7">
        <f t="shared" si="18"/>
        <v>0</v>
      </c>
      <c r="N144" s="7">
        <f t="shared" si="23"/>
        <v>0.15003704647287197</v>
      </c>
      <c r="O144" s="7">
        <f>('Session Details'!K144-'Session Details'!K137)/'Session Details'!K137</f>
        <v>3.0000029177763433E-2</v>
      </c>
      <c r="P144" s="7">
        <f>('Session Details'!L144-'Session Details'!L137)/'Session Details'!L137</f>
        <v>1.02351533140465E-7</v>
      </c>
      <c r="Q144" s="7">
        <f>('Session Details'!M144-'Session Details'!M137)/'Session Details'!M137</f>
        <v>7.1428502966190383E-2</v>
      </c>
      <c r="R144" s="7">
        <f>('Session Details'!N144-'Session Details'!N137)/'Session Details'!N137</f>
        <v>4.210469743739953E-2</v>
      </c>
    </row>
    <row r="145" spans="1:18" hidden="1" x14ac:dyDescent="0.3">
      <c r="A145" s="2">
        <v>43608</v>
      </c>
      <c r="B145" s="3">
        <v>21065820</v>
      </c>
      <c r="C145" s="4">
        <f t="shared" si="19"/>
        <v>0</v>
      </c>
      <c r="D145" s="3">
        <v>5319119</v>
      </c>
      <c r="E145" s="4">
        <f t="shared" si="20"/>
        <v>-1.9417459619854409E-2</v>
      </c>
      <c r="F145" s="3">
        <v>2234030</v>
      </c>
      <c r="G145" s="4">
        <f t="shared" si="21"/>
        <v>-9.9886110335597831E-3</v>
      </c>
      <c r="H145" s="3">
        <v>1614533</v>
      </c>
      <c r="I145" s="4">
        <f t="shared" si="22"/>
        <v>-3.9106866748956401E-2</v>
      </c>
      <c r="J145" s="3">
        <v>1310678</v>
      </c>
      <c r="K145" s="7">
        <f t="shared" si="16"/>
        <v>6.2218228390824568E-2</v>
      </c>
      <c r="L145" s="7">
        <f t="shared" si="17"/>
        <v>-4.8715414015697567E-2</v>
      </c>
      <c r="M145" s="7">
        <f t="shared" si="18"/>
        <v>0</v>
      </c>
      <c r="N145" s="7">
        <f t="shared" si="23"/>
        <v>-4.8715414015697567E-2</v>
      </c>
      <c r="O145" s="7">
        <f>('Session Details'!K145-'Session Details'!K138)/'Session Details'!K138</f>
        <v>-1.9417459619854457E-2</v>
      </c>
      <c r="P145" s="7">
        <f>('Session Details'!L145-'Session Details'!L138)/'Session Details'!L138</f>
        <v>9.6155583013331197E-3</v>
      </c>
      <c r="Q145" s="7">
        <f>('Session Details'!M145-'Session Details'!M138)/'Session Details'!M138</f>
        <v>-2.9412041154188887E-2</v>
      </c>
      <c r="R145" s="7">
        <f>('Session Details'!N145-'Session Details'!N138)/'Session Details'!N138</f>
        <v>-9.9996003033470202E-3</v>
      </c>
    </row>
    <row r="146" spans="1:18" hidden="1" x14ac:dyDescent="0.3">
      <c r="A146" s="2">
        <v>43609</v>
      </c>
      <c r="B146" s="3">
        <v>22368860</v>
      </c>
      <c r="C146" s="4">
        <f t="shared" si="19"/>
        <v>8.4210516621862144E-2</v>
      </c>
      <c r="D146" s="3">
        <v>5312604</v>
      </c>
      <c r="E146" s="4">
        <f t="shared" si="20"/>
        <v>0</v>
      </c>
      <c r="F146" s="3">
        <v>2082540</v>
      </c>
      <c r="G146" s="4">
        <f t="shared" si="21"/>
        <v>0</v>
      </c>
      <c r="H146" s="3">
        <v>1505052</v>
      </c>
      <c r="I146" s="4">
        <f t="shared" si="22"/>
        <v>1.0204389840849643E-2</v>
      </c>
      <c r="J146" s="3">
        <v>1295850</v>
      </c>
      <c r="K146" s="7">
        <f t="shared" si="16"/>
        <v>5.7930980836752521E-2</v>
      </c>
      <c r="L146" s="7">
        <f t="shared" si="17"/>
        <v>9.352031094676394E-2</v>
      </c>
      <c r="M146" s="7">
        <f t="shared" si="18"/>
        <v>8.4210516621862075E-2</v>
      </c>
      <c r="N146" s="7">
        <f t="shared" si="23"/>
        <v>8.5867035803239844E-3</v>
      </c>
      <c r="O146" s="7">
        <f>('Session Details'!K146-'Session Details'!K139)/'Session Details'!K139</f>
        <v>-7.7669894666066983E-2</v>
      </c>
      <c r="P146" s="7">
        <f>('Session Details'!L146-'Session Details'!L139)/'Session Details'!L139</f>
        <v>0</v>
      </c>
      <c r="Q146" s="7">
        <f>('Session Details'!M146-'Session Details'!M139)/'Session Details'!M139</f>
        <v>1.0204389840849646E-2</v>
      </c>
      <c r="R146" s="7">
        <f>('Session Details'!N146-'Session Details'!N139)/'Session Details'!N139</f>
        <v>8.2474320982747054E-2</v>
      </c>
    </row>
    <row r="147" spans="1:18" hidden="1" x14ac:dyDescent="0.3">
      <c r="A147" s="2">
        <v>43610</v>
      </c>
      <c r="B147" s="3">
        <v>47134238</v>
      </c>
      <c r="C147" s="4">
        <f t="shared" si="19"/>
        <v>5.0000011138400191E-2</v>
      </c>
      <c r="D147" s="3">
        <v>9898190</v>
      </c>
      <c r="E147" s="4">
        <f t="shared" si="20"/>
        <v>6.060607684113898E-2</v>
      </c>
      <c r="F147" s="3">
        <v>3500000</v>
      </c>
      <c r="G147" s="4">
        <f t="shared" si="21"/>
        <v>5.0505293045955107E-2</v>
      </c>
      <c r="H147" s="3">
        <v>2475200</v>
      </c>
      <c r="I147" s="4">
        <f t="shared" si="22"/>
        <v>0.15002662270745037</v>
      </c>
      <c r="J147" s="3">
        <v>1853429</v>
      </c>
      <c r="K147" s="7">
        <f t="shared" si="16"/>
        <v>3.9322349923212929E-2</v>
      </c>
      <c r="L147" s="7">
        <f t="shared" si="17"/>
        <v>6.1562684713828197E-2</v>
      </c>
      <c r="M147" s="7">
        <f t="shared" si="18"/>
        <v>5.0000011138400247E-2</v>
      </c>
      <c r="N147" s="7">
        <f t="shared" si="23"/>
        <v>1.1012069955020243E-2</v>
      </c>
      <c r="O147" s="7">
        <f>('Session Details'!K147-'Session Details'!K140)/'Session Details'!K140</f>
        <v>1.0101014847837814E-2</v>
      </c>
      <c r="P147" s="7">
        <f>('Session Details'!L147-'Session Details'!L140)/'Session Details'!L140</f>
        <v>-9.523596003963717E-3</v>
      </c>
      <c r="Q147" s="7">
        <f>('Session Details'!M147-'Session Details'!M140)/'Session Details'!M140</f>
        <v>9.4736628478026816E-2</v>
      </c>
      <c r="R147" s="7">
        <f>('Session Details'!N147-'Session Details'!N140)/'Session Details'!N140</f>
        <v>-7.6923382682529448E-2</v>
      </c>
    </row>
    <row r="148" spans="1:18" hidden="1" x14ac:dyDescent="0.3">
      <c r="A148" s="2">
        <v>43611</v>
      </c>
      <c r="B148" s="3">
        <v>47134238</v>
      </c>
      <c r="C148" s="4">
        <f t="shared" si="19"/>
        <v>0</v>
      </c>
      <c r="D148" s="3">
        <v>9799208</v>
      </c>
      <c r="E148" s="4">
        <f t="shared" si="20"/>
        <v>4.2105307935103496E-2</v>
      </c>
      <c r="F148" s="3">
        <v>3365048</v>
      </c>
      <c r="G148" s="4">
        <f t="shared" si="21"/>
        <v>9.6381828667124983E-2</v>
      </c>
      <c r="H148" s="3">
        <v>2288232</v>
      </c>
      <c r="I148" s="4">
        <f t="shared" si="22"/>
        <v>0.10745588774788187</v>
      </c>
      <c r="J148" s="3">
        <v>1695580</v>
      </c>
      <c r="K148" s="7">
        <f t="shared" si="16"/>
        <v>3.5973425517136823E-2</v>
      </c>
      <c r="L148" s="7">
        <f t="shared" si="17"/>
        <v>9.5919983195178249E-2</v>
      </c>
      <c r="M148" s="7">
        <f t="shared" si="18"/>
        <v>0</v>
      </c>
      <c r="N148" s="7">
        <f t="shared" si="23"/>
        <v>9.5919983195178471E-2</v>
      </c>
      <c r="O148" s="7">
        <f>('Session Details'!K148-'Session Details'!K141)/'Session Details'!K141</f>
        <v>4.2105307935103503E-2</v>
      </c>
      <c r="P148" s="7">
        <f>('Session Details'!L148-'Session Details'!L141)/'Session Details'!L141</f>
        <v>5.2083527757447554E-2</v>
      </c>
      <c r="Q148" s="7">
        <f>('Session Details'!M148-'Session Details'!M141)/'Session Details'!M141</f>
        <v>1.0100549636270039E-2</v>
      </c>
      <c r="R148" s="7">
        <f>('Session Details'!N148-'Session Details'!N141)/'Session Details'!N141</f>
        <v>-1.0416581536410357E-2</v>
      </c>
    </row>
    <row r="149" spans="1:18" hidden="1" x14ac:dyDescent="0.3">
      <c r="A149" s="2">
        <v>43612</v>
      </c>
      <c r="B149" s="3">
        <v>21065820</v>
      </c>
      <c r="C149" s="4">
        <f t="shared" si="19"/>
        <v>-5.8252409823298996E-2</v>
      </c>
      <c r="D149" s="3">
        <v>5055796</v>
      </c>
      <c r="E149" s="4">
        <f t="shared" si="20"/>
        <v>-7.7471776540635029E-2</v>
      </c>
      <c r="F149" s="3">
        <v>1941425</v>
      </c>
      <c r="G149" s="4">
        <f t="shared" si="21"/>
        <v>-9.6299175396417178E-2</v>
      </c>
      <c r="H149" s="3">
        <v>1445585</v>
      </c>
      <c r="I149" s="4">
        <f t="shared" si="22"/>
        <v>-5.9413220274358011E-2</v>
      </c>
      <c r="J149" s="3">
        <v>1126111</v>
      </c>
      <c r="K149" s="7">
        <f t="shared" si="16"/>
        <v>5.3456784497351632E-2</v>
      </c>
      <c r="L149" s="7">
        <f t="shared" si="17"/>
        <v>-0.14081009196851069</v>
      </c>
      <c r="M149" s="7">
        <f t="shared" si="18"/>
        <v>-5.8252409823299045E-2</v>
      </c>
      <c r="N149" s="7">
        <f t="shared" si="23"/>
        <v>-8.7664341280365043E-2</v>
      </c>
      <c r="O149" s="7">
        <f>('Session Details'!K149-'Session Details'!K142)/'Session Details'!K142</f>
        <v>-2.0408193148367719E-2</v>
      </c>
      <c r="P149" s="7">
        <f>('Session Details'!L149-'Session Details'!L142)/'Session Details'!L142</f>
        <v>-2.0408480062736389E-2</v>
      </c>
      <c r="Q149" s="7">
        <f>('Session Details'!M149-'Session Details'!M142)/'Session Details'!M142</f>
        <v>4.0816555786855085E-2</v>
      </c>
      <c r="R149" s="7">
        <f>('Session Details'!N149-'Session Details'!N142)/'Session Details'!N142</f>
        <v>-8.6538396508076709E-2</v>
      </c>
    </row>
    <row r="150" spans="1:18" hidden="1" x14ac:dyDescent="0.3">
      <c r="A150" s="2">
        <v>43613</v>
      </c>
      <c r="B150" s="3">
        <v>22586034</v>
      </c>
      <c r="C150" s="4">
        <f t="shared" si="19"/>
        <v>9.7087647738865555E-3</v>
      </c>
      <c r="D150" s="3">
        <v>5477113</v>
      </c>
      <c r="E150" s="4">
        <f t="shared" si="20"/>
        <v>9.7088219852047627E-3</v>
      </c>
      <c r="F150" s="3">
        <v>2125119</v>
      </c>
      <c r="G150" s="4">
        <f t="shared" si="21"/>
        <v>-1.0689541036860341E-2</v>
      </c>
      <c r="H150" s="3">
        <v>1582364</v>
      </c>
      <c r="I150" s="4">
        <f t="shared" si="22"/>
        <v>4.0306208318431402E-2</v>
      </c>
      <c r="J150" s="3">
        <v>1232661</v>
      </c>
      <c r="K150" s="7">
        <f t="shared" si="16"/>
        <v>5.457624831344892E-2</v>
      </c>
      <c r="L150" s="7">
        <f t="shared" si="17"/>
        <v>-1.7266051880761024E-3</v>
      </c>
      <c r="M150" s="7">
        <f t="shared" si="18"/>
        <v>9.7087647738864913E-3</v>
      </c>
      <c r="N150" s="7">
        <f t="shared" si="23"/>
        <v>-1.1325414179724769E-2</v>
      </c>
      <c r="O150" s="7">
        <f>('Session Details'!K150-'Session Details'!K143)/'Session Details'!K143</f>
        <v>5.6661207821229865E-8</v>
      </c>
      <c r="P150" s="7">
        <f>('Session Details'!L150-'Session Details'!L143)/'Session Details'!L143</f>
        <v>-2.0202223232990663E-2</v>
      </c>
      <c r="Q150" s="7">
        <f>('Session Details'!M150-'Session Details'!M143)/'Session Details'!M143</f>
        <v>5.1546760567697324E-2</v>
      </c>
      <c r="R150" s="7">
        <f>('Session Details'!N150-'Session Details'!N143)/'Session Details'!N143</f>
        <v>-4.0404270560347809E-2</v>
      </c>
    </row>
    <row r="151" spans="1:18" hidden="1" x14ac:dyDescent="0.3">
      <c r="A151" s="2">
        <v>43614</v>
      </c>
      <c r="B151" s="3">
        <v>20631473</v>
      </c>
      <c r="C151" s="4">
        <f t="shared" si="19"/>
        <v>-5.9405923441290899E-2</v>
      </c>
      <c r="D151" s="3">
        <v>5261025</v>
      </c>
      <c r="E151" s="4">
        <f t="shared" si="20"/>
        <v>-6.8537997573359141E-2</v>
      </c>
      <c r="F151" s="3">
        <v>2146498</v>
      </c>
      <c r="G151" s="4">
        <f t="shared" si="21"/>
        <v>-9.5151075976607533E-2</v>
      </c>
      <c r="H151" s="3">
        <v>1535605</v>
      </c>
      <c r="I151" s="4">
        <f t="shared" si="22"/>
        <v>-0.15547400214705573</v>
      </c>
      <c r="J151" s="3">
        <v>1271788</v>
      </c>
      <c r="K151" s="7">
        <f t="shared" si="16"/>
        <v>6.1643102264196066E-2</v>
      </c>
      <c r="L151" s="7">
        <f t="shared" si="17"/>
        <v>-0.13841280293530445</v>
      </c>
      <c r="M151" s="7">
        <f t="shared" si="18"/>
        <v>-5.940592344129092E-2</v>
      </c>
      <c r="N151" s="7">
        <f t="shared" si="23"/>
        <v>-8.3996786140808966E-2</v>
      </c>
      <c r="O151" s="7">
        <f>('Session Details'!K151-'Session Details'!K144)/'Session Details'!K144</f>
        <v>-9.7088365317793187E-3</v>
      </c>
      <c r="P151" s="7">
        <f>('Session Details'!L151-'Session Details'!L144)/'Session Details'!L144</f>
        <v>-2.8571297953020183E-2</v>
      </c>
      <c r="Q151" s="7">
        <f>('Session Details'!M151-'Session Details'!M144)/'Session Details'!M144</f>
        <v>-6.6666295962671401E-2</v>
      </c>
      <c r="R151" s="7">
        <f>('Session Details'!N151-'Session Details'!N144)/'Session Details'!N144</f>
        <v>2.0202100651875991E-2</v>
      </c>
    </row>
    <row r="152" spans="1:18" hidden="1" x14ac:dyDescent="0.3">
      <c r="A152" s="2">
        <v>43615</v>
      </c>
      <c r="B152" s="3">
        <v>21500167</v>
      </c>
      <c r="C152" s="4">
        <f t="shared" si="19"/>
        <v>2.0618565999329722E-2</v>
      </c>
      <c r="D152" s="3">
        <v>5428792</v>
      </c>
      <c r="E152" s="4">
        <f t="shared" si="20"/>
        <v>2.0618640041706153E-2</v>
      </c>
      <c r="F152" s="3">
        <v>2128086</v>
      </c>
      <c r="G152" s="4">
        <f t="shared" si="21"/>
        <v>-4.7422818852029737E-2</v>
      </c>
      <c r="H152" s="3">
        <v>1569038</v>
      </c>
      <c r="I152" s="4">
        <f t="shared" si="22"/>
        <v>-2.8178426826828563E-2</v>
      </c>
      <c r="J152" s="3">
        <v>1260879</v>
      </c>
      <c r="K152" s="7">
        <f t="shared" si="16"/>
        <v>5.8645079361476588E-2</v>
      </c>
      <c r="L152" s="7">
        <f t="shared" si="17"/>
        <v>-3.7994839312172735E-2</v>
      </c>
      <c r="M152" s="7">
        <f t="shared" si="18"/>
        <v>2.0618565999329652E-2</v>
      </c>
      <c r="N152" s="7">
        <f t="shared" si="23"/>
        <v>-5.7429295590083362E-2</v>
      </c>
      <c r="O152" s="7">
        <f>('Session Details'!K152-'Session Details'!K145)/'Session Details'!K145</f>
        <v>7.2546570097994456E-8</v>
      </c>
      <c r="P152" s="7">
        <f>('Session Details'!L152-'Session Details'!L145)/'Session Details'!L145</f>
        <v>-6.6666878522770687E-2</v>
      </c>
      <c r="Q152" s="7">
        <f>('Session Details'!M152-'Session Details'!M145)/'Session Details'!M145</f>
        <v>2.0202449109697776E-2</v>
      </c>
      <c r="R152" s="7">
        <f>('Session Details'!N152-'Session Details'!N145)/'Session Details'!N145</f>
        <v>-1.0101044014995285E-2</v>
      </c>
    </row>
    <row r="153" spans="1:18" hidden="1" x14ac:dyDescent="0.3">
      <c r="A153" s="2">
        <v>43616</v>
      </c>
      <c r="B153" s="3">
        <v>22368860</v>
      </c>
      <c r="C153" s="4">
        <f t="shared" si="19"/>
        <v>0</v>
      </c>
      <c r="D153" s="3">
        <v>5368526</v>
      </c>
      <c r="E153" s="4">
        <f t="shared" si="20"/>
        <v>1.0526288050078643E-2</v>
      </c>
      <c r="F153" s="3">
        <v>2211832</v>
      </c>
      <c r="G153" s="4">
        <f t="shared" si="21"/>
        <v>6.2083801511615626E-2</v>
      </c>
      <c r="H153" s="3">
        <v>1598491</v>
      </c>
      <c r="I153" s="4">
        <f t="shared" si="22"/>
        <v>6.2083569205582265E-2</v>
      </c>
      <c r="J153" s="3">
        <v>1297655</v>
      </c>
      <c r="K153" s="7">
        <f t="shared" si="16"/>
        <v>5.8011673370927261E-2</v>
      </c>
      <c r="L153" s="7">
        <f t="shared" si="17"/>
        <v>1.3929081297989754E-3</v>
      </c>
      <c r="M153" s="7">
        <f t="shared" si="18"/>
        <v>0</v>
      </c>
      <c r="N153" s="7">
        <f t="shared" si="23"/>
        <v>1.3929081297989754E-3</v>
      </c>
      <c r="O153" s="7">
        <f>('Session Details'!K153-'Session Details'!K146)/'Session Details'!K146</f>
        <v>1.0526288050078662E-2</v>
      </c>
      <c r="P153" s="7">
        <f>('Session Details'!L153-'Session Details'!L146)/'Session Details'!L146</f>
        <v>5.1020457430180077E-2</v>
      </c>
      <c r="Q153" s="7">
        <f>('Session Details'!M153-'Session Details'!M146)/'Session Details'!M146</f>
        <v>-2.187266513325143E-7</v>
      </c>
      <c r="R153" s="7">
        <f>('Session Details'!N153-'Session Details'!N146)/'Session Details'!N146</f>
        <v>-5.7143018530244949E-2</v>
      </c>
    </row>
    <row r="154" spans="1:18" hidden="1" x14ac:dyDescent="0.3">
      <c r="A154" s="2">
        <v>43617</v>
      </c>
      <c r="B154" s="3">
        <v>46685340</v>
      </c>
      <c r="C154" s="4">
        <f t="shared" si="19"/>
        <v>-9.5238200307810224E-3</v>
      </c>
      <c r="D154" s="3">
        <v>10196078</v>
      </c>
      <c r="E154" s="4">
        <f t="shared" si="20"/>
        <v>3.0095199223292339E-2</v>
      </c>
      <c r="F154" s="3">
        <v>3570666</v>
      </c>
      <c r="G154" s="4">
        <f t="shared" si="21"/>
        <v>2.0190285714285713E-2</v>
      </c>
      <c r="H154" s="3">
        <v>2355211</v>
      </c>
      <c r="I154" s="4">
        <f t="shared" si="22"/>
        <v>-4.8476486748545572E-2</v>
      </c>
      <c r="J154" s="3">
        <v>1781953</v>
      </c>
      <c r="K154" s="7">
        <f t="shared" si="16"/>
        <v>3.8169433916514263E-2</v>
      </c>
      <c r="L154" s="7">
        <f t="shared" si="17"/>
        <v>-3.8564196416479901E-2</v>
      </c>
      <c r="M154" s="7">
        <f t="shared" si="18"/>
        <v>-9.523820030781005E-3</v>
      </c>
      <c r="N154" s="7">
        <f t="shared" si="23"/>
        <v>-2.9319611085045327E-2</v>
      </c>
      <c r="O154" s="7">
        <f>('Session Details'!K154-'Session Details'!K147)/'Session Details'!K147</f>
        <v>3.9999971786605221E-2</v>
      </c>
      <c r="P154" s="7">
        <f>('Session Details'!L154-'Session Details'!L147)/'Session Details'!L147</f>
        <v>-9.6155321532176118E-3</v>
      </c>
      <c r="Q154" s="7">
        <f>('Session Details'!M154-'Session Details'!M147)/'Session Details'!M147</f>
        <v>-6.7307808576862124E-2</v>
      </c>
      <c r="R154" s="7">
        <f>('Session Details'!N154-'Session Details'!N147)/'Session Details'!N147</f>
        <v>1.0417283644619892E-2</v>
      </c>
    </row>
    <row r="155" spans="1:18" hidden="1" x14ac:dyDescent="0.3">
      <c r="A155" s="2">
        <v>43618</v>
      </c>
      <c r="B155" s="3">
        <v>43543058</v>
      </c>
      <c r="C155" s="4">
        <f t="shared" si="19"/>
        <v>-7.6190475382247616E-2</v>
      </c>
      <c r="D155" s="3">
        <v>9144042</v>
      </c>
      <c r="E155" s="4">
        <f t="shared" si="20"/>
        <v>-6.6859076774367893E-2</v>
      </c>
      <c r="F155" s="3">
        <v>3046794</v>
      </c>
      <c r="G155" s="4">
        <f t="shared" si="21"/>
        <v>-9.4576362655153803E-2</v>
      </c>
      <c r="H155" s="3">
        <v>2175411</v>
      </c>
      <c r="I155" s="4">
        <f t="shared" si="22"/>
        <v>-4.9304878176688376E-2</v>
      </c>
      <c r="J155" s="3">
        <v>1713789</v>
      </c>
      <c r="K155" s="7">
        <f t="shared" si="16"/>
        <v>3.935848970460458E-2</v>
      </c>
      <c r="L155" s="7">
        <f t="shared" si="17"/>
        <v>1.0739098125715163E-2</v>
      </c>
      <c r="M155" s="7">
        <f t="shared" si="18"/>
        <v>-7.6190475382247658E-2</v>
      </c>
      <c r="N155" s="7">
        <f t="shared" si="23"/>
        <v>9.4099022787118125E-2</v>
      </c>
      <c r="O155" s="7">
        <f>('Session Details'!K155-'Session Details'!K148)/'Session Details'!K148</f>
        <v>1.0100998484228411E-2</v>
      </c>
      <c r="P155" s="7">
        <f>('Session Details'!L155-'Session Details'!L148)/'Session Details'!L148</f>
        <v>-2.9703215442501645E-2</v>
      </c>
      <c r="Q155" s="7">
        <f>('Session Details'!M155-'Session Details'!M148)/'Session Details'!M148</f>
        <v>5.0000334220591025E-2</v>
      </c>
      <c r="R155" s="7">
        <f>('Session Details'!N155-'Session Details'!N148)/'Session Details'!N148</f>
        <v>6.3157972439415483E-2</v>
      </c>
    </row>
    <row r="156" spans="1:18" hidden="1" x14ac:dyDescent="0.3">
      <c r="A156" s="2">
        <v>43619</v>
      </c>
      <c r="B156" s="3">
        <v>21500167</v>
      </c>
      <c r="C156" s="4">
        <f t="shared" si="19"/>
        <v>2.0618565999329722E-2</v>
      </c>
      <c r="D156" s="3">
        <v>5375041</v>
      </c>
      <c r="E156" s="4">
        <f t="shared" si="20"/>
        <v>6.3144359463870772E-2</v>
      </c>
      <c r="F156" s="3">
        <v>2150016</v>
      </c>
      <c r="G156" s="4">
        <f t="shared" si="21"/>
        <v>0.1074422138377738</v>
      </c>
      <c r="H156" s="3">
        <v>1506731</v>
      </c>
      <c r="I156" s="4">
        <f t="shared" si="22"/>
        <v>4.2298446649626273E-2</v>
      </c>
      <c r="J156" s="3">
        <v>1186099</v>
      </c>
      <c r="K156" s="7">
        <f t="shared" si="16"/>
        <v>5.5166966842629638E-2</v>
      </c>
      <c r="L156" s="7">
        <f t="shared" si="17"/>
        <v>5.3270059523439439E-2</v>
      </c>
      <c r="M156" s="7">
        <f t="shared" si="18"/>
        <v>2.0618565999329652E-2</v>
      </c>
      <c r="N156" s="7">
        <f t="shared" si="23"/>
        <v>3.1991867100849225E-2</v>
      </c>
      <c r="O156" s="7">
        <f>('Session Details'!K156-'Session Details'!K149)/'Session Details'!K149</f>
        <v>4.1666686146261039E-2</v>
      </c>
      <c r="P156" s="7">
        <f>('Session Details'!L156-'Session Details'!L149)/'Session Details'!L149</f>
        <v>4.1666829137147296E-2</v>
      </c>
      <c r="Q156" s="7">
        <f>('Session Details'!M156-'Session Details'!M149)/'Session Details'!M149</f>
        <v>-5.882362652801152E-2</v>
      </c>
      <c r="R156" s="7">
        <f>('Session Details'!N156-'Session Details'!N149)/'Session Details'!N149</f>
        <v>1.0526364026618686E-2</v>
      </c>
    </row>
    <row r="157" spans="1:18" hidden="1" x14ac:dyDescent="0.3">
      <c r="A157" s="2">
        <v>43620</v>
      </c>
      <c r="B157" s="3">
        <v>22368860</v>
      </c>
      <c r="C157" s="4">
        <f t="shared" si="19"/>
        <v>-9.6154110101844357E-3</v>
      </c>
      <c r="D157" s="3">
        <v>5759981</v>
      </c>
      <c r="E157" s="4">
        <f t="shared" si="20"/>
        <v>5.1645456283264557E-2</v>
      </c>
      <c r="F157" s="3">
        <v>2280952</v>
      </c>
      <c r="G157" s="4">
        <f t="shared" si="21"/>
        <v>7.3329070042665839E-2</v>
      </c>
      <c r="H157" s="3">
        <v>1715048</v>
      </c>
      <c r="I157" s="4">
        <f t="shared" si="22"/>
        <v>8.3851755980292778E-2</v>
      </c>
      <c r="J157" s="3">
        <v>1392276</v>
      </c>
      <c r="K157" s="7">
        <f t="shared" si="16"/>
        <v>6.2241705656881932E-2</v>
      </c>
      <c r="L157" s="7">
        <f t="shared" si="17"/>
        <v>0.12948815611104747</v>
      </c>
      <c r="M157" s="7">
        <f t="shared" si="18"/>
        <v>-9.6154110101844825E-3</v>
      </c>
      <c r="N157" s="7">
        <f t="shared" si="23"/>
        <v>0.14045409093362049</v>
      </c>
      <c r="O157" s="7">
        <f>('Session Details'!K157-'Session Details'!K150)/'Session Details'!K150</f>
        <v>6.1855634643845317E-2</v>
      </c>
      <c r="P157" s="7">
        <f>('Session Details'!L157-'Session Details'!L150)/'Session Details'!L150</f>
        <v>2.0618749056393652E-2</v>
      </c>
      <c r="Q157" s="7">
        <f>('Session Details'!M157-'Session Details'!M150)/'Session Details'!M150</f>
        <v>9.8037836031112761E-3</v>
      </c>
      <c r="R157" s="7">
        <f>('Session Details'!N157-'Session Details'!N150)/'Session Details'!N150</f>
        <v>4.2105758355743844E-2</v>
      </c>
    </row>
    <row r="158" spans="1:18" hidden="1" x14ac:dyDescent="0.3">
      <c r="A158" s="2">
        <v>43621</v>
      </c>
      <c r="B158" s="3">
        <v>22368860</v>
      </c>
      <c r="C158" s="4">
        <f t="shared" si="19"/>
        <v>8.4210516621862144E-2</v>
      </c>
      <c r="D158" s="3">
        <v>5536293</v>
      </c>
      <c r="E158" s="4">
        <f t="shared" si="20"/>
        <v>5.2322123540564813E-2</v>
      </c>
      <c r="F158" s="3">
        <v>2170226</v>
      </c>
      <c r="G158" s="4">
        <f t="shared" si="21"/>
        <v>1.1054284700009038E-2</v>
      </c>
      <c r="H158" s="3">
        <v>1536737</v>
      </c>
      <c r="I158" s="4">
        <f t="shared" si="22"/>
        <v>7.3716873805438243E-4</v>
      </c>
      <c r="J158" s="3">
        <v>1247523</v>
      </c>
      <c r="K158" s="7">
        <f t="shared" si="16"/>
        <v>5.5770522056108357E-2</v>
      </c>
      <c r="L158" s="7">
        <f t="shared" si="17"/>
        <v>-1.9079437767929863E-2</v>
      </c>
      <c r="M158" s="7">
        <f t="shared" si="18"/>
        <v>8.4210516621862075E-2</v>
      </c>
      <c r="N158" s="7">
        <f t="shared" si="23"/>
        <v>-9.5267434512274041E-2</v>
      </c>
      <c r="O158" s="7">
        <f>('Session Details'!K158-'Session Details'!K151)/'Session Details'!K151</f>
        <v>-2.9411624949602744E-2</v>
      </c>
      <c r="P158" s="7">
        <f>('Session Details'!L158-'Session Details'!L151)/'Session Details'!L151</f>
        <v>-3.9215975714459998E-2</v>
      </c>
      <c r="Q158" s="7">
        <f>('Session Details'!M158-'Session Details'!M151)/'Session Details'!M151</f>
        <v>-1.0204314563600185E-2</v>
      </c>
      <c r="R158" s="7">
        <f>('Session Details'!N158-'Session Details'!N151)/'Session Details'!N151</f>
        <v>-1.9802009083936849E-2</v>
      </c>
    </row>
    <row r="159" spans="1:18" hidden="1" x14ac:dyDescent="0.3">
      <c r="A159" s="2">
        <v>43622</v>
      </c>
      <c r="B159" s="3">
        <v>22368860</v>
      </c>
      <c r="C159" s="4">
        <f t="shared" si="19"/>
        <v>4.0404011745583182E-2</v>
      </c>
      <c r="D159" s="3">
        <v>5815903</v>
      </c>
      <c r="E159" s="4">
        <f t="shared" si="20"/>
        <v>7.1307023735667163E-2</v>
      </c>
      <c r="F159" s="3">
        <v>2326361</v>
      </c>
      <c r="G159" s="4">
        <f t="shared" si="21"/>
        <v>9.3170576753007162E-2</v>
      </c>
      <c r="H159" s="3">
        <v>1766173</v>
      </c>
      <c r="I159" s="4">
        <f t="shared" si="22"/>
        <v>0.12564067919323815</v>
      </c>
      <c r="J159" s="3">
        <v>1477227</v>
      </c>
      <c r="K159" s="7">
        <f t="shared" si="16"/>
        <v>6.6039440543684394E-2</v>
      </c>
      <c r="L159" s="7">
        <f t="shared" si="17"/>
        <v>0.17158506089799253</v>
      </c>
      <c r="M159" s="7">
        <f t="shared" si="18"/>
        <v>4.0404011745583279E-2</v>
      </c>
      <c r="N159" s="7">
        <f t="shared" si="23"/>
        <v>0.12608664294970828</v>
      </c>
      <c r="O159" s="7">
        <f>('Session Details'!K159-'Session Details'!K152)/'Session Details'!K152</f>
        <v>2.9702895837776799E-2</v>
      </c>
      <c r="P159" s="7">
        <f>('Session Details'!L159-'Session Details'!L152)/'Session Details'!L152</f>
        <v>2.0408298025622308E-2</v>
      </c>
      <c r="Q159" s="7">
        <f>('Session Details'!M159-'Session Details'!M152)/'Session Details'!M152</f>
        <v>2.9702686049852656E-2</v>
      </c>
      <c r="R159" s="7">
        <f>('Session Details'!N159-'Session Details'!N152)/'Session Details'!N152</f>
        <v>4.0816205876357821E-2</v>
      </c>
    </row>
    <row r="160" spans="1:18" hidden="1" x14ac:dyDescent="0.3">
      <c r="A160" s="2">
        <v>43623</v>
      </c>
      <c r="B160" s="3">
        <v>21065820</v>
      </c>
      <c r="C160" s="4">
        <f t="shared" si="19"/>
        <v>-5.8252409823298996E-2</v>
      </c>
      <c r="D160" s="3">
        <v>5477113</v>
      </c>
      <c r="E160" s="4">
        <f t="shared" si="20"/>
        <v>2.0226594785980361E-2</v>
      </c>
      <c r="F160" s="3">
        <v>2278479</v>
      </c>
      <c r="G160" s="4">
        <f t="shared" si="21"/>
        <v>3.0132035344456541E-2</v>
      </c>
      <c r="H160" s="3">
        <v>1596758</v>
      </c>
      <c r="I160" s="4">
        <f t="shared" si="22"/>
        <v>-1.084147486598298E-3</v>
      </c>
      <c r="J160" s="3">
        <v>1348621</v>
      </c>
      <c r="K160" s="7">
        <f t="shared" si="16"/>
        <v>6.4019392551536089E-2</v>
      </c>
      <c r="L160" s="7">
        <f t="shared" si="17"/>
        <v>3.9275462276182838E-2</v>
      </c>
      <c r="M160" s="7">
        <f t="shared" si="18"/>
        <v>-5.8252409823299045E-2</v>
      </c>
      <c r="N160" s="7">
        <f t="shared" si="23"/>
        <v>0.10356052207278021</v>
      </c>
      <c r="O160" s="7">
        <f>('Session Details'!K160-'Session Details'!K153)/'Session Details'!K153</f>
        <v>8.3333374492154888E-2</v>
      </c>
      <c r="P160" s="7">
        <f>('Session Details'!L160-'Session Details'!L153)/'Session Details'!L153</f>
        <v>9.7090593492654732E-3</v>
      </c>
      <c r="Q160" s="7">
        <f>('Session Details'!M160-'Session Details'!M153)/'Session Details'!M153</f>
        <v>-3.030308907985441E-2</v>
      </c>
      <c r="R160" s="7">
        <f>('Session Details'!N160-'Session Details'!N153)/'Session Details'!N153</f>
        <v>4.0403413021458293E-2</v>
      </c>
    </row>
    <row r="161" spans="1:18" hidden="1" x14ac:dyDescent="0.3">
      <c r="A161" s="2">
        <v>43624</v>
      </c>
      <c r="B161" s="3">
        <v>42645263</v>
      </c>
      <c r="C161" s="4">
        <f t="shared" si="19"/>
        <v>-8.6538450828461358E-2</v>
      </c>
      <c r="D161" s="3">
        <v>8597285</v>
      </c>
      <c r="E161" s="4">
        <f t="shared" si="20"/>
        <v>-0.15680470471096827</v>
      </c>
      <c r="F161" s="3">
        <v>2776923</v>
      </c>
      <c r="G161" s="4">
        <f t="shared" si="21"/>
        <v>-0.22229550453612856</v>
      </c>
      <c r="H161" s="3">
        <v>1926073</v>
      </c>
      <c r="I161" s="4">
        <f t="shared" si="22"/>
        <v>-0.18220787861469737</v>
      </c>
      <c r="J161" s="3">
        <v>1427220</v>
      </c>
      <c r="K161" s="7">
        <f t="shared" si="16"/>
        <v>3.3467257547456095E-2</v>
      </c>
      <c r="L161" s="7">
        <f t="shared" si="17"/>
        <v>-0.19906978466884373</v>
      </c>
      <c r="M161" s="7">
        <f t="shared" si="18"/>
        <v>-8.6538450828461344E-2</v>
      </c>
      <c r="N161" s="7">
        <f t="shared" si="23"/>
        <v>-0.12319219560193007</v>
      </c>
      <c r="O161" s="7">
        <f>('Session Details'!K161-'Session Details'!K154)/'Session Details'!K154</f>
        <v>-7.6923055980007787E-2</v>
      </c>
      <c r="P161" s="7">
        <f>('Session Details'!L161-'Session Details'!L154)/'Session Details'!L154</f>
        <v>-7.766978799699209E-2</v>
      </c>
      <c r="Q161" s="7">
        <f>('Session Details'!M161-'Session Details'!M154)/'Session Details'!M154</f>
        <v>5.1546090006231136E-2</v>
      </c>
      <c r="R161" s="7">
        <f>('Session Details'!N161-'Session Details'!N154)/'Session Details'!N154</f>
        <v>-2.0618816950184238E-2</v>
      </c>
    </row>
    <row r="162" spans="1:18" hidden="1" x14ac:dyDescent="0.3">
      <c r="A162" s="2">
        <v>43625</v>
      </c>
      <c r="B162" s="3">
        <v>44889750</v>
      </c>
      <c r="C162" s="4">
        <f t="shared" si="19"/>
        <v>3.0927823213518904E-2</v>
      </c>
      <c r="D162" s="3">
        <v>9803921</v>
      </c>
      <c r="E162" s="4">
        <f t="shared" si="20"/>
        <v>7.2164913503240696E-2</v>
      </c>
      <c r="F162" s="3">
        <v>3333333</v>
      </c>
      <c r="G162" s="4">
        <f t="shared" si="21"/>
        <v>9.4046069409352909E-2</v>
      </c>
      <c r="H162" s="3">
        <v>2153333</v>
      </c>
      <c r="I162" s="4">
        <f t="shared" si="22"/>
        <v>-1.0148886808056042E-2</v>
      </c>
      <c r="J162" s="3">
        <v>1646008</v>
      </c>
      <c r="K162" s="7">
        <f t="shared" si="16"/>
        <v>3.6667791645086018E-2</v>
      </c>
      <c r="L162" s="7">
        <f t="shared" si="17"/>
        <v>-3.9550376388225117E-2</v>
      </c>
      <c r="M162" s="7">
        <f t="shared" si="18"/>
        <v>3.0927823213518835E-2</v>
      </c>
      <c r="N162" s="7">
        <f t="shared" si="23"/>
        <v>-6.8363854398706181E-2</v>
      </c>
      <c r="O162" s="7">
        <f>('Session Details'!K162-'Session Details'!K155)/'Session Details'!K155</f>
        <v>3.9999978040345344E-2</v>
      </c>
      <c r="P162" s="7">
        <f>('Session Details'!L162-'Session Details'!L155)/'Session Details'!L155</f>
        <v>2.0408386462318295E-2</v>
      </c>
      <c r="Q162" s="7">
        <f>('Session Details'!M162-'Session Details'!M155)/'Session Details'!M155</f>
        <v>-9.5238179753857344E-2</v>
      </c>
      <c r="R162" s="7">
        <f>('Session Details'!N162-'Session Details'!N155)/'Session Details'!N155</f>
        <v>-2.9702941369999656E-2</v>
      </c>
    </row>
    <row r="163" spans="1:18" hidden="1" x14ac:dyDescent="0.3">
      <c r="A163" s="2">
        <v>43626</v>
      </c>
      <c r="B163" s="3">
        <v>21934513</v>
      </c>
      <c r="C163" s="4">
        <f t="shared" si="19"/>
        <v>2.0201982617158276E-2</v>
      </c>
      <c r="D163" s="3">
        <v>5319119</v>
      </c>
      <c r="E163" s="4">
        <f t="shared" si="20"/>
        <v>-1.0404013662407412E-2</v>
      </c>
      <c r="F163" s="3">
        <v>2212753</v>
      </c>
      <c r="G163" s="4">
        <f t="shared" si="21"/>
        <v>2.9179782848127642E-2</v>
      </c>
      <c r="H163" s="3">
        <v>1647616</v>
      </c>
      <c r="I163" s="4">
        <f t="shared" si="22"/>
        <v>9.350375083541787E-2</v>
      </c>
      <c r="J163" s="3">
        <v>1310514</v>
      </c>
      <c r="K163" s="7">
        <f t="shared" si="16"/>
        <v>5.9746664993200443E-2</v>
      </c>
      <c r="L163" s="7">
        <f t="shared" si="17"/>
        <v>0.10489427948257268</v>
      </c>
      <c r="M163" s="7">
        <f t="shared" si="18"/>
        <v>2.0201982617158221E-2</v>
      </c>
      <c r="N163" s="7">
        <f t="shared" si="23"/>
        <v>8.3015224738292037E-2</v>
      </c>
      <c r="O163" s="7">
        <f>('Session Details'!K163-'Session Details'!K156)/'Session Details'!K156</f>
        <v>-2.9999938052513029E-2</v>
      </c>
      <c r="P163" s="7">
        <f>('Session Details'!L163-'Session Details'!L156)/'Session Details'!L156</f>
        <v>3.9999956605554887E-2</v>
      </c>
      <c r="Q163" s="7">
        <f>('Session Details'!M163-'Session Details'!M156)/'Session Details'!M156</f>
        <v>6.2500224994006023E-2</v>
      </c>
      <c r="R163" s="7">
        <f>('Session Details'!N163-'Session Details'!N156)/'Session Details'!N156</f>
        <v>1.0416542822512176E-2</v>
      </c>
    </row>
    <row r="164" spans="1:18" hidden="1" x14ac:dyDescent="0.3">
      <c r="A164" s="2">
        <v>43627</v>
      </c>
      <c r="B164" s="3">
        <v>22368860</v>
      </c>
      <c r="C164" s="4">
        <f t="shared" si="19"/>
        <v>0</v>
      </c>
      <c r="D164" s="3">
        <v>5759981</v>
      </c>
      <c r="E164" s="4">
        <f t="shared" si="20"/>
        <v>0</v>
      </c>
      <c r="F164" s="3">
        <v>2350072</v>
      </c>
      <c r="G164" s="4">
        <f t="shared" si="21"/>
        <v>3.0303136585075004E-2</v>
      </c>
      <c r="H164" s="3">
        <v>1681241</v>
      </c>
      <c r="I164" s="4">
        <f t="shared" si="22"/>
        <v>-1.9711984737453413E-2</v>
      </c>
      <c r="J164" s="3">
        <v>1309687</v>
      </c>
      <c r="K164" s="7">
        <f t="shared" si="16"/>
        <v>5.8549563992085427E-2</v>
      </c>
      <c r="L164" s="7">
        <f t="shared" si="17"/>
        <v>-5.9319416552465198E-2</v>
      </c>
      <c r="M164" s="7">
        <f t="shared" si="18"/>
        <v>0</v>
      </c>
      <c r="N164" s="7">
        <f t="shared" si="23"/>
        <v>-5.9319416552465198E-2</v>
      </c>
      <c r="O164" s="7">
        <f>('Session Details'!K164-'Session Details'!K157)/'Session Details'!K157</f>
        <v>0</v>
      </c>
      <c r="P164" s="7">
        <f>('Session Details'!L164-'Session Details'!L157)/'Session Details'!L157</f>
        <v>3.0303136585075011E-2</v>
      </c>
      <c r="Q164" s="7">
        <f>('Session Details'!M164-'Session Details'!M157)/'Session Details'!M157</f>
        <v>-4.854408333483571E-2</v>
      </c>
      <c r="R164" s="7">
        <f>('Session Details'!N164-'Session Details'!N157)/'Session Details'!N157</f>
        <v>-4.0403872329709094E-2</v>
      </c>
    </row>
    <row r="165" spans="1:18" hidden="1" x14ac:dyDescent="0.3">
      <c r="A165" s="2">
        <v>43628</v>
      </c>
      <c r="B165" s="3">
        <v>21934513</v>
      </c>
      <c r="C165" s="4">
        <f t="shared" si="19"/>
        <v>-1.9417484842768028E-2</v>
      </c>
      <c r="D165" s="3">
        <v>5757809</v>
      </c>
      <c r="E165" s="4">
        <f t="shared" si="20"/>
        <v>4.0011610657167171E-2</v>
      </c>
      <c r="F165" s="3">
        <v>2418280</v>
      </c>
      <c r="G165" s="4">
        <f t="shared" si="21"/>
        <v>0.11429869515893737</v>
      </c>
      <c r="H165" s="3">
        <v>1853611</v>
      </c>
      <c r="I165" s="4">
        <f t="shared" si="22"/>
        <v>0.20619923903699852</v>
      </c>
      <c r="J165" s="3">
        <v>1443963</v>
      </c>
      <c r="K165" s="7">
        <f t="shared" si="16"/>
        <v>6.5830638683430087E-2</v>
      </c>
      <c r="L165" s="7">
        <f t="shared" si="17"/>
        <v>0.1574640307232813</v>
      </c>
      <c r="M165" s="7">
        <f t="shared" si="18"/>
        <v>-1.9417484842768062E-2</v>
      </c>
      <c r="N165" s="7">
        <f t="shared" si="23"/>
        <v>0.1803841215113724</v>
      </c>
      <c r="O165" s="7">
        <f>('Session Details'!K165-'Session Details'!K158)/'Session Details'!K158</f>
        <v>6.0605909835549109E-2</v>
      </c>
      <c r="P165" s="7">
        <f>('Session Details'!L165-'Session Details'!L158)/'Session Details'!L158</f>
        <v>7.1429091502958661E-2</v>
      </c>
      <c r="Q165" s="7">
        <f>('Session Details'!M165-'Session Details'!M158)/'Session Details'!M158</f>
        <v>8.2473886290383755E-2</v>
      </c>
      <c r="R165" s="7">
        <f>('Session Details'!N165-'Session Details'!N158)/'Session Details'!N158</f>
        <v>-4.0403945497948006E-2</v>
      </c>
    </row>
    <row r="166" spans="1:18" hidden="1" x14ac:dyDescent="0.3">
      <c r="A166" s="2">
        <v>43629</v>
      </c>
      <c r="B166" s="3">
        <v>21717340</v>
      </c>
      <c r="C166" s="4">
        <f t="shared" si="19"/>
        <v>-2.9126204911649498E-2</v>
      </c>
      <c r="D166" s="3">
        <v>5483628</v>
      </c>
      <c r="E166" s="4">
        <f t="shared" si="20"/>
        <v>-5.7132142678445637E-2</v>
      </c>
      <c r="F166" s="3">
        <v>2105713</v>
      </c>
      <c r="G166" s="4">
        <f t="shared" si="21"/>
        <v>-9.4846844492320836E-2</v>
      </c>
      <c r="H166" s="3">
        <v>1583285</v>
      </c>
      <c r="I166" s="4">
        <f t="shared" si="22"/>
        <v>-0.10355044494508749</v>
      </c>
      <c r="J166" s="3">
        <v>1350226</v>
      </c>
      <c r="K166" s="7">
        <f t="shared" si="16"/>
        <v>6.2172715443051495E-2</v>
      </c>
      <c r="L166" s="7">
        <f t="shared" si="17"/>
        <v>-8.5972568873978084E-2</v>
      </c>
      <c r="M166" s="7">
        <f t="shared" si="18"/>
        <v>-2.9126204911649523E-2</v>
      </c>
      <c r="N166" s="7">
        <f t="shared" si="23"/>
        <v>-5.8551754357687225E-2</v>
      </c>
      <c r="O166" s="7">
        <f>('Session Details'!K166-'Session Details'!K159)/'Session Details'!K159</f>
        <v>-2.8846115641886931E-2</v>
      </c>
      <c r="P166" s="7">
        <f>('Session Details'!L166-'Session Details'!L159)/'Session Details'!L159</f>
        <v>-3.9999986764861245E-2</v>
      </c>
      <c r="Q166" s="7">
        <f>('Session Details'!M166-'Session Details'!M159)/'Session Details'!M159</f>
        <v>-9.615610794490418E-3</v>
      </c>
      <c r="R166" s="7">
        <f>('Session Details'!N166-'Session Details'!N159)/'Session Details'!N159</f>
        <v>1.9608327063124837E-2</v>
      </c>
    </row>
    <row r="167" spans="1:18" hidden="1" x14ac:dyDescent="0.3">
      <c r="A167" s="2">
        <v>43630</v>
      </c>
      <c r="B167" s="3">
        <v>22368860</v>
      </c>
      <c r="C167" s="4">
        <f t="shared" si="19"/>
        <v>6.1855650527726909E-2</v>
      </c>
      <c r="D167" s="3">
        <v>5815903</v>
      </c>
      <c r="E167" s="4">
        <f t="shared" si="20"/>
        <v>6.185557975524697E-2</v>
      </c>
      <c r="F167" s="3">
        <v>2279834</v>
      </c>
      <c r="G167" s="4">
        <f t="shared" si="21"/>
        <v>5.9469496975833439E-4</v>
      </c>
      <c r="H167" s="3">
        <v>1647636</v>
      </c>
      <c r="I167" s="4">
        <f t="shared" si="22"/>
        <v>3.1863313038043337E-2</v>
      </c>
      <c r="J167" s="3">
        <v>1283508</v>
      </c>
      <c r="K167" s="7">
        <f t="shared" si="16"/>
        <v>5.7379231664018641E-2</v>
      </c>
      <c r="L167" s="7">
        <f t="shared" si="17"/>
        <v>-4.8281170173087862E-2</v>
      </c>
      <c r="M167" s="7">
        <f t="shared" si="18"/>
        <v>6.1855650527727013E-2</v>
      </c>
      <c r="N167" s="7">
        <f t="shared" si="23"/>
        <v>-0.1037210854847157</v>
      </c>
      <c r="O167" s="7">
        <f>('Session Details'!K167-'Session Details'!K160)/'Session Details'!K160</f>
        <v>-6.6649812463748604E-8</v>
      </c>
      <c r="P167" s="7">
        <f>('Session Details'!L167-'Session Details'!L160)/'Session Details'!L160</f>
        <v>-5.7692294464006984E-2</v>
      </c>
      <c r="Q167" s="7">
        <f>('Session Details'!M167-'Session Details'!M160)/'Session Details'!M160</f>
        <v>3.1250033830361242E-2</v>
      </c>
      <c r="R167" s="7">
        <f>('Session Details'!N167-'Session Details'!N160)/'Session Details'!N160</f>
        <v>-7.7669670196110929E-2</v>
      </c>
    </row>
    <row r="168" spans="1:18" hidden="1" x14ac:dyDescent="0.3">
      <c r="A168" s="2">
        <v>43631</v>
      </c>
      <c r="B168" s="3">
        <v>44440853</v>
      </c>
      <c r="C168" s="4">
        <f t="shared" si="19"/>
        <v>4.2105262664226033E-2</v>
      </c>
      <c r="D168" s="3">
        <v>8865950</v>
      </c>
      <c r="E168" s="4">
        <f t="shared" si="20"/>
        <v>3.124998182565775E-2</v>
      </c>
      <c r="F168" s="3">
        <v>3135000</v>
      </c>
      <c r="G168" s="4">
        <f t="shared" si="21"/>
        <v>0.12894739969383379</v>
      </c>
      <c r="H168" s="3">
        <v>2110482</v>
      </c>
      <c r="I168" s="4">
        <f t="shared" si="22"/>
        <v>9.5743515432696477E-2</v>
      </c>
      <c r="J168" s="3">
        <v>1613252</v>
      </c>
      <c r="K168" s="7">
        <f t="shared" si="16"/>
        <v>3.6301103401413112E-2</v>
      </c>
      <c r="L168" s="7">
        <f t="shared" si="17"/>
        <v>0.13034570703885873</v>
      </c>
      <c r="M168" s="7">
        <f t="shared" si="18"/>
        <v>4.2105262664225984E-2</v>
      </c>
      <c r="N168" s="7">
        <f t="shared" si="23"/>
        <v>8.4675173934962045E-2</v>
      </c>
      <c r="O168" s="7">
        <f>('Session Details'!K168-'Session Details'!K161)/'Session Details'!K161</f>
        <v>-1.0416683637904179E-2</v>
      </c>
      <c r="P168" s="7">
        <f>('Session Details'!L168-'Session Details'!L161)/'Session Details'!L161</f>
        <v>9.4736891723594313E-2</v>
      </c>
      <c r="Q168" s="7">
        <f>('Session Details'!M168-'Session Details'!M161)/'Session Details'!M161</f>
        <v>-2.9411365197476967E-2</v>
      </c>
      <c r="R168" s="7">
        <f>('Session Details'!N168-'Session Details'!N161)/'Session Details'!N161</f>
        <v>3.1578732722409311E-2</v>
      </c>
    </row>
    <row r="169" spans="1:18" hidden="1" x14ac:dyDescent="0.3">
      <c r="A169" s="2">
        <v>43632</v>
      </c>
      <c r="B169" s="3">
        <v>45787545</v>
      </c>
      <c r="C169" s="4">
        <f t="shared" si="19"/>
        <v>0.02</v>
      </c>
      <c r="D169" s="3">
        <v>9230769</v>
      </c>
      <c r="E169" s="4">
        <f t="shared" si="20"/>
        <v>-5.8461507390767428E-2</v>
      </c>
      <c r="F169" s="3">
        <v>3201230</v>
      </c>
      <c r="G169" s="4">
        <f t="shared" si="21"/>
        <v>-3.9630903963090394E-2</v>
      </c>
      <c r="H169" s="3">
        <v>2133300</v>
      </c>
      <c r="I169" s="4">
        <f t="shared" si="22"/>
        <v>-9.303252214125729E-3</v>
      </c>
      <c r="J169" s="3">
        <v>1697253</v>
      </c>
      <c r="K169" s="7">
        <f t="shared" si="16"/>
        <v>3.7068006157569708E-2</v>
      </c>
      <c r="L169" s="7">
        <f t="shared" si="17"/>
        <v>3.113289850353107E-2</v>
      </c>
      <c r="M169" s="7">
        <f t="shared" si="18"/>
        <v>2.0000000000000018E-2</v>
      </c>
      <c r="N169" s="7">
        <f t="shared" si="23"/>
        <v>1.0914606376010827E-2</v>
      </c>
      <c r="O169" s="7">
        <f>('Session Details'!K169-'Session Details'!K162)/'Session Details'!K162</f>
        <v>-7.6923046461536734E-2</v>
      </c>
      <c r="P169" s="7">
        <f>('Session Details'!L169-'Session Details'!L162)/'Session Details'!L162</f>
        <v>1.999982324195039E-2</v>
      </c>
      <c r="Q169" s="7">
        <f>('Session Details'!M169-'Session Details'!M162)/'Session Details'!M162</f>
        <v>3.1579162505453083E-2</v>
      </c>
      <c r="R169" s="7">
        <f>('Session Details'!N169-'Session Details'!N162)/'Session Details'!N162</f>
        <v>4.0815871060471472E-2</v>
      </c>
    </row>
    <row r="170" spans="1:18" hidden="1" x14ac:dyDescent="0.3">
      <c r="A170" s="2">
        <v>43633</v>
      </c>
      <c r="B170" s="3">
        <v>22586034</v>
      </c>
      <c r="C170" s="4">
        <f t="shared" si="19"/>
        <v>2.9703007310898581E-2</v>
      </c>
      <c r="D170" s="3">
        <v>5928833</v>
      </c>
      <c r="E170" s="4">
        <f t="shared" si="20"/>
        <v>0.11462687712006443</v>
      </c>
      <c r="F170" s="3">
        <v>2252956</v>
      </c>
      <c r="G170" s="4">
        <f t="shared" si="21"/>
        <v>1.8168769853661931E-2</v>
      </c>
      <c r="H170" s="3">
        <v>1611765</v>
      </c>
      <c r="I170" s="4">
        <f t="shared" si="22"/>
        <v>-2.1759317705096332E-2</v>
      </c>
      <c r="J170" s="3">
        <v>1361297</v>
      </c>
      <c r="K170" s="7">
        <f t="shared" si="16"/>
        <v>6.0271626262494778E-2</v>
      </c>
      <c r="L170" s="7">
        <f t="shared" si="17"/>
        <v>3.8750444482088753E-2</v>
      </c>
      <c r="M170" s="7">
        <f t="shared" si="18"/>
        <v>2.9703007310898588E-2</v>
      </c>
      <c r="N170" s="7">
        <f t="shared" si="23"/>
        <v>8.786453090797286E-3</v>
      </c>
      <c r="O170" s="7">
        <f>('Session Details'!K170-'Session Details'!K163)/'Session Details'!K163</f>
        <v>8.2474139830811116E-2</v>
      </c>
      <c r="P170" s="7">
        <f>('Session Details'!L170-'Session Details'!L163)/'Session Details'!L163</f>
        <v>-8.65384724219352E-2</v>
      </c>
      <c r="Q170" s="7">
        <f>('Session Details'!M170-'Session Details'!M163)/'Session Details'!M163</f>
        <v>-3.9215588555615313E-2</v>
      </c>
      <c r="R170" s="7">
        <f>('Session Details'!N170-'Session Details'!N163)/'Session Details'!N163</f>
        <v>6.1855700015697852E-2</v>
      </c>
    </row>
    <row r="171" spans="1:18" hidden="1" x14ac:dyDescent="0.3">
      <c r="A171" s="2">
        <v>43634</v>
      </c>
      <c r="B171" s="3">
        <v>21065820</v>
      </c>
      <c r="C171" s="4">
        <f t="shared" si="19"/>
        <v>-5.8252409823298996E-2</v>
      </c>
      <c r="D171" s="3">
        <v>5529777</v>
      </c>
      <c r="E171" s="4">
        <f t="shared" si="20"/>
        <v>-3.9966104054857128E-2</v>
      </c>
      <c r="F171" s="3">
        <v>2101315</v>
      </c>
      <c r="G171" s="4">
        <f t="shared" si="21"/>
        <v>-0.10585079946486746</v>
      </c>
      <c r="H171" s="3">
        <v>1579979</v>
      </c>
      <c r="I171" s="4">
        <f t="shared" si="22"/>
        <v>-6.023050829714479E-2</v>
      </c>
      <c r="J171" s="3">
        <v>1256715</v>
      </c>
      <c r="K171" s="7">
        <f t="shared" si="16"/>
        <v>5.965659062880059E-2</v>
      </c>
      <c r="L171" s="7">
        <f t="shared" si="17"/>
        <v>-4.0446305109541392E-2</v>
      </c>
      <c r="M171" s="7">
        <f t="shared" si="18"/>
        <v>-5.8252409823299045E-2</v>
      </c>
      <c r="N171" s="7">
        <f t="shared" si="23"/>
        <v>1.8907512904191792E-2</v>
      </c>
      <c r="O171" s="7">
        <f>('Session Details'!K171-'Session Details'!K164)/'Session Details'!K164</f>
        <v>1.9417417107497913E-2</v>
      </c>
      <c r="P171" s="7">
        <f>('Session Details'!L171-'Session Details'!L164)/'Session Details'!L164</f>
        <v>-6.8627467934502015E-2</v>
      </c>
      <c r="Q171" s="7">
        <f>('Session Details'!M171-'Session Details'!M164)/'Session Details'!M164</f>
        <v>5.1020893538147503E-2</v>
      </c>
      <c r="R171" s="7">
        <f>('Session Details'!N171-'Session Details'!N164)/'Session Details'!N164</f>
        <v>2.1052187118518424E-2</v>
      </c>
    </row>
    <row r="172" spans="1:18" hidden="1" x14ac:dyDescent="0.3">
      <c r="A172" s="2">
        <v>43635</v>
      </c>
      <c r="B172" s="3">
        <v>22151687</v>
      </c>
      <c r="C172" s="4">
        <f t="shared" si="19"/>
        <v>9.9010176337172382E-3</v>
      </c>
      <c r="D172" s="3">
        <v>5261025</v>
      </c>
      <c r="E172" s="4">
        <f t="shared" si="20"/>
        <v>-8.6280041592209811E-2</v>
      </c>
      <c r="F172" s="3">
        <v>2146498</v>
      </c>
      <c r="G172" s="4">
        <f t="shared" si="21"/>
        <v>-0.11238648957110012</v>
      </c>
      <c r="H172" s="3">
        <v>1519935</v>
      </c>
      <c r="I172" s="4">
        <f t="shared" si="22"/>
        <v>-0.18001403746525027</v>
      </c>
      <c r="J172" s="3">
        <v>1296201</v>
      </c>
      <c r="K172" s="7">
        <f t="shared" si="16"/>
        <v>5.8514775872374865E-2</v>
      </c>
      <c r="L172" s="7">
        <f t="shared" si="17"/>
        <v>-0.10233087689920028</v>
      </c>
      <c r="M172" s="7">
        <f t="shared" si="18"/>
        <v>9.9010176337173128E-3</v>
      </c>
      <c r="N172" s="7">
        <f t="shared" si="23"/>
        <v>-0.11113157881144275</v>
      </c>
      <c r="O172" s="7">
        <f>('Session Details'!K172-'Session Details'!K165)/'Session Details'!K165</f>
        <v>-9.5238105068244469E-2</v>
      </c>
      <c r="P172" s="7">
        <f>('Session Details'!L172-'Session Details'!L165)/'Session Details'!L165</f>
        <v>-2.8571607458791119E-2</v>
      </c>
      <c r="Q172" s="7">
        <f>('Session Details'!M172-'Session Details'!M165)/'Session Details'!M165</f>
        <v>-7.619030929517065E-2</v>
      </c>
      <c r="R172" s="7">
        <f>('Session Details'!N172-'Session Details'!N165)/'Session Details'!N165</f>
        <v>9.4737183458500795E-2</v>
      </c>
    </row>
    <row r="173" spans="1:18" x14ac:dyDescent="0.3">
      <c r="A173" s="11">
        <v>43636</v>
      </c>
      <c r="B173" s="12">
        <v>10207150</v>
      </c>
      <c r="C173" s="4">
        <f t="shared" si="19"/>
        <v>-0.52999999079076898</v>
      </c>
      <c r="D173" s="12">
        <v>2526269</v>
      </c>
      <c r="E173" s="4">
        <f t="shared" si="20"/>
        <v>-0.53930700623747641</v>
      </c>
      <c r="F173" s="12">
        <v>1040823</v>
      </c>
      <c r="G173" s="4">
        <f t="shared" si="21"/>
        <v>-0.50571469141331227</v>
      </c>
      <c r="H173" s="12">
        <v>729408</v>
      </c>
      <c r="I173" s="4">
        <f t="shared" si="22"/>
        <v>-0.53930719990399711</v>
      </c>
      <c r="J173" s="12">
        <v>616058</v>
      </c>
      <c r="K173" s="13">
        <f t="shared" si="16"/>
        <v>6.035553509059826E-2</v>
      </c>
      <c r="L173" s="13">
        <f t="shared" si="17"/>
        <v>-0.54373712252615491</v>
      </c>
      <c r="M173" s="13">
        <f t="shared" si="18"/>
        <v>-0.52999999079076909</v>
      </c>
      <c r="N173" s="13">
        <f t="shared" si="23"/>
        <v>-2.9227939289827587E-2</v>
      </c>
      <c r="O173" s="7">
        <f>('Session Details'!K173-'Session Details'!K166)/'Session Details'!K166</f>
        <v>-1.9802160136903536E-2</v>
      </c>
      <c r="P173" s="7">
        <f>('Session Details'!L173-'Session Details'!L166)/'Session Details'!L166</f>
        <v>7.2916921418345201E-2</v>
      </c>
      <c r="Q173" s="7">
        <f>('Session Details'!M173-'Session Details'!M166)/'Session Details'!M166</f>
        <v>-6.7961778161556158E-2</v>
      </c>
      <c r="R173" s="7">
        <f>('Session Details'!N173-'Session Details'!N166)/'Session Details'!N166</f>
        <v>-9.6157843604993843E-3</v>
      </c>
    </row>
    <row r="174" spans="1:18" hidden="1" x14ac:dyDescent="0.3">
      <c r="A174" s="2">
        <v>43637</v>
      </c>
      <c r="B174" s="3">
        <v>21065820</v>
      </c>
      <c r="C174" s="4">
        <f t="shared" si="19"/>
        <v>-5.8252409823298996E-2</v>
      </c>
      <c r="D174" s="3">
        <v>5108461</v>
      </c>
      <c r="E174" s="4">
        <f t="shared" si="20"/>
        <v>-0.12163923641780133</v>
      </c>
      <c r="F174" s="3">
        <v>2104686</v>
      </c>
      <c r="G174" s="4">
        <f t="shared" si="21"/>
        <v>-7.6824891636847248E-2</v>
      </c>
      <c r="H174" s="3">
        <v>1613241</v>
      </c>
      <c r="I174" s="4">
        <f t="shared" si="22"/>
        <v>-2.0875363247707626E-2</v>
      </c>
      <c r="J174" s="3">
        <v>1336086</v>
      </c>
      <c r="K174" s="7">
        <f t="shared" si="16"/>
        <v>6.342435281417956E-2</v>
      </c>
      <c r="L174" s="7">
        <f t="shared" si="17"/>
        <v>4.0964294729756157E-2</v>
      </c>
      <c r="M174" s="7">
        <f t="shared" si="18"/>
        <v>-5.8252409823299045E-2</v>
      </c>
      <c r="N174" s="7">
        <f t="shared" si="23"/>
        <v>0.10535381835640178</v>
      </c>
      <c r="O174" s="7">
        <f>('Session Details'!K174-'Session Details'!K167)/'Session Details'!K167</f>
        <v>-6.7307659988393567E-2</v>
      </c>
      <c r="P174" s="7">
        <f>('Session Details'!L174-'Session Details'!L167)/'Session Details'!L167</f>
        <v>5.1020431056356286E-2</v>
      </c>
      <c r="Q174" s="7">
        <f>('Session Details'!M174-'Session Details'!M167)/'Session Details'!M167</f>
        <v>6.0605542634638028E-2</v>
      </c>
      <c r="R174" s="7">
        <f>('Session Details'!N174-'Session Details'!N167)/'Session Details'!N167</f>
        <v>6.3158106390400884E-2</v>
      </c>
    </row>
    <row r="175" spans="1:18" hidden="1" x14ac:dyDescent="0.3">
      <c r="A175" s="2">
        <v>43638</v>
      </c>
      <c r="B175" s="3">
        <v>44889750</v>
      </c>
      <c r="C175" s="4">
        <f t="shared" si="19"/>
        <v>1.0100998736455397E-2</v>
      </c>
      <c r="D175" s="3">
        <v>9332579</v>
      </c>
      <c r="E175" s="4">
        <f t="shared" si="20"/>
        <v>5.2631584883740604E-2</v>
      </c>
      <c r="F175" s="3">
        <v>3014423</v>
      </c>
      <c r="G175" s="4">
        <f t="shared" si="21"/>
        <v>-3.8461562998405106E-2</v>
      </c>
      <c r="H175" s="3">
        <v>2131800</v>
      </c>
      <c r="I175" s="4">
        <f t="shared" si="22"/>
        <v>1.0101010101010102E-2</v>
      </c>
      <c r="J175" s="3">
        <v>1579663</v>
      </c>
      <c r="K175" s="7">
        <f t="shared" si="16"/>
        <v>3.51898373236652E-2</v>
      </c>
      <c r="L175" s="7">
        <f t="shared" si="17"/>
        <v>-2.0820677736646198E-2</v>
      </c>
      <c r="M175" s="7">
        <f t="shared" si="18"/>
        <v>1.0100998736455313E-2</v>
      </c>
      <c r="N175" s="7">
        <f t="shared" si="23"/>
        <v>-3.0612460052788726E-2</v>
      </c>
      <c r="O175" s="7">
        <f>('Session Details'!K175-'Session Details'!K168)/'Session Details'!K168</f>
        <v>4.2105280759535041E-2</v>
      </c>
      <c r="P175" s="7">
        <f>('Session Details'!L175-'Session Details'!L168)/'Session Details'!L168</f>
        <v>-8.6538489999999857E-2</v>
      </c>
      <c r="Q175" s="7">
        <f>('Session Details'!M175-'Session Details'!M168)/'Session Details'!M168</f>
        <v>5.0505077312197527E-2</v>
      </c>
      <c r="R175" s="7">
        <f>('Session Details'!N175-'Session Details'!N168)/'Session Details'!N168</f>
        <v>-3.0612470959279683E-2</v>
      </c>
    </row>
    <row r="176" spans="1:18" hidden="1" x14ac:dyDescent="0.3">
      <c r="A176" s="2">
        <v>43639</v>
      </c>
      <c r="B176" s="3">
        <v>43543058</v>
      </c>
      <c r="C176" s="4">
        <f t="shared" si="19"/>
        <v>-4.9019596923137065E-2</v>
      </c>
      <c r="D176" s="3">
        <v>8869720</v>
      </c>
      <c r="E176" s="4">
        <f t="shared" si="20"/>
        <v>-3.9113642644507736E-2</v>
      </c>
      <c r="F176" s="3">
        <v>3136333</v>
      </c>
      <c r="G176" s="4">
        <f t="shared" si="21"/>
        <v>-2.0272520250028896E-2</v>
      </c>
      <c r="H176" s="3">
        <v>2068725</v>
      </c>
      <c r="I176" s="4">
        <f t="shared" si="22"/>
        <v>-3.027000421881592E-2</v>
      </c>
      <c r="J176" s="3">
        <v>1662014</v>
      </c>
      <c r="K176" s="7">
        <f t="shared" si="16"/>
        <v>3.8169436790590136E-2</v>
      </c>
      <c r="L176" s="7">
        <f t="shared" si="17"/>
        <v>-2.0762373081679608E-2</v>
      </c>
      <c r="M176" s="7">
        <f t="shared" si="18"/>
        <v>-4.9019596923137065E-2</v>
      </c>
      <c r="N176" s="7">
        <f t="shared" si="23"/>
        <v>2.9713781430229513E-2</v>
      </c>
      <c r="O176" s="7">
        <f>('Session Details'!K176-'Session Details'!K169)/'Session Details'!K169</f>
        <v>1.0416570358946397E-2</v>
      </c>
      <c r="P176" s="7">
        <f>('Session Details'!L176-'Session Details'!L169)/'Session Details'!L169</f>
        <v>1.9608065251683321E-2</v>
      </c>
      <c r="Q176" s="7">
        <f>('Session Details'!M176-'Session Details'!M169)/'Session Details'!M169</f>
        <v>-1.0204351899303995E-2</v>
      </c>
      <c r="R176" s="7">
        <f>('Session Details'!N176-'Session Details'!N169)/'Session Details'!N169</f>
        <v>9.804410690088354E-3</v>
      </c>
    </row>
    <row r="177" spans="1:18" hidden="1" x14ac:dyDescent="0.3">
      <c r="A177" s="2">
        <v>43640</v>
      </c>
      <c r="B177" s="3">
        <v>21282993</v>
      </c>
      <c r="C177" s="4">
        <f t="shared" si="19"/>
        <v>-5.7692333235662356E-2</v>
      </c>
      <c r="D177" s="3">
        <v>5054710</v>
      </c>
      <c r="E177" s="4">
        <f t="shared" si="20"/>
        <v>-0.14743592879070805</v>
      </c>
      <c r="F177" s="3">
        <v>2042103</v>
      </c>
      <c r="G177" s="4">
        <f t="shared" si="21"/>
        <v>-9.3589488654017214E-2</v>
      </c>
      <c r="H177" s="3">
        <v>1460920</v>
      </c>
      <c r="I177" s="4">
        <f t="shared" si="22"/>
        <v>-9.3589946425192264E-2</v>
      </c>
      <c r="J177" s="3">
        <v>1233893</v>
      </c>
      <c r="K177" s="7">
        <f t="shared" si="16"/>
        <v>5.7975539436582062E-2</v>
      </c>
      <c r="L177" s="7">
        <f t="shared" si="17"/>
        <v>-9.3590157034063814E-2</v>
      </c>
      <c r="M177" s="7">
        <f t="shared" si="18"/>
        <v>-5.7692333235662363E-2</v>
      </c>
      <c r="N177" s="7">
        <f t="shared" si="23"/>
        <v>-3.8095650777910106E-2</v>
      </c>
      <c r="O177" s="7">
        <f>('Session Details'!K177-'Session Details'!K170)/'Session Details'!K170</f>
        <v>-9.5238103986996114E-2</v>
      </c>
      <c r="P177" s="7">
        <f>('Session Details'!L177-'Session Details'!L170)/'Session Details'!L170</f>
        <v>6.3158232859043706E-2</v>
      </c>
      <c r="Q177" s="7">
        <f>('Session Details'!M177-'Session Details'!M170)/'Session Details'!M170</f>
        <v>-5.0503736369758017E-7</v>
      </c>
      <c r="R177" s="7">
        <f>('Session Details'!N177-'Session Details'!N170)/'Session Details'!N170</f>
        <v>-2.3235495987376017E-7</v>
      </c>
    </row>
    <row r="178" spans="1:18" hidden="1" x14ac:dyDescent="0.3">
      <c r="A178" s="2">
        <v>43641</v>
      </c>
      <c r="B178" s="3">
        <v>22586034</v>
      </c>
      <c r="C178" s="4">
        <f t="shared" si="19"/>
        <v>7.2164957262522894E-2</v>
      </c>
      <c r="D178" s="3">
        <v>5646508</v>
      </c>
      <c r="E178" s="4">
        <f t="shared" si="20"/>
        <v>2.1109531180009609E-2</v>
      </c>
      <c r="F178" s="3">
        <v>2236017</v>
      </c>
      <c r="G178" s="4">
        <f t="shared" si="21"/>
        <v>6.4103668417157825E-2</v>
      </c>
      <c r="H178" s="3">
        <v>1632292</v>
      </c>
      <c r="I178" s="4">
        <f t="shared" si="22"/>
        <v>3.3109933739625654E-2</v>
      </c>
      <c r="J178" s="3">
        <v>1271556</v>
      </c>
      <c r="K178" s="7">
        <f t="shared" si="16"/>
        <v>5.6298330198210095E-2</v>
      </c>
      <c r="L178" s="7">
        <f t="shared" si="17"/>
        <v>1.1809360117449152E-2</v>
      </c>
      <c r="M178" s="7">
        <f t="shared" si="18"/>
        <v>7.2164957262522922E-2</v>
      </c>
      <c r="N178" s="7">
        <f t="shared" si="23"/>
        <v>-5.6293200720880954E-2</v>
      </c>
      <c r="O178" s="7">
        <f>('Session Details'!K178-'Session Details'!K171)/'Session Details'!K171</f>
        <v>-4.7619002781875412E-2</v>
      </c>
      <c r="P178" s="7">
        <f>('Session Details'!L178-'Session Details'!L171)/'Session Details'!L171</f>
        <v>4.2105313802588487E-2</v>
      </c>
      <c r="Q178" s="7">
        <f>('Session Details'!M178-'Session Details'!M171)/'Session Details'!M171</f>
        <v>-2.9126611999782791E-2</v>
      </c>
      <c r="R178" s="7">
        <f>('Session Details'!N178-'Session Details'!N171)/'Session Details'!N171</f>
        <v>-2.0617915796311573E-2</v>
      </c>
    </row>
    <row r="179" spans="1:18" hidden="1" x14ac:dyDescent="0.3">
      <c r="A179" s="2">
        <v>43642</v>
      </c>
      <c r="B179" s="3">
        <v>22368860</v>
      </c>
      <c r="C179" s="4">
        <f t="shared" si="19"/>
        <v>9.8039034227957438E-3</v>
      </c>
      <c r="D179" s="3">
        <v>5759981</v>
      </c>
      <c r="E179" s="4">
        <f t="shared" si="20"/>
        <v>9.4840073939964173E-2</v>
      </c>
      <c r="F179" s="3">
        <v>2234872</v>
      </c>
      <c r="G179" s="4">
        <f t="shared" si="21"/>
        <v>4.1171247306077158E-2</v>
      </c>
      <c r="H179" s="3">
        <v>1615142</v>
      </c>
      <c r="I179" s="4">
        <f t="shared" si="22"/>
        <v>6.2638862846108548E-2</v>
      </c>
      <c r="J179" s="3">
        <v>1324416</v>
      </c>
      <c r="K179" s="7">
        <f t="shared" si="16"/>
        <v>5.9208024011952333E-2</v>
      </c>
      <c r="L179" s="7">
        <f t="shared" si="17"/>
        <v>2.1767457361936859E-2</v>
      </c>
      <c r="M179" s="7">
        <f t="shared" si="18"/>
        <v>9.80390342279569E-3</v>
      </c>
      <c r="N179" s="7">
        <f t="shared" si="23"/>
        <v>1.1847403142917212E-2</v>
      </c>
      <c r="O179" s="7">
        <f>('Session Details'!K179-'Session Details'!K172)/'Session Details'!K172</f>
        <v>8.4210578141887468E-2</v>
      </c>
      <c r="P179" s="7">
        <f>('Session Details'!L179-'Session Details'!L172)/'Session Details'!L172</f>
        <v>-4.9019786461369431E-2</v>
      </c>
      <c r="Q179" s="7">
        <f>('Session Details'!M179-'Session Details'!M172)/'Session Details'!M172</f>
        <v>2.0618717233669766E-2</v>
      </c>
      <c r="R179" s="7">
        <f>('Session Details'!N179-'Session Details'!N172)/'Session Details'!N172</f>
        <v>-3.8462178368579659E-2</v>
      </c>
    </row>
    <row r="180" spans="1:18" x14ac:dyDescent="0.3">
      <c r="A180" s="11">
        <v>43643</v>
      </c>
      <c r="B180" s="12">
        <v>22368860</v>
      </c>
      <c r="C180" s="4">
        <f t="shared" si="19"/>
        <v>1.1914892991677402</v>
      </c>
      <c r="D180" s="12">
        <v>5759981</v>
      </c>
      <c r="E180" s="4">
        <f t="shared" si="20"/>
        <v>1.2800347073094749</v>
      </c>
      <c r="F180" s="12">
        <v>2234872</v>
      </c>
      <c r="G180" s="4">
        <f t="shared" si="21"/>
        <v>1.1472161933393095</v>
      </c>
      <c r="H180" s="12">
        <v>1680400</v>
      </c>
      <c r="I180" s="4">
        <f t="shared" si="22"/>
        <v>1.303786084057208</v>
      </c>
      <c r="J180" s="12">
        <v>1322811</v>
      </c>
      <c r="K180" s="13">
        <f t="shared" si="16"/>
        <v>5.9136272478794182E-2</v>
      </c>
      <c r="L180" s="13">
        <f t="shared" si="17"/>
        <v>1.1472182813955829</v>
      </c>
      <c r="M180" s="13">
        <f t="shared" si="18"/>
        <v>1.1914892991677402</v>
      </c>
      <c r="N180" s="13">
        <f t="shared" si="23"/>
        <v>-2.0201338783159994E-2</v>
      </c>
      <c r="O180" s="7">
        <f>('Session Details'!K180-'Session Details'!K173)/'Session Details'!K173</f>
        <v>4.0404216518584599E-2</v>
      </c>
      <c r="P180" s="7">
        <f>('Session Details'!L180-'Session Details'!L173)/'Session Details'!L173</f>
        <v>-5.8252847443228735E-2</v>
      </c>
      <c r="Q180" s="7">
        <f>('Session Details'!M180-'Session Details'!M173)/'Session Details'!M173</f>
        <v>7.2917618264793538E-2</v>
      </c>
      <c r="R180" s="7">
        <f>('Session Details'!N180-'Session Details'!N173)/'Session Details'!N173</f>
        <v>-6.7961085339092342E-2</v>
      </c>
    </row>
    <row r="181" spans="1:18" hidden="1" x14ac:dyDescent="0.3">
      <c r="A181" s="2">
        <v>43644</v>
      </c>
      <c r="B181" s="3">
        <v>21282993</v>
      </c>
      <c r="C181" s="4">
        <f t="shared" si="19"/>
        <v>1.0309259264533733E-2</v>
      </c>
      <c r="D181" s="3">
        <v>5373955</v>
      </c>
      <c r="E181" s="4">
        <f t="shared" si="20"/>
        <v>5.1971425444962777E-2</v>
      </c>
      <c r="F181" s="3">
        <v>2063599</v>
      </c>
      <c r="G181" s="4">
        <f t="shared" si="21"/>
        <v>-1.9521676867713285E-2</v>
      </c>
      <c r="H181" s="3">
        <v>1461234</v>
      </c>
      <c r="I181" s="4">
        <f t="shared" si="22"/>
        <v>-9.4224607482700978E-2</v>
      </c>
      <c r="J181" s="3">
        <v>1234158</v>
      </c>
      <c r="K181" s="7">
        <f t="shared" si="16"/>
        <v>5.7987990692850391E-2</v>
      </c>
      <c r="L181" s="7">
        <f t="shared" si="17"/>
        <v>-7.6288502386822388E-2</v>
      </c>
      <c r="M181" s="7">
        <f t="shared" si="18"/>
        <v>1.0309259264533743E-2</v>
      </c>
      <c r="N181" s="7">
        <f t="shared" si="23"/>
        <v>-8.5714112641505413E-2</v>
      </c>
      <c r="O181" s="7">
        <f>('Session Details'!K181-'Session Details'!K174)/'Session Details'!K174</f>
        <v>4.1237042814749228E-2</v>
      </c>
      <c r="P181" s="7">
        <f>('Session Details'!L181-'Session Details'!L174)/'Session Details'!L174</f>
        <v>-6.7961068697693833E-2</v>
      </c>
      <c r="Q181" s="7">
        <f>('Session Details'!M181-'Session Details'!M174)/'Session Details'!M174</f>
        <v>-7.6190292893307254E-2</v>
      </c>
      <c r="R181" s="7">
        <f>('Session Details'!N181-'Session Details'!N174)/'Session Details'!N174</f>
        <v>1.9801934612101987E-2</v>
      </c>
    </row>
    <row r="182" spans="1:18" hidden="1" x14ac:dyDescent="0.3">
      <c r="A182" s="2">
        <v>43645</v>
      </c>
      <c r="B182" s="3">
        <v>46685340</v>
      </c>
      <c r="C182" s="4">
        <f t="shared" si="19"/>
        <v>0.04</v>
      </c>
      <c r="D182" s="3">
        <v>9999999</v>
      </c>
      <c r="E182" s="4">
        <f t="shared" si="20"/>
        <v>7.1515065664057062E-2</v>
      </c>
      <c r="F182" s="3">
        <v>3502000</v>
      </c>
      <c r="G182" s="4">
        <f t="shared" si="21"/>
        <v>0.16174803602546822</v>
      </c>
      <c r="H182" s="3">
        <v>2286105</v>
      </c>
      <c r="I182" s="4">
        <f t="shared" si="22"/>
        <v>7.2382493667323383E-2</v>
      </c>
      <c r="J182" s="3">
        <v>1729667</v>
      </c>
      <c r="K182" s="7">
        <f t="shared" si="16"/>
        <v>3.7049467777250843E-2</v>
      </c>
      <c r="L182" s="7">
        <f t="shared" si="17"/>
        <v>9.4959494525097998E-2</v>
      </c>
      <c r="M182" s="7">
        <f t="shared" si="18"/>
        <v>4.0000000000000036E-2</v>
      </c>
      <c r="N182" s="7">
        <f t="shared" si="23"/>
        <v>5.2845667812594366E-2</v>
      </c>
      <c r="O182" s="7">
        <f>('Session Details'!K182-'Session Details'!K175)/'Session Details'!K175</f>
        <v>3.0302947753901025E-2</v>
      </c>
      <c r="P182" s="7">
        <f>('Session Details'!L182-'Session Details'!L175)/'Session Details'!L175</f>
        <v>8.4210640851316881E-2</v>
      </c>
      <c r="Q182" s="7">
        <f>('Session Details'!M182-'Session Details'!M175)/'Session Details'!M175</f>
        <v>-7.6923342744678963E-2</v>
      </c>
      <c r="R182" s="7">
        <f>('Session Details'!N182-'Session Details'!N175)/'Session Details'!N175</f>
        <v>2.1053123294251182E-2</v>
      </c>
    </row>
    <row r="183" spans="1:18" hidden="1" x14ac:dyDescent="0.3">
      <c r="A183" s="2">
        <v>43646</v>
      </c>
      <c r="B183" s="3">
        <v>43991955</v>
      </c>
      <c r="C183" s="4">
        <f t="shared" si="19"/>
        <v>1.0309266749248525E-2</v>
      </c>
      <c r="D183" s="3">
        <v>8776395</v>
      </c>
      <c r="E183" s="4">
        <f t="shared" si="20"/>
        <v>-1.052175265961045E-2</v>
      </c>
      <c r="F183" s="3">
        <v>3133173</v>
      </c>
      <c r="G183" s="4">
        <f t="shared" si="21"/>
        <v>-1.007546073710923E-3</v>
      </c>
      <c r="H183" s="3">
        <v>2066640</v>
      </c>
      <c r="I183" s="4">
        <f t="shared" si="22"/>
        <v>-1.0078671645578799E-3</v>
      </c>
      <c r="J183" s="3">
        <v>1692578</v>
      </c>
      <c r="K183" s="7">
        <f t="shared" si="16"/>
        <v>3.8474716570336555E-2</v>
      </c>
      <c r="L183" s="7">
        <f t="shared" si="17"/>
        <v>1.8389736789220734E-2</v>
      </c>
      <c r="M183" s="7">
        <f t="shared" si="18"/>
        <v>1.0309266749248591E-2</v>
      </c>
      <c r="N183" s="7">
        <f t="shared" si="23"/>
        <v>7.9980163558943662E-3</v>
      </c>
      <c r="O183" s="7">
        <f>('Session Details'!K183-'Session Details'!K176)/'Session Details'!K176</f>
        <v>-2.0618458223078961E-2</v>
      </c>
      <c r="P183" s="7">
        <f>('Session Details'!L183-'Session Details'!L176)/'Session Details'!L176</f>
        <v>9.6153772065961374E-3</v>
      </c>
      <c r="Q183" s="7">
        <f>('Session Details'!M183-'Session Details'!M176)/'Session Details'!M176</f>
        <v>-3.2141468699774305E-7</v>
      </c>
      <c r="R183" s="7">
        <f>('Session Details'!N183-'Session Details'!N176)/'Session Details'!N176</f>
        <v>1.9417173885766578E-2</v>
      </c>
    </row>
    <row r="184" spans="1:18" hidden="1" x14ac:dyDescent="0.3">
      <c r="A184" s="2">
        <v>43647</v>
      </c>
      <c r="B184" s="3">
        <v>21500167</v>
      </c>
      <c r="C184" s="4">
        <f t="shared" si="19"/>
        <v>1.0204109920066224E-2</v>
      </c>
      <c r="D184" s="3">
        <v>5213790</v>
      </c>
      <c r="E184" s="4">
        <f t="shared" si="20"/>
        <v>3.147163734417998E-2</v>
      </c>
      <c r="F184" s="3">
        <v>2189792</v>
      </c>
      <c r="G184" s="4">
        <f t="shared" si="21"/>
        <v>7.2322013140375382E-2</v>
      </c>
      <c r="H184" s="3">
        <v>1582562</v>
      </c>
      <c r="I184" s="4">
        <f t="shared" si="22"/>
        <v>8.3263970648632363E-2</v>
      </c>
      <c r="J184" s="3">
        <v>1297701</v>
      </c>
      <c r="K184" s="7">
        <f t="shared" si="16"/>
        <v>6.0357717221452278E-2</v>
      </c>
      <c r="L184" s="7">
        <f t="shared" si="17"/>
        <v>5.171274980893803E-2</v>
      </c>
      <c r="M184" s="7">
        <f t="shared" si="18"/>
        <v>1.0204109920066262E-2</v>
      </c>
      <c r="N184" s="7">
        <f t="shared" si="23"/>
        <v>4.1089359547503923E-2</v>
      </c>
      <c r="O184" s="7">
        <f>('Session Details'!K184-'Session Details'!K177)/'Session Details'!K177</f>
        <v>2.1052703325268162E-2</v>
      </c>
      <c r="P184" s="7">
        <f>('Session Details'!L184-'Session Details'!L177)/'Session Details'!L177</f>
        <v>3.96039738924635E-2</v>
      </c>
      <c r="Q184" s="7">
        <f>('Session Details'!M184-'Session Details'!M177)/'Session Details'!M177</f>
        <v>1.0203984786447304E-2</v>
      </c>
      <c r="R184" s="7">
        <f>('Session Details'!N184-'Session Details'!N177)/'Session Details'!N177</f>
        <v>-2.9126068709552123E-2</v>
      </c>
    </row>
    <row r="185" spans="1:18" hidden="1" x14ac:dyDescent="0.3">
      <c r="A185" s="2">
        <v>43648</v>
      </c>
      <c r="B185" s="3">
        <v>21934513</v>
      </c>
      <c r="C185" s="4">
        <f t="shared" si="19"/>
        <v>-2.8846188755405219E-2</v>
      </c>
      <c r="D185" s="3">
        <v>5264283</v>
      </c>
      <c r="E185" s="4">
        <f t="shared" si="20"/>
        <v>-6.7692279901135355E-2</v>
      </c>
      <c r="F185" s="3">
        <v>2105713</v>
      </c>
      <c r="G185" s="4">
        <f t="shared" si="21"/>
        <v>-5.8275048892740974E-2</v>
      </c>
      <c r="H185" s="3">
        <v>1583285</v>
      </c>
      <c r="I185" s="4">
        <f t="shared" si="22"/>
        <v>-3.0023427180921061E-2</v>
      </c>
      <c r="J185" s="3">
        <v>1311277</v>
      </c>
      <c r="K185" s="7">
        <f t="shared" si="16"/>
        <v>5.9781450356340256E-2</v>
      </c>
      <c r="L185" s="7">
        <f t="shared" si="17"/>
        <v>3.1238105124744786E-2</v>
      </c>
      <c r="M185" s="7">
        <f t="shared" si="18"/>
        <v>-2.8846188755405233E-2</v>
      </c>
      <c r="N185" s="7">
        <f t="shared" si="23"/>
        <v>6.1868978100542371E-2</v>
      </c>
      <c r="O185" s="7">
        <f>('Session Details'!K185-'Session Details'!K178)/'Session Details'!K178</f>
        <v>-3.9999936875031575E-2</v>
      </c>
      <c r="P185" s="7">
        <f>('Session Details'!L185-'Session Details'!L178)/'Session Details'!L178</f>
        <v>1.0100990054437974E-2</v>
      </c>
      <c r="Q185" s="7">
        <f>('Session Details'!M185-'Session Details'!M178)/'Session Details'!M178</f>
        <v>2.9999865330744585E-2</v>
      </c>
      <c r="R185" s="7">
        <f>('Session Details'!N185-'Session Details'!N178)/'Session Details'!N178</f>
        <v>6.3157744240790473E-2</v>
      </c>
    </row>
    <row r="186" spans="1:18" hidden="1" x14ac:dyDescent="0.3">
      <c r="A186" s="2">
        <v>43649</v>
      </c>
      <c r="B186" s="3">
        <v>22151687</v>
      </c>
      <c r="C186" s="4">
        <f t="shared" si="19"/>
        <v>-9.7087200688814723E-3</v>
      </c>
      <c r="D186" s="3">
        <v>5814817</v>
      </c>
      <c r="E186" s="4">
        <f t="shared" si="20"/>
        <v>9.5201702922283939E-3</v>
      </c>
      <c r="F186" s="3">
        <v>2302667</v>
      </c>
      <c r="G186" s="4">
        <f t="shared" si="21"/>
        <v>3.0335070643866851E-2</v>
      </c>
      <c r="H186" s="3">
        <v>1731375</v>
      </c>
      <c r="I186" s="4">
        <f t="shared" si="22"/>
        <v>7.1964570297843783E-2</v>
      </c>
      <c r="J186" s="3">
        <v>1462320</v>
      </c>
      <c r="K186" s="7">
        <f t="shared" si="16"/>
        <v>6.6013933837183597E-2</v>
      </c>
      <c r="L186" s="7">
        <f t="shared" si="17"/>
        <v>0.10412438387938527</v>
      </c>
      <c r="M186" s="7">
        <f t="shared" si="18"/>
        <v>-9.7087200688814601E-3</v>
      </c>
      <c r="N186" s="7">
        <f t="shared" si="23"/>
        <v>0.11494911270569252</v>
      </c>
      <c r="O186" s="7">
        <f>('Session Details'!K186-'Session Details'!K179)/'Session Details'!K179</f>
        <v>1.941740854513779E-2</v>
      </c>
      <c r="P186" s="7">
        <f>('Session Details'!L186-'Session Details'!L179)/'Session Details'!L179</f>
        <v>2.0618607695191592E-2</v>
      </c>
      <c r="Q186" s="7">
        <f>('Session Details'!M186-'Session Details'!M179)/'Session Details'!M179</f>
        <v>4.0403846127417833E-2</v>
      </c>
      <c r="R186" s="7">
        <f>('Session Details'!N186-'Session Details'!N179)/'Session Details'!N179</f>
        <v>3.0000817632066003E-2</v>
      </c>
    </row>
    <row r="187" spans="1:18" hidden="1" x14ac:dyDescent="0.3">
      <c r="A187" s="2">
        <v>43650</v>
      </c>
      <c r="B187" s="3">
        <v>22368860</v>
      </c>
      <c r="C187" s="4">
        <f t="shared" si="19"/>
        <v>0</v>
      </c>
      <c r="D187" s="3">
        <v>5759981</v>
      </c>
      <c r="E187" s="4">
        <f t="shared" si="20"/>
        <v>0</v>
      </c>
      <c r="F187" s="3">
        <v>2373112</v>
      </c>
      <c r="G187" s="4">
        <f t="shared" si="21"/>
        <v>6.1855891523093939E-2</v>
      </c>
      <c r="H187" s="3">
        <v>1645753</v>
      </c>
      <c r="I187" s="4">
        <f t="shared" si="22"/>
        <v>-2.06183051654368E-2</v>
      </c>
      <c r="J187" s="3">
        <v>1349517</v>
      </c>
      <c r="K187" s="7">
        <f t="shared" si="16"/>
        <v>6.0330164344539687E-2</v>
      </c>
      <c r="L187" s="7">
        <f t="shared" si="17"/>
        <v>2.0188825160964097E-2</v>
      </c>
      <c r="M187" s="7">
        <f t="shared" si="18"/>
        <v>0</v>
      </c>
      <c r="N187" s="7">
        <f t="shared" si="23"/>
        <v>2.0188825160964097E-2</v>
      </c>
      <c r="O187" s="7">
        <f>('Session Details'!K187-'Session Details'!K180)/'Session Details'!K180</f>
        <v>0</v>
      </c>
      <c r="P187" s="7">
        <f>('Session Details'!L187-'Session Details'!L180)/'Session Details'!L180</f>
        <v>6.1855891523093808E-2</v>
      </c>
      <c r="Q187" s="7">
        <f>('Session Details'!M187-'Session Details'!M180)/'Session Details'!M180</f>
        <v>-7.7669858355480195E-2</v>
      </c>
      <c r="R187" s="7">
        <f>('Session Details'!N187-'Session Details'!N180)/'Session Details'!N180</f>
        <v>4.1666217105777094E-2</v>
      </c>
    </row>
    <row r="188" spans="1:18" hidden="1" x14ac:dyDescent="0.3">
      <c r="A188" s="2">
        <v>43651</v>
      </c>
      <c r="B188" s="3">
        <v>20631473</v>
      </c>
      <c r="C188" s="4">
        <f t="shared" si="19"/>
        <v>-3.0612235788453249E-2</v>
      </c>
      <c r="D188" s="3">
        <v>4899974</v>
      </c>
      <c r="E188" s="4">
        <f t="shared" si="20"/>
        <v>-8.8199659282595405E-2</v>
      </c>
      <c r="F188" s="3">
        <v>2038389</v>
      </c>
      <c r="G188" s="4">
        <f t="shared" si="21"/>
        <v>-1.2216520748459367E-2</v>
      </c>
      <c r="H188" s="3">
        <v>1562425</v>
      </c>
      <c r="I188" s="4">
        <f t="shared" si="22"/>
        <v>6.925037331460944E-2</v>
      </c>
      <c r="J188" s="3">
        <v>1255565</v>
      </c>
      <c r="K188" s="7">
        <f t="shared" si="16"/>
        <v>6.0856779348716403E-2</v>
      </c>
      <c r="L188" s="7">
        <f t="shared" si="17"/>
        <v>1.7345429029346215E-2</v>
      </c>
      <c r="M188" s="7">
        <f t="shared" si="18"/>
        <v>-3.061223578845329E-2</v>
      </c>
      <c r="N188" s="7">
        <f t="shared" si="23"/>
        <v>4.9472116926095211E-2</v>
      </c>
      <c r="O188" s="7">
        <f>('Session Details'!K188-'Session Details'!K181)/'Session Details'!K181</f>
        <v>-5.9405973151498384E-2</v>
      </c>
      <c r="P188" s="7">
        <f>('Session Details'!L188-'Session Details'!L181)/'Session Details'!L181</f>
        <v>8.333308855132969E-2</v>
      </c>
      <c r="Q188" s="7">
        <f>('Session Details'!M188-'Session Details'!M181)/'Session Details'!M181</f>
        <v>8.2474444829546675E-2</v>
      </c>
      <c r="R188" s="7">
        <f>('Session Details'!N188-'Session Details'!N181)/'Session Details'!N181</f>
        <v>-4.8543302467467062E-2</v>
      </c>
    </row>
    <row r="189" spans="1:18" hidden="1" x14ac:dyDescent="0.3">
      <c r="A189" s="2">
        <v>43652</v>
      </c>
      <c r="B189" s="3">
        <v>44889750</v>
      </c>
      <c r="C189" s="4">
        <f t="shared" si="19"/>
        <v>-3.8461538461538464E-2</v>
      </c>
      <c r="D189" s="3">
        <v>9332579</v>
      </c>
      <c r="E189" s="4">
        <f t="shared" si="20"/>
        <v>-6.6742006674200674E-2</v>
      </c>
      <c r="F189" s="3">
        <v>3204807</v>
      </c>
      <c r="G189" s="4">
        <f t="shared" si="21"/>
        <v>-8.4863792118789264E-2</v>
      </c>
      <c r="H189" s="3">
        <v>2179269</v>
      </c>
      <c r="I189" s="4">
        <f t="shared" si="22"/>
        <v>-4.6732761618560825E-2</v>
      </c>
      <c r="J189" s="3">
        <v>1750824</v>
      </c>
      <c r="K189" s="7">
        <f t="shared" si="16"/>
        <v>3.9002756754047414E-2</v>
      </c>
      <c r="L189" s="7">
        <f t="shared" si="17"/>
        <v>1.2231834220112869E-2</v>
      </c>
      <c r="M189" s="7">
        <f t="shared" si="18"/>
        <v>-3.8461538461538436E-2</v>
      </c>
      <c r="N189" s="7">
        <f t="shared" si="23"/>
        <v>5.2721107588917349E-2</v>
      </c>
      <c r="O189" s="7">
        <f>('Session Details'!K189-'Session Details'!K182)/'Session Details'!K182</f>
        <v>-2.9411686941168698E-2</v>
      </c>
      <c r="P189" s="7">
        <f>('Session Details'!L189-'Session Details'!L182)/'Session Details'!L182</f>
        <v>-1.9417766120608283E-2</v>
      </c>
      <c r="Q189" s="7">
        <f>('Session Details'!M189-'Session Details'!M182)/'Session Details'!M182</f>
        <v>4.1667054774842845E-2</v>
      </c>
      <c r="R189" s="7">
        <f>('Session Details'!N189-'Session Details'!N182)/'Session Details'!N182</f>
        <v>6.1855263104174399E-2</v>
      </c>
    </row>
    <row r="190" spans="1:18" hidden="1" x14ac:dyDescent="0.3">
      <c r="A190" s="2">
        <v>43653</v>
      </c>
      <c r="B190" s="3">
        <v>43543058</v>
      </c>
      <c r="C190" s="4">
        <f t="shared" si="19"/>
        <v>-1.020407026693858E-2</v>
      </c>
      <c r="D190" s="3">
        <v>9144042</v>
      </c>
      <c r="E190" s="4">
        <f t="shared" si="20"/>
        <v>4.1890434512120295E-2</v>
      </c>
      <c r="F190" s="3">
        <v>3140064</v>
      </c>
      <c r="G190" s="4">
        <f t="shared" si="21"/>
        <v>2.1993678612703478E-3</v>
      </c>
      <c r="H190" s="3">
        <v>2135243</v>
      </c>
      <c r="I190" s="4">
        <f t="shared" si="22"/>
        <v>3.3195428328107457E-2</v>
      </c>
      <c r="J190" s="3">
        <v>1632180</v>
      </c>
      <c r="K190" s="7">
        <f t="shared" si="16"/>
        <v>3.748427590914722E-2</v>
      </c>
      <c r="L190" s="7">
        <f t="shared" si="17"/>
        <v>-3.5684027560325182E-2</v>
      </c>
      <c r="M190" s="7">
        <f t="shared" si="18"/>
        <v>-1.0204070266938592E-2</v>
      </c>
      <c r="N190" s="7">
        <f t="shared" si="23"/>
        <v>-2.5742636969883437E-2</v>
      </c>
      <c r="O190" s="7">
        <f>('Session Details'!K190-'Session Details'!K183)/'Session Details'!K183</f>
        <v>5.2631560924996171E-2</v>
      </c>
      <c r="P190" s="7">
        <f>('Session Details'!L190-'Session Details'!L183)/'Session Details'!L183</f>
        <v>-3.8095240474528204E-2</v>
      </c>
      <c r="Q190" s="7">
        <f>('Session Details'!M190-'Session Details'!M183)/'Session Details'!M183</f>
        <v>3.0928038333314662E-2</v>
      </c>
      <c r="R190" s="7">
        <f>('Session Details'!N190-'Session Details'!N183)/'Session Details'!N183</f>
        <v>-6.6666435022744538E-2</v>
      </c>
    </row>
    <row r="191" spans="1:18" hidden="1" x14ac:dyDescent="0.3">
      <c r="A191" s="2">
        <v>43654</v>
      </c>
      <c r="B191" s="3">
        <v>21282993</v>
      </c>
      <c r="C191" s="4">
        <f t="shared" si="19"/>
        <v>-1.0101037819845771E-2</v>
      </c>
      <c r="D191" s="3">
        <v>5267540</v>
      </c>
      <c r="E191" s="4">
        <f t="shared" si="20"/>
        <v>1.0309199258121252E-2</v>
      </c>
      <c r="F191" s="3">
        <v>2022735</v>
      </c>
      <c r="G191" s="4">
        <f t="shared" si="21"/>
        <v>-7.628898087124257E-2</v>
      </c>
      <c r="H191" s="3">
        <v>1535660</v>
      </c>
      <c r="I191" s="4">
        <f t="shared" si="22"/>
        <v>-2.9636753567948679E-2</v>
      </c>
      <c r="J191" s="3">
        <v>1284426</v>
      </c>
      <c r="K191" s="7">
        <f t="shared" si="16"/>
        <v>6.0349876542270156E-2</v>
      </c>
      <c r="L191" s="7">
        <f t="shared" si="17"/>
        <v>-1.0229629167273546E-2</v>
      </c>
      <c r="M191" s="7">
        <f t="shared" si="18"/>
        <v>-1.0101037819845726E-2</v>
      </c>
      <c r="N191" s="7">
        <f t="shared" si="23"/>
        <v>-1.2990350767172476E-4</v>
      </c>
      <c r="O191" s="7">
        <f>('Session Details'!K191-'Session Details'!K184)/'Session Details'!K184</f>
        <v>2.0618505380605272E-2</v>
      </c>
      <c r="P191" s="7">
        <f>('Session Details'!L191-'Session Details'!L184)/'Session Details'!L184</f>
        <v>-8.5714531940275007E-2</v>
      </c>
      <c r="Q191" s="7">
        <f>('Session Details'!M191-'Session Details'!M184)/'Session Details'!M184</f>
        <v>5.0505218988614119E-2</v>
      </c>
      <c r="R191" s="7">
        <f>('Session Details'!N191-'Session Details'!N184)/'Session Details'!N184</f>
        <v>1.9999855180040764E-2</v>
      </c>
    </row>
    <row r="192" spans="1:18" hidden="1" x14ac:dyDescent="0.3">
      <c r="A192" s="2">
        <v>43655</v>
      </c>
      <c r="B192" s="3">
        <v>22803207</v>
      </c>
      <c r="C192" s="4">
        <f t="shared" si="19"/>
        <v>3.9603979354362689E-2</v>
      </c>
      <c r="D192" s="3">
        <v>5643793</v>
      </c>
      <c r="E192" s="4">
        <f t="shared" si="20"/>
        <v>7.2091489002395953E-2</v>
      </c>
      <c r="F192" s="3">
        <v>2234942</v>
      </c>
      <c r="G192" s="4">
        <f t="shared" si="21"/>
        <v>6.1370661623877519E-2</v>
      </c>
      <c r="H192" s="3">
        <v>1647823</v>
      </c>
      <c r="I192" s="4">
        <f t="shared" si="22"/>
        <v>4.0762086421585499E-2</v>
      </c>
      <c r="J192" s="3">
        <v>1351214</v>
      </c>
      <c r="K192" s="7">
        <f t="shared" si="16"/>
        <v>5.9255437184778437E-2</v>
      </c>
      <c r="L192" s="7">
        <f t="shared" si="17"/>
        <v>3.0456570198363897E-2</v>
      </c>
      <c r="M192" s="7">
        <f t="shared" si="18"/>
        <v>3.9603979354362773E-2</v>
      </c>
      <c r="N192" s="7">
        <f t="shared" si="23"/>
        <v>-8.7989362657882042E-3</v>
      </c>
      <c r="O192" s="7">
        <f>('Session Details'!K192-'Session Details'!K185)/'Session Details'!K185</f>
        <v>3.1249889662994024E-2</v>
      </c>
      <c r="P192" s="7">
        <f>('Session Details'!L192-'Session Details'!L185)/'Session Details'!L185</f>
        <v>-9.9999183730992876E-3</v>
      </c>
      <c r="Q192" s="7">
        <f>('Session Details'!M192-'Session Details'!M185)/'Session Details'!M185</f>
        <v>-1.941694447325432E-2</v>
      </c>
      <c r="R192" s="7">
        <f>('Session Details'!N192-'Session Details'!N185)/'Session Details'!N185</f>
        <v>-9.9018943499898839E-3</v>
      </c>
    </row>
    <row r="193" spans="1:18" hidden="1" x14ac:dyDescent="0.3">
      <c r="A193" s="2">
        <v>43656</v>
      </c>
      <c r="B193" s="3">
        <v>22803207</v>
      </c>
      <c r="C193" s="4">
        <f t="shared" si="19"/>
        <v>2.9411755411675868E-2</v>
      </c>
      <c r="D193" s="3">
        <v>5814817</v>
      </c>
      <c r="E193" s="4">
        <f t="shared" si="20"/>
        <v>0</v>
      </c>
      <c r="F193" s="3">
        <v>2395704</v>
      </c>
      <c r="G193" s="4">
        <f t="shared" si="21"/>
        <v>4.0404018470755865E-2</v>
      </c>
      <c r="H193" s="3">
        <v>1818819</v>
      </c>
      <c r="I193" s="4">
        <f t="shared" si="22"/>
        <v>5.0505523066926579E-2</v>
      </c>
      <c r="J193" s="3">
        <v>1506346</v>
      </c>
      <c r="K193" s="7">
        <f t="shared" si="16"/>
        <v>6.6058515365843062E-2</v>
      </c>
      <c r="L193" s="7">
        <f t="shared" si="17"/>
        <v>3.0106953334427589E-2</v>
      </c>
      <c r="M193" s="7">
        <f t="shared" si="18"/>
        <v>2.9411755411675955E-2</v>
      </c>
      <c r="N193" s="7">
        <f t="shared" si="23"/>
        <v>6.7533513105622056E-4</v>
      </c>
      <c r="O193" s="7">
        <f>('Session Details'!K193-'Session Details'!K186)/'Session Details'!K186</f>
        <v>-2.8571419800732432E-2</v>
      </c>
      <c r="P193" s="7">
        <f>('Session Details'!L193-'Session Details'!L186)/'Session Details'!L186</f>
        <v>4.0404018470755733E-2</v>
      </c>
      <c r="Q193" s="7">
        <f>('Session Details'!M193-'Session Details'!M186)/'Session Details'!M186</f>
        <v>9.7092133602276302E-3</v>
      </c>
      <c r="R193" s="7">
        <f>('Session Details'!N193-'Session Details'!N186)/'Session Details'!N186</f>
        <v>-1.9417860529610535E-2</v>
      </c>
    </row>
    <row r="194" spans="1:18" hidden="1" x14ac:dyDescent="0.3">
      <c r="A194" s="2">
        <v>43657</v>
      </c>
      <c r="B194" s="3">
        <v>21500167</v>
      </c>
      <c r="C194" s="4">
        <f t="shared" si="19"/>
        <v>-3.8834924980530969E-2</v>
      </c>
      <c r="D194" s="3">
        <v>5321291</v>
      </c>
      <c r="E194" s="4">
        <f t="shared" si="20"/>
        <v>-7.6161709561194738E-2</v>
      </c>
      <c r="F194" s="3">
        <v>2149801</v>
      </c>
      <c r="G194" s="4">
        <f t="shared" si="21"/>
        <v>-9.4100489146740657E-2</v>
      </c>
      <c r="H194" s="3">
        <v>1600742</v>
      </c>
      <c r="I194" s="4">
        <f t="shared" si="22"/>
        <v>-2.7349790642945813E-2</v>
      </c>
      <c r="J194" s="3">
        <v>1338860</v>
      </c>
      <c r="K194" s="7">
        <f t="shared" si="16"/>
        <v>6.2272074444817103E-2</v>
      </c>
      <c r="L194" s="7">
        <f t="shared" si="17"/>
        <v>-7.8968994091960232E-3</v>
      </c>
      <c r="M194" s="7">
        <f t="shared" si="18"/>
        <v>-3.8834924980530983E-2</v>
      </c>
      <c r="N194" s="7">
        <f t="shared" si="23"/>
        <v>3.2188045919904207E-2</v>
      </c>
      <c r="O194" s="7">
        <f>('Session Details'!K194-'Session Details'!K187)/'Session Details'!K187</f>
        <v>-3.8834936423285671E-2</v>
      </c>
      <c r="P194" s="7">
        <f>('Session Details'!L194-'Session Details'!L187)/'Session Details'!L187</f>
        <v>-1.9417661912481739E-2</v>
      </c>
      <c r="Q194" s="7">
        <f>('Session Details'!M194-'Session Details'!M187)/'Session Details'!M187</f>
        <v>7.3684440386685895E-2</v>
      </c>
      <c r="R194" s="7">
        <f>('Session Details'!N194-'Session Details'!N187)/'Session Details'!N187</f>
        <v>1.9999883870490971E-2</v>
      </c>
    </row>
    <row r="195" spans="1:18" hidden="1" x14ac:dyDescent="0.3">
      <c r="A195" s="2">
        <v>43658</v>
      </c>
      <c r="B195" s="3">
        <v>20848646</v>
      </c>
      <c r="C195" s="4">
        <f t="shared" si="19"/>
        <v>1.0526296401619022E-2</v>
      </c>
      <c r="D195" s="3">
        <v>5160040</v>
      </c>
      <c r="E195" s="4">
        <f t="shared" si="20"/>
        <v>5.3074975499869996E-2</v>
      </c>
      <c r="F195" s="3">
        <v>2125936</v>
      </c>
      <c r="G195" s="4">
        <f t="shared" si="21"/>
        <v>4.2949113245803423E-2</v>
      </c>
      <c r="H195" s="3">
        <v>1598491</v>
      </c>
      <c r="I195" s="4">
        <f t="shared" si="22"/>
        <v>2.3083348000704034E-2</v>
      </c>
      <c r="J195" s="3">
        <v>1376301</v>
      </c>
      <c r="K195" s="7">
        <f t="shared" ref="K195:K258" si="24">J195/B195</f>
        <v>6.6013927235370584E-2</v>
      </c>
      <c r="L195" s="7">
        <f t="shared" si="17"/>
        <v>9.6160692596560127E-2</v>
      </c>
      <c r="M195" s="7">
        <f t="shared" si="18"/>
        <v>1.0526296401619062E-2</v>
      </c>
      <c r="N195" s="7">
        <f t="shared" si="23"/>
        <v>8.4742372860435511E-2</v>
      </c>
      <c r="O195" s="7">
        <f>('Session Details'!K195-'Session Details'!K188)/'Session Details'!K188</f>
        <v>4.210546449880858E-2</v>
      </c>
      <c r="P195" s="7">
        <f>('Session Details'!L195-'Session Details'!L188)/'Session Details'!L188</f>
        <v>-9.6155188278593852E-3</v>
      </c>
      <c r="Q195" s="7">
        <f>('Session Details'!M195-'Session Details'!M188)/'Session Details'!M188</f>
        <v>-1.9047684103469169E-2</v>
      </c>
      <c r="R195" s="7">
        <f>('Session Details'!N195-'Session Details'!N188)/'Session Details'!N188</f>
        <v>7.1428534868310453E-2</v>
      </c>
    </row>
    <row r="196" spans="1:18" hidden="1" x14ac:dyDescent="0.3">
      <c r="A196" s="2">
        <v>43659</v>
      </c>
      <c r="B196" s="3">
        <v>44889750</v>
      </c>
      <c r="C196" s="4">
        <f t="shared" si="19"/>
        <v>0</v>
      </c>
      <c r="D196" s="3">
        <v>9898190</v>
      </c>
      <c r="E196" s="4">
        <f t="shared" si="20"/>
        <v>6.060607684113898E-2</v>
      </c>
      <c r="F196" s="3">
        <v>3466346</v>
      </c>
      <c r="G196" s="4">
        <f t="shared" si="21"/>
        <v>8.1608346462049036E-2</v>
      </c>
      <c r="H196" s="3">
        <v>2404257</v>
      </c>
      <c r="I196" s="4">
        <f t="shared" si="22"/>
        <v>0.10324012317891917</v>
      </c>
      <c r="J196" s="3">
        <v>1912827</v>
      </c>
      <c r="K196" s="7">
        <f t="shared" si="24"/>
        <v>4.2611665246520644E-2</v>
      </c>
      <c r="L196" s="7">
        <f t="shared" si="17"/>
        <v>9.2529574645995316E-2</v>
      </c>
      <c r="M196" s="7">
        <f t="shared" si="18"/>
        <v>0</v>
      </c>
      <c r="N196" s="7">
        <f t="shared" si="23"/>
        <v>9.2529574645995316E-2</v>
      </c>
      <c r="O196" s="7">
        <f>('Session Details'!K196-'Session Details'!K189)/'Session Details'!K189</f>
        <v>6.0606076841139001E-2</v>
      </c>
      <c r="P196" s="7">
        <f>('Session Details'!L196-'Session Details'!L189)/'Session Details'!L189</f>
        <v>1.980213962516808E-2</v>
      </c>
      <c r="Q196" s="7">
        <f>('Session Details'!M196-'Session Details'!M189)/'Session Details'!M189</f>
        <v>1.9999639229512218E-2</v>
      </c>
      <c r="R196" s="7">
        <f>('Session Details'!N196-'Session Details'!N189)/'Session Details'!N189</f>
        <v>-9.7082659594197075E-3</v>
      </c>
    </row>
    <row r="197" spans="1:18" hidden="1" x14ac:dyDescent="0.3">
      <c r="A197" s="2">
        <v>43660</v>
      </c>
      <c r="B197" s="3">
        <v>43094160</v>
      </c>
      <c r="C197" s="4">
        <f t="shared" si="19"/>
        <v>-1.0309289715021853E-2</v>
      </c>
      <c r="D197" s="3">
        <v>9230769</v>
      </c>
      <c r="E197" s="4">
        <f t="shared" si="20"/>
        <v>9.4845364883494633E-3</v>
      </c>
      <c r="F197" s="3">
        <v>3232615</v>
      </c>
      <c r="G197" s="4">
        <f t="shared" si="21"/>
        <v>2.9474240015490129E-2</v>
      </c>
      <c r="H197" s="3">
        <v>2264123</v>
      </c>
      <c r="I197" s="4">
        <f t="shared" si="22"/>
        <v>6.0358469738573083E-2</v>
      </c>
      <c r="J197" s="3">
        <v>1801336</v>
      </c>
      <c r="K197" s="7">
        <f t="shared" si="24"/>
        <v>4.1800002598960044E-2</v>
      </c>
      <c r="L197" s="7">
        <f t="shared" si="17"/>
        <v>0.10363807913342882</v>
      </c>
      <c r="M197" s="7">
        <f t="shared" si="18"/>
        <v>-1.0309289715021874E-2</v>
      </c>
      <c r="N197" s="7">
        <f t="shared" si="23"/>
        <v>0.11513432192936301</v>
      </c>
      <c r="O197" s="7">
        <f>('Session Details'!K197-'Session Details'!K190)/'Session Details'!K190</f>
        <v>2.0000012122647622E-2</v>
      </c>
      <c r="P197" s="7">
        <f>('Session Details'!L197-'Session Details'!L190)/'Session Details'!L190</f>
        <v>1.9801891762183891E-2</v>
      </c>
      <c r="Q197" s="7">
        <f>('Session Details'!M197-'Session Details'!M190)/'Session Details'!M190</f>
        <v>3.0000002450394646E-2</v>
      </c>
      <c r="R197" s="7">
        <f>('Session Details'!N197-'Session Details'!N190)/'Session Details'!N190</f>
        <v>4.0816017064046445E-2</v>
      </c>
    </row>
    <row r="198" spans="1:18" hidden="1" x14ac:dyDescent="0.3">
      <c r="A198" s="2">
        <v>43661</v>
      </c>
      <c r="B198" s="3">
        <v>21500167</v>
      </c>
      <c r="C198" s="4">
        <f t="shared" si="19"/>
        <v>1.0204109920066224E-2</v>
      </c>
      <c r="D198" s="3">
        <v>5590043</v>
      </c>
      <c r="E198" s="4">
        <f t="shared" si="20"/>
        <v>6.1224594402700311E-2</v>
      </c>
      <c r="F198" s="3">
        <v>2236017</v>
      </c>
      <c r="G198" s="4">
        <f t="shared" si="21"/>
        <v>0.10544238370325326</v>
      </c>
      <c r="H198" s="3">
        <v>1599646</v>
      </c>
      <c r="I198" s="4">
        <f t="shared" si="22"/>
        <v>4.1666775197634891E-2</v>
      </c>
      <c r="J198" s="3">
        <v>1298593</v>
      </c>
      <c r="K198" s="7">
        <f t="shared" si="24"/>
        <v>6.0399205271289287E-2</v>
      </c>
      <c r="L198" s="7">
        <f t="shared" si="17"/>
        <v>1.1029829667104307E-2</v>
      </c>
      <c r="M198" s="7">
        <f t="shared" si="18"/>
        <v>1.0204109920066262E-2</v>
      </c>
      <c r="N198" s="7">
        <f t="shared" si="23"/>
        <v>8.1737912064450136E-4</v>
      </c>
      <c r="O198" s="7">
        <f>('Session Details'!K198-'Session Details'!K191)/'Session Details'!K191</f>
        <v>5.0505124639288114E-2</v>
      </c>
      <c r="P198" s="7">
        <f>('Session Details'!L198-'Session Details'!L191)/'Session Details'!L191</f>
        <v>4.1666758887585441E-2</v>
      </c>
      <c r="Q198" s="7">
        <f>('Session Details'!M198-'Session Details'!M191)/'Session Details'!M191</f>
        <v>-5.7692385822921723E-2</v>
      </c>
      <c r="R198" s="7">
        <f>('Session Details'!N198-'Session Details'!N191)/'Session Details'!N191</f>
        <v>-2.9411464644936991E-2</v>
      </c>
    </row>
    <row r="199" spans="1:18" x14ac:dyDescent="0.3">
      <c r="A199" s="11">
        <v>43662</v>
      </c>
      <c r="B199" s="12">
        <v>20631473</v>
      </c>
      <c r="C199" s="4">
        <f t="shared" si="19"/>
        <v>-9.5238095238095233E-2</v>
      </c>
      <c r="D199" s="12">
        <v>2063147</v>
      </c>
      <c r="E199" s="4">
        <f t="shared" si="20"/>
        <v>-0.63443964014980703</v>
      </c>
      <c r="F199" s="12">
        <v>817006</v>
      </c>
      <c r="G199" s="4">
        <f t="shared" si="21"/>
        <v>-0.63443973042700885</v>
      </c>
      <c r="H199" s="12">
        <v>596414</v>
      </c>
      <c r="I199" s="4">
        <f t="shared" si="22"/>
        <v>-0.63805942749919131</v>
      </c>
      <c r="J199" s="12">
        <v>498841</v>
      </c>
      <c r="K199" s="13">
        <f t="shared" si="24"/>
        <v>2.4178642019404045E-2</v>
      </c>
      <c r="L199" s="13">
        <f t="shared" si="17"/>
        <v>-0.63082013655867986</v>
      </c>
      <c r="M199" s="13">
        <f t="shared" si="18"/>
        <v>-9.5238095238095233E-2</v>
      </c>
      <c r="N199" s="13">
        <f t="shared" si="23"/>
        <v>-0.59195909830169868</v>
      </c>
      <c r="O199" s="7">
        <f>('Session Details'!K199-'Session Details'!K192)/'Session Details'!K192</f>
        <v>-0.59595960227083933</v>
      </c>
      <c r="P199" s="7">
        <f>('Session Details'!L199-'Session Details'!L192)/'Session Details'!L192</f>
        <v>-2.4695566510253745E-7</v>
      </c>
      <c r="Q199" s="7">
        <f>('Session Details'!M199-'Session Details'!M192)/'Session Details'!M192</f>
        <v>-9.9017791961108371E-3</v>
      </c>
      <c r="R199" s="7">
        <f>('Session Details'!N199-'Session Details'!N192)/'Session Details'!N192</f>
        <v>2.0001324776860535E-2</v>
      </c>
    </row>
    <row r="200" spans="1:18" hidden="1" x14ac:dyDescent="0.3">
      <c r="A200" s="2">
        <v>43663</v>
      </c>
      <c r="B200" s="3">
        <v>21500167</v>
      </c>
      <c r="C200" s="4">
        <f t="shared" si="19"/>
        <v>-5.714283960146483E-2</v>
      </c>
      <c r="D200" s="3">
        <v>5267540</v>
      </c>
      <c r="E200" s="4">
        <f t="shared" si="20"/>
        <v>-9.4117665267883746E-2</v>
      </c>
      <c r="F200" s="3">
        <v>2064876</v>
      </c>
      <c r="G200" s="4">
        <f t="shared" si="21"/>
        <v>-0.13809218501116999</v>
      </c>
      <c r="H200" s="3">
        <v>1552580</v>
      </c>
      <c r="I200" s="4">
        <f t="shared" si="22"/>
        <v>-0.1463801510760554</v>
      </c>
      <c r="J200" s="3">
        <v>1285847</v>
      </c>
      <c r="K200" s="7">
        <f t="shared" si="24"/>
        <v>5.9806372666779753E-2</v>
      </c>
      <c r="L200" s="7">
        <f t="shared" si="17"/>
        <v>-0.14638004814298977</v>
      </c>
      <c r="M200" s="7">
        <f t="shared" si="18"/>
        <v>-5.7142839601464823E-2</v>
      </c>
      <c r="N200" s="7">
        <f t="shared" si="23"/>
        <v>-9.4645522449875008E-2</v>
      </c>
      <c r="O200" s="7">
        <f>('Session Details'!K200-'Session Details'!K193)/'Session Details'!K193</f>
        <v>-3.921572346206726E-2</v>
      </c>
      <c r="P200" s="7">
        <f>('Session Details'!L200-'Session Details'!L193)/'Session Details'!L193</f>
        <v>-4.8543301991080555E-2</v>
      </c>
      <c r="Q200" s="7">
        <f>('Session Details'!M200-'Session Details'!M193)/'Session Details'!M193</f>
        <v>-9.6158381682533295E-3</v>
      </c>
      <c r="R200" s="7">
        <f>('Session Details'!N200-'Session Details'!N193)/'Session Details'!N193</f>
        <v>1.2058419890551019E-7</v>
      </c>
    </row>
    <row r="201" spans="1:18" hidden="1" x14ac:dyDescent="0.3">
      <c r="A201" s="2">
        <v>43664</v>
      </c>
      <c r="B201" s="3">
        <v>22151687</v>
      </c>
      <c r="C201" s="4">
        <f t="shared" si="19"/>
        <v>3.0303020437004047E-2</v>
      </c>
      <c r="D201" s="3">
        <v>5759438</v>
      </c>
      <c r="E201" s="4">
        <f t="shared" si="20"/>
        <v>8.2338477636348023E-2</v>
      </c>
      <c r="F201" s="3">
        <v>2211624</v>
      </c>
      <c r="G201" s="4">
        <f t="shared" si="21"/>
        <v>2.8757545465836139E-2</v>
      </c>
      <c r="H201" s="3">
        <v>1695210</v>
      </c>
      <c r="I201" s="4">
        <f t="shared" si="22"/>
        <v>5.9015131732658981E-2</v>
      </c>
      <c r="J201" s="3">
        <v>1445675</v>
      </c>
      <c r="K201" s="7">
        <f t="shared" si="24"/>
        <v>6.5262523797848901E-2</v>
      </c>
      <c r="L201" s="7">
        <f t="shared" si="17"/>
        <v>7.9780559580538757E-2</v>
      </c>
      <c r="M201" s="7">
        <f t="shared" si="18"/>
        <v>3.0303020437004058E-2</v>
      </c>
      <c r="N201" s="7">
        <f t="shared" si="23"/>
        <v>4.8022317863873454E-2</v>
      </c>
      <c r="O201" s="7">
        <f>('Session Details'!K201-'Session Details'!K194)/'Session Details'!K194</f>
        <v>5.0505003059462081E-2</v>
      </c>
      <c r="P201" s="7">
        <f>('Session Details'!L201-'Session Details'!L194)/'Session Details'!L194</f>
        <v>-4.9504783649126145E-2</v>
      </c>
      <c r="Q201" s="7">
        <f>('Session Details'!M201-'Session Details'!M194)/'Session Details'!M194</f>
        <v>2.9411775787386057E-2</v>
      </c>
      <c r="R201" s="7">
        <f>('Session Details'!N201-'Session Details'!N194)/'Session Details'!N194</f>
        <v>1.9608244703647738E-2</v>
      </c>
    </row>
    <row r="202" spans="1:18" hidden="1" x14ac:dyDescent="0.3">
      <c r="A202" s="2">
        <v>43665</v>
      </c>
      <c r="B202" s="3">
        <v>22586034</v>
      </c>
      <c r="C202" s="4">
        <f t="shared" si="19"/>
        <v>8.3333373303954614E-2</v>
      </c>
      <c r="D202" s="3">
        <v>5872368</v>
      </c>
      <c r="E202" s="4">
        <f t="shared" si="20"/>
        <v>0.13804699188378386</v>
      </c>
      <c r="F202" s="3">
        <v>2442905</v>
      </c>
      <c r="G202" s="4">
        <f t="shared" si="21"/>
        <v>0.14909620985768152</v>
      </c>
      <c r="H202" s="3">
        <v>1783320</v>
      </c>
      <c r="I202" s="4">
        <f t="shared" si="22"/>
        <v>0.11562717588025206</v>
      </c>
      <c r="J202" s="3">
        <v>1491569</v>
      </c>
      <c r="K202" s="7">
        <f t="shared" si="24"/>
        <v>6.6039438353807489E-2</v>
      </c>
      <c r="L202" s="7">
        <f t="shared" ref="L202:L265" si="25">(J202/J195)-1</f>
        <v>8.3752028081066632E-2</v>
      </c>
      <c r="M202" s="7">
        <f t="shared" ref="M202:M265" si="26">(B202/B195)-1</f>
        <v>8.3333373303954517E-2</v>
      </c>
      <c r="N202" s="7">
        <f t="shared" si="23"/>
        <v>3.8645054922947786E-4</v>
      </c>
      <c r="O202" s="7">
        <f>('Session Details'!K202-'Session Details'!K195)/'Session Details'!K195</f>
        <v>5.050487682564736E-2</v>
      </c>
      <c r="P202" s="7">
        <f>('Session Details'!L202-'Session Details'!L195)/'Session Details'!L195</f>
        <v>9.7089294666191043E-3</v>
      </c>
      <c r="Q202" s="7">
        <f>('Session Details'!M202-'Session Details'!M195)/'Session Details'!M195</f>
        <v>-2.9126398373182989E-2</v>
      </c>
      <c r="R202" s="7">
        <f>('Session Details'!N202-'Session Details'!N195)/'Session Details'!N195</f>
        <v>-2.8571505327517101E-2</v>
      </c>
    </row>
    <row r="203" spans="1:18" hidden="1" x14ac:dyDescent="0.3">
      <c r="A203" s="2">
        <v>43666</v>
      </c>
      <c r="B203" s="3">
        <v>44440853</v>
      </c>
      <c r="C203" s="4">
        <f t="shared" ref="C203:C266" si="27">(B203-B196)/B196</f>
        <v>-9.9999888615998084E-3</v>
      </c>
      <c r="D203" s="3">
        <v>9332579</v>
      </c>
      <c r="E203" s="4">
        <f t="shared" ref="E203:E266" si="28">(D203-D196)/D196</f>
        <v>-5.7142871575510269E-2</v>
      </c>
      <c r="F203" s="3">
        <v>3331730</v>
      </c>
      <c r="G203" s="4">
        <f t="shared" ref="G203:G266" si="29">(F203-F196)/F196</f>
        <v>-3.8835130711129241E-2</v>
      </c>
      <c r="H203" s="3">
        <v>2152298</v>
      </c>
      <c r="I203" s="4">
        <f t="shared" ref="I203:I266" si="30">(H203-H196)/H196</f>
        <v>-0.10479703292950796</v>
      </c>
      <c r="J203" s="3">
        <v>1729156</v>
      </c>
      <c r="K203" s="7">
        <f t="shared" si="24"/>
        <v>3.8909154151474099E-2</v>
      </c>
      <c r="L203" s="7">
        <f t="shared" si="25"/>
        <v>-9.6020706524949762E-2</v>
      </c>
      <c r="M203" s="7">
        <f t="shared" si="26"/>
        <v>-9.9999888615998067E-3</v>
      </c>
      <c r="N203" s="7">
        <f t="shared" ref="N203:N266" si="31">(K203/K196)-1</f>
        <v>-8.6889612823776385E-2</v>
      </c>
      <c r="O203" s="7">
        <f>('Session Details'!K203-'Session Details'!K196)/'Session Details'!K196</f>
        <v>-4.7619072912636617E-2</v>
      </c>
      <c r="P203" s="7">
        <f>('Session Details'!L203-'Session Details'!L196)/'Session Details'!L196</f>
        <v>1.9417301213995427E-2</v>
      </c>
      <c r="Q203" s="7">
        <f>('Session Details'!M203-'Session Details'!M196)/'Session Details'!M196</f>
        <v>-6.8627042379505052E-2</v>
      </c>
      <c r="R203" s="7">
        <f>('Session Details'!N203-'Session Details'!N196)/'Session Details'!N196</f>
        <v>9.8037280118477583E-3</v>
      </c>
    </row>
    <row r="204" spans="1:18" hidden="1" x14ac:dyDescent="0.3">
      <c r="A204" s="2">
        <v>43667</v>
      </c>
      <c r="B204" s="3">
        <v>42645263</v>
      </c>
      <c r="C204" s="4">
        <f t="shared" si="27"/>
        <v>-1.0416655064166468E-2</v>
      </c>
      <c r="D204" s="3">
        <v>9134615</v>
      </c>
      <c r="E204" s="4">
        <f t="shared" si="28"/>
        <v>-1.0416683593750423E-2</v>
      </c>
      <c r="F204" s="3">
        <v>2950480</v>
      </c>
      <c r="G204" s="4">
        <f t="shared" si="29"/>
        <v>-8.7277637454506646E-2</v>
      </c>
      <c r="H204" s="3">
        <v>1926073</v>
      </c>
      <c r="I204" s="4">
        <f t="shared" si="30"/>
        <v>-0.14930725936709269</v>
      </c>
      <c r="J204" s="3">
        <v>1547407</v>
      </c>
      <c r="K204" s="7">
        <f t="shared" si="24"/>
        <v>3.6285554154045198E-2</v>
      </c>
      <c r="L204" s="7">
        <f t="shared" si="25"/>
        <v>-0.14096703779861175</v>
      </c>
      <c r="M204" s="7">
        <f t="shared" si="26"/>
        <v>-1.0416655064166447E-2</v>
      </c>
      <c r="N204" s="7">
        <f t="shared" si="31"/>
        <v>-0.13192459574277737</v>
      </c>
      <c r="O204" s="7">
        <f>('Session Details'!K204-'Session Details'!K197)/'Session Details'!K197</f>
        <v>-2.8829895045527323E-8</v>
      </c>
      <c r="P204" s="7">
        <f>('Session Details'!L204-'Session Details'!L197)/'Session Details'!L197</f>
        <v>-7.7670017861540874E-2</v>
      </c>
      <c r="Q204" s="7">
        <f>('Session Details'!M204-'Session Details'!M197)/'Session Details'!M197</f>
        <v>-6.7961106748378047E-2</v>
      </c>
      <c r="R204" s="7">
        <f>('Session Details'!N204-'Session Details'!N197)/'Session Details'!N197</f>
        <v>9.8040351940418598E-3</v>
      </c>
    </row>
    <row r="205" spans="1:18" hidden="1" x14ac:dyDescent="0.3">
      <c r="A205" s="2">
        <v>43668</v>
      </c>
      <c r="B205" s="3">
        <v>21500167</v>
      </c>
      <c r="C205" s="4">
        <f t="shared" si="27"/>
        <v>0</v>
      </c>
      <c r="D205" s="3">
        <v>5321291</v>
      </c>
      <c r="E205" s="4">
        <f t="shared" si="28"/>
        <v>-4.8076911036283622E-2</v>
      </c>
      <c r="F205" s="3">
        <v>2128516</v>
      </c>
      <c r="G205" s="4">
        <f t="shared" si="29"/>
        <v>-4.8077004781269549E-2</v>
      </c>
      <c r="H205" s="3">
        <v>1553817</v>
      </c>
      <c r="I205" s="4">
        <f t="shared" si="30"/>
        <v>-2.8649463693842261E-2</v>
      </c>
      <c r="J205" s="3">
        <v>1286871</v>
      </c>
      <c r="K205" s="7">
        <f t="shared" si="24"/>
        <v>5.9854000203812367E-2</v>
      </c>
      <c r="L205" s="7">
        <f t="shared" si="25"/>
        <v>-9.0266927359072824E-3</v>
      </c>
      <c r="M205" s="7">
        <f t="shared" si="26"/>
        <v>0</v>
      </c>
      <c r="N205" s="7">
        <f t="shared" si="31"/>
        <v>-9.0266927359072824E-3</v>
      </c>
      <c r="O205" s="7">
        <f>('Session Details'!K205-'Session Details'!K198)/'Session Details'!K198</f>
        <v>-4.8076911036283573E-2</v>
      </c>
      <c r="P205" s="7">
        <f>('Session Details'!L205-'Session Details'!L198)/'Session Details'!L198</f>
        <v>-9.8479579834192789E-8</v>
      </c>
      <c r="Q205" s="7">
        <f>('Session Details'!M205-'Session Details'!M198)/'Session Details'!M198</f>
        <v>2.040873178293523E-2</v>
      </c>
      <c r="R205" s="7">
        <f>('Session Details'!N205-'Session Details'!N198)/'Session Details'!N198</f>
        <v>2.0201534074975946E-2</v>
      </c>
    </row>
    <row r="206" spans="1:18" x14ac:dyDescent="0.3">
      <c r="A206" s="11">
        <v>43669</v>
      </c>
      <c r="B206" s="12">
        <v>21282993</v>
      </c>
      <c r="C206" s="4">
        <f t="shared" si="27"/>
        <v>3.1578937674493719E-2</v>
      </c>
      <c r="D206" s="12">
        <v>5054710</v>
      </c>
      <c r="E206" s="4">
        <f t="shared" si="28"/>
        <v>1.4499999272955344</v>
      </c>
      <c r="F206" s="12">
        <v>2001665</v>
      </c>
      <c r="G206" s="4">
        <f t="shared" si="29"/>
        <v>1.4500003671943658</v>
      </c>
      <c r="H206" s="12">
        <v>1505052</v>
      </c>
      <c r="I206" s="4">
        <f t="shared" si="30"/>
        <v>1.5235021310700285</v>
      </c>
      <c r="J206" s="12">
        <v>1172435</v>
      </c>
      <c r="K206" s="13">
        <f t="shared" si="24"/>
        <v>5.5087881671529941E-2</v>
      </c>
      <c r="L206" s="13">
        <f t="shared" si="25"/>
        <v>1.3503180372102532</v>
      </c>
      <c r="M206" s="13">
        <f t="shared" si="26"/>
        <v>3.1578937674493712E-2</v>
      </c>
      <c r="N206" s="13">
        <f t="shared" si="31"/>
        <v>1.2783695472773182</v>
      </c>
      <c r="O206" s="7">
        <f>('Session Details'!K206-'Session Details'!K199)/'Session Details'!K199</f>
        <v>1.3749999518394704</v>
      </c>
      <c r="P206" s="7">
        <f>('Session Details'!L206-'Session Details'!L199)/'Session Details'!L199</f>
        <v>1.7955054872228349E-7</v>
      </c>
      <c r="Q206" s="7">
        <f>('Session Details'!M206-'Session Details'!M199)/'Session Details'!M199</f>
        <v>3.0000715452885466E-2</v>
      </c>
      <c r="R206" s="7">
        <f>('Session Details'!N206-'Session Details'!N199)/'Session Details'!N199</f>
        <v>-6.8628471411807598E-2</v>
      </c>
    </row>
    <row r="207" spans="1:18" hidden="1" x14ac:dyDescent="0.3">
      <c r="A207" s="2">
        <v>43670</v>
      </c>
      <c r="B207" s="3">
        <v>21934513</v>
      </c>
      <c r="C207" s="4">
        <f t="shared" si="27"/>
        <v>2.0201982617158276E-2</v>
      </c>
      <c r="D207" s="3">
        <v>5593301</v>
      </c>
      <c r="E207" s="4">
        <f t="shared" si="28"/>
        <v>6.1843099435410075E-2</v>
      </c>
      <c r="F207" s="3">
        <v>2192574</v>
      </c>
      <c r="G207" s="4">
        <f t="shared" si="29"/>
        <v>6.1842938752738663E-2</v>
      </c>
      <c r="H207" s="3">
        <v>1536555</v>
      </c>
      <c r="I207" s="4">
        <f t="shared" si="30"/>
        <v>-1.0321529325380979E-2</v>
      </c>
      <c r="J207" s="3">
        <v>1297775</v>
      </c>
      <c r="K207" s="7">
        <f t="shared" si="24"/>
        <v>5.9165890758550235E-2</v>
      </c>
      <c r="L207" s="7">
        <f t="shared" si="25"/>
        <v>9.2763758052085699E-3</v>
      </c>
      <c r="M207" s="7">
        <f t="shared" si="26"/>
        <v>2.0201982617158221E-2</v>
      </c>
      <c r="N207" s="7">
        <f t="shared" si="31"/>
        <v>-1.0709258556743761E-2</v>
      </c>
      <c r="O207" s="7">
        <f>('Session Details'!K207-'Session Details'!K200)/'Session Details'!K200</f>
        <v>4.0816541751299625E-2</v>
      </c>
      <c r="P207" s="7">
        <f>('Session Details'!L207-'Session Details'!L200)/'Session Details'!L200</f>
        <v>-1.5132430716598999E-7</v>
      </c>
      <c r="Q207" s="7">
        <f>('Session Details'!M207-'Session Details'!M200)/'Session Details'!M200</f>
        <v>-6.7961527495662838E-2</v>
      </c>
      <c r="R207" s="7">
        <f>('Session Details'!N207-'Session Details'!N200)/'Session Details'!N200</f>
        <v>1.9802295100175834E-2</v>
      </c>
    </row>
    <row r="208" spans="1:18" hidden="1" x14ac:dyDescent="0.3">
      <c r="A208" s="2">
        <v>43671</v>
      </c>
      <c r="B208" s="3">
        <v>20631473</v>
      </c>
      <c r="C208" s="4">
        <f t="shared" si="27"/>
        <v>-6.8627459389436124E-2</v>
      </c>
      <c r="D208" s="3">
        <v>5415761</v>
      </c>
      <c r="E208" s="4">
        <f t="shared" si="28"/>
        <v>-5.9671967994099427E-2</v>
      </c>
      <c r="F208" s="3">
        <v>2122978</v>
      </c>
      <c r="G208" s="4">
        <f t="shared" si="29"/>
        <v>-4.0081858399076881E-2</v>
      </c>
      <c r="H208" s="3">
        <v>1580769</v>
      </c>
      <c r="I208" s="4">
        <f t="shared" si="30"/>
        <v>-6.7508450280496221E-2</v>
      </c>
      <c r="J208" s="3">
        <v>1296231</v>
      </c>
      <c r="K208" s="7">
        <f t="shared" si="24"/>
        <v>6.2827845592992801E-2</v>
      </c>
      <c r="L208" s="7">
        <f t="shared" si="25"/>
        <v>-0.10337316478461622</v>
      </c>
      <c r="M208" s="7">
        <f t="shared" si="26"/>
        <v>-6.8627459389436152E-2</v>
      </c>
      <c r="N208" s="7">
        <f t="shared" si="31"/>
        <v>-3.730591560322627E-2</v>
      </c>
      <c r="O208" s="7">
        <f>('Session Details'!K208-'Session Details'!K201)/'Session Details'!K201</f>
        <v>9.6153697954911559E-3</v>
      </c>
      <c r="P208" s="7">
        <f>('Session Details'!L208-'Session Details'!L201)/'Session Details'!L201</f>
        <v>2.0833271930895358E-2</v>
      </c>
      <c r="Q208" s="7">
        <f>('Session Details'!M208-'Session Details'!M201)/'Session Details'!M201</f>
        <v>-2.8571802836935768E-2</v>
      </c>
      <c r="R208" s="7">
        <f>('Session Details'!N208-'Session Details'!N201)/'Session Details'!N201</f>
        <v>-3.8461168377245114E-2</v>
      </c>
    </row>
    <row r="209" spans="1:18" hidden="1" x14ac:dyDescent="0.3">
      <c r="A209" s="2">
        <v>43672</v>
      </c>
      <c r="B209" s="3">
        <v>21065820</v>
      </c>
      <c r="C209" s="4">
        <f t="shared" si="27"/>
        <v>-6.7307699970698701E-2</v>
      </c>
      <c r="D209" s="3">
        <v>5319119</v>
      </c>
      <c r="E209" s="4">
        <f t="shared" si="28"/>
        <v>-9.4212249641030671E-2</v>
      </c>
      <c r="F209" s="3">
        <v>2063818</v>
      </c>
      <c r="G209" s="4">
        <f t="shared" si="29"/>
        <v>-0.15517877281351505</v>
      </c>
      <c r="H209" s="3">
        <v>1566850</v>
      </c>
      <c r="I209" s="4">
        <f t="shared" si="30"/>
        <v>-0.12138595428750869</v>
      </c>
      <c r="J209" s="3">
        <v>1246273</v>
      </c>
      <c r="K209" s="7">
        <f t="shared" si="24"/>
        <v>5.916090615034212E-2</v>
      </c>
      <c r="L209" s="7">
        <f t="shared" si="25"/>
        <v>-0.16445501347909486</v>
      </c>
      <c r="M209" s="7">
        <f t="shared" si="26"/>
        <v>-6.7307699970698742E-2</v>
      </c>
      <c r="N209" s="7">
        <f t="shared" si="31"/>
        <v>-0.10415794523589839</v>
      </c>
      <c r="O209" s="7">
        <f>('Session Details'!K209-'Session Details'!K202)/'Session Details'!K202</f>
        <v>-2.8846115347458904E-2</v>
      </c>
      <c r="P209" s="7">
        <f>('Session Details'!L209-'Session Details'!L202)/'Session Details'!L202</f>
        <v>-6.7307736440819652E-2</v>
      </c>
      <c r="Q209" s="7">
        <f>('Session Details'!M209-'Session Details'!M202)/'Session Details'!M202</f>
        <v>3.9999963824946576E-2</v>
      </c>
      <c r="R209" s="7">
        <f>('Session Details'!N209-'Session Details'!N202)/'Session Details'!N202</f>
        <v>-4.9019315593413097E-2</v>
      </c>
    </row>
    <row r="210" spans="1:18" hidden="1" x14ac:dyDescent="0.3">
      <c r="A210" s="2">
        <v>43673</v>
      </c>
      <c r="B210" s="3">
        <v>44889750</v>
      </c>
      <c r="C210" s="4">
        <f t="shared" si="27"/>
        <v>1.0100998736455397E-2</v>
      </c>
      <c r="D210" s="3">
        <v>9615384</v>
      </c>
      <c r="E210" s="4">
        <f t="shared" si="28"/>
        <v>3.0302984844810851E-2</v>
      </c>
      <c r="F210" s="3">
        <v>3171153</v>
      </c>
      <c r="G210" s="4">
        <f t="shared" si="29"/>
        <v>-4.8196282411840097E-2</v>
      </c>
      <c r="H210" s="3">
        <v>2156384</v>
      </c>
      <c r="I210" s="4">
        <f t="shared" si="30"/>
        <v>1.8984359972457345E-3</v>
      </c>
      <c r="J210" s="3">
        <v>1698799</v>
      </c>
      <c r="K210" s="7">
        <f t="shared" si="24"/>
        <v>3.7843806214113464E-2</v>
      </c>
      <c r="L210" s="7">
        <f t="shared" si="25"/>
        <v>-1.7555963718715928E-2</v>
      </c>
      <c r="M210" s="7">
        <f t="shared" si="26"/>
        <v>1.0100998736455313E-2</v>
      </c>
      <c r="N210" s="7">
        <f t="shared" si="31"/>
        <v>-2.7380393138674131E-2</v>
      </c>
      <c r="O210" s="7">
        <f>('Session Details'!K210-'Session Details'!K203)/'Session Details'!K203</f>
        <v>1.9999966472289733E-2</v>
      </c>
      <c r="P210" s="7">
        <f>('Session Details'!L210-'Session Details'!L203)/'Session Details'!L203</f>
        <v>-7.619046864013003E-2</v>
      </c>
      <c r="Q210" s="7">
        <f>('Session Details'!M210-'Session Details'!M203)/'Session Details'!M203</f>
        <v>5.2631354010703124E-2</v>
      </c>
      <c r="R210" s="7">
        <f>('Session Details'!N210-'Session Details'!N203)/'Session Details'!N203</f>
        <v>-1.9417536765188852E-2</v>
      </c>
    </row>
    <row r="211" spans="1:18" hidden="1" x14ac:dyDescent="0.3">
      <c r="A211" s="2">
        <v>43674</v>
      </c>
      <c r="B211" s="3">
        <v>43543058</v>
      </c>
      <c r="C211" s="4">
        <f t="shared" si="27"/>
        <v>2.1052631332113016E-2</v>
      </c>
      <c r="D211" s="3">
        <v>8778280</v>
      </c>
      <c r="E211" s="4">
        <f t="shared" si="28"/>
        <v>-3.9009306905655031E-2</v>
      </c>
      <c r="F211" s="3">
        <v>3074153</v>
      </c>
      <c r="G211" s="4">
        <f t="shared" si="29"/>
        <v>4.1916230579431141E-2</v>
      </c>
      <c r="H211" s="3">
        <v>2027711</v>
      </c>
      <c r="I211" s="4">
        <f t="shared" si="30"/>
        <v>5.2769547156312352E-2</v>
      </c>
      <c r="J211" s="3">
        <v>1660696</v>
      </c>
      <c r="K211" s="7">
        <f t="shared" si="24"/>
        <v>3.8139167901344917E-2</v>
      </c>
      <c r="L211" s="7">
        <f t="shared" si="25"/>
        <v>7.3212154268398777E-2</v>
      </c>
      <c r="M211" s="7">
        <f t="shared" si="26"/>
        <v>2.1052631332113103E-2</v>
      </c>
      <c r="N211" s="7">
        <f t="shared" si="31"/>
        <v>5.1084068867474519E-2</v>
      </c>
      <c r="O211" s="7">
        <f>('Session Details'!K211-'Session Details'!K204)/'Session Details'!K204</f>
        <v>-5.8823547772859128E-2</v>
      </c>
      <c r="P211" s="7">
        <f>('Session Details'!L211-'Session Details'!L204)/'Session Details'!L204</f>
        <v>8.4210531971448926E-2</v>
      </c>
      <c r="Q211" s="7">
        <f>('Session Details'!M211-'Session Details'!M204)/'Session Details'!M204</f>
        <v>1.0416688269502823E-2</v>
      </c>
      <c r="R211" s="7">
        <f>('Session Details'!N211-'Session Details'!N204)/'Session Details'!N204</f>
        <v>1.941793165209315E-2</v>
      </c>
    </row>
    <row r="212" spans="1:18" hidden="1" x14ac:dyDescent="0.3">
      <c r="A212" s="2">
        <v>43675</v>
      </c>
      <c r="B212" s="3">
        <v>21500167</v>
      </c>
      <c r="C212" s="4">
        <f t="shared" si="27"/>
        <v>0</v>
      </c>
      <c r="D212" s="3">
        <v>5536293</v>
      </c>
      <c r="E212" s="4">
        <f t="shared" si="28"/>
        <v>4.0404104943706332E-2</v>
      </c>
      <c r="F212" s="3">
        <v>2214517</v>
      </c>
      <c r="G212" s="4">
        <f t="shared" si="29"/>
        <v>4.0404206498800103E-2</v>
      </c>
      <c r="H212" s="3">
        <v>1551933</v>
      </c>
      <c r="I212" s="4">
        <f t="shared" si="30"/>
        <v>-1.2124979968683571E-3</v>
      </c>
      <c r="J212" s="3">
        <v>1298037</v>
      </c>
      <c r="K212" s="7">
        <f t="shared" si="24"/>
        <v>6.0373345007041106E-2</v>
      </c>
      <c r="L212" s="7">
        <f t="shared" si="25"/>
        <v>8.6768603846072434E-3</v>
      </c>
      <c r="M212" s="7">
        <f t="shared" si="26"/>
        <v>0</v>
      </c>
      <c r="N212" s="7">
        <f t="shared" si="31"/>
        <v>8.6768603846072434E-3</v>
      </c>
      <c r="O212" s="7">
        <f>('Session Details'!K212-'Session Details'!K205)/'Session Details'!K205</f>
        <v>4.0404104943706373E-2</v>
      </c>
      <c r="P212" s="7">
        <f>('Session Details'!L212-'Session Details'!L205)/'Session Details'!L205</f>
        <v>9.7611200536165924E-8</v>
      </c>
      <c r="Q212" s="7">
        <f>('Session Details'!M212-'Session Details'!M205)/'Session Details'!M205</f>
        <v>-4.0000515410946201E-2</v>
      </c>
      <c r="R212" s="7">
        <f>('Session Details'!N212-'Session Details'!N205)/'Session Details'!N205</f>
        <v>9.9013637652073504E-3</v>
      </c>
    </row>
    <row r="213" spans="1:18" hidden="1" x14ac:dyDescent="0.3">
      <c r="A213" s="2">
        <v>43676</v>
      </c>
      <c r="B213" s="3">
        <v>20848646</v>
      </c>
      <c r="C213" s="4">
        <f t="shared" si="27"/>
        <v>-2.0408172854259738E-2</v>
      </c>
      <c r="D213" s="3">
        <v>5212161</v>
      </c>
      <c r="E213" s="4">
        <f t="shared" si="28"/>
        <v>3.1149363662801625E-2</v>
      </c>
      <c r="F213" s="3">
        <v>2043167</v>
      </c>
      <c r="G213" s="4">
        <f t="shared" si="29"/>
        <v>2.0733739162147512E-2</v>
      </c>
      <c r="H213" s="3">
        <v>1416936</v>
      </c>
      <c r="I213" s="4">
        <f t="shared" si="30"/>
        <v>-5.8546814329338788E-2</v>
      </c>
      <c r="J213" s="3">
        <v>1208363</v>
      </c>
      <c r="K213" s="7">
        <f t="shared" si="24"/>
        <v>5.7958823800835793E-2</v>
      </c>
      <c r="L213" s="7">
        <f t="shared" si="25"/>
        <v>3.064391629386698E-2</v>
      </c>
      <c r="M213" s="7">
        <f t="shared" si="26"/>
        <v>-2.0408172854259776E-2</v>
      </c>
      <c r="N213" s="7">
        <f t="shared" si="31"/>
        <v>5.2115674848858706E-2</v>
      </c>
      <c r="O213" s="7">
        <f>('Session Details'!K213-'Session Details'!K206)/'Session Details'!K206</f>
        <v>5.2631652376363566E-2</v>
      </c>
      <c r="P213" s="7">
        <f>('Session Details'!L213-'Session Details'!L206)/'Session Details'!L206</f>
        <v>-1.01009852381193E-2</v>
      </c>
      <c r="Q213" s="7">
        <f>('Session Details'!M213-'Session Details'!M206)/'Session Details'!M206</f>
        <v>-7.7670160640092606E-2</v>
      </c>
      <c r="R213" s="7">
        <f>('Session Details'!N213-'Session Details'!N206)/'Session Details'!N206</f>
        <v>9.4737297595598555E-2</v>
      </c>
    </row>
    <row r="214" spans="1:18" hidden="1" x14ac:dyDescent="0.3">
      <c r="A214" s="2">
        <v>43677</v>
      </c>
      <c r="B214" s="3">
        <v>22368860</v>
      </c>
      <c r="C214" s="4">
        <f t="shared" si="27"/>
        <v>1.9801989677181345E-2</v>
      </c>
      <c r="D214" s="3">
        <v>5592215</v>
      </c>
      <c r="E214" s="4">
        <f t="shared" si="28"/>
        <v>-1.9416083632903003E-4</v>
      </c>
      <c r="F214" s="3">
        <v>2214517</v>
      </c>
      <c r="G214" s="4">
        <f t="shared" si="29"/>
        <v>1.0007872026212113E-2</v>
      </c>
      <c r="H214" s="3">
        <v>1535767</v>
      </c>
      <c r="I214" s="4">
        <f t="shared" si="30"/>
        <v>-5.1283553143232751E-4</v>
      </c>
      <c r="J214" s="3">
        <v>1322295</v>
      </c>
      <c r="K214" s="7">
        <f t="shared" si="24"/>
        <v>5.9113204696171373E-2</v>
      </c>
      <c r="L214" s="7">
        <f t="shared" si="25"/>
        <v>1.8893876057097803E-2</v>
      </c>
      <c r="M214" s="7">
        <f t="shared" si="26"/>
        <v>1.9801989677181275E-2</v>
      </c>
      <c r="N214" s="7">
        <f t="shared" si="31"/>
        <v>-8.9048033763017287E-4</v>
      </c>
      <c r="O214" s="7">
        <f>('Session Details'!K214-'Session Details'!K207)/'Session Details'!K207</f>
        <v>-1.9607875564000638E-2</v>
      </c>
      <c r="P214" s="7">
        <f>('Session Details'!L214-'Session Details'!L207)/'Session Details'!L207</f>
        <v>1.0204014082449355E-2</v>
      </c>
      <c r="Q214" s="7">
        <f>('Session Details'!M214-'Session Details'!M207)/'Session Details'!M207</f>
        <v>-1.0416460949495871E-2</v>
      </c>
      <c r="R214" s="7">
        <f>('Session Details'!N214-'Session Details'!N207)/'Session Details'!N207</f>
        <v>1.9416669146370424E-2</v>
      </c>
    </row>
    <row r="215" spans="1:18" hidden="1" x14ac:dyDescent="0.3">
      <c r="A215" s="2">
        <v>43678</v>
      </c>
      <c r="B215" s="3">
        <v>22151687</v>
      </c>
      <c r="C215" s="4">
        <f t="shared" si="27"/>
        <v>7.3684220220243124E-2</v>
      </c>
      <c r="D215" s="3">
        <v>5704059</v>
      </c>
      <c r="E215" s="4">
        <f t="shared" si="28"/>
        <v>5.3233146735980411E-2</v>
      </c>
      <c r="F215" s="3">
        <v>2327256</v>
      </c>
      <c r="G215" s="4">
        <f t="shared" si="29"/>
        <v>9.6222381955912872E-2</v>
      </c>
      <c r="H215" s="3">
        <v>1749863</v>
      </c>
      <c r="I215" s="4">
        <f t="shared" si="30"/>
        <v>0.10696945600527338</v>
      </c>
      <c r="J215" s="3">
        <v>1506632</v>
      </c>
      <c r="K215" s="7">
        <f t="shared" si="24"/>
        <v>6.8014323243191371E-2</v>
      </c>
      <c r="L215" s="7">
        <f t="shared" si="25"/>
        <v>0.16231751902245817</v>
      </c>
      <c r="M215" s="7">
        <f t="shared" si="26"/>
        <v>7.3684220220243013E-2</v>
      </c>
      <c r="N215" s="7">
        <f t="shared" si="31"/>
        <v>8.2550620688114362E-2</v>
      </c>
      <c r="O215" s="7">
        <f>('Session Details'!K215-'Session Details'!K208)/'Session Details'!K208</f>
        <v>-1.9047568269251119E-2</v>
      </c>
      <c r="P215" s="7">
        <f>('Session Details'!L215-'Session Details'!L208)/'Session Details'!L208</f>
        <v>4.0816447291996218E-2</v>
      </c>
      <c r="Q215" s="7">
        <f>('Session Details'!M215-'Session Details'!M208)/'Session Details'!M208</f>
        <v>9.803735287894192E-3</v>
      </c>
      <c r="R215" s="7">
        <f>('Session Details'!N215-'Session Details'!N208)/'Session Details'!N208</f>
        <v>4.9999629815369658E-2</v>
      </c>
    </row>
    <row r="216" spans="1:18" hidden="1" x14ac:dyDescent="0.3">
      <c r="A216" s="2">
        <v>43679</v>
      </c>
      <c r="B216" s="3">
        <v>22803207</v>
      </c>
      <c r="C216" s="4">
        <f t="shared" si="27"/>
        <v>8.2474216527056624E-2</v>
      </c>
      <c r="D216" s="3">
        <v>5814817</v>
      </c>
      <c r="E216" s="4">
        <f t="shared" si="28"/>
        <v>9.3191748483160461E-2</v>
      </c>
      <c r="F216" s="3">
        <v>2256149</v>
      </c>
      <c r="G216" s="4">
        <f t="shared" si="29"/>
        <v>9.3191841528661931E-2</v>
      </c>
      <c r="H216" s="3">
        <v>1581109</v>
      </c>
      <c r="I216" s="4">
        <f t="shared" si="30"/>
        <v>9.1004244184191216E-3</v>
      </c>
      <c r="J216" s="3">
        <v>1322439</v>
      </c>
      <c r="K216" s="7">
        <f t="shared" si="24"/>
        <v>5.7993553275203794E-2</v>
      </c>
      <c r="L216" s="7">
        <f t="shared" si="25"/>
        <v>6.1115020545257748E-2</v>
      </c>
      <c r="M216" s="7">
        <f t="shared" si="26"/>
        <v>8.2474216527056665E-2</v>
      </c>
      <c r="N216" s="7">
        <f t="shared" si="31"/>
        <v>-1.9731828856234923E-2</v>
      </c>
      <c r="O216" s="7">
        <f>('Session Details'!K216-'Session Details'!K209)/'Session Details'!K209</f>
        <v>9.9009581867818761E-3</v>
      </c>
      <c r="P216" s="7">
        <f>('Session Details'!L216-'Session Details'!L209)/'Session Details'!L209</f>
        <v>8.5113614835952889E-8</v>
      </c>
      <c r="Q216" s="7">
        <f>('Session Details'!M216-'Session Details'!M209)/'Session Details'!M209</f>
        <v>-7.6922836336441883E-2</v>
      </c>
      <c r="R216" s="7">
        <f>('Session Details'!N216-'Session Details'!N209)/'Session Details'!N209</f>
        <v>5.154551010799191E-2</v>
      </c>
    </row>
    <row r="217" spans="1:18" hidden="1" x14ac:dyDescent="0.3">
      <c r="A217" s="2">
        <v>43680</v>
      </c>
      <c r="B217" s="3">
        <v>45338648</v>
      </c>
      <c r="C217" s="4">
        <f t="shared" si="27"/>
        <v>1.0000011138400192E-2</v>
      </c>
      <c r="D217" s="3">
        <v>9045060</v>
      </c>
      <c r="E217" s="4">
        <f t="shared" si="28"/>
        <v>-5.9313699796076785E-2</v>
      </c>
      <c r="F217" s="3">
        <v>3167580</v>
      </c>
      <c r="G217" s="4">
        <f t="shared" si="29"/>
        <v>-1.1267195244127294E-3</v>
      </c>
      <c r="H217" s="3">
        <v>2240112</v>
      </c>
      <c r="I217" s="4">
        <f t="shared" si="30"/>
        <v>3.8827963850594331E-2</v>
      </c>
      <c r="J217" s="3">
        <v>1782233</v>
      </c>
      <c r="K217" s="7">
        <f t="shared" si="24"/>
        <v>3.930935479152356E-2</v>
      </c>
      <c r="L217" s="7">
        <f t="shared" si="25"/>
        <v>4.9113520787332776E-2</v>
      </c>
      <c r="M217" s="7">
        <f t="shared" si="26"/>
        <v>1.0000011138400211E-2</v>
      </c>
      <c r="N217" s="7">
        <f t="shared" si="31"/>
        <v>3.8726246750083293E-2</v>
      </c>
      <c r="O217" s="7">
        <f>('Session Details'!K217-'Session Details'!K210)/'Session Details'!K210</f>
        <v>-6.8627435811957488E-2</v>
      </c>
      <c r="P217" s="7">
        <f>('Session Details'!L217-'Session Details'!L210)/'Session Details'!L210</f>
        <v>6.185588145490177E-2</v>
      </c>
      <c r="Q217" s="7">
        <f>('Session Details'!M217-'Session Details'!M210)/'Session Details'!M210</f>
        <v>3.9999751876417917E-2</v>
      </c>
      <c r="R217" s="7">
        <f>('Session Details'!N217-'Session Details'!N210)/'Session Details'!N210</f>
        <v>9.9011167341061107E-3</v>
      </c>
    </row>
    <row r="218" spans="1:18" hidden="1" x14ac:dyDescent="0.3">
      <c r="A218" s="2">
        <v>43681</v>
      </c>
      <c r="B218" s="3">
        <v>43991955</v>
      </c>
      <c r="C218" s="4">
        <f t="shared" si="27"/>
        <v>1.0309266749248525E-2</v>
      </c>
      <c r="D218" s="3">
        <v>9053544</v>
      </c>
      <c r="E218" s="4">
        <f t="shared" si="28"/>
        <v>3.1357395754065716E-2</v>
      </c>
      <c r="F218" s="3">
        <v>2924294</v>
      </c>
      <c r="G218" s="4">
        <f t="shared" si="29"/>
        <v>-4.8748061661212046E-2</v>
      </c>
      <c r="H218" s="3">
        <v>2068061</v>
      </c>
      <c r="I218" s="4">
        <f t="shared" si="30"/>
        <v>1.9899285450441409E-2</v>
      </c>
      <c r="J218" s="3">
        <v>1677611</v>
      </c>
      <c r="K218" s="7">
        <f t="shared" si="24"/>
        <v>3.8134495273056179E-2</v>
      </c>
      <c r="L218" s="7">
        <f t="shared" si="25"/>
        <v>1.0185488493980932E-2</v>
      </c>
      <c r="M218" s="7">
        <f t="shared" si="26"/>
        <v>1.0309266749248591E-2</v>
      </c>
      <c r="N218" s="7">
        <f t="shared" si="31"/>
        <v>-1.2251521325334913E-4</v>
      </c>
      <c r="O218" s="7">
        <f>('Session Details'!K218-'Session Details'!K211)/'Session Details'!K211</f>
        <v>2.0833352417464483E-2</v>
      </c>
      <c r="P218" s="7">
        <f>('Session Details'!L218-'Session Details'!L211)/'Session Details'!L211</f>
        <v>-7.7669930661339343E-2</v>
      </c>
      <c r="Q218" s="7">
        <f>('Session Details'!M218-'Session Details'!M211)/'Session Details'!M211</f>
        <v>7.2165263843283312E-2</v>
      </c>
      <c r="R218" s="7">
        <f>('Session Details'!N218-'Session Details'!N211)/'Session Details'!N211</f>
        <v>-9.5242707736288637E-3</v>
      </c>
    </row>
    <row r="219" spans="1:18" hidden="1" x14ac:dyDescent="0.3">
      <c r="A219" s="2">
        <v>43682</v>
      </c>
      <c r="B219" s="3">
        <v>22368860</v>
      </c>
      <c r="C219" s="4">
        <f t="shared" si="27"/>
        <v>4.0404011745583182E-2</v>
      </c>
      <c r="D219" s="3">
        <v>5592215</v>
      </c>
      <c r="E219" s="4">
        <f t="shared" si="28"/>
        <v>1.0100982733392182E-2</v>
      </c>
      <c r="F219" s="3">
        <v>2214517</v>
      </c>
      <c r="G219" s="4">
        <f t="shared" si="29"/>
        <v>0</v>
      </c>
      <c r="H219" s="3">
        <v>1551933</v>
      </c>
      <c r="I219" s="4">
        <f t="shared" si="30"/>
        <v>0</v>
      </c>
      <c r="J219" s="3">
        <v>1208956</v>
      </c>
      <c r="K219" s="7">
        <f t="shared" si="24"/>
        <v>5.4046384125073878E-2</v>
      </c>
      <c r="L219" s="7">
        <f t="shared" si="25"/>
        <v>-6.8627473639041092E-2</v>
      </c>
      <c r="M219" s="7">
        <f t="shared" si="26"/>
        <v>4.0404011745583279E-2</v>
      </c>
      <c r="N219" s="7">
        <f t="shared" si="31"/>
        <v>-0.10479725582919641</v>
      </c>
      <c r="O219" s="7">
        <f>('Session Details'!K219-'Session Details'!K212)/'Session Details'!K212</f>
        <v>-2.9126213153819785E-2</v>
      </c>
      <c r="P219" s="7">
        <f>('Session Details'!L219-'Session Details'!L212)/'Session Details'!L212</f>
        <v>-9.9999731769968934E-3</v>
      </c>
      <c r="Q219" s="7">
        <f>('Session Details'!M219-'Session Details'!M212)/'Session Details'!M212</f>
        <v>0</v>
      </c>
      <c r="R219" s="7">
        <f>('Session Details'!N219-'Session Details'!N212)/'Session Details'!N212</f>
        <v>-6.8627473639041106E-2</v>
      </c>
    </row>
    <row r="220" spans="1:18" hidden="1" x14ac:dyDescent="0.3">
      <c r="A220" s="2">
        <v>43683</v>
      </c>
      <c r="B220" s="3">
        <v>22586034</v>
      </c>
      <c r="C220" s="4">
        <f t="shared" si="27"/>
        <v>8.3333373303954614E-2</v>
      </c>
      <c r="D220" s="3">
        <v>5420648</v>
      </c>
      <c r="E220" s="4">
        <f t="shared" si="28"/>
        <v>4.0000107441040288E-2</v>
      </c>
      <c r="F220" s="3">
        <v>2124894</v>
      </c>
      <c r="G220" s="4">
        <f t="shared" si="29"/>
        <v>4.0000156619600845E-2</v>
      </c>
      <c r="H220" s="3">
        <v>1535660</v>
      </c>
      <c r="I220" s="4">
        <f t="shared" si="30"/>
        <v>8.3789246656165134E-2</v>
      </c>
      <c r="J220" s="3">
        <v>1221464</v>
      </c>
      <c r="K220" s="7">
        <f t="shared" si="24"/>
        <v>5.4080499480342589E-2</v>
      </c>
      <c r="L220" s="7">
        <f t="shared" si="25"/>
        <v>1.0841940708214315E-2</v>
      </c>
      <c r="M220" s="7">
        <f t="shared" si="26"/>
        <v>8.3333373303954517E-2</v>
      </c>
      <c r="N220" s="7">
        <f t="shared" si="31"/>
        <v>-6.6915166081014887E-2</v>
      </c>
      <c r="O220" s="7">
        <f>('Session Details'!K220-'Session Details'!K213)/'Session Details'!K213</f>
        <v>-3.9999936243777234E-2</v>
      </c>
      <c r="P220" s="7">
        <f>('Session Details'!L220-'Session Details'!L213)/'Session Details'!L213</f>
        <v>4.7287072543457049E-8</v>
      </c>
      <c r="Q220" s="7">
        <f>('Session Details'!M220-'Session Details'!M213)/'Session Details'!M213</f>
        <v>4.2104887925109212E-2</v>
      </c>
      <c r="R220" s="7">
        <f>('Session Details'!N220-'Session Details'!N213)/'Session Details'!N213</f>
        <v>-6.7307648763831579E-2</v>
      </c>
    </row>
    <row r="221" spans="1:18" hidden="1" x14ac:dyDescent="0.3">
      <c r="A221" s="2">
        <v>43684</v>
      </c>
      <c r="B221" s="3">
        <v>22586034</v>
      </c>
      <c r="C221" s="4">
        <f t="shared" si="27"/>
        <v>9.7087647738865555E-3</v>
      </c>
      <c r="D221" s="3">
        <v>5364183</v>
      </c>
      <c r="E221" s="4">
        <f t="shared" si="28"/>
        <v>-4.0776686876309295E-2</v>
      </c>
      <c r="F221" s="3">
        <v>2124216</v>
      </c>
      <c r="G221" s="4">
        <f t="shared" si="29"/>
        <v>-4.0776837567740504E-2</v>
      </c>
      <c r="H221" s="3">
        <v>1488650</v>
      </c>
      <c r="I221" s="4">
        <f t="shared" si="30"/>
        <v>-3.0679784107875738E-2</v>
      </c>
      <c r="J221" s="3">
        <v>1184072</v>
      </c>
      <c r="K221" s="7">
        <f t="shared" si="24"/>
        <v>5.2424963143152974E-2</v>
      </c>
      <c r="L221" s="7">
        <f t="shared" si="25"/>
        <v>-0.10453264967348441</v>
      </c>
      <c r="M221" s="7">
        <f t="shared" si="26"/>
        <v>9.7087647738864913E-3</v>
      </c>
      <c r="N221" s="7">
        <f t="shared" si="31"/>
        <v>-0.1131429362930747</v>
      </c>
      <c r="O221" s="7">
        <f>('Session Details'!K221-'Session Details'!K214)/'Session Details'!K214</f>
        <v>-5.0000013282544442E-2</v>
      </c>
      <c r="P221" s="7">
        <f>('Session Details'!L221-'Session Details'!L214)/'Session Details'!L214</f>
        <v>-1.5709734030603598E-7</v>
      </c>
      <c r="Q221" s="7">
        <f>('Session Details'!M221-'Session Details'!M214)/'Session Details'!M214</f>
        <v>1.0526281949095273E-2</v>
      </c>
      <c r="R221" s="7">
        <f>('Session Details'!N221-'Session Details'!N214)/'Session Details'!N214</f>
        <v>-7.6190369657809495E-2</v>
      </c>
    </row>
    <row r="222" spans="1:18" hidden="1" x14ac:dyDescent="0.3">
      <c r="A222" s="2">
        <v>43685</v>
      </c>
      <c r="B222" s="3">
        <v>20848646</v>
      </c>
      <c r="C222" s="4">
        <f t="shared" si="27"/>
        <v>-5.8823555966640372E-2</v>
      </c>
      <c r="D222" s="3">
        <v>5264283</v>
      </c>
      <c r="E222" s="4">
        <f t="shared" si="28"/>
        <v>-7.7098781762250351E-2</v>
      </c>
      <c r="F222" s="3">
        <v>2168884</v>
      </c>
      <c r="G222" s="4">
        <f t="shared" si="29"/>
        <v>-6.805095786625967E-2</v>
      </c>
      <c r="H222" s="3">
        <v>1519954</v>
      </c>
      <c r="I222" s="4">
        <f t="shared" si="30"/>
        <v>-0.13138685714253059</v>
      </c>
      <c r="J222" s="3">
        <v>1233898</v>
      </c>
      <c r="K222" s="7">
        <f t="shared" si="24"/>
        <v>5.9183603577901416E-2</v>
      </c>
      <c r="L222" s="7">
        <f t="shared" si="25"/>
        <v>-0.18102230670794195</v>
      </c>
      <c r="M222" s="7">
        <f t="shared" si="26"/>
        <v>-5.8823555966640351E-2</v>
      </c>
      <c r="N222" s="7">
        <f t="shared" si="31"/>
        <v>-0.12983617632590294</v>
      </c>
      <c r="O222" s="7">
        <f>('Session Details'!K222-'Session Details'!K215)/'Session Details'!K215</f>
        <v>-1.9417427955689709E-2</v>
      </c>
      <c r="P222" s="7">
        <f>('Session Details'!L222-'Session Details'!L215)/'Session Details'!L215</f>
        <v>9.8036753199515665E-3</v>
      </c>
      <c r="Q222" s="7">
        <f>('Session Details'!M222-'Session Details'!M215)/'Session Details'!M215</f>
        <v>-6.7960689278955058E-2</v>
      </c>
      <c r="R222" s="7">
        <f>('Session Details'!N222-'Session Details'!N215)/'Session Details'!N215</f>
        <v>-5.7143332418533303E-2</v>
      </c>
    </row>
    <row r="223" spans="1:18" hidden="1" x14ac:dyDescent="0.3">
      <c r="A223" s="2">
        <v>43686</v>
      </c>
      <c r="B223" s="3">
        <v>22586034</v>
      </c>
      <c r="C223" s="4">
        <f t="shared" si="27"/>
        <v>-9.5237919824172103E-3</v>
      </c>
      <c r="D223" s="3">
        <v>5590043</v>
      </c>
      <c r="E223" s="4">
        <f t="shared" si="28"/>
        <v>-3.8655386747338739E-2</v>
      </c>
      <c r="F223" s="3">
        <v>2124216</v>
      </c>
      <c r="G223" s="4">
        <f t="shared" si="29"/>
        <v>-5.8477077533443049E-2</v>
      </c>
      <c r="H223" s="3">
        <v>1566184</v>
      </c>
      <c r="I223" s="4">
        <f t="shared" si="30"/>
        <v>-9.4395769045650876E-3</v>
      </c>
      <c r="J223" s="3">
        <v>1322799</v>
      </c>
      <c r="K223" s="7">
        <f t="shared" si="24"/>
        <v>5.8567121611523297E-2</v>
      </c>
      <c r="L223" s="7">
        <f t="shared" si="25"/>
        <v>2.7222427650719361E-4</v>
      </c>
      <c r="M223" s="7">
        <f t="shared" si="26"/>
        <v>-9.5237919824172623E-3</v>
      </c>
      <c r="N223" s="7">
        <f t="shared" si="31"/>
        <v>9.8902085477963197E-3</v>
      </c>
      <c r="O223" s="7">
        <f>('Session Details'!K223-'Session Details'!K216)/'Session Details'!K216</f>
        <v>-2.9411705732162702E-2</v>
      </c>
      <c r="P223" s="7">
        <f>('Session Details'!L223-'Session Details'!L216)/'Session Details'!L216</f>
        <v>-2.0618715196248402E-2</v>
      </c>
      <c r="Q223" s="7">
        <f>('Session Details'!M223-'Session Details'!M216)/'Session Details'!M216</f>
        <v>5.2083172335742785E-2</v>
      </c>
      <c r="R223" s="7">
        <f>('Session Details'!N223-'Session Details'!N216)/'Session Details'!N216</f>
        <v>9.8043500978200297E-3</v>
      </c>
    </row>
    <row r="224" spans="1:18" hidden="1" x14ac:dyDescent="0.3">
      <c r="A224" s="2">
        <v>43687</v>
      </c>
      <c r="B224" s="3">
        <v>46685340</v>
      </c>
      <c r="C224" s="4">
        <f t="shared" si="27"/>
        <v>2.9702958941342936E-2</v>
      </c>
      <c r="D224" s="3">
        <v>9411764</v>
      </c>
      <c r="E224" s="4">
        <f t="shared" si="28"/>
        <v>4.0541909064174257E-2</v>
      </c>
      <c r="F224" s="3">
        <v>3328000</v>
      </c>
      <c r="G224" s="4">
        <f t="shared" si="29"/>
        <v>5.0644340474431587E-2</v>
      </c>
      <c r="H224" s="3">
        <v>2330931</v>
      </c>
      <c r="I224" s="4">
        <f t="shared" si="30"/>
        <v>4.0542169320105424E-2</v>
      </c>
      <c r="J224" s="3">
        <v>1890851</v>
      </c>
      <c r="K224" s="7">
        <f t="shared" si="24"/>
        <v>4.0502029116634898E-2</v>
      </c>
      <c r="L224" s="7">
        <f t="shared" si="25"/>
        <v>6.0944893288363611E-2</v>
      </c>
      <c r="M224" s="7">
        <f t="shared" si="26"/>
        <v>2.9702958941342894E-2</v>
      </c>
      <c r="N224" s="7">
        <f t="shared" si="31"/>
        <v>3.034072503699603E-2</v>
      </c>
      <c r="O224" s="7">
        <f>('Session Details'!K224-'Session Details'!K217)/'Session Details'!K217</f>
        <v>1.0526288216142458E-2</v>
      </c>
      <c r="P224" s="7">
        <f>('Session Details'!L224-'Session Details'!L217)/'Session Details'!L217</f>
        <v>9.7088174174004057E-3</v>
      </c>
      <c r="Q224" s="7">
        <f>('Session Details'!M224-'Session Details'!M217)/'Session Details'!M217</f>
        <v>-9.6152149354026845E-3</v>
      </c>
      <c r="R224" s="7">
        <f>('Session Details'!N224-'Session Details'!N217)/'Session Details'!N217</f>
        <v>1.960778195235402E-2</v>
      </c>
    </row>
    <row r="225" spans="1:18" x14ac:dyDescent="0.3">
      <c r="A225" s="11">
        <v>43688</v>
      </c>
      <c r="B225" s="12">
        <v>43991955</v>
      </c>
      <c r="C225" s="4">
        <f t="shared" si="27"/>
        <v>0</v>
      </c>
      <c r="D225" s="12">
        <v>9700226</v>
      </c>
      <c r="E225" s="4">
        <f t="shared" si="28"/>
        <v>7.1428602986852441E-2</v>
      </c>
      <c r="F225" s="12">
        <v>3166153</v>
      </c>
      <c r="G225" s="4">
        <f t="shared" si="29"/>
        <v>8.2706800342236445E-2</v>
      </c>
      <c r="H225" s="12">
        <v>1033432</v>
      </c>
      <c r="I225" s="4">
        <f t="shared" si="30"/>
        <v>-0.5002894015215219</v>
      </c>
      <c r="J225" s="12">
        <v>765773</v>
      </c>
      <c r="K225" s="13">
        <f t="shared" si="24"/>
        <v>1.7407114550830941E-2</v>
      </c>
      <c r="L225" s="13">
        <f t="shared" si="25"/>
        <v>-0.54353363205176886</v>
      </c>
      <c r="M225" s="13">
        <f t="shared" si="26"/>
        <v>0</v>
      </c>
      <c r="N225" s="13">
        <f t="shared" si="31"/>
        <v>-0.54353363205176897</v>
      </c>
      <c r="O225" s="7">
        <f>('Session Details'!K225-'Session Details'!K218)/'Session Details'!K218</f>
        <v>7.1428602986852469E-2</v>
      </c>
      <c r="P225" s="7">
        <f>('Session Details'!L225-'Session Details'!L218)/'Session Details'!L218</f>
        <v>1.0526317221645477E-2</v>
      </c>
      <c r="Q225" s="7">
        <f>('Session Details'!M225-'Session Details'!M218)/'Session Details'!M218</f>
        <v>-0.53846175315374112</v>
      </c>
      <c r="R225" s="7">
        <f>('Session Details'!N225-'Session Details'!N218)/'Session Details'!N218</f>
        <v>-8.6538549836479947E-2</v>
      </c>
    </row>
    <row r="226" spans="1:18" hidden="1" x14ac:dyDescent="0.3">
      <c r="A226" s="2">
        <v>43689</v>
      </c>
      <c r="B226" s="3">
        <v>20631473</v>
      </c>
      <c r="C226" s="4">
        <f t="shared" si="27"/>
        <v>-7.7669894666067024E-2</v>
      </c>
      <c r="D226" s="3">
        <v>5157868</v>
      </c>
      <c r="E226" s="4">
        <f t="shared" si="28"/>
        <v>-7.7669939371072111E-2</v>
      </c>
      <c r="F226" s="3">
        <v>2063147</v>
      </c>
      <c r="G226" s="4">
        <f t="shared" si="29"/>
        <v>-6.835350552739039E-2</v>
      </c>
      <c r="H226" s="3">
        <v>1445853</v>
      </c>
      <c r="I226" s="4">
        <f t="shared" si="30"/>
        <v>-6.8353466290104012E-2</v>
      </c>
      <c r="J226" s="3">
        <v>1244880</v>
      </c>
      <c r="K226" s="7">
        <f t="shared" si="24"/>
        <v>6.0338881281040861E-2</v>
      </c>
      <c r="L226" s="7">
        <f t="shared" si="25"/>
        <v>2.971489450401843E-2</v>
      </c>
      <c r="M226" s="7">
        <f t="shared" si="26"/>
        <v>-7.7669894666066996E-2</v>
      </c>
      <c r="N226" s="7">
        <f t="shared" si="31"/>
        <v>0.11642771774342786</v>
      </c>
      <c r="O226" s="7">
        <f>('Session Details'!K226-'Session Details'!K219)/'Session Details'!K219</f>
        <v>-4.8469636637626934E-8</v>
      </c>
      <c r="P226" s="7">
        <f>('Session Details'!L226-'Session Details'!L219)/'Session Details'!L219</f>
        <v>1.0100976040322061E-2</v>
      </c>
      <c r="Q226" s="7">
        <f>('Session Details'!M226-'Session Details'!M219)/'Session Details'!M219</f>
        <v>4.2116067257843555E-8</v>
      </c>
      <c r="R226" s="7">
        <f>('Session Details'!N226-'Session Details'!N219)/'Session Details'!N219</f>
        <v>0.10526348485793827</v>
      </c>
    </row>
    <row r="227" spans="1:18" hidden="1" x14ac:dyDescent="0.3">
      <c r="A227" s="2">
        <v>43690</v>
      </c>
      <c r="B227" s="3">
        <v>20848646</v>
      </c>
      <c r="C227" s="4">
        <f t="shared" si="27"/>
        <v>-7.6923110980883141E-2</v>
      </c>
      <c r="D227" s="3">
        <v>5316404</v>
      </c>
      <c r="E227" s="4">
        <f t="shared" si="28"/>
        <v>-1.9230911138299334E-2</v>
      </c>
      <c r="F227" s="3">
        <v>2211624</v>
      </c>
      <c r="G227" s="4">
        <f t="shared" si="29"/>
        <v>4.0816153652841039E-2</v>
      </c>
      <c r="H227" s="3">
        <v>1549906</v>
      </c>
      <c r="I227" s="4">
        <f t="shared" si="30"/>
        <v>9.2767930401260693E-3</v>
      </c>
      <c r="J227" s="3">
        <v>1334469</v>
      </c>
      <c r="K227" s="7">
        <f t="shared" si="24"/>
        <v>6.4007466000429961E-2</v>
      </c>
      <c r="L227" s="7">
        <f t="shared" si="25"/>
        <v>9.2516029944394562E-2</v>
      </c>
      <c r="M227" s="7">
        <f t="shared" si="26"/>
        <v>-7.6923110980883114E-2</v>
      </c>
      <c r="N227" s="7">
        <f t="shared" si="31"/>
        <v>0.18355907610830524</v>
      </c>
      <c r="O227" s="7">
        <f>('Session Details'!K227-'Session Details'!K220)/'Session Details'!K220</f>
        <v>6.2499885468792038E-2</v>
      </c>
      <c r="P227" s="7">
        <f>('Session Details'!L227-'Session Details'!L220)/'Session Details'!L220</f>
        <v>6.122446707698765E-2</v>
      </c>
      <c r="Q227" s="7">
        <f>('Session Details'!M227-'Session Details'!M220)/'Session Details'!M220</f>
        <v>-3.0302527974824963E-2</v>
      </c>
      <c r="R227" s="7">
        <f>('Session Details'!N227-'Session Details'!N220)/'Session Details'!N220</f>
        <v>8.2474141363675632E-2</v>
      </c>
    </row>
    <row r="228" spans="1:18" hidden="1" x14ac:dyDescent="0.3">
      <c r="A228" s="2">
        <v>43691</v>
      </c>
      <c r="B228" s="3">
        <v>22586034</v>
      </c>
      <c r="C228" s="4">
        <f t="shared" si="27"/>
        <v>0</v>
      </c>
      <c r="D228" s="3">
        <v>5477113</v>
      </c>
      <c r="E228" s="4">
        <f t="shared" si="28"/>
        <v>2.1052600181612001E-2</v>
      </c>
      <c r="F228" s="3">
        <v>2147028</v>
      </c>
      <c r="G228" s="4">
        <f t="shared" si="29"/>
        <v>1.0739020890530906E-2</v>
      </c>
      <c r="H228" s="3">
        <v>1551657</v>
      </c>
      <c r="I228" s="4">
        <f t="shared" si="30"/>
        <v>4.2324925267860143E-2</v>
      </c>
      <c r="J228" s="3">
        <v>1335977</v>
      </c>
      <c r="K228" s="7">
        <f t="shared" si="24"/>
        <v>5.9150579512985767E-2</v>
      </c>
      <c r="L228" s="7">
        <f t="shared" si="25"/>
        <v>0.12829034045226972</v>
      </c>
      <c r="M228" s="7">
        <f t="shared" si="26"/>
        <v>0</v>
      </c>
      <c r="N228" s="7">
        <f t="shared" si="31"/>
        <v>0.12829034045226972</v>
      </c>
      <c r="O228" s="7">
        <f>('Session Details'!K228-'Session Details'!K221)/'Session Details'!K221</f>
        <v>2.1052600181612015E-2</v>
      </c>
      <c r="P228" s="7">
        <f>('Session Details'!L228-'Session Details'!L221)/'Session Details'!L221</f>
        <v>-1.0100928482280624E-2</v>
      </c>
      <c r="Q228" s="7">
        <f>('Session Details'!M228-'Session Details'!M221)/'Session Details'!M221</f>
        <v>3.1250306681045947E-2</v>
      </c>
      <c r="R228" s="7">
        <f>('Session Details'!N228-'Session Details'!N221)/'Session Details'!N221</f>
        <v>8.2474680495928834E-2</v>
      </c>
    </row>
    <row r="229" spans="1:18" hidden="1" x14ac:dyDescent="0.3">
      <c r="A229" s="2">
        <v>43692</v>
      </c>
      <c r="B229" s="3">
        <v>21934513</v>
      </c>
      <c r="C229" s="4">
        <f t="shared" si="27"/>
        <v>5.2083334332598867E-2</v>
      </c>
      <c r="D229" s="3">
        <v>5702973</v>
      </c>
      <c r="E229" s="4">
        <f t="shared" si="28"/>
        <v>8.3333285843485233E-2</v>
      </c>
      <c r="F229" s="3">
        <v>2235565</v>
      </c>
      <c r="G229" s="4">
        <f t="shared" si="29"/>
        <v>3.0744382825453088E-2</v>
      </c>
      <c r="H229" s="3">
        <v>1615643</v>
      </c>
      <c r="I229" s="4">
        <f t="shared" si="30"/>
        <v>6.2955194696681607E-2</v>
      </c>
      <c r="J229" s="3">
        <v>1298330</v>
      </c>
      <c r="K229" s="7">
        <f t="shared" si="24"/>
        <v>5.9191193349038565E-2</v>
      </c>
      <c r="L229" s="7">
        <f t="shared" si="25"/>
        <v>5.2218254669348596E-2</v>
      </c>
      <c r="M229" s="7">
        <f t="shared" si="26"/>
        <v>5.2083334332598819E-2</v>
      </c>
      <c r="N229" s="7">
        <f t="shared" si="31"/>
        <v>1.282411120364646E-4</v>
      </c>
      <c r="O229" s="7">
        <f>('Session Details'!K229-'Session Details'!K222)/'Session Details'!K222</f>
        <v>2.970292418015549E-2</v>
      </c>
      <c r="P229" s="7">
        <f>('Session Details'!L229-'Session Details'!L222)/'Session Details'!L222</f>
        <v>-4.8543604913871302E-2</v>
      </c>
      <c r="Q229" s="7">
        <f>('Session Details'!M229-'Session Details'!M222)/'Session Details'!M222</f>
        <v>3.1250048419311262E-2</v>
      </c>
      <c r="R229" s="7">
        <f>('Session Details'!N229-'Session Details'!N222)/'Session Details'!N222</f>
        <v>-1.0101027852257499E-2</v>
      </c>
    </row>
    <row r="230" spans="1:18" hidden="1" x14ac:dyDescent="0.3">
      <c r="A230" s="2">
        <v>43693</v>
      </c>
      <c r="B230" s="3">
        <v>21282993</v>
      </c>
      <c r="C230" s="4">
        <f t="shared" si="27"/>
        <v>-5.7692333235662356E-2</v>
      </c>
      <c r="D230" s="3">
        <v>5480370</v>
      </c>
      <c r="E230" s="4">
        <f t="shared" si="28"/>
        <v>-1.9619348187482635E-2</v>
      </c>
      <c r="F230" s="3">
        <v>2279834</v>
      </c>
      <c r="G230" s="4">
        <f t="shared" si="29"/>
        <v>7.3259028272077795E-2</v>
      </c>
      <c r="H230" s="3">
        <v>1581065</v>
      </c>
      <c r="I230" s="4">
        <f t="shared" si="30"/>
        <v>9.5014378898009427E-3</v>
      </c>
      <c r="J230" s="3">
        <v>1257579</v>
      </c>
      <c r="K230" s="7">
        <f t="shared" si="24"/>
        <v>5.9088446817606902E-2</v>
      </c>
      <c r="L230" s="7">
        <f t="shared" si="25"/>
        <v>-4.9304542867056877E-2</v>
      </c>
      <c r="M230" s="7">
        <f t="shared" si="26"/>
        <v>-5.7692333235662363E-2</v>
      </c>
      <c r="N230" s="7">
        <f t="shared" si="31"/>
        <v>8.9013287957289133E-3</v>
      </c>
      <c r="O230" s="7">
        <f>('Session Details'!K230-'Session Details'!K223)/'Session Details'!K223</f>
        <v>4.0403985228002461E-2</v>
      </c>
      <c r="P230" s="7">
        <f>('Session Details'!L230-'Session Details'!L223)/'Session Details'!L223</f>
        <v>9.4737055742427981E-2</v>
      </c>
      <c r="Q230" s="7">
        <f>('Session Details'!M230-'Session Details'!M223)/'Session Details'!M223</f>
        <v>-5.9405594271985815E-2</v>
      </c>
      <c r="R230" s="7">
        <f>('Session Details'!N230-'Session Details'!N223)/'Session Details'!N223</f>
        <v>-5.8252498262689155E-2</v>
      </c>
    </row>
    <row r="231" spans="1:18" hidden="1" x14ac:dyDescent="0.3">
      <c r="A231" s="2">
        <v>43694</v>
      </c>
      <c r="B231" s="3">
        <v>46685340</v>
      </c>
      <c r="C231" s="4">
        <f t="shared" si="27"/>
        <v>0</v>
      </c>
      <c r="D231" s="3">
        <v>10098039</v>
      </c>
      <c r="E231" s="4">
        <f t="shared" si="28"/>
        <v>7.2916724218754322E-2</v>
      </c>
      <c r="F231" s="3">
        <v>3399000</v>
      </c>
      <c r="G231" s="4">
        <f t="shared" si="29"/>
        <v>2.1334134615384616E-2</v>
      </c>
      <c r="H231" s="3">
        <v>2357546</v>
      </c>
      <c r="I231" s="4">
        <f t="shared" si="30"/>
        <v>1.1418184407861066E-2</v>
      </c>
      <c r="J231" s="3">
        <v>1857275</v>
      </c>
      <c r="K231" s="7">
        <f t="shared" si="24"/>
        <v>3.9782831184264698E-2</v>
      </c>
      <c r="L231" s="7">
        <f t="shared" si="25"/>
        <v>-1.7757083979647259E-2</v>
      </c>
      <c r="M231" s="7">
        <f t="shared" si="26"/>
        <v>0</v>
      </c>
      <c r="N231" s="7">
        <f t="shared" si="31"/>
        <v>-1.7757083979647148E-2</v>
      </c>
      <c r="O231" s="7">
        <f>('Session Details'!K231-'Session Details'!K224)/'Session Details'!K224</f>
        <v>7.291672421875435E-2</v>
      </c>
      <c r="P231" s="7">
        <f>('Session Details'!L231-'Session Details'!L224)/'Session Details'!L224</f>
        <v>-4.8076974138817397E-2</v>
      </c>
      <c r="Q231" s="7">
        <f>('Session Details'!M231-'Session Details'!M224)/'Session Details'!M224</f>
        <v>-9.7088209151628604E-3</v>
      </c>
      <c r="R231" s="7">
        <f>('Session Details'!N231-'Session Details'!N224)/'Session Details'!N224</f>
        <v>-2.8845900575328379E-2</v>
      </c>
    </row>
    <row r="232" spans="1:18" x14ac:dyDescent="0.3">
      <c r="A232" s="11">
        <v>43695</v>
      </c>
      <c r="B232" s="12">
        <v>45338648</v>
      </c>
      <c r="C232" s="4">
        <f t="shared" si="27"/>
        <v>3.0612256263673664E-2</v>
      </c>
      <c r="D232" s="12">
        <v>9521116</v>
      </c>
      <c r="E232" s="4">
        <f t="shared" si="28"/>
        <v>-1.8464518249368622E-2</v>
      </c>
      <c r="F232" s="12">
        <v>3140064</v>
      </c>
      <c r="G232" s="4">
        <f t="shared" si="29"/>
        <v>-8.2399681885240543E-3</v>
      </c>
      <c r="H232" s="12">
        <v>2028481</v>
      </c>
      <c r="I232" s="4">
        <f t="shared" si="30"/>
        <v>0.96285870768468562</v>
      </c>
      <c r="J232" s="12">
        <v>1582215</v>
      </c>
      <c r="K232" s="13">
        <f t="shared" si="24"/>
        <v>3.4897710227265712E-2</v>
      </c>
      <c r="L232" s="13">
        <f t="shared" si="25"/>
        <v>1.0661671278564273</v>
      </c>
      <c r="M232" s="13">
        <f t="shared" si="26"/>
        <v>3.0612256263673698E-2</v>
      </c>
      <c r="N232" s="13">
        <f t="shared" si="31"/>
        <v>1.0047958049198824</v>
      </c>
      <c r="O232" s="7">
        <f>('Session Details'!K232-'Session Details'!K225)/'Session Details'!K225</f>
        <v>-4.7619048012258886E-2</v>
      </c>
      <c r="P232" s="7">
        <f>('Session Details'!L232-'Session Details'!L225)/'Session Details'!L225</f>
        <v>1.0416892971213194E-2</v>
      </c>
      <c r="Q232" s="7">
        <f>('Session Details'!M232-'Session Details'!M225)/'Session Details'!M225</f>
        <v>0.97916698064497742</v>
      </c>
      <c r="R232" s="7">
        <f>('Session Details'!N232-'Session Details'!N225)/'Session Details'!N225</f>
        <v>5.2631613150393615E-2</v>
      </c>
    </row>
    <row r="233" spans="1:18" hidden="1" x14ac:dyDescent="0.3">
      <c r="A233" s="2">
        <v>43696</v>
      </c>
      <c r="B233" s="3">
        <v>21065820</v>
      </c>
      <c r="C233" s="4">
        <f t="shared" si="27"/>
        <v>2.1052641272874699E-2</v>
      </c>
      <c r="D233" s="3">
        <v>5003132</v>
      </c>
      <c r="E233" s="4">
        <f t="shared" si="28"/>
        <v>-2.9999992244857759E-2</v>
      </c>
      <c r="F233" s="3">
        <v>2041277</v>
      </c>
      <c r="G233" s="4">
        <f t="shared" si="29"/>
        <v>-1.0600311078173295E-2</v>
      </c>
      <c r="H233" s="3">
        <v>1534836</v>
      </c>
      <c r="I233" s="4">
        <f t="shared" si="30"/>
        <v>6.1543600905486245E-2</v>
      </c>
      <c r="J233" s="3">
        <v>1233394</v>
      </c>
      <c r="K233" s="7">
        <f t="shared" si="24"/>
        <v>5.8549536642770135E-2</v>
      </c>
      <c r="L233" s="7">
        <f t="shared" si="25"/>
        <v>-9.2265921213289248E-3</v>
      </c>
      <c r="M233" s="7">
        <f t="shared" si="26"/>
        <v>2.105264127287465E-2</v>
      </c>
      <c r="N233" s="7">
        <f t="shared" si="31"/>
        <v>-2.9654919022056192E-2</v>
      </c>
      <c r="O233" s="7">
        <f>('Session Details'!K233-'Session Details'!K226)/'Session Details'!K226</f>
        <v>-5.0000001424107474E-2</v>
      </c>
      <c r="P233" s="7">
        <f>('Session Details'!L233-'Session Details'!L226)/'Session Details'!L226</f>
        <v>1.9999671145963179E-2</v>
      </c>
      <c r="Q233" s="7">
        <f>('Session Details'!M233-'Session Details'!M226)/'Session Details'!M226</f>
        <v>7.2916853311604024E-2</v>
      </c>
      <c r="R233" s="7">
        <f>('Session Details'!N233-'Session Details'!N226)/'Session Details'!N226</f>
        <v>-6.6667250376196391E-2</v>
      </c>
    </row>
    <row r="234" spans="1:18" hidden="1" x14ac:dyDescent="0.3">
      <c r="A234" s="2">
        <v>43697</v>
      </c>
      <c r="B234" s="3">
        <v>21934513</v>
      </c>
      <c r="C234" s="4">
        <f t="shared" si="27"/>
        <v>5.2083334332598867E-2</v>
      </c>
      <c r="D234" s="3">
        <v>5757809</v>
      </c>
      <c r="E234" s="4">
        <f t="shared" si="28"/>
        <v>8.30269859100249E-2</v>
      </c>
      <c r="F234" s="3">
        <v>2303123</v>
      </c>
      <c r="G234" s="4">
        <f t="shared" si="29"/>
        <v>4.1371860677945259E-2</v>
      </c>
      <c r="H234" s="3">
        <v>1714906</v>
      </c>
      <c r="I234" s="4">
        <f t="shared" si="30"/>
        <v>0.10645806906999521</v>
      </c>
      <c r="J234" s="3">
        <v>1392160</v>
      </c>
      <c r="K234" s="7">
        <f t="shared" si="24"/>
        <v>6.3468926800426345E-2</v>
      </c>
      <c r="L234" s="7">
        <f t="shared" si="25"/>
        <v>4.3231427631514885E-2</v>
      </c>
      <c r="M234" s="7">
        <f t="shared" si="26"/>
        <v>5.2083334332598819E-2</v>
      </c>
      <c r="N234" s="7">
        <f t="shared" si="31"/>
        <v>-8.4136934900688187E-3</v>
      </c>
      <c r="O234" s="7">
        <f>('Session Details'!K234-'Session Details'!K227)/'Session Details'!K227</f>
        <v>2.9411787610014329E-2</v>
      </c>
      <c r="P234" s="7">
        <f>('Session Details'!L234-'Session Details'!L227)/'Session Details'!L227</f>
        <v>-3.8461761132460109E-2</v>
      </c>
      <c r="Q234" s="7">
        <f>('Session Details'!M234-'Session Details'!M227)/'Session Details'!M227</f>
        <v>6.2500448542634951E-2</v>
      </c>
      <c r="R234" s="7">
        <f>('Session Details'!N234-'Session Details'!N227)/'Session Details'!N227</f>
        <v>-5.7143278363565933E-2</v>
      </c>
    </row>
    <row r="235" spans="1:18" hidden="1" x14ac:dyDescent="0.3">
      <c r="A235" s="2">
        <v>43698</v>
      </c>
      <c r="B235" s="3">
        <v>22368860</v>
      </c>
      <c r="C235" s="4">
        <f t="shared" si="27"/>
        <v>-9.6154110101844357E-3</v>
      </c>
      <c r="D235" s="3">
        <v>5592215</v>
      </c>
      <c r="E235" s="4">
        <f t="shared" si="28"/>
        <v>2.1015085867317325E-2</v>
      </c>
      <c r="F235" s="3">
        <v>2259254</v>
      </c>
      <c r="G235" s="4">
        <f t="shared" si="29"/>
        <v>5.2270394237988516E-2</v>
      </c>
      <c r="H235" s="3">
        <v>1599778</v>
      </c>
      <c r="I235" s="4">
        <f t="shared" si="30"/>
        <v>3.1012652925227677E-2</v>
      </c>
      <c r="J235" s="3">
        <v>1351172</v>
      </c>
      <c r="K235" s="7">
        <f t="shared" si="24"/>
        <v>6.0404151127951985E-2</v>
      </c>
      <c r="L235" s="7">
        <f t="shared" si="25"/>
        <v>1.1373698798706755E-2</v>
      </c>
      <c r="M235" s="7">
        <f t="shared" si="26"/>
        <v>-9.6154110101844825E-3</v>
      </c>
      <c r="N235" s="7">
        <f t="shared" si="31"/>
        <v>2.1192888138839239E-2</v>
      </c>
      <c r="O235" s="7">
        <f>('Session Details'!K235-'Session Details'!K228)/'Session Details'!K228</f>
        <v>3.0927881166592695E-2</v>
      </c>
      <c r="P235" s="7">
        <f>('Session Details'!L235-'Session Details'!L228)/'Session Details'!L228</f>
        <v>3.0611994674026703E-2</v>
      </c>
      <c r="Q235" s="7">
        <f>('Session Details'!M235-'Session Details'!M228)/'Session Details'!M228</f>
        <v>-2.0201785994515966E-2</v>
      </c>
      <c r="R235" s="7">
        <f>('Session Details'!N235-'Session Details'!N228)/'Session Details'!N228</f>
        <v>-1.9048218342229271E-2</v>
      </c>
    </row>
    <row r="236" spans="1:18" hidden="1" x14ac:dyDescent="0.3">
      <c r="A236" s="2">
        <v>43699</v>
      </c>
      <c r="B236" s="3">
        <v>21934513</v>
      </c>
      <c r="C236" s="4">
        <f t="shared" si="27"/>
        <v>0</v>
      </c>
      <c r="D236" s="3">
        <v>5483628</v>
      </c>
      <c r="E236" s="4">
        <f t="shared" si="28"/>
        <v>-3.8461518229176254E-2</v>
      </c>
      <c r="F236" s="3">
        <v>2193451</v>
      </c>
      <c r="G236" s="4">
        <f t="shared" si="29"/>
        <v>-1.8838190792931541E-2</v>
      </c>
      <c r="H236" s="3">
        <v>1617231</v>
      </c>
      <c r="I236" s="4">
        <f t="shared" si="30"/>
        <v>9.8289040338738203E-4</v>
      </c>
      <c r="J236" s="3">
        <v>1392436</v>
      </c>
      <c r="K236" s="7">
        <f t="shared" si="24"/>
        <v>6.3481509710290804E-2</v>
      </c>
      <c r="L236" s="7">
        <f t="shared" si="25"/>
        <v>7.2482342701778446E-2</v>
      </c>
      <c r="M236" s="7">
        <f t="shared" si="26"/>
        <v>0</v>
      </c>
      <c r="N236" s="7">
        <f t="shared" si="31"/>
        <v>7.2482342701778446E-2</v>
      </c>
      <c r="O236" s="7">
        <f>('Session Details'!K236-'Session Details'!K229)/'Session Details'!K229</f>
        <v>-3.8461518229176178E-2</v>
      </c>
      <c r="P236" s="7">
        <f>('Session Details'!L236-'Session Details'!L229)/'Session Details'!L229</f>
        <v>2.0408260104270912E-2</v>
      </c>
      <c r="Q236" s="7">
        <f>('Session Details'!M236-'Session Details'!M229)/'Session Details'!M229</f>
        <v>2.0201643613032016E-2</v>
      </c>
      <c r="R236" s="7">
        <f>('Session Details'!N236-'Session Details'!N229)/'Session Details'!N229</f>
        <v>7.1429245178783698E-2</v>
      </c>
    </row>
    <row r="237" spans="1:18" hidden="1" x14ac:dyDescent="0.3">
      <c r="A237" s="2">
        <v>43700</v>
      </c>
      <c r="B237" s="3">
        <v>20848646</v>
      </c>
      <c r="C237" s="4">
        <f t="shared" si="27"/>
        <v>-2.0408172854259738E-2</v>
      </c>
      <c r="D237" s="3">
        <v>5420648</v>
      </c>
      <c r="E237" s="4">
        <f t="shared" si="28"/>
        <v>-1.0897439406463432E-2</v>
      </c>
      <c r="F237" s="3">
        <v>2146576</v>
      </c>
      <c r="G237" s="4">
        <f t="shared" si="29"/>
        <v>-5.8450746852621728E-2</v>
      </c>
      <c r="H237" s="3">
        <v>1519990</v>
      </c>
      <c r="I237" s="4">
        <f t="shared" si="30"/>
        <v>-3.8629025372138401E-2</v>
      </c>
      <c r="J237" s="3">
        <v>1296248</v>
      </c>
      <c r="K237" s="7">
        <f t="shared" si="24"/>
        <v>6.2174205461592087E-2</v>
      </c>
      <c r="L237" s="7">
        <f t="shared" si="25"/>
        <v>3.0748764093547987E-2</v>
      </c>
      <c r="M237" s="7">
        <f t="shared" si="26"/>
        <v>-2.0408172854259776E-2</v>
      </c>
      <c r="N237" s="7">
        <f t="shared" si="31"/>
        <v>5.2222706978747313E-2</v>
      </c>
      <c r="O237" s="7">
        <f>('Session Details'!K237-'Session Details'!K230)/'Session Details'!K230</f>
        <v>9.7088738229960548E-3</v>
      </c>
      <c r="P237" s="7">
        <f>('Session Details'!L237-'Session Details'!L230)/'Session Details'!L230</f>
        <v>-4.8077226104462509E-2</v>
      </c>
      <c r="Q237" s="7">
        <f>('Session Details'!M237-'Session Details'!M230)/'Session Details'!M230</f>
        <v>2.105224067060114E-2</v>
      </c>
      <c r="R237" s="7">
        <f>('Session Details'!N237-'Session Details'!N230)/'Session Details'!N230</f>
        <v>7.2165471287025273E-2</v>
      </c>
    </row>
    <row r="238" spans="1:18" hidden="1" x14ac:dyDescent="0.3">
      <c r="A238" s="2">
        <v>43701</v>
      </c>
      <c r="B238" s="3">
        <v>43094160</v>
      </c>
      <c r="C238" s="4">
        <f t="shared" si="27"/>
        <v>-7.6923076923076927E-2</v>
      </c>
      <c r="D238" s="3">
        <v>9321266</v>
      </c>
      <c r="E238" s="4">
        <f t="shared" si="28"/>
        <v>-7.6923153099329483E-2</v>
      </c>
      <c r="F238" s="3">
        <v>3264307</v>
      </c>
      <c r="G238" s="4">
        <f t="shared" si="29"/>
        <v>-3.9627243306854958E-2</v>
      </c>
      <c r="H238" s="3">
        <v>2108742</v>
      </c>
      <c r="I238" s="4">
        <f t="shared" si="30"/>
        <v>-0.10553516241040471</v>
      </c>
      <c r="J238" s="3">
        <v>1628371</v>
      </c>
      <c r="K238" s="7">
        <f t="shared" si="24"/>
        <v>3.7786349704925212E-2</v>
      </c>
      <c r="L238" s="7">
        <f t="shared" si="25"/>
        <v>-0.12324723048552311</v>
      </c>
      <c r="M238" s="7">
        <f t="shared" si="26"/>
        <v>-7.6923076923076872E-2</v>
      </c>
      <c r="N238" s="7">
        <f t="shared" si="31"/>
        <v>-5.0184499692650153E-2</v>
      </c>
      <c r="O238" s="7">
        <f>('Session Details'!K238-'Session Details'!K231)/'Session Details'!K231</f>
        <v>-8.2524273626553794E-8</v>
      </c>
      <c r="P238" s="7">
        <f>('Session Details'!L238-'Session Details'!L231)/'Session Details'!L231</f>
        <v>4.040390560948371E-2</v>
      </c>
      <c r="Q238" s="7">
        <f>('Session Details'!M238-'Session Details'!M231)/'Session Details'!M231</f>
        <v>-6.8627435174744747E-2</v>
      </c>
      <c r="R238" s="7">
        <f>('Session Details'!N238-'Session Details'!N231)/'Session Details'!N231</f>
        <v>-1.980186065541592E-2</v>
      </c>
    </row>
    <row r="239" spans="1:18" hidden="1" x14ac:dyDescent="0.3">
      <c r="A239" s="2">
        <v>43702</v>
      </c>
      <c r="B239" s="3">
        <v>44440853</v>
      </c>
      <c r="C239" s="4">
        <f t="shared" si="27"/>
        <v>-1.9801979979641209E-2</v>
      </c>
      <c r="D239" s="3">
        <v>9332579</v>
      </c>
      <c r="E239" s="4">
        <f t="shared" si="28"/>
        <v>-1.9801985397510123E-2</v>
      </c>
      <c r="F239" s="3">
        <v>3331730</v>
      </c>
      <c r="G239" s="4">
        <f t="shared" si="29"/>
        <v>6.1038883283907587E-2</v>
      </c>
      <c r="H239" s="3">
        <v>2288232</v>
      </c>
      <c r="I239" s="4">
        <f t="shared" si="30"/>
        <v>0.12805197583807784</v>
      </c>
      <c r="J239" s="3">
        <v>1784821</v>
      </c>
      <c r="K239" s="7">
        <f t="shared" si="24"/>
        <v>4.0161717868016616E-2</v>
      </c>
      <c r="L239" s="7">
        <f t="shared" si="25"/>
        <v>0.12805212945143363</v>
      </c>
      <c r="M239" s="7">
        <f t="shared" si="26"/>
        <v>-1.9801979979641171E-2</v>
      </c>
      <c r="N239" s="7">
        <f t="shared" si="31"/>
        <v>0.15084106110314699</v>
      </c>
      <c r="O239" s="7">
        <f>('Session Details'!K239-'Session Details'!K232)/'Session Details'!K232</f>
        <v>-5.5273208432707643E-9</v>
      </c>
      <c r="P239" s="7">
        <f>('Session Details'!L239-'Session Details'!L232)/'Session Details'!L232</f>
        <v>8.2474017981154668E-2</v>
      </c>
      <c r="Q239" s="7">
        <f>('Session Details'!M239-'Session Details'!M232)/'Session Details'!M232</f>
        <v>6.3157998834844908E-2</v>
      </c>
      <c r="R239" s="7">
        <f>('Session Details'!N239-'Session Details'!N232)/'Session Details'!N232</f>
        <v>1.3617577832319951E-7</v>
      </c>
    </row>
    <row r="240" spans="1:18" hidden="1" x14ac:dyDescent="0.3">
      <c r="A240" s="2">
        <v>43703</v>
      </c>
      <c r="B240" s="3">
        <v>22368860</v>
      </c>
      <c r="C240" s="4">
        <f t="shared" si="27"/>
        <v>6.1855650527726909E-2</v>
      </c>
      <c r="D240" s="3">
        <v>5424448</v>
      </c>
      <c r="E240" s="4">
        <f t="shared" si="28"/>
        <v>8.4210450573760601E-2</v>
      </c>
      <c r="F240" s="3">
        <v>2169779</v>
      </c>
      <c r="G240" s="4">
        <f t="shared" si="29"/>
        <v>6.2951769896981161E-2</v>
      </c>
      <c r="H240" s="3">
        <v>1568099</v>
      </c>
      <c r="I240" s="4">
        <f t="shared" si="30"/>
        <v>2.1672022287723247E-2</v>
      </c>
      <c r="J240" s="3">
        <v>1260124</v>
      </c>
      <c r="K240" s="7">
        <f t="shared" si="24"/>
        <v>5.6333849825158724E-2</v>
      </c>
      <c r="L240" s="7">
        <f t="shared" si="25"/>
        <v>2.1671906949441988E-2</v>
      </c>
      <c r="M240" s="7">
        <f t="shared" si="26"/>
        <v>6.1855650527727013E-2</v>
      </c>
      <c r="N240" s="7">
        <f t="shared" si="31"/>
        <v>-3.7842943679128327E-2</v>
      </c>
      <c r="O240" s="7">
        <f>('Session Details'!K240-'Session Details'!K233)/'Session Details'!K233</f>
        <v>2.1052579072234231E-2</v>
      </c>
      <c r="P240" s="7">
        <f>('Session Details'!L240-'Session Details'!L233)/'Session Details'!L233</f>
        <v>-1.9607522382328452E-2</v>
      </c>
      <c r="Q240" s="7">
        <f>('Session Details'!M240-'Session Details'!M233)/'Session Details'!M233</f>
        <v>-3.8835014699922475E-2</v>
      </c>
      <c r="R240" s="7">
        <f>('Session Details'!N240-'Session Details'!N233)/'Session Details'!N233</f>
        <v>-1.1289169019728114E-7</v>
      </c>
    </row>
    <row r="241" spans="1:18" hidden="1" x14ac:dyDescent="0.3">
      <c r="A241" s="2">
        <v>43704</v>
      </c>
      <c r="B241" s="3">
        <v>20848646</v>
      </c>
      <c r="C241" s="4">
        <f t="shared" si="27"/>
        <v>-4.9504951397826798E-2</v>
      </c>
      <c r="D241" s="3">
        <v>5003675</v>
      </c>
      <c r="E241" s="4">
        <f t="shared" si="28"/>
        <v>-0.13097586251992729</v>
      </c>
      <c r="F241" s="3">
        <v>1961440</v>
      </c>
      <c r="G241" s="4">
        <f t="shared" si="29"/>
        <v>-0.14835638391870518</v>
      </c>
      <c r="H241" s="3">
        <v>1446170</v>
      </c>
      <c r="I241" s="4">
        <f t="shared" si="30"/>
        <v>-0.15670596522491612</v>
      </c>
      <c r="J241" s="3">
        <v>1150283</v>
      </c>
      <c r="K241" s="7">
        <f t="shared" si="24"/>
        <v>5.5173031380551046E-2</v>
      </c>
      <c r="L241" s="7">
        <f t="shared" si="25"/>
        <v>-0.17374224227100332</v>
      </c>
      <c r="M241" s="7">
        <f t="shared" si="26"/>
        <v>-4.9504951397826846E-2</v>
      </c>
      <c r="N241" s="7">
        <f t="shared" si="31"/>
        <v>-0.13070798323030053</v>
      </c>
      <c r="O241" s="7">
        <f>('Session Details'!K241-'Session Details'!K234)/'Session Details'!K234</f>
        <v>-8.5714187824454266E-2</v>
      </c>
      <c r="P241" s="7">
        <f>('Session Details'!L241-'Session Details'!L234)/'Session Details'!L234</f>
        <v>-2.0000044474226618E-2</v>
      </c>
      <c r="Q241" s="7">
        <f>('Session Details'!M241-'Session Details'!M234)/'Session Details'!M234</f>
        <v>-9.8040790167961238E-3</v>
      </c>
      <c r="R241" s="7">
        <f>('Session Details'!N241-'Session Details'!N234)/'Session Details'!N234</f>
        <v>-2.0202060424429475E-2</v>
      </c>
    </row>
    <row r="242" spans="1:18" hidden="1" x14ac:dyDescent="0.3">
      <c r="A242" s="2">
        <v>43705</v>
      </c>
      <c r="B242" s="3">
        <v>21934513</v>
      </c>
      <c r="C242" s="4">
        <f t="shared" si="27"/>
        <v>-1.9417484842768028E-2</v>
      </c>
      <c r="D242" s="3">
        <v>5593301</v>
      </c>
      <c r="E242" s="4">
        <f t="shared" si="28"/>
        <v>1.9419854208037424E-4</v>
      </c>
      <c r="F242" s="3">
        <v>2304440</v>
      </c>
      <c r="G242" s="4">
        <f t="shared" si="29"/>
        <v>2.0000407214062696E-2</v>
      </c>
      <c r="H242" s="3">
        <v>1699063</v>
      </c>
      <c r="I242" s="4">
        <f t="shared" si="30"/>
        <v>6.2061736065879142E-2</v>
      </c>
      <c r="J242" s="3">
        <v>1421096</v>
      </c>
      <c r="K242" s="7">
        <f t="shared" si="24"/>
        <v>6.4788126365057666E-2</v>
      </c>
      <c r="L242" s="7">
        <f t="shared" si="25"/>
        <v>5.1750628343393723E-2</v>
      </c>
      <c r="M242" s="7">
        <f t="shared" si="26"/>
        <v>-1.9417484842768062E-2</v>
      </c>
      <c r="N242" s="7">
        <f t="shared" si="31"/>
        <v>7.2577383428818587E-2</v>
      </c>
      <c r="O242" s="7">
        <f>('Session Details'!K242-'Session Details'!K235)/'Session Details'!K235</f>
        <v>2.0000033736787381E-2</v>
      </c>
      <c r="P242" s="7">
        <f>('Session Details'!L242-'Session Details'!L235)/'Session Details'!L235</f>
        <v>1.9802363081942099E-2</v>
      </c>
      <c r="Q242" s="7">
        <f>('Session Details'!M242-'Session Details'!M235)/'Session Details'!M235</f>
        <v>4.1236580450687219E-2</v>
      </c>
      <c r="R242" s="7">
        <f>('Session Details'!N242-'Session Details'!N235)/'Session Details'!N235</f>
        <v>-9.7085766037293634E-3</v>
      </c>
    </row>
    <row r="243" spans="1:18" hidden="1" x14ac:dyDescent="0.3">
      <c r="A243" s="2">
        <v>43706</v>
      </c>
      <c r="B243" s="3">
        <v>21282993</v>
      </c>
      <c r="C243" s="4">
        <f t="shared" si="27"/>
        <v>-2.970296172064545E-2</v>
      </c>
      <c r="D243" s="3">
        <v>5214333</v>
      </c>
      <c r="E243" s="4">
        <f t="shared" si="28"/>
        <v>-4.9108911107755671E-2</v>
      </c>
      <c r="F243" s="3">
        <v>2044018</v>
      </c>
      <c r="G243" s="4">
        <f t="shared" si="29"/>
        <v>-6.8126892280702872E-2</v>
      </c>
      <c r="H243" s="3">
        <v>1566740</v>
      </c>
      <c r="I243" s="4">
        <f t="shared" si="30"/>
        <v>-3.1220648132517865E-2</v>
      </c>
      <c r="J243" s="3">
        <v>1310421</v>
      </c>
      <c r="K243" s="7">
        <f t="shared" si="24"/>
        <v>6.1571274303383924E-2</v>
      </c>
      <c r="L243" s="7">
        <f t="shared" si="25"/>
        <v>-5.8900373158981778E-2</v>
      </c>
      <c r="M243" s="7">
        <f t="shared" si="26"/>
        <v>-2.970296172064546E-2</v>
      </c>
      <c r="N243" s="7">
        <f t="shared" si="31"/>
        <v>-3.0091209481699188E-2</v>
      </c>
      <c r="O243" s="7">
        <f>('Session Details'!K243-'Session Details'!K236)/'Session Details'!K236</f>
        <v>-2.0000008885447233E-2</v>
      </c>
      <c r="P243" s="7">
        <f>('Session Details'!L243-'Session Details'!L236)/'Session Details'!L236</f>
        <v>-2.0000167627085917E-2</v>
      </c>
      <c r="Q243" s="7">
        <f>('Session Details'!M243-'Session Details'!M236)/'Session Details'!M236</f>
        <v>3.9604366562858359E-2</v>
      </c>
      <c r="R243" s="7">
        <f>('Session Details'!N243-'Session Details'!N236)/'Session Details'!N236</f>
        <v>-2.8571753695107855E-2</v>
      </c>
    </row>
    <row r="244" spans="1:18" hidden="1" x14ac:dyDescent="0.3">
      <c r="A244" s="2">
        <v>43707</v>
      </c>
      <c r="B244" s="3">
        <v>21934513</v>
      </c>
      <c r="C244" s="4">
        <f t="shared" si="27"/>
        <v>5.2083334332598867E-2</v>
      </c>
      <c r="D244" s="3">
        <v>5319119</v>
      </c>
      <c r="E244" s="4">
        <f t="shared" si="28"/>
        <v>-1.8730048510805349E-2</v>
      </c>
      <c r="F244" s="3">
        <v>2127647</v>
      </c>
      <c r="G244" s="4">
        <f t="shared" si="29"/>
        <v>-8.8182295898211853E-3</v>
      </c>
      <c r="H244" s="3">
        <v>1522119</v>
      </c>
      <c r="I244" s="4">
        <f t="shared" si="30"/>
        <v>1.4006671096520372E-3</v>
      </c>
      <c r="J244" s="3">
        <v>1210693</v>
      </c>
      <c r="K244" s="7">
        <f t="shared" si="24"/>
        <v>5.5195800335298077E-2</v>
      </c>
      <c r="L244" s="7">
        <f t="shared" si="25"/>
        <v>-6.6002030475649676E-2</v>
      </c>
      <c r="M244" s="7">
        <f t="shared" si="26"/>
        <v>5.2083334332598819E-2</v>
      </c>
      <c r="N244" s="7">
        <f t="shared" si="31"/>
        <v>-0.11223955456262158</v>
      </c>
      <c r="O244" s="7">
        <f>('Session Details'!K244-'Session Details'!K237)/'Session Details'!K237</f>
        <v>-6.7307769767425682E-2</v>
      </c>
      <c r="P244" s="7">
        <f>('Session Details'!L244-'Session Details'!L237)/'Session Details'!L237</f>
        <v>1.0101011353646111E-2</v>
      </c>
      <c r="Q244" s="7">
        <f>('Session Details'!M244-'Session Details'!M237)/'Session Details'!M237</f>
        <v>1.0309810979719955E-2</v>
      </c>
      <c r="R244" s="7">
        <f>('Session Details'!N244-'Session Details'!N237)/'Session Details'!N237</f>
        <v>-6.7308420893952975E-2</v>
      </c>
    </row>
    <row r="245" spans="1:18" hidden="1" x14ac:dyDescent="0.3">
      <c r="A245" s="2">
        <v>43708</v>
      </c>
      <c r="B245" s="3">
        <v>45338648</v>
      </c>
      <c r="C245" s="4">
        <f t="shared" si="27"/>
        <v>5.2083344935833532E-2</v>
      </c>
      <c r="D245" s="3">
        <v>9235482</v>
      </c>
      <c r="E245" s="4">
        <f t="shared" si="28"/>
        <v>-9.2030417327431703E-3</v>
      </c>
      <c r="F245" s="3">
        <v>3265666</v>
      </c>
      <c r="G245" s="4">
        <f t="shared" si="29"/>
        <v>4.16321136461736E-4</v>
      </c>
      <c r="H245" s="3">
        <v>2176240</v>
      </c>
      <c r="I245" s="4">
        <f t="shared" si="30"/>
        <v>3.200865729425411E-2</v>
      </c>
      <c r="J245" s="3">
        <v>1663518</v>
      </c>
      <c r="K245" s="7">
        <f t="shared" si="24"/>
        <v>3.6690948525858115E-2</v>
      </c>
      <c r="L245" s="7">
        <f t="shared" si="25"/>
        <v>2.158414759290106E-2</v>
      </c>
      <c r="M245" s="7">
        <f t="shared" si="26"/>
        <v>5.2083344935833553E-2</v>
      </c>
      <c r="N245" s="7">
        <f t="shared" si="31"/>
        <v>-2.8989335768633939E-2</v>
      </c>
      <c r="O245" s="7">
        <f>('Session Details'!K245-'Session Details'!K238)/'Session Details'!K238</f>
        <v>-5.8252406488113848E-2</v>
      </c>
      <c r="P245" s="7">
        <f>('Session Details'!L245-'Session Details'!L238)/'Session Details'!L238</f>
        <v>9.7087125560291945E-3</v>
      </c>
      <c r="Q245" s="7">
        <f>('Session Details'!M245-'Session Details'!M238)/'Session Details'!M238</f>
        <v>3.1579189073908498E-2</v>
      </c>
      <c r="R245" s="7">
        <f>('Session Details'!N245-'Session Details'!N238)/'Session Details'!N238</f>
        <v>-1.0101184353127656E-2</v>
      </c>
    </row>
    <row r="246" spans="1:18" hidden="1" x14ac:dyDescent="0.3">
      <c r="A246" s="2">
        <v>43709</v>
      </c>
      <c r="B246" s="3">
        <v>42645263</v>
      </c>
      <c r="C246" s="4">
        <f t="shared" si="27"/>
        <v>-4.0404039949458216E-2</v>
      </c>
      <c r="D246" s="3">
        <v>9224170</v>
      </c>
      <c r="E246" s="4">
        <f t="shared" si="28"/>
        <v>-1.1616188836976359E-2</v>
      </c>
      <c r="F246" s="3">
        <v>3261666</v>
      </c>
      <c r="G246" s="4">
        <f t="shared" si="29"/>
        <v>-2.102931510056337E-2</v>
      </c>
      <c r="H246" s="3">
        <v>2217933</v>
      </c>
      <c r="I246" s="4">
        <f t="shared" si="30"/>
        <v>-3.0721972247569302E-2</v>
      </c>
      <c r="J246" s="3">
        <v>1660788</v>
      </c>
      <c r="K246" s="7">
        <f t="shared" si="24"/>
        <v>3.8944255074707827E-2</v>
      </c>
      <c r="L246" s="7">
        <f t="shared" si="25"/>
        <v>-6.9493243300028373E-2</v>
      </c>
      <c r="M246" s="7">
        <f t="shared" si="26"/>
        <v>-4.0404039949458181E-2</v>
      </c>
      <c r="N246" s="7">
        <f t="shared" si="31"/>
        <v>-3.0314011898338933E-2</v>
      </c>
      <c r="O246" s="7">
        <f>('Session Details'!K246-'Session Details'!K239)/'Session Details'!K239</f>
        <v>2.9999971145111604E-2</v>
      </c>
      <c r="P246" s="7">
        <f>('Session Details'!L246-'Session Details'!L239)/'Session Details'!L239</f>
        <v>-9.5237560118581598E-3</v>
      </c>
      <c r="Q246" s="7">
        <f>('Session Details'!M246-'Session Details'!M239)/'Session Details'!M239</f>
        <v>-9.9008655688209365E-3</v>
      </c>
      <c r="R246" s="7">
        <f>('Session Details'!N246-'Session Details'!N239)/'Session Details'!N239</f>
        <v>-4.0000154694894152E-2</v>
      </c>
    </row>
    <row r="247" spans="1:18" hidden="1" x14ac:dyDescent="0.3">
      <c r="A247" s="2">
        <v>43710</v>
      </c>
      <c r="B247" s="3">
        <v>22803207</v>
      </c>
      <c r="C247" s="4">
        <f t="shared" si="27"/>
        <v>1.9417484842768028E-2</v>
      </c>
      <c r="D247" s="3">
        <v>5529777</v>
      </c>
      <c r="E247" s="4">
        <f t="shared" si="28"/>
        <v>1.9417459619854409E-2</v>
      </c>
      <c r="F247" s="3">
        <v>2278268</v>
      </c>
      <c r="G247" s="4">
        <f t="shared" si="29"/>
        <v>5.0000023043821513E-2</v>
      </c>
      <c r="H247" s="3">
        <v>1696398</v>
      </c>
      <c r="I247" s="4">
        <f t="shared" si="30"/>
        <v>8.1818176020774194E-2</v>
      </c>
      <c r="J247" s="3">
        <v>1335405</v>
      </c>
      <c r="K247" s="7">
        <f t="shared" si="24"/>
        <v>5.8562157507055915E-2</v>
      </c>
      <c r="L247" s="7">
        <f t="shared" si="25"/>
        <v>5.9740946129111183E-2</v>
      </c>
      <c r="M247" s="7">
        <f t="shared" si="26"/>
        <v>1.9417484842767951E-2</v>
      </c>
      <c r="N247" s="7">
        <f t="shared" si="31"/>
        <v>3.9555395003414651E-2</v>
      </c>
      <c r="O247" s="7">
        <f>('Session Details'!K247-'Session Details'!K240)/'Session Details'!K240</f>
        <v>-2.474247701551416E-8</v>
      </c>
      <c r="P247" s="7">
        <f>('Session Details'!L247-'Session Details'!L240)/'Session Details'!L240</f>
        <v>3.0000038880412527E-2</v>
      </c>
      <c r="Q247" s="7">
        <f>('Session Details'!M247-'Session Details'!M240)/'Session Details'!M240</f>
        <v>3.0303002170148204E-2</v>
      </c>
      <c r="R247" s="7">
        <f>('Session Details'!N247-'Session Details'!N240)/'Session Details'!N240</f>
        <v>-2.0407523538631234E-2</v>
      </c>
    </row>
    <row r="248" spans="1:18" hidden="1" x14ac:dyDescent="0.3">
      <c r="A248" s="2">
        <v>43711</v>
      </c>
      <c r="B248" s="3">
        <v>22586034</v>
      </c>
      <c r="C248" s="4">
        <f t="shared" si="27"/>
        <v>8.3333373303954614E-2</v>
      </c>
      <c r="D248" s="3">
        <v>5702973</v>
      </c>
      <c r="E248" s="4">
        <f t="shared" si="28"/>
        <v>0.13975687869415979</v>
      </c>
      <c r="F248" s="3">
        <v>2167129</v>
      </c>
      <c r="G248" s="4">
        <f t="shared" si="29"/>
        <v>0.10486632270168855</v>
      </c>
      <c r="H248" s="3">
        <v>1502904</v>
      </c>
      <c r="I248" s="4">
        <f t="shared" si="30"/>
        <v>3.9230519233561752E-2</v>
      </c>
      <c r="J248" s="3">
        <v>1170762</v>
      </c>
      <c r="K248" s="7">
        <f t="shared" si="24"/>
        <v>5.1835660922143305E-2</v>
      </c>
      <c r="L248" s="7">
        <f t="shared" si="25"/>
        <v>1.7803444891387521E-2</v>
      </c>
      <c r="M248" s="7">
        <f t="shared" si="26"/>
        <v>8.3333373303954517E-2</v>
      </c>
      <c r="N248" s="7">
        <f t="shared" si="31"/>
        <v>-6.048916245671776E-2</v>
      </c>
      <c r="O248" s="7">
        <f>('Session Details'!K248-'Session Details'!K241)/'Session Details'!K241</f>
        <v>5.2083233823143893E-2</v>
      </c>
      <c r="P248" s="7">
        <f>('Session Details'!L248-'Session Details'!L241)/'Session Details'!L241</f>
        <v>-3.0612279377024758E-2</v>
      </c>
      <c r="Q248" s="7">
        <f>('Session Details'!M248-'Session Details'!M241)/'Session Details'!M241</f>
        <v>-5.9406103815011733E-2</v>
      </c>
      <c r="R248" s="7">
        <f>('Session Details'!N248-'Session Details'!N241)/'Session Details'!N241</f>
        <v>-2.0618211210710755E-2</v>
      </c>
    </row>
    <row r="249" spans="1:18" hidden="1" x14ac:dyDescent="0.3">
      <c r="A249" s="2">
        <v>43712</v>
      </c>
      <c r="B249" s="3">
        <v>22368860</v>
      </c>
      <c r="C249" s="4">
        <f t="shared" si="27"/>
        <v>1.9801989677181345E-2</v>
      </c>
      <c r="D249" s="3">
        <v>5592215</v>
      </c>
      <c r="E249" s="4">
        <f t="shared" si="28"/>
        <v>-1.9416083632903003E-4</v>
      </c>
      <c r="F249" s="3">
        <v>2259254</v>
      </c>
      <c r="G249" s="4">
        <f t="shared" si="29"/>
        <v>-1.9608234538542987E-2</v>
      </c>
      <c r="H249" s="3">
        <v>1566793</v>
      </c>
      <c r="I249" s="4">
        <f t="shared" si="30"/>
        <v>-7.7848790774679932E-2</v>
      </c>
      <c r="J249" s="3">
        <v>1310465</v>
      </c>
      <c r="K249" s="7">
        <f t="shared" si="24"/>
        <v>5.8584344486039969E-2</v>
      </c>
      <c r="L249" s="7">
        <f t="shared" si="25"/>
        <v>-7.7849068606202554E-2</v>
      </c>
      <c r="M249" s="7">
        <f t="shared" si="26"/>
        <v>1.9801989677181275E-2</v>
      </c>
      <c r="N249" s="7">
        <f t="shared" si="31"/>
        <v>-9.575492033928612E-2</v>
      </c>
      <c r="O249" s="7">
        <f>('Session Details'!K249-'Session Details'!K242)/'Session Details'!K242</f>
        <v>-1.9607875564000638E-2</v>
      </c>
      <c r="P249" s="7">
        <f>('Session Details'!L249-'Session Details'!L242)/'Session Details'!L242</f>
        <v>-1.9417843887022807E-2</v>
      </c>
      <c r="Q249" s="7">
        <f>('Session Details'!M249-'Session Details'!M242)/'Session Details'!M242</f>
        <v>-5.9405391077233166E-2</v>
      </c>
      <c r="R249" s="7">
        <f>('Session Details'!N249-'Session Details'!N242)/'Session Details'!N242</f>
        <v>-3.0128629655147465E-7</v>
      </c>
    </row>
    <row r="250" spans="1:18" hidden="1" x14ac:dyDescent="0.3">
      <c r="A250" s="2">
        <v>43713</v>
      </c>
      <c r="B250" s="3">
        <v>20631473</v>
      </c>
      <c r="C250" s="4">
        <f t="shared" si="27"/>
        <v>-3.0612235788453249E-2</v>
      </c>
      <c r="D250" s="3">
        <v>5261025</v>
      </c>
      <c r="E250" s="4">
        <f t="shared" si="28"/>
        <v>8.9545489327206382E-3</v>
      </c>
      <c r="F250" s="3">
        <v>2146498</v>
      </c>
      <c r="G250" s="4">
        <f t="shared" si="29"/>
        <v>5.0136544785809124E-2</v>
      </c>
      <c r="H250" s="3">
        <v>1598282</v>
      </c>
      <c r="I250" s="4">
        <f t="shared" si="30"/>
        <v>2.0132249128764185E-2</v>
      </c>
      <c r="J250" s="3">
        <v>1284380</v>
      </c>
      <c r="K250" s="7">
        <f t="shared" si="24"/>
        <v>6.22534319289757E-2</v>
      </c>
      <c r="L250" s="7">
        <f t="shared" si="25"/>
        <v>-1.9872239532180869E-2</v>
      </c>
      <c r="M250" s="7">
        <f t="shared" si="26"/>
        <v>-3.061223578845329E-2</v>
      </c>
      <c r="N250" s="7">
        <f t="shared" si="31"/>
        <v>1.1079153928673646E-2</v>
      </c>
      <c r="O250" s="7">
        <f>('Session Details'!K250-'Session Details'!K243)/'Session Details'!K243</f>
        <v>4.0816261749863844E-2</v>
      </c>
      <c r="P250" s="7">
        <f>('Session Details'!L250-'Session Details'!L243)/'Session Details'!L243</f>
        <v>4.0816502484330011E-2</v>
      </c>
      <c r="Q250" s="7">
        <f>('Session Details'!M250-'Session Details'!M243)/'Session Details'!M243</f>
        <v>-2.8571804120163035E-2</v>
      </c>
      <c r="R250" s="7">
        <f>('Session Details'!N250-'Session Details'!N243)/'Session Details'!N243</f>
        <v>-3.9215002461799119E-2</v>
      </c>
    </row>
    <row r="251" spans="1:18" hidden="1" x14ac:dyDescent="0.3">
      <c r="A251" s="2">
        <v>43714</v>
      </c>
      <c r="B251" s="3">
        <v>20848646</v>
      </c>
      <c r="C251" s="4">
        <f t="shared" si="27"/>
        <v>-4.9504951397826798E-2</v>
      </c>
      <c r="D251" s="3">
        <v>5264283</v>
      </c>
      <c r="E251" s="4">
        <f t="shared" si="28"/>
        <v>-1.0309226020324042E-2</v>
      </c>
      <c r="F251" s="3">
        <v>2084656</v>
      </c>
      <c r="G251" s="4">
        <f t="shared" si="29"/>
        <v>-2.0205889416806452E-2</v>
      </c>
      <c r="H251" s="3">
        <v>1460927</v>
      </c>
      <c r="I251" s="4">
        <f t="shared" si="30"/>
        <v>-4.0201850183855532E-2</v>
      </c>
      <c r="J251" s="3">
        <v>1233898</v>
      </c>
      <c r="K251" s="7">
        <f t="shared" si="24"/>
        <v>5.9183603577901416E-2</v>
      </c>
      <c r="L251" s="7">
        <f t="shared" si="25"/>
        <v>1.9166708653638898E-2</v>
      </c>
      <c r="M251" s="7">
        <f t="shared" si="26"/>
        <v>-4.9504951397826846E-2</v>
      </c>
      <c r="N251" s="7">
        <f t="shared" si="31"/>
        <v>7.2248309081100803E-2</v>
      </c>
      <c r="O251" s="7">
        <f>('Session Details'!K251-'Session Details'!K244)/'Session Details'!K244</f>
        <v>4.1237169446747865E-2</v>
      </c>
      <c r="P251" s="7">
        <f>('Session Details'!L251-'Session Details'!L244)/'Session Details'!L244</f>
        <v>-9.9997531114558447E-3</v>
      </c>
      <c r="Q251" s="7">
        <f>('Session Details'!M251-'Session Details'!M244)/'Session Details'!M244</f>
        <v>-2.0408329210253172E-2</v>
      </c>
      <c r="R251" s="7">
        <f>('Session Details'!N251-'Session Details'!N244)/'Session Details'!N244</f>
        <v>6.1855254512489743E-2</v>
      </c>
    </row>
    <row r="252" spans="1:18" hidden="1" x14ac:dyDescent="0.3">
      <c r="A252" s="2">
        <v>43715</v>
      </c>
      <c r="B252" s="3">
        <v>46685340</v>
      </c>
      <c r="C252" s="4">
        <f t="shared" si="27"/>
        <v>2.9702958941342936E-2</v>
      </c>
      <c r="D252" s="3">
        <v>9313725</v>
      </c>
      <c r="E252" s="4">
        <f t="shared" si="28"/>
        <v>8.4719996205937058E-3</v>
      </c>
      <c r="F252" s="3">
        <v>3135000</v>
      </c>
      <c r="G252" s="4">
        <f t="shared" si="29"/>
        <v>-4.0012052671644927E-2</v>
      </c>
      <c r="H252" s="3">
        <v>2025210</v>
      </c>
      <c r="I252" s="4">
        <f t="shared" si="30"/>
        <v>-6.9399514759401537E-2</v>
      </c>
      <c r="J252" s="3">
        <v>1500680</v>
      </c>
      <c r="K252" s="7">
        <f t="shared" si="24"/>
        <v>3.2144566152886536E-2</v>
      </c>
      <c r="L252" s="7">
        <f t="shared" si="25"/>
        <v>-9.7887729498568721E-2</v>
      </c>
      <c r="M252" s="7">
        <f t="shared" si="26"/>
        <v>2.9702958941342894E-2</v>
      </c>
      <c r="N252" s="7">
        <f t="shared" si="31"/>
        <v>-0.12391018917833363</v>
      </c>
      <c r="O252" s="7">
        <f>('Session Details'!K252-'Session Details'!K245)/'Session Details'!K245</f>
        <v>-2.0618528029265039E-2</v>
      </c>
      <c r="P252" s="7">
        <f>('Session Details'!L252-'Session Details'!L245)/'Session Details'!L245</f>
        <v>-4.8076746117372844E-2</v>
      </c>
      <c r="Q252" s="7">
        <f>('Session Details'!M252-'Session Details'!M245)/'Session Details'!M245</f>
        <v>-3.0612324008381368E-2</v>
      </c>
      <c r="R252" s="7">
        <f>('Session Details'!N252-'Session Details'!N245)/'Session Details'!N245</f>
        <v>-3.0612722850452596E-2</v>
      </c>
    </row>
    <row r="253" spans="1:18" hidden="1" x14ac:dyDescent="0.3">
      <c r="A253" s="2">
        <v>43716</v>
      </c>
      <c r="B253" s="3">
        <v>43094160</v>
      </c>
      <c r="C253" s="4">
        <f t="shared" si="27"/>
        <v>1.0526303941424866E-2</v>
      </c>
      <c r="D253" s="3">
        <v>9230769</v>
      </c>
      <c r="E253" s="4">
        <f t="shared" si="28"/>
        <v>7.1540312028074075E-4</v>
      </c>
      <c r="F253" s="3">
        <v>3169846</v>
      </c>
      <c r="G253" s="4">
        <f t="shared" si="29"/>
        <v>-2.8151257670159975E-2</v>
      </c>
      <c r="H253" s="3">
        <v>2133940</v>
      </c>
      <c r="I253" s="4">
        <f t="shared" si="30"/>
        <v>-3.7869944673711964E-2</v>
      </c>
      <c r="J253" s="3">
        <v>1697763</v>
      </c>
      <c r="K253" s="7">
        <f t="shared" si="24"/>
        <v>3.9396591092621364E-2</v>
      </c>
      <c r="L253" s="7">
        <f t="shared" si="25"/>
        <v>2.2263527915664216E-2</v>
      </c>
      <c r="M253" s="7">
        <f t="shared" si="26"/>
        <v>1.0526303941424953E-2</v>
      </c>
      <c r="N253" s="7">
        <f t="shared" si="31"/>
        <v>1.1614961360688625E-2</v>
      </c>
      <c r="O253" s="7">
        <f>('Session Details'!K253-'Session Details'!K246)/'Session Details'!K246</f>
        <v>-9.7087040514215201E-3</v>
      </c>
      <c r="P253" s="7">
        <f>('Session Details'!L253-'Session Details'!L246)/'Session Details'!L246</f>
        <v>-2.8846024254681114E-2</v>
      </c>
      <c r="Q253" s="7">
        <f>('Session Details'!M253-'Session Details'!M246)/'Session Details'!M246</f>
        <v>-1.0000205361436393E-2</v>
      </c>
      <c r="R253" s="7">
        <f>('Session Details'!N253-'Session Details'!N246)/'Session Details'!N246</f>
        <v>6.2500357676679205E-2</v>
      </c>
    </row>
    <row r="254" spans="1:18" hidden="1" x14ac:dyDescent="0.3">
      <c r="A254" s="2">
        <v>43717</v>
      </c>
      <c r="B254" s="3">
        <v>21717340</v>
      </c>
      <c r="C254" s="4">
        <f t="shared" si="27"/>
        <v>-4.7619047619047616E-2</v>
      </c>
      <c r="D254" s="3">
        <v>5375041</v>
      </c>
      <c r="E254" s="4">
        <f t="shared" si="28"/>
        <v>-2.7982321891099768E-2</v>
      </c>
      <c r="F254" s="3">
        <v>2257517</v>
      </c>
      <c r="G254" s="4">
        <f t="shared" si="29"/>
        <v>-9.1082348520893936E-3</v>
      </c>
      <c r="H254" s="3">
        <v>1697427</v>
      </c>
      <c r="I254" s="4">
        <f t="shared" si="30"/>
        <v>6.0657935225106371E-4</v>
      </c>
      <c r="J254" s="3">
        <v>1419728</v>
      </c>
      <c r="K254" s="7">
        <f t="shared" si="24"/>
        <v>6.5373015295611708E-2</v>
      </c>
      <c r="L254" s="7">
        <f t="shared" si="25"/>
        <v>6.3144139792796983E-2</v>
      </c>
      <c r="M254" s="7">
        <f t="shared" si="26"/>
        <v>-4.7619047619047672E-2</v>
      </c>
      <c r="N254" s="7">
        <f t="shared" si="31"/>
        <v>0.11630134678243675</v>
      </c>
      <c r="O254" s="7">
        <f>('Session Details'!K254-'Session Details'!K247)/'Session Details'!K247</f>
        <v>2.0618562014345219E-2</v>
      </c>
      <c r="P254" s="7">
        <f>('Session Details'!L254-'Session Details'!L247)/'Session Details'!L247</f>
        <v>1.9417431867834636E-2</v>
      </c>
      <c r="Q254" s="7">
        <f>('Session Details'!M254-'Session Details'!M247)/'Session Details'!M247</f>
        <v>9.8041123622521192E-3</v>
      </c>
      <c r="R254" s="7">
        <f>('Session Details'!N254-'Session Details'!N247)/'Session Details'!N247</f>
        <v>6.2499649443670424E-2</v>
      </c>
    </row>
    <row r="255" spans="1:18" hidden="1" x14ac:dyDescent="0.3">
      <c r="A255" s="2">
        <v>43718</v>
      </c>
      <c r="B255" s="3">
        <v>22368860</v>
      </c>
      <c r="C255" s="4">
        <f t="shared" si="27"/>
        <v>-9.6154110101844357E-3</v>
      </c>
      <c r="D255" s="3">
        <v>5480370</v>
      </c>
      <c r="E255" s="4">
        <f t="shared" si="28"/>
        <v>-3.9032799208412877E-2</v>
      </c>
      <c r="F255" s="3">
        <v>2126383</v>
      </c>
      <c r="G255" s="4">
        <f t="shared" si="29"/>
        <v>-1.8801834131701434E-2</v>
      </c>
      <c r="H255" s="3">
        <v>1505692</v>
      </c>
      <c r="I255" s="4">
        <f t="shared" si="30"/>
        <v>1.8550752410000904E-3</v>
      </c>
      <c r="J255" s="3">
        <v>1185281</v>
      </c>
      <c r="K255" s="7">
        <f t="shared" si="24"/>
        <v>5.2987993129734817E-2</v>
      </c>
      <c r="L255" s="7">
        <f t="shared" si="25"/>
        <v>1.2401324949050219E-2</v>
      </c>
      <c r="M255" s="7">
        <f t="shared" si="26"/>
        <v>-9.6154110101844825E-3</v>
      </c>
      <c r="N255" s="7">
        <f t="shared" si="31"/>
        <v>2.2230491269751518E-2</v>
      </c>
      <c r="O255" s="7">
        <f>('Session Details'!K255-'Session Details'!K248)/'Session Details'!K248</f>
        <v>-2.9702994700507114E-2</v>
      </c>
      <c r="P255" s="7">
        <f>('Session Details'!L255-'Session Details'!L248)/'Session Details'!L248</f>
        <v>2.1052711330882486E-2</v>
      </c>
      <c r="Q255" s="7">
        <f>('Session Details'!M255-'Session Details'!M248)/'Session Details'!M248</f>
        <v>2.1052739488583785E-2</v>
      </c>
      <c r="R255" s="7">
        <f>('Session Details'!N255-'Session Details'!N248)/'Session Details'!N248</f>
        <v>1.0526721846982962E-2</v>
      </c>
    </row>
    <row r="256" spans="1:18" hidden="1" x14ac:dyDescent="0.3">
      <c r="A256" s="2">
        <v>43719</v>
      </c>
      <c r="B256" s="3">
        <v>21065820</v>
      </c>
      <c r="C256" s="4">
        <f t="shared" si="27"/>
        <v>-5.8252409823298996E-2</v>
      </c>
      <c r="D256" s="3">
        <v>5055796</v>
      </c>
      <c r="E256" s="4">
        <f t="shared" si="28"/>
        <v>-9.5922456486383298E-2</v>
      </c>
      <c r="F256" s="3">
        <v>1981872</v>
      </c>
      <c r="G256" s="4">
        <f t="shared" si="29"/>
        <v>-0.12277592515051429</v>
      </c>
      <c r="H256" s="3">
        <v>1504637</v>
      </c>
      <c r="I256" s="4">
        <f t="shared" si="30"/>
        <v>-3.9670843563891341E-2</v>
      </c>
      <c r="J256" s="3">
        <v>1246140</v>
      </c>
      <c r="K256" s="7">
        <f t="shared" si="24"/>
        <v>5.9154592605462311E-2</v>
      </c>
      <c r="L256" s="7">
        <f t="shared" si="25"/>
        <v>-4.9085629909993767E-2</v>
      </c>
      <c r="M256" s="7">
        <f t="shared" si="26"/>
        <v>-5.8252409823299045E-2</v>
      </c>
      <c r="N256" s="7">
        <f t="shared" si="31"/>
        <v>9.7337970480873004E-3</v>
      </c>
      <c r="O256" s="7">
        <f>('Session Details'!K256-'Session Details'!K249)/'Session Details'!K249</f>
        <v>-4.0000151904839187E-2</v>
      </c>
      <c r="P256" s="7">
        <f>('Session Details'!L256-'Session Details'!L249)/'Session Details'!L249</f>
        <v>-2.9702616613799922E-2</v>
      </c>
      <c r="Q256" s="7">
        <f>('Session Details'!M256-'Session Details'!M249)/'Session Details'!M249</f>
        <v>9.4736435044697226E-2</v>
      </c>
      <c r="R256" s="7">
        <f>('Session Details'!N256-'Session Details'!N249)/'Session Details'!N249</f>
        <v>-9.8037077006406254E-3</v>
      </c>
    </row>
    <row r="257" spans="1:18" hidden="1" x14ac:dyDescent="0.3">
      <c r="A257" s="2">
        <v>43720</v>
      </c>
      <c r="B257" s="3">
        <v>20848646</v>
      </c>
      <c r="C257" s="4">
        <f t="shared" si="27"/>
        <v>1.0526296401619022E-2</v>
      </c>
      <c r="D257" s="3">
        <v>5160040</v>
      </c>
      <c r="E257" s="4">
        <f t="shared" si="28"/>
        <v>-1.919492874487386E-2</v>
      </c>
      <c r="F257" s="3">
        <v>2022735</v>
      </c>
      <c r="G257" s="4">
        <f t="shared" si="29"/>
        <v>-5.7658101707991342E-2</v>
      </c>
      <c r="H257" s="3">
        <v>1535660</v>
      </c>
      <c r="I257" s="4">
        <f t="shared" si="30"/>
        <v>-3.9180820405910845E-2</v>
      </c>
      <c r="J257" s="3">
        <v>1309611</v>
      </c>
      <c r="K257" s="7">
        <f t="shared" si="24"/>
        <v>6.2815158356087003E-2</v>
      </c>
      <c r="L257" s="7">
        <f t="shared" si="25"/>
        <v>1.9644497734315314E-2</v>
      </c>
      <c r="M257" s="7">
        <f t="shared" si="26"/>
        <v>1.0526296401619062E-2</v>
      </c>
      <c r="N257" s="7">
        <f t="shared" si="31"/>
        <v>9.0232202419324725E-3</v>
      </c>
      <c r="O257" s="7">
        <f>('Session Details'!K257-'Session Details'!K250)/'Session Details'!K250</f>
        <v>-2.9411629615505377E-2</v>
      </c>
      <c r="P257" s="7">
        <f>('Session Details'!L257-'Session Details'!L250)/'Session Details'!L250</f>
        <v>-3.9215919748351848E-2</v>
      </c>
      <c r="Q257" s="7">
        <f>('Session Details'!M257-'Session Details'!M250)/'Session Details'!M250</f>
        <v>1.9607831653851333E-2</v>
      </c>
      <c r="R257" s="7">
        <f>('Session Details'!N257-'Session Details'!N250)/'Session Details'!N250</f>
        <v>6.1224129773385483E-2</v>
      </c>
    </row>
    <row r="258" spans="1:18" hidden="1" x14ac:dyDescent="0.3">
      <c r="A258" s="2">
        <v>43721</v>
      </c>
      <c r="B258" s="3">
        <v>22803207</v>
      </c>
      <c r="C258" s="4">
        <f t="shared" si="27"/>
        <v>9.3750020984576174E-2</v>
      </c>
      <c r="D258" s="3">
        <v>5985841</v>
      </c>
      <c r="E258" s="4">
        <f t="shared" si="28"/>
        <v>0.13706671924742647</v>
      </c>
      <c r="F258" s="3">
        <v>2322506</v>
      </c>
      <c r="G258" s="4">
        <f t="shared" si="29"/>
        <v>0.11409556300895687</v>
      </c>
      <c r="H258" s="3">
        <v>1610658</v>
      </c>
      <c r="I258" s="4">
        <f t="shared" si="30"/>
        <v>0.10249040506472945</v>
      </c>
      <c r="J258" s="3">
        <v>1360362</v>
      </c>
      <c r="K258" s="7">
        <f t="shared" si="24"/>
        <v>5.9656608826995257E-2</v>
      </c>
      <c r="L258" s="7">
        <f t="shared" si="25"/>
        <v>0.10249145391272219</v>
      </c>
      <c r="M258" s="7">
        <f t="shared" si="26"/>
        <v>9.3750020984576077E-2</v>
      </c>
      <c r="N258" s="7">
        <f t="shared" si="31"/>
        <v>7.9921670952536328E-3</v>
      </c>
      <c r="O258" s="7">
        <f>('Session Details'!K258-'Session Details'!K251)/'Session Details'!K251</f>
        <v>3.960383765191379E-2</v>
      </c>
      <c r="P258" s="7">
        <f>('Session Details'!L258-'Session Details'!L251)/'Session Details'!L251</f>
        <v>-2.0202118177966862E-2</v>
      </c>
      <c r="Q258" s="7">
        <f>('Session Details'!M258-'Session Details'!M251)/'Session Details'!M251</f>
        <v>-1.0416662923316992E-2</v>
      </c>
      <c r="R258" s="7">
        <f>('Session Details'!N258-'Session Details'!N251)/'Session Details'!N251</f>
        <v>9.5134432722030604E-7</v>
      </c>
    </row>
    <row r="259" spans="1:18" x14ac:dyDescent="0.3">
      <c r="A259" s="11">
        <v>43722</v>
      </c>
      <c r="B259" s="12">
        <v>44440853</v>
      </c>
      <c r="C259" s="4">
        <f t="shared" si="27"/>
        <v>-4.8076912366922894E-2</v>
      </c>
      <c r="D259" s="12">
        <v>9332579</v>
      </c>
      <c r="E259" s="4">
        <f t="shared" si="28"/>
        <v>2.0243243170697009E-3</v>
      </c>
      <c r="F259" s="12">
        <v>1396153</v>
      </c>
      <c r="G259" s="4">
        <f t="shared" si="29"/>
        <v>-0.55465614035087718</v>
      </c>
      <c r="H259" s="12">
        <v>939890</v>
      </c>
      <c r="I259" s="4">
        <f t="shared" si="30"/>
        <v>-0.53590491850227873</v>
      </c>
      <c r="J259" s="12">
        <v>696459</v>
      </c>
      <c r="K259" s="13">
        <f t="shared" ref="K259:K322" si="32">J259/B259</f>
        <v>1.5671593882322647E-2</v>
      </c>
      <c r="L259" s="13">
        <f t="shared" si="25"/>
        <v>-0.53590439000986212</v>
      </c>
      <c r="M259" s="13">
        <f t="shared" si="26"/>
        <v>-4.8076912366922908E-2</v>
      </c>
      <c r="N259" s="13">
        <f t="shared" si="31"/>
        <v>-0.51246522327334754</v>
      </c>
      <c r="O259" s="7">
        <f>('Session Details'!K259-'Session Details'!K252)/'Session Details'!K252</f>
        <v>5.2631601580929631E-2</v>
      </c>
      <c r="P259" s="7">
        <f>('Session Details'!L259-'Session Details'!L252)/'Session Details'!L252</f>
        <v>-0.55555583947261233</v>
      </c>
      <c r="Q259" s="7">
        <f>('Session Details'!M259-'Session Details'!M252)/'Session Details'!M252</f>
        <v>4.2105041850969083E-2</v>
      </c>
      <c r="R259" s="7">
        <f>('Session Details'!N259-'Session Details'!N252)/'Session Details'!N252</f>
        <v>1.1387589260299516E-6</v>
      </c>
    </row>
    <row r="260" spans="1:18" hidden="1" x14ac:dyDescent="0.3">
      <c r="A260" s="2">
        <v>43723</v>
      </c>
      <c r="B260" s="3">
        <v>46236443</v>
      </c>
      <c r="C260" s="4">
        <f t="shared" si="27"/>
        <v>7.2916678269166868E-2</v>
      </c>
      <c r="D260" s="3">
        <v>9515460</v>
      </c>
      <c r="E260" s="4">
        <f t="shared" si="28"/>
        <v>3.0841525771038145E-2</v>
      </c>
      <c r="F260" s="3">
        <v>3364666</v>
      </c>
      <c r="G260" s="4">
        <f t="shared" si="29"/>
        <v>6.1460399022539268E-2</v>
      </c>
      <c r="H260" s="3">
        <v>2333732</v>
      </c>
      <c r="I260" s="4">
        <f t="shared" si="30"/>
        <v>9.3625875141756562E-2</v>
      </c>
      <c r="J260" s="3">
        <v>1856717</v>
      </c>
      <c r="K260" s="7">
        <f t="shared" si="32"/>
        <v>4.0157003426928843E-2</v>
      </c>
      <c r="L260" s="7">
        <f t="shared" si="25"/>
        <v>9.3625553154356611E-2</v>
      </c>
      <c r="M260" s="7">
        <f t="shared" si="26"/>
        <v>7.2916678269166812E-2</v>
      </c>
      <c r="N260" s="7">
        <f t="shared" si="31"/>
        <v>1.9301475412422109E-2</v>
      </c>
      <c r="O260" s="7">
        <f>('Session Details'!K260-'Session Details'!K253)/'Session Details'!K253</f>
        <v>-3.9215675690683204E-2</v>
      </c>
      <c r="P260" s="7">
        <f>('Session Details'!L260-'Session Details'!L253)/'Session Details'!L253</f>
        <v>2.9702793771912719E-2</v>
      </c>
      <c r="Q260" s="7">
        <f>('Session Details'!M260-'Session Details'!M253)/'Session Details'!M253</f>
        <v>3.0303039236166954E-2</v>
      </c>
      <c r="R260" s="7">
        <f>('Session Details'!N260-'Session Details'!N253)/'Session Details'!N253</f>
        <v>-2.944218926591694E-7</v>
      </c>
    </row>
    <row r="261" spans="1:18" hidden="1" x14ac:dyDescent="0.3">
      <c r="A261" s="2">
        <v>43724</v>
      </c>
      <c r="B261" s="3">
        <v>20631473</v>
      </c>
      <c r="C261" s="4">
        <f t="shared" si="27"/>
        <v>-0.05</v>
      </c>
      <c r="D261" s="3">
        <v>5106289</v>
      </c>
      <c r="E261" s="4">
        <f t="shared" si="28"/>
        <v>-4.9999990697745376E-2</v>
      </c>
      <c r="F261" s="3">
        <v>1960815</v>
      </c>
      <c r="G261" s="4">
        <f t="shared" si="29"/>
        <v>-0.13142846764830562</v>
      </c>
      <c r="H261" s="3">
        <v>1445709</v>
      </c>
      <c r="I261" s="4">
        <f t="shared" si="30"/>
        <v>-0.14829385888170743</v>
      </c>
      <c r="J261" s="3">
        <v>1161771</v>
      </c>
      <c r="K261" s="7">
        <f t="shared" si="32"/>
        <v>5.631061824814932E-2</v>
      </c>
      <c r="L261" s="7">
        <f t="shared" si="25"/>
        <v>-0.18169466263960421</v>
      </c>
      <c r="M261" s="7">
        <f t="shared" si="26"/>
        <v>-5.0000000000000044E-2</v>
      </c>
      <c r="N261" s="7">
        <f t="shared" si="31"/>
        <v>-0.1386259606732676</v>
      </c>
      <c r="O261" s="7">
        <f>('Session Details'!K261-'Session Details'!K254)/'Session Details'!K254</f>
        <v>9.7918469695003339E-9</v>
      </c>
      <c r="P261" s="7">
        <f>('Session Details'!L261-'Session Details'!L254)/'Session Details'!L254</f>
        <v>-8.5714185424447448E-2</v>
      </c>
      <c r="Q261" s="7">
        <f>('Session Details'!M261-'Session Details'!M254)/'Session Details'!M254</f>
        <v>-1.9417388902601987E-2</v>
      </c>
      <c r="R261" s="7">
        <f>('Session Details'!N261-'Session Details'!N254)/'Session Details'!N254</f>
        <v>-3.9216347218116163E-2</v>
      </c>
    </row>
    <row r="262" spans="1:18" hidden="1" x14ac:dyDescent="0.3">
      <c r="A262" s="2">
        <v>43725</v>
      </c>
      <c r="B262" s="3">
        <v>22368860</v>
      </c>
      <c r="C262" s="4">
        <f t="shared" si="27"/>
        <v>0</v>
      </c>
      <c r="D262" s="3">
        <v>5312604</v>
      </c>
      <c r="E262" s="4">
        <f t="shared" si="28"/>
        <v>-3.0612166696774124E-2</v>
      </c>
      <c r="F262" s="3">
        <v>2188793</v>
      </c>
      <c r="G262" s="4">
        <f t="shared" si="29"/>
        <v>2.9350309892432362E-2</v>
      </c>
      <c r="H262" s="3">
        <v>1581840</v>
      </c>
      <c r="I262" s="4">
        <f t="shared" si="30"/>
        <v>5.0573424046883426E-2</v>
      </c>
      <c r="J262" s="3">
        <v>1361964</v>
      </c>
      <c r="K262" s="7">
        <f t="shared" si="32"/>
        <v>6.0886607542807281E-2</v>
      </c>
      <c r="L262" s="7">
        <f t="shared" si="25"/>
        <v>0.14906423033862848</v>
      </c>
      <c r="M262" s="7">
        <f t="shared" si="26"/>
        <v>0</v>
      </c>
      <c r="N262" s="7">
        <f t="shared" si="31"/>
        <v>0.1490642303386287</v>
      </c>
      <c r="O262" s="7">
        <f>('Session Details'!K262-'Session Details'!K255)/'Session Details'!K255</f>
        <v>-3.0612166696774065E-2</v>
      </c>
      <c r="P262" s="7">
        <f>('Session Details'!L262-'Session Details'!L255)/'Session Details'!L255</f>
        <v>6.1856023491528744E-2</v>
      </c>
      <c r="Q262" s="7">
        <f>('Session Details'!M262-'Session Details'!M255)/'Session Details'!M255</f>
        <v>2.0617970335744057E-2</v>
      </c>
      <c r="R262" s="7">
        <f>('Session Details'!N262-'Session Details'!N255)/'Session Details'!N255</f>
        <v>9.3749569556358686E-2</v>
      </c>
    </row>
    <row r="263" spans="1:18" hidden="1" x14ac:dyDescent="0.3">
      <c r="A263" s="2">
        <v>43726</v>
      </c>
      <c r="B263" s="3">
        <v>21500167</v>
      </c>
      <c r="C263" s="4">
        <f t="shared" si="27"/>
        <v>2.0618565999329722E-2</v>
      </c>
      <c r="D263" s="3">
        <v>5643793</v>
      </c>
      <c r="E263" s="4">
        <f t="shared" si="28"/>
        <v>0.11630156754742478</v>
      </c>
      <c r="F263" s="3">
        <v>2144641</v>
      </c>
      <c r="G263" s="4">
        <f t="shared" si="29"/>
        <v>8.2128916499148275E-2</v>
      </c>
      <c r="H263" s="3">
        <v>1502964</v>
      </c>
      <c r="I263" s="4">
        <f t="shared" si="30"/>
        <v>-1.1118960918812975E-3</v>
      </c>
      <c r="J263" s="3">
        <v>1195458</v>
      </c>
      <c r="K263" s="7">
        <f t="shared" si="32"/>
        <v>5.5602265787051797E-2</v>
      </c>
      <c r="L263" s="7">
        <f t="shared" si="25"/>
        <v>-4.0671192642881215E-2</v>
      </c>
      <c r="M263" s="7">
        <f t="shared" si="26"/>
        <v>2.0618565999329652E-2</v>
      </c>
      <c r="N263" s="7">
        <f t="shared" si="31"/>
        <v>-6.0051581152846811E-2</v>
      </c>
      <c r="O263" s="7">
        <f>('Session Details'!K263-'Session Details'!K256)/'Session Details'!K256</f>
        <v>9.3750010763725175E-2</v>
      </c>
      <c r="P263" s="7">
        <f>('Session Details'!L263-'Session Details'!L256)/'Session Details'!L256</f>
        <v>-3.0612382927451835E-2</v>
      </c>
      <c r="Q263" s="7">
        <f>('Session Details'!M263-'Session Details'!M256)/'Session Details'!M256</f>
        <v>-7.6923194013081425E-2</v>
      </c>
      <c r="R263" s="7">
        <f>('Session Details'!N263-'Session Details'!N256)/'Session Details'!N256</f>
        <v>-3.9603331340342725E-2</v>
      </c>
    </row>
    <row r="264" spans="1:18" hidden="1" x14ac:dyDescent="0.3">
      <c r="A264" s="2">
        <v>43727</v>
      </c>
      <c r="B264" s="3">
        <v>21282993</v>
      </c>
      <c r="C264" s="4">
        <f t="shared" si="27"/>
        <v>2.0833343325988653E-2</v>
      </c>
      <c r="D264" s="3">
        <v>5054710</v>
      </c>
      <c r="E264" s="4">
        <f t="shared" si="28"/>
        <v>-2.0412632460213485E-2</v>
      </c>
      <c r="F264" s="3">
        <v>2062322</v>
      </c>
      <c r="G264" s="4">
        <f t="shared" si="29"/>
        <v>1.9571026357876834E-2</v>
      </c>
      <c r="H264" s="3">
        <v>1535605</v>
      </c>
      <c r="I264" s="4">
        <f t="shared" si="30"/>
        <v>-3.5815219514736333E-5</v>
      </c>
      <c r="J264" s="3">
        <v>1259196</v>
      </c>
      <c r="K264" s="7">
        <f t="shared" si="32"/>
        <v>5.9164422973780051E-2</v>
      </c>
      <c r="L264" s="7">
        <f t="shared" si="25"/>
        <v>-3.849616412812662E-2</v>
      </c>
      <c r="M264" s="7">
        <f t="shared" si="26"/>
        <v>2.0833343325988629E-2</v>
      </c>
      <c r="N264" s="7">
        <f t="shared" si="31"/>
        <v>-5.8118700610633511E-2</v>
      </c>
      <c r="O264" s="7">
        <f>('Session Details'!K264-'Session Details'!K257)/'Session Details'!K257</f>
        <v>-4.04042207828147E-2</v>
      </c>
      <c r="P264" s="7">
        <f>('Session Details'!L264-'Session Details'!L257)/'Session Details'!L257</f>
        <v>4.0816837928921525E-2</v>
      </c>
      <c r="Q264" s="7">
        <f>('Session Details'!M264-'Session Details'!M257)/'Session Details'!M257</f>
        <v>-1.9230481320591498E-2</v>
      </c>
      <c r="R264" s="7">
        <f>('Session Details'!N264-'Session Details'!N257)/'Session Details'!N257</f>
        <v>-3.8461726423786632E-2</v>
      </c>
    </row>
    <row r="265" spans="1:18" hidden="1" x14ac:dyDescent="0.3">
      <c r="A265" s="2">
        <v>43728</v>
      </c>
      <c r="B265" s="3">
        <v>21282993</v>
      </c>
      <c r="C265" s="4">
        <f t="shared" si="27"/>
        <v>-6.6666675437362821E-2</v>
      </c>
      <c r="D265" s="3">
        <v>5107918</v>
      </c>
      <c r="E265" s="4">
        <f t="shared" si="28"/>
        <v>-0.14666660875222046</v>
      </c>
      <c r="F265" s="3">
        <v>2043167</v>
      </c>
      <c r="G265" s="4">
        <f t="shared" si="29"/>
        <v>-0.12027482383253262</v>
      </c>
      <c r="H265" s="3">
        <v>1506427</v>
      </c>
      <c r="I265" s="4">
        <f t="shared" si="30"/>
        <v>-6.4713303507013903E-2</v>
      </c>
      <c r="J265" s="3">
        <v>1235270</v>
      </c>
      <c r="K265" s="7">
        <f t="shared" si="32"/>
        <v>5.8040238983304654E-2</v>
      </c>
      <c r="L265" s="7">
        <f t="shared" si="25"/>
        <v>-9.1954935524514836E-2</v>
      </c>
      <c r="M265" s="7">
        <f t="shared" si="26"/>
        <v>-6.6666675437362821E-2</v>
      </c>
      <c r="N265" s="7">
        <f t="shared" si="31"/>
        <v>-2.7094564633703744E-2</v>
      </c>
      <c r="O265" s="7">
        <f>('Session Details'!K265-'Session Details'!K258)/'Session Details'!K258</f>
        <v>-8.5714215071390334E-2</v>
      </c>
      <c r="P265" s="7">
        <f>('Session Details'!L265-'Session Details'!L258)/'Session Details'!L258</f>
        <v>3.0927870853731314E-2</v>
      </c>
      <c r="Q265" s="7">
        <f>('Session Details'!M265-'Session Details'!M258)/'Session Details'!M258</f>
        <v>6.3157815452745208E-2</v>
      </c>
      <c r="R265" s="7">
        <f>('Session Details'!N265-'Session Details'!N258)/'Session Details'!N258</f>
        <v>-2.9126504332466222E-2</v>
      </c>
    </row>
    <row r="266" spans="1:18" x14ac:dyDescent="0.3">
      <c r="A266" s="11">
        <v>43729</v>
      </c>
      <c r="B266" s="12">
        <v>43991955</v>
      </c>
      <c r="C266" s="4">
        <f t="shared" si="27"/>
        <v>-1.0101021238273711E-2</v>
      </c>
      <c r="D266" s="12">
        <v>8868778</v>
      </c>
      <c r="E266" s="4">
        <f t="shared" si="28"/>
        <v>-4.969698086670362E-2</v>
      </c>
      <c r="F266" s="12">
        <v>3045538</v>
      </c>
      <c r="G266" s="4">
        <f t="shared" si="29"/>
        <v>1.1813784019373235</v>
      </c>
      <c r="H266" s="12">
        <v>1967417</v>
      </c>
      <c r="I266" s="4">
        <f t="shared" si="30"/>
        <v>1.0932417623338901</v>
      </c>
      <c r="J266" s="12">
        <v>1473202</v>
      </c>
      <c r="K266" s="13">
        <f t="shared" si="32"/>
        <v>3.3487986610279082E-2</v>
      </c>
      <c r="L266" s="13">
        <f t="shared" ref="L266:L329" si="33">(J266/J259)-1</f>
        <v>1.1152745531323451</v>
      </c>
      <c r="M266" s="13">
        <f t="shared" ref="M266:M329" si="34">(B266/B259)-1</f>
        <v>-1.0101021238273722E-2</v>
      </c>
      <c r="N266" s="13">
        <f t="shared" si="31"/>
        <v>1.1368590113895878</v>
      </c>
      <c r="O266" s="7">
        <f>('Session Details'!K266-'Session Details'!K259)/'Session Details'!K259</f>
        <v>-4.000000048283793E-2</v>
      </c>
      <c r="P266" s="7">
        <f>('Session Details'!L266-'Session Details'!L259)/'Session Details'!L259</f>
        <v>1.2954556157538077</v>
      </c>
      <c r="Q266" s="7">
        <f>('Session Details'!M266-'Session Details'!M259)/'Session Details'!M259</f>
        <v>-4.0404103902907197E-2</v>
      </c>
      <c r="R266" s="7">
        <f>('Session Details'!N266-'Session Details'!N259)/'Session Details'!N259</f>
        <v>1.0525678970731501E-2</v>
      </c>
    </row>
    <row r="267" spans="1:18" hidden="1" x14ac:dyDescent="0.3">
      <c r="A267" s="2">
        <v>43730</v>
      </c>
      <c r="B267" s="3">
        <v>45787545</v>
      </c>
      <c r="C267" s="4">
        <f t="shared" ref="C267:C330" si="35">(B267-B260)/B260</f>
        <v>-9.7087485730682176E-3</v>
      </c>
      <c r="D267" s="3">
        <v>9423076</v>
      </c>
      <c r="E267" s="4">
        <f t="shared" ref="E267:E330" si="36">(D267-D260)/D260</f>
        <v>-9.7088317327801276E-3</v>
      </c>
      <c r="F267" s="3">
        <v>3364038</v>
      </c>
      <c r="G267" s="4">
        <f t="shared" ref="G267:G330" si="37">(F267-F260)/F260</f>
        <v>-1.8664556898069525E-4</v>
      </c>
      <c r="H267" s="3">
        <v>2401923</v>
      </c>
      <c r="I267" s="4">
        <f t="shared" ref="I267:I330" si="38">(H267-H260)/H260</f>
        <v>2.9219721887517505E-2</v>
      </c>
      <c r="J267" s="3">
        <v>1892235</v>
      </c>
      <c r="K267" s="7">
        <f t="shared" si="32"/>
        <v>4.1326413110814308E-2</v>
      </c>
      <c r="L267" s="7">
        <f t="shared" si="33"/>
        <v>1.9129463456197149E-2</v>
      </c>
      <c r="M267" s="7">
        <f t="shared" si="34"/>
        <v>-9.7087485730682488E-3</v>
      </c>
      <c r="N267" s="7">
        <f t="shared" ref="N267:N330" si="39">(K267/K260)-1</f>
        <v>2.9120939913092947E-2</v>
      </c>
      <c r="O267" s="7">
        <f>('Session Details'!K267-'Session Details'!K260)/'Session Details'!K260</f>
        <v>-8.3975004090790627E-8</v>
      </c>
      <c r="P267" s="7">
        <f>('Session Details'!L267-'Session Details'!L260)/'Session Details'!L260</f>
        <v>9.6155418415586856E-3</v>
      </c>
      <c r="Q267" s="7">
        <f>('Session Details'!M267-'Session Details'!M260)/'Session Details'!M260</f>
        <v>2.9411857049291831E-2</v>
      </c>
      <c r="R267" s="7">
        <f>('Session Details'!N267-'Session Details'!N260)/'Session Details'!N260</f>
        <v>-9.803794288760298E-3</v>
      </c>
    </row>
    <row r="268" spans="1:18" hidden="1" x14ac:dyDescent="0.3">
      <c r="A268" s="2">
        <v>43731</v>
      </c>
      <c r="B268" s="3">
        <v>20848646</v>
      </c>
      <c r="C268" s="4">
        <f t="shared" si="35"/>
        <v>1.0526296401619022E-2</v>
      </c>
      <c r="D268" s="3">
        <v>5264283</v>
      </c>
      <c r="E268" s="4">
        <f t="shared" si="36"/>
        <v>3.0941061111112198E-2</v>
      </c>
      <c r="F268" s="3">
        <v>2189941</v>
      </c>
      <c r="G268" s="4">
        <f t="shared" si="37"/>
        <v>0.11685243125945079</v>
      </c>
      <c r="H268" s="3">
        <v>1518724</v>
      </c>
      <c r="I268" s="4">
        <f t="shared" si="38"/>
        <v>5.0504631291636147E-2</v>
      </c>
      <c r="J268" s="3">
        <v>1220447</v>
      </c>
      <c r="K268" s="7">
        <f t="shared" si="32"/>
        <v>5.8538429785799997E-2</v>
      </c>
      <c r="L268" s="7">
        <f t="shared" si="33"/>
        <v>5.0505650425083815E-2</v>
      </c>
      <c r="M268" s="7">
        <f t="shared" si="34"/>
        <v>1.0526296401619062E-2</v>
      </c>
      <c r="N268" s="7">
        <f t="shared" si="39"/>
        <v>3.9562903178103515E-2</v>
      </c>
      <c r="O268" s="7">
        <f>('Session Details'!K268-'Session Details'!K261)/'Session Details'!K261</f>
        <v>2.020211129803158E-2</v>
      </c>
      <c r="P268" s="7">
        <f>('Session Details'!L268-'Session Details'!L261)/'Session Details'!L261</f>
        <v>8.3332959942197166E-2</v>
      </c>
      <c r="Q268" s="7">
        <f>('Session Details'!M268-'Session Details'!M261)/'Session Details'!M261</f>
        <v>-5.9406057694654894E-2</v>
      </c>
      <c r="R268" s="7">
        <f>('Session Details'!N268-'Session Details'!N261)/'Session Details'!N261</f>
        <v>9.7013703451465014E-7</v>
      </c>
    </row>
    <row r="269" spans="1:18" hidden="1" x14ac:dyDescent="0.3">
      <c r="A269" s="2">
        <v>43732</v>
      </c>
      <c r="B269" s="3">
        <v>21934513</v>
      </c>
      <c r="C269" s="4">
        <f t="shared" si="35"/>
        <v>-1.9417484842768028E-2</v>
      </c>
      <c r="D269" s="3">
        <v>5702973</v>
      </c>
      <c r="E269" s="4">
        <f t="shared" si="36"/>
        <v>7.347978505456082E-2</v>
      </c>
      <c r="F269" s="3">
        <v>2235565</v>
      </c>
      <c r="G269" s="4">
        <f t="shared" si="37"/>
        <v>2.1368854889429929E-2</v>
      </c>
      <c r="H269" s="3">
        <v>1615643</v>
      </c>
      <c r="I269" s="4">
        <f t="shared" si="38"/>
        <v>2.1369417893086533E-2</v>
      </c>
      <c r="J269" s="3">
        <v>1338075</v>
      </c>
      <c r="K269" s="7">
        <f t="shared" si="32"/>
        <v>6.1003177959775085E-2</v>
      </c>
      <c r="L269" s="7">
        <f t="shared" si="33"/>
        <v>-1.7540111192366314E-2</v>
      </c>
      <c r="M269" s="7">
        <f t="shared" si="34"/>
        <v>-1.9417484842768062E-2</v>
      </c>
      <c r="N269" s="7">
        <f t="shared" si="39"/>
        <v>1.9145493840471151E-3</v>
      </c>
      <c r="O269" s="7">
        <f>('Session Details'!K269-'Session Details'!K262)/'Session Details'!K262</f>
        <v>9.4736820676873987E-2</v>
      </c>
      <c r="P269" s="7">
        <f>('Session Details'!L269-'Session Details'!L262)/'Session Details'!L262</f>
        <v>-4.8543932443480847E-2</v>
      </c>
      <c r="Q269" s="7">
        <f>('Session Details'!M269-'Session Details'!M262)/'Session Details'!M262</f>
        <v>5.5122461771712165E-7</v>
      </c>
      <c r="R269" s="7">
        <f>('Session Details'!N269-'Session Details'!N262)/'Session Details'!N262</f>
        <v>-3.8095451463307707E-2</v>
      </c>
    </row>
    <row r="270" spans="1:18" hidden="1" x14ac:dyDescent="0.3">
      <c r="A270" s="2">
        <v>43733</v>
      </c>
      <c r="B270" s="3">
        <v>21282993</v>
      </c>
      <c r="C270" s="4">
        <f t="shared" si="35"/>
        <v>-1.0101037819845771E-2</v>
      </c>
      <c r="D270" s="3">
        <v>5586785</v>
      </c>
      <c r="E270" s="4">
        <f t="shared" si="36"/>
        <v>-1.0101008311254506E-2</v>
      </c>
      <c r="F270" s="3">
        <v>2279408</v>
      </c>
      <c r="G270" s="4">
        <f t="shared" si="37"/>
        <v>6.2838955330985463E-2</v>
      </c>
      <c r="H270" s="3">
        <v>1747166</v>
      </c>
      <c r="I270" s="4">
        <f t="shared" si="38"/>
        <v>0.16248027231523843</v>
      </c>
      <c r="J270" s="3">
        <v>1404023</v>
      </c>
      <c r="K270" s="7">
        <f t="shared" si="32"/>
        <v>6.5969245960847703E-2</v>
      </c>
      <c r="L270" s="7">
        <f t="shared" si="33"/>
        <v>0.17446451485539427</v>
      </c>
      <c r="M270" s="7">
        <f t="shared" si="34"/>
        <v>-1.0101037819845726E-2</v>
      </c>
      <c r="N270" s="7">
        <f t="shared" si="39"/>
        <v>0.18644887986219594</v>
      </c>
      <c r="O270" s="7">
        <f>('Session Details'!K270-'Session Details'!K263)/'Session Details'!K263</f>
        <v>2.9809700299312324E-8</v>
      </c>
      <c r="P270" s="7">
        <f>('Session Details'!L270-'Session Details'!L263)/'Session Details'!L263</f>
        <v>7.3684248852305623E-2</v>
      </c>
      <c r="Q270" s="7">
        <f>('Session Details'!M270-'Session Details'!M263)/'Session Details'!M263</f>
        <v>9.3750155171178365E-2</v>
      </c>
      <c r="R270" s="7">
        <f>('Session Details'!N270-'Session Details'!N263)/'Session Details'!N263</f>
        <v>1.0309200788661651E-2</v>
      </c>
    </row>
    <row r="271" spans="1:18" hidden="1" x14ac:dyDescent="0.3">
      <c r="A271" s="2">
        <v>43734</v>
      </c>
      <c r="B271" s="3">
        <v>22368860</v>
      </c>
      <c r="C271" s="4">
        <f t="shared" si="35"/>
        <v>5.102040864271299E-2</v>
      </c>
      <c r="D271" s="3">
        <v>5424448</v>
      </c>
      <c r="E271" s="4">
        <f t="shared" si="36"/>
        <v>7.314722308500389E-2</v>
      </c>
      <c r="F271" s="3">
        <v>2213175</v>
      </c>
      <c r="G271" s="4">
        <f t="shared" si="37"/>
        <v>7.3147161306527306E-2</v>
      </c>
      <c r="H271" s="3">
        <v>1647930</v>
      </c>
      <c r="I271" s="4">
        <f t="shared" si="38"/>
        <v>7.3147065814450976E-2</v>
      </c>
      <c r="J271" s="3">
        <v>1337789</v>
      </c>
      <c r="K271" s="7">
        <f t="shared" si="32"/>
        <v>5.9805864044926743E-2</v>
      </c>
      <c r="L271" s="7">
        <f t="shared" si="33"/>
        <v>6.2415223682413146E-2</v>
      </c>
      <c r="M271" s="7">
        <f t="shared" si="34"/>
        <v>5.1020408642713067E-2</v>
      </c>
      <c r="N271" s="7">
        <f t="shared" si="39"/>
        <v>1.0841668673604143E-2</v>
      </c>
      <c r="O271" s="7">
        <f>('Session Details'!K271-'Session Details'!K264)/'Session Details'!K264</f>
        <v>2.1052697226750839E-2</v>
      </c>
      <c r="P271" s="7">
        <f>('Session Details'!L271-'Session Details'!L264)/'Session Details'!L264</f>
        <v>-5.756756881479092E-8</v>
      </c>
      <c r="Q271" s="7">
        <f>('Session Details'!M271-'Session Details'!M264)/'Session Details'!M264</f>
        <v>-8.8983207336826999E-8</v>
      </c>
      <c r="R271" s="7">
        <f>('Session Details'!N271-'Session Details'!N264)/'Session Details'!N264</f>
        <v>-1.0000346153761254E-2</v>
      </c>
    </row>
    <row r="272" spans="1:18" hidden="1" x14ac:dyDescent="0.3">
      <c r="A272" s="2">
        <v>43735</v>
      </c>
      <c r="B272" s="3">
        <v>20848646</v>
      </c>
      <c r="C272" s="4">
        <f t="shared" si="35"/>
        <v>-2.0408172854259738E-2</v>
      </c>
      <c r="D272" s="3">
        <v>5055796</v>
      </c>
      <c r="E272" s="4">
        <f t="shared" si="36"/>
        <v>-1.0204157545207265E-2</v>
      </c>
      <c r="F272" s="3">
        <v>1961649</v>
      </c>
      <c r="G272" s="4">
        <f t="shared" si="37"/>
        <v>-3.9897864442798851E-2</v>
      </c>
      <c r="H272" s="3">
        <v>1474964</v>
      </c>
      <c r="I272" s="4">
        <f t="shared" si="38"/>
        <v>-2.0885844451805496E-2</v>
      </c>
      <c r="J272" s="3">
        <v>1197375</v>
      </c>
      <c r="K272" s="7">
        <f t="shared" si="32"/>
        <v>5.7431787176970631E-2</v>
      </c>
      <c r="L272" s="7">
        <f t="shared" si="33"/>
        <v>-3.0677503703643749E-2</v>
      </c>
      <c r="M272" s="7">
        <f t="shared" si="34"/>
        <v>-2.0408172854259776E-2</v>
      </c>
      <c r="N272" s="7">
        <f t="shared" si="39"/>
        <v>-1.0483275344697396E-2</v>
      </c>
      <c r="O272" s="7">
        <f>('Session Details'!K272-'Session Details'!K265)/'Session Details'!K265</f>
        <v>1.041659906328953E-2</v>
      </c>
      <c r="P272" s="7">
        <f>('Session Details'!L272-'Session Details'!L265)/'Session Details'!L265</f>
        <v>-2.9999829888099239E-2</v>
      </c>
      <c r="Q272" s="7">
        <f>('Session Details'!M272-'Session Details'!M265)/'Session Details'!M265</f>
        <v>1.9802080723380112E-2</v>
      </c>
      <c r="R272" s="7">
        <f>('Session Details'!N272-'Session Details'!N265)/'Session Details'!N265</f>
        <v>-1.0000528739527833E-2</v>
      </c>
    </row>
    <row r="273" spans="1:18" hidden="1" x14ac:dyDescent="0.3">
      <c r="A273" s="2">
        <v>43736</v>
      </c>
      <c r="B273" s="3">
        <v>43991955</v>
      </c>
      <c r="C273" s="4">
        <f t="shared" si="35"/>
        <v>0</v>
      </c>
      <c r="D273" s="3">
        <v>9238310</v>
      </c>
      <c r="E273" s="4">
        <f t="shared" si="36"/>
        <v>4.1666619685372663E-2</v>
      </c>
      <c r="F273" s="3">
        <v>3141025</v>
      </c>
      <c r="G273" s="4">
        <f t="shared" si="37"/>
        <v>3.1353081130493198E-2</v>
      </c>
      <c r="H273" s="3">
        <v>2135897</v>
      </c>
      <c r="I273" s="4">
        <f t="shared" si="38"/>
        <v>8.5635124632957832E-2</v>
      </c>
      <c r="J273" s="3">
        <v>1582700</v>
      </c>
      <c r="K273" s="7">
        <f t="shared" si="32"/>
        <v>3.5977032618804958E-2</v>
      </c>
      <c r="L273" s="7">
        <f t="shared" si="33"/>
        <v>7.4326534989770598E-2</v>
      </c>
      <c r="M273" s="7">
        <f t="shared" si="34"/>
        <v>0</v>
      </c>
      <c r="N273" s="7">
        <f t="shared" si="39"/>
        <v>7.4326534989770598E-2</v>
      </c>
      <c r="O273" s="7">
        <f>('Session Details'!K273-'Session Details'!K266)/'Session Details'!K266</f>
        <v>4.1666619685372601E-2</v>
      </c>
      <c r="P273" s="7">
        <f>('Session Details'!L273-'Session Details'!L266)/'Session Details'!L266</f>
        <v>-9.9009974592395612E-3</v>
      </c>
      <c r="Q273" s="7">
        <f>('Session Details'!M273-'Session Details'!M266)/'Session Details'!M266</f>
        <v>5.2631872145051106E-2</v>
      </c>
      <c r="R273" s="7">
        <f>('Session Details'!N273-'Session Details'!N266)/'Session Details'!N266</f>
        <v>-1.0416565737968802E-2</v>
      </c>
    </row>
    <row r="274" spans="1:18" hidden="1" x14ac:dyDescent="0.3">
      <c r="A274" s="2">
        <v>43737</v>
      </c>
      <c r="B274" s="3">
        <v>42645263</v>
      </c>
      <c r="C274" s="4">
        <f t="shared" si="35"/>
        <v>-6.8627440060391967E-2</v>
      </c>
      <c r="D274" s="3">
        <v>8865950</v>
      </c>
      <c r="E274" s="4">
        <f t="shared" si="36"/>
        <v>-5.9123581301901845E-2</v>
      </c>
      <c r="F274" s="3">
        <v>2984278</v>
      </c>
      <c r="G274" s="4">
        <f t="shared" si="37"/>
        <v>-0.11288814216724068</v>
      </c>
      <c r="H274" s="3">
        <v>1948137</v>
      </c>
      <c r="I274" s="4">
        <f t="shared" si="38"/>
        <v>-0.18892612294399114</v>
      </c>
      <c r="J274" s="3">
        <v>1565133</v>
      </c>
      <c r="K274" s="7">
        <f t="shared" si="32"/>
        <v>3.6701215795057938E-2</v>
      </c>
      <c r="L274" s="7">
        <f t="shared" si="33"/>
        <v>-0.17286542104971103</v>
      </c>
      <c r="M274" s="7">
        <f t="shared" si="34"/>
        <v>-6.8627440060392009E-2</v>
      </c>
      <c r="N274" s="7">
        <f t="shared" si="39"/>
        <v>-0.11191867301316905</v>
      </c>
      <c r="O274" s="7">
        <f>('Session Details'!K274-'Session Details'!K267)/'Session Details'!K267</f>
        <v>1.0204142968423315E-2</v>
      </c>
      <c r="P274" s="7">
        <f>('Session Details'!L274-'Session Details'!L267)/'Session Details'!L267</f>
        <v>-5.7143063421372112E-2</v>
      </c>
      <c r="Q274" s="7">
        <f>('Session Details'!M274-'Session Details'!M267)/'Session Details'!M267</f>
        <v>-8.5714084537787005E-2</v>
      </c>
      <c r="R274" s="7">
        <f>('Session Details'!N274-'Session Details'!N267)/'Session Details'!N267</f>
        <v>1.9801774349552888E-2</v>
      </c>
    </row>
    <row r="275" spans="1:18" hidden="1" x14ac:dyDescent="0.3">
      <c r="A275" s="2">
        <v>43738</v>
      </c>
      <c r="B275" s="3">
        <v>21717340</v>
      </c>
      <c r="C275" s="4">
        <f t="shared" si="35"/>
        <v>4.1666686651977307E-2</v>
      </c>
      <c r="D275" s="3">
        <v>5375041</v>
      </c>
      <c r="E275" s="4">
        <f t="shared" si="36"/>
        <v>2.1039522381300548E-2</v>
      </c>
      <c r="F275" s="3">
        <v>2150016</v>
      </c>
      <c r="G275" s="4">
        <f t="shared" si="37"/>
        <v>-1.8231084764384065E-2</v>
      </c>
      <c r="H275" s="3">
        <v>1553817</v>
      </c>
      <c r="I275" s="4">
        <f t="shared" si="38"/>
        <v>2.3106897632486217E-2</v>
      </c>
      <c r="J275" s="3">
        <v>1235906</v>
      </c>
      <c r="K275" s="7">
        <f t="shared" si="32"/>
        <v>5.6908719023600493E-2</v>
      </c>
      <c r="L275" s="7">
        <f t="shared" si="33"/>
        <v>1.2666670490402376E-2</v>
      </c>
      <c r="M275" s="7">
        <f t="shared" si="34"/>
        <v>4.1666686651977258E-2</v>
      </c>
      <c r="N275" s="7">
        <f t="shared" si="39"/>
        <v>-2.7840014980976324E-2</v>
      </c>
      <c r="O275" s="7">
        <f>('Session Details'!K275-'Session Details'!K268)/'Session Details'!K268</f>
        <v>-1.9802077319929019E-2</v>
      </c>
      <c r="P275" s="7">
        <f>('Session Details'!L275-'Session Details'!L268)/'Session Details'!L268</f>
        <v>-3.8461397707795275E-2</v>
      </c>
      <c r="Q275" s="7">
        <f>('Session Details'!M275-'Session Details'!M268)/'Session Details'!M268</f>
        <v>4.2105613403892982E-2</v>
      </c>
      <c r="R275" s="7">
        <f>('Session Details'!N275-'Session Details'!N268)/'Session Details'!N268</f>
        <v>-1.0204434322789831E-2</v>
      </c>
    </row>
    <row r="276" spans="1:18" hidden="1" x14ac:dyDescent="0.3">
      <c r="A276" s="2">
        <v>43739</v>
      </c>
      <c r="B276" s="3">
        <v>21934513</v>
      </c>
      <c r="C276" s="4">
        <f t="shared" si="35"/>
        <v>0</v>
      </c>
      <c r="D276" s="3">
        <v>5319119</v>
      </c>
      <c r="E276" s="4">
        <f t="shared" si="36"/>
        <v>-6.7307700737843229E-2</v>
      </c>
      <c r="F276" s="3">
        <v>2085094</v>
      </c>
      <c r="G276" s="4">
        <f t="shared" si="37"/>
        <v>-6.7307817039540335E-2</v>
      </c>
      <c r="H276" s="3">
        <v>1476455</v>
      </c>
      <c r="I276" s="4">
        <f t="shared" si="38"/>
        <v>-8.6150220067180677E-2</v>
      </c>
      <c r="J276" s="3">
        <v>1174372</v>
      </c>
      <c r="K276" s="7">
        <f t="shared" si="32"/>
        <v>5.3539916751285978E-2</v>
      </c>
      <c r="L276" s="7">
        <f t="shared" si="33"/>
        <v>-0.12234217065560604</v>
      </c>
      <c r="M276" s="7">
        <f t="shared" si="34"/>
        <v>0</v>
      </c>
      <c r="N276" s="7">
        <f t="shared" si="39"/>
        <v>-0.12234217065560604</v>
      </c>
      <c r="O276" s="7">
        <f>('Session Details'!K276-'Session Details'!K269)/'Session Details'!K269</f>
        <v>-6.7307700737843132E-2</v>
      </c>
      <c r="P276" s="7">
        <f>('Session Details'!L276-'Session Details'!L269)/'Session Details'!L269</f>
        <v>-1.2469460411147392E-7</v>
      </c>
      <c r="Q276" s="7">
        <f>('Session Details'!M276-'Session Details'!M269)/'Session Details'!M269</f>
        <v>-2.0202166772570886E-2</v>
      </c>
      <c r="R276" s="7">
        <f>('Session Details'!N276-'Session Details'!N269)/'Session Details'!N269</f>
        <v>-3.9603829188519318E-2</v>
      </c>
    </row>
    <row r="277" spans="1:18" hidden="1" x14ac:dyDescent="0.3">
      <c r="A277" s="2">
        <v>43740</v>
      </c>
      <c r="B277" s="3">
        <v>21500167</v>
      </c>
      <c r="C277" s="4">
        <f t="shared" si="35"/>
        <v>1.0204109920066224E-2</v>
      </c>
      <c r="D277" s="3">
        <v>5267540</v>
      </c>
      <c r="E277" s="4">
        <f t="shared" si="36"/>
        <v>-5.7142882713403148E-2</v>
      </c>
      <c r="F277" s="3">
        <v>2085946</v>
      </c>
      <c r="G277" s="4">
        <f t="shared" si="37"/>
        <v>-8.4873791791552897E-2</v>
      </c>
      <c r="H277" s="3">
        <v>1461831</v>
      </c>
      <c r="I277" s="4">
        <f t="shared" si="38"/>
        <v>-0.16331304524012027</v>
      </c>
      <c r="J277" s="3">
        <v>1150753</v>
      </c>
      <c r="K277" s="7">
        <f t="shared" si="32"/>
        <v>5.3522979612204875E-2</v>
      </c>
      <c r="L277" s="7">
        <f t="shared" si="33"/>
        <v>-0.18038878280484005</v>
      </c>
      <c r="M277" s="7">
        <f t="shared" si="34"/>
        <v>1.0204109920066262E-2</v>
      </c>
      <c r="N277" s="7">
        <f t="shared" si="39"/>
        <v>-0.18866770670729816</v>
      </c>
      <c r="O277" s="7">
        <f>('Session Details'!K277-'Session Details'!K270)/'Session Details'!K270</f>
        <v>-6.6666718113825865E-2</v>
      </c>
      <c r="P277" s="7">
        <f>('Session Details'!L277-'Session Details'!L270)/'Session Details'!L270</f>
        <v>-2.9411571032051099E-2</v>
      </c>
      <c r="Q277" s="7">
        <f>('Session Details'!M277-'Session Details'!M270)/'Session Details'!M270</f>
        <v>-8.5714137290558823E-2</v>
      </c>
      <c r="R277" s="7">
        <f>('Session Details'!N277-'Session Details'!N270)/'Session Details'!N270</f>
        <v>-2.0408753199242017E-2</v>
      </c>
    </row>
    <row r="278" spans="1:18" hidden="1" x14ac:dyDescent="0.3">
      <c r="A278" s="2">
        <v>43741</v>
      </c>
      <c r="B278" s="3">
        <v>21282993</v>
      </c>
      <c r="C278" s="4">
        <f t="shared" si="35"/>
        <v>-4.8543689754417522E-2</v>
      </c>
      <c r="D278" s="3">
        <v>5480370</v>
      </c>
      <c r="E278" s="4">
        <f t="shared" si="36"/>
        <v>1.0309251743218849E-2</v>
      </c>
      <c r="F278" s="3">
        <v>2126383</v>
      </c>
      <c r="G278" s="4">
        <f t="shared" si="37"/>
        <v>-3.9216058377670088E-2</v>
      </c>
      <c r="H278" s="3">
        <v>1567782</v>
      </c>
      <c r="I278" s="4">
        <f t="shared" si="38"/>
        <v>-4.8635560976497787E-2</v>
      </c>
      <c r="J278" s="3">
        <v>1311293</v>
      </c>
      <c r="K278" s="7">
        <f t="shared" si="32"/>
        <v>6.161224598438763E-2</v>
      </c>
      <c r="L278" s="7">
        <f t="shared" si="33"/>
        <v>-1.9805813921328408E-2</v>
      </c>
      <c r="M278" s="7">
        <f t="shared" si="34"/>
        <v>-4.8543689754417474E-2</v>
      </c>
      <c r="N278" s="7">
        <f t="shared" si="39"/>
        <v>3.0204094001616832E-2</v>
      </c>
      <c r="O278" s="7">
        <f>('Session Details'!K278-'Session Details'!K271)/'Session Details'!K271</f>
        <v>6.1855642622671472E-2</v>
      </c>
      <c r="P278" s="7">
        <f>('Session Details'!L278-'Session Details'!L271)/'Session Details'!L271</f>
        <v>-4.901995110451219E-2</v>
      </c>
      <c r="Q278" s="7">
        <f>('Session Details'!M278-'Session Details'!M271)/'Session Details'!M271</f>
        <v>-9.8039758896494369E-3</v>
      </c>
      <c r="R278" s="7">
        <f>('Session Details'!N278-'Session Details'!N271)/'Session Details'!N271</f>
        <v>3.0303578599974536E-2</v>
      </c>
    </row>
    <row r="279" spans="1:18" hidden="1" x14ac:dyDescent="0.3">
      <c r="A279" s="2">
        <v>43742</v>
      </c>
      <c r="B279" s="3">
        <v>21065820</v>
      </c>
      <c r="C279" s="4">
        <f t="shared" si="35"/>
        <v>1.041669564536709E-2</v>
      </c>
      <c r="D279" s="3">
        <v>5213790</v>
      </c>
      <c r="E279" s="4">
        <f t="shared" si="36"/>
        <v>3.1250074172296506E-2</v>
      </c>
      <c r="F279" s="3">
        <v>2064661</v>
      </c>
      <c r="G279" s="4">
        <f t="shared" si="37"/>
        <v>5.2512962308751465E-2</v>
      </c>
      <c r="H279" s="3">
        <v>1431842</v>
      </c>
      <c r="I279" s="4">
        <f t="shared" si="38"/>
        <v>-2.9235967793112237E-2</v>
      </c>
      <c r="J279" s="3">
        <v>1127146</v>
      </c>
      <c r="K279" s="7">
        <f t="shared" si="32"/>
        <v>5.3505916218784741E-2</v>
      </c>
      <c r="L279" s="7">
        <f t="shared" si="33"/>
        <v>-5.8652468942478331E-2</v>
      </c>
      <c r="M279" s="7">
        <f t="shared" si="34"/>
        <v>1.0416695645367069E-2</v>
      </c>
      <c r="N279" s="7">
        <f t="shared" si="39"/>
        <v>-6.835710938419326E-2</v>
      </c>
      <c r="O279" s="7">
        <f>('Session Details'!K279-'Session Details'!K272)/'Session Details'!K272</f>
        <v>2.0618600837373276E-2</v>
      </c>
      <c r="P279" s="7">
        <f>('Session Details'!L279-'Session Details'!L272)/'Session Details'!L272</f>
        <v>2.0618556709943524E-2</v>
      </c>
      <c r="Q279" s="7">
        <f>('Session Details'!M279-'Session Details'!M272)/'Session Details'!M272</f>
        <v>-7.7670235929961765E-2</v>
      </c>
      <c r="R279" s="7">
        <f>('Session Details'!N279-'Session Details'!N272)/'Session Details'!N272</f>
        <v>-3.0302421776476348E-2</v>
      </c>
    </row>
    <row r="280" spans="1:18" hidden="1" x14ac:dyDescent="0.3">
      <c r="A280" s="2">
        <v>43743</v>
      </c>
      <c r="B280" s="3">
        <v>46236443</v>
      </c>
      <c r="C280" s="4">
        <f t="shared" si="35"/>
        <v>5.1020419528979788E-2</v>
      </c>
      <c r="D280" s="3">
        <v>9612556</v>
      </c>
      <c r="E280" s="4">
        <f t="shared" si="36"/>
        <v>4.051022319017223E-2</v>
      </c>
      <c r="F280" s="3">
        <v>3235586</v>
      </c>
      <c r="G280" s="4">
        <f t="shared" si="37"/>
        <v>3.0105140837783845E-2</v>
      </c>
      <c r="H280" s="3">
        <v>2178196</v>
      </c>
      <c r="I280" s="4">
        <f t="shared" si="38"/>
        <v>1.9803857583020154E-2</v>
      </c>
      <c r="J280" s="3">
        <v>1648023</v>
      </c>
      <c r="K280" s="7">
        <f t="shared" si="32"/>
        <v>3.5643377670726097E-2</v>
      </c>
      <c r="L280" s="7">
        <f t="shared" si="33"/>
        <v>4.1273140835281552E-2</v>
      </c>
      <c r="M280" s="7">
        <f t="shared" si="34"/>
        <v>5.1020419528979843E-2</v>
      </c>
      <c r="N280" s="7">
        <f t="shared" si="39"/>
        <v>-9.2741097247820425E-3</v>
      </c>
      <c r="O280" s="7">
        <f>('Session Details'!K280-'Session Details'!K273)/'Session Details'!K273</f>
        <v>-9.9999925249004296E-3</v>
      </c>
      <c r="P280" s="7">
        <f>('Session Details'!L280-'Session Details'!L273)/'Session Details'!L273</f>
        <v>-9.99998089445636E-3</v>
      </c>
      <c r="Q280" s="7">
        <f>('Session Details'!M280-'Session Details'!M273)/'Session Details'!M273</f>
        <v>-1.0000225070603698E-2</v>
      </c>
      <c r="R280" s="7">
        <f>('Session Details'!N280-'Session Details'!N273)/'Session Details'!N273</f>
        <v>2.1052365209859567E-2</v>
      </c>
    </row>
    <row r="281" spans="1:18" hidden="1" x14ac:dyDescent="0.3">
      <c r="A281" s="2">
        <v>43744</v>
      </c>
      <c r="B281" s="3">
        <v>43543058</v>
      </c>
      <c r="C281" s="4">
        <f t="shared" si="35"/>
        <v>2.1052631332113016E-2</v>
      </c>
      <c r="D281" s="3">
        <v>9144042</v>
      </c>
      <c r="E281" s="4">
        <f t="shared" si="36"/>
        <v>3.1366294644115972E-2</v>
      </c>
      <c r="F281" s="3">
        <v>3140064</v>
      </c>
      <c r="G281" s="4">
        <f t="shared" si="37"/>
        <v>5.2202241212112276E-2</v>
      </c>
      <c r="H281" s="3">
        <v>2135243</v>
      </c>
      <c r="I281" s="4">
        <f t="shared" si="38"/>
        <v>9.6043553405124993E-2</v>
      </c>
      <c r="J281" s="3">
        <v>1698799</v>
      </c>
      <c r="K281" s="7">
        <f t="shared" si="32"/>
        <v>3.9014232762430233E-2</v>
      </c>
      <c r="L281" s="7">
        <f t="shared" si="33"/>
        <v>8.5402326831010456E-2</v>
      </c>
      <c r="M281" s="7">
        <f t="shared" si="34"/>
        <v>2.1052631332113103E-2</v>
      </c>
      <c r="N281" s="7">
        <f t="shared" si="39"/>
        <v>6.3022897668794764E-2</v>
      </c>
      <c r="O281" s="7">
        <f>('Session Details'!K281-'Session Details'!K274)/'Session Details'!K274</f>
        <v>1.0101010462650906E-2</v>
      </c>
      <c r="P281" s="7">
        <f>('Session Details'!L281-'Session Details'!L274)/'Session Details'!L274</f>
        <v>2.0202276025692734E-2</v>
      </c>
      <c r="Q281" s="7">
        <f>('Session Details'!M281-'Session Details'!M274)/'Session Details'!M274</f>
        <v>4.1666241028443983E-2</v>
      </c>
      <c r="R281" s="7">
        <f>('Session Details'!N281-'Session Details'!N274)/'Session Details'!N274</f>
        <v>-9.7087625223058228E-3</v>
      </c>
    </row>
    <row r="282" spans="1:18" hidden="1" x14ac:dyDescent="0.3">
      <c r="A282" s="2">
        <v>43745</v>
      </c>
      <c r="B282" s="3">
        <v>21500167</v>
      </c>
      <c r="C282" s="4">
        <f t="shared" si="35"/>
        <v>-9.999981581538071E-3</v>
      </c>
      <c r="D282" s="3">
        <v>5643793</v>
      </c>
      <c r="E282" s="4">
        <f t="shared" si="36"/>
        <v>4.9999990697745376E-2</v>
      </c>
      <c r="F282" s="3">
        <v>2234942</v>
      </c>
      <c r="G282" s="4">
        <f t="shared" si="37"/>
        <v>3.9500171161516939E-2</v>
      </c>
      <c r="H282" s="3">
        <v>1631507</v>
      </c>
      <c r="I282" s="4">
        <f t="shared" si="38"/>
        <v>4.9999452960033261E-2</v>
      </c>
      <c r="J282" s="3">
        <v>1377971</v>
      </c>
      <c r="K282" s="7">
        <f t="shared" si="32"/>
        <v>6.4091176594116686E-2</v>
      </c>
      <c r="L282" s="7">
        <f t="shared" si="33"/>
        <v>0.11494806239309452</v>
      </c>
      <c r="M282" s="7">
        <f t="shared" si="34"/>
        <v>-9.9999815815380311E-3</v>
      </c>
      <c r="N282" s="7">
        <f t="shared" si="39"/>
        <v>0.12621014308084444</v>
      </c>
      <c r="O282" s="7">
        <f>('Session Details'!K282-'Session Details'!K275)/'Session Details'!K275</f>
        <v>6.0606031477791415E-2</v>
      </c>
      <c r="P282" s="7">
        <f>('Session Details'!L282-'Session Details'!L275)/'Session Details'!L275</f>
        <v>-9.9998282183327084E-3</v>
      </c>
      <c r="Q282" s="7">
        <f>('Session Details'!M282-'Session Details'!M275)/'Session Details'!M275</f>
        <v>1.0100317527398386E-2</v>
      </c>
      <c r="R282" s="7">
        <f>('Session Details'!N282-'Session Details'!N275)/'Session Details'!N275</f>
        <v>6.1855850733984592E-2</v>
      </c>
    </row>
    <row r="283" spans="1:18" hidden="1" x14ac:dyDescent="0.3">
      <c r="A283" s="2">
        <v>43746</v>
      </c>
      <c r="B283" s="3">
        <v>22368860</v>
      </c>
      <c r="C283" s="4">
        <f t="shared" si="35"/>
        <v>1.9801989677181345E-2</v>
      </c>
      <c r="D283" s="3">
        <v>5536293</v>
      </c>
      <c r="E283" s="4">
        <f t="shared" si="36"/>
        <v>4.0828941785284366E-2</v>
      </c>
      <c r="F283" s="3">
        <v>2303097</v>
      </c>
      <c r="G283" s="4">
        <f t="shared" si="37"/>
        <v>0.10455308010094509</v>
      </c>
      <c r="H283" s="3">
        <v>1630823</v>
      </c>
      <c r="I283" s="4">
        <f t="shared" si="38"/>
        <v>0.10455313572035721</v>
      </c>
      <c r="J283" s="3">
        <v>1270411</v>
      </c>
      <c r="K283" s="7">
        <f t="shared" si="32"/>
        <v>5.6793730212447123E-2</v>
      </c>
      <c r="L283" s="7">
        <f t="shared" si="33"/>
        <v>8.1779027429128126E-2</v>
      </c>
      <c r="M283" s="7">
        <f t="shared" si="34"/>
        <v>1.9801989677181275E-2</v>
      </c>
      <c r="N283" s="7">
        <f t="shared" si="39"/>
        <v>6.077359956079853E-2</v>
      </c>
      <c r="O283" s="7">
        <f>('Session Details'!K283-'Session Details'!K276)/'Session Details'!K276</f>
        <v>2.0618661584254287E-2</v>
      </c>
      <c r="P283" s="7">
        <f>('Session Details'!L283-'Session Details'!L276)/'Session Details'!L276</f>
        <v>6.1224410426517953E-2</v>
      </c>
      <c r="Q283" s="7">
        <f>('Session Details'!M283-'Session Details'!M276)/'Session Details'!M276</f>
        <v>5.0354675685919229E-8</v>
      </c>
      <c r="R283" s="7">
        <f>('Session Details'!N283-'Session Details'!N276)/'Session Details'!N276</f>
        <v>-2.0618390872048486E-2</v>
      </c>
    </row>
    <row r="284" spans="1:18" x14ac:dyDescent="0.3">
      <c r="A284" s="11">
        <v>43747</v>
      </c>
      <c r="B284" s="12">
        <v>20631473</v>
      </c>
      <c r="C284" s="4">
        <f t="shared" si="35"/>
        <v>-4.0404058256849819E-2</v>
      </c>
      <c r="D284" s="12">
        <v>5415761</v>
      </c>
      <c r="E284" s="4">
        <f t="shared" si="36"/>
        <v>2.8138561833417498E-2</v>
      </c>
      <c r="F284" s="12">
        <v>2166304</v>
      </c>
      <c r="G284" s="4">
        <f t="shared" si="37"/>
        <v>3.8523528413487211E-2</v>
      </c>
      <c r="H284" s="12">
        <v>1660472</v>
      </c>
      <c r="I284" s="4">
        <f t="shared" si="38"/>
        <v>0.13588506468942033</v>
      </c>
      <c r="J284" s="12">
        <v>1402435</v>
      </c>
      <c r="K284" s="13">
        <f t="shared" si="32"/>
        <v>6.7975514884468013E-2</v>
      </c>
      <c r="L284" s="13">
        <f t="shared" si="33"/>
        <v>0.21871070507745793</v>
      </c>
      <c r="M284" s="13">
        <f t="shared" si="34"/>
        <v>-4.0404058256849784E-2</v>
      </c>
      <c r="N284" s="13">
        <f t="shared" si="39"/>
        <v>0.27002486365627365</v>
      </c>
      <c r="O284" s="7">
        <f>('Session Details'!K284-'Session Details'!K277)/'Session Details'!K277</f>
        <v>7.1428626475593962E-2</v>
      </c>
      <c r="P284" s="7">
        <f>('Session Details'!L284-'Session Details'!L277)/'Session Details'!L277</f>
        <v>1.010074611105987E-2</v>
      </c>
      <c r="Q284" s="7">
        <f>('Session Details'!M284-'Session Details'!M277)/'Session Details'!M277</f>
        <v>9.3749957138350631E-2</v>
      </c>
      <c r="R284" s="7">
        <f>('Session Details'!N284-'Session Details'!N277)/'Session Details'!N277</f>
        <v>7.2917272145561887E-2</v>
      </c>
    </row>
    <row r="285" spans="1:18" hidden="1" x14ac:dyDescent="0.3">
      <c r="A285" s="2">
        <v>43748</v>
      </c>
      <c r="B285" s="3">
        <v>21282993</v>
      </c>
      <c r="C285" s="4">
        <f t="shared" si="35"/>
        <v>0</v>
      </c>
      <c r="D285" s="3">
        <v>5267540</v>
      </c>
      <c r="E285" s="4">
        <f t="shared" si="36"/>
        <v>-3.8834969171789496E-2</v>
      </c>
      <c r="F285" s="3">
        <v>2022735</v>
      </c>
      <c r="G285" s="4">
        <f t="shared" si="37"/>
        <v>-4.8743805796039569E-2</v>
      </c>
      <c r="H285" s="3">
        <v>1402767</v>
      </c>
      <c r="I285" s="4">
        <f t="shared" si="38"/>
        <v>-0.10525379166236122</v>
      </c>
      <c r="J285" s="3">
        <v>1127263</v>
      </c>
      <c r="K285" s="7">
        <f t="shared" si="32"/>
        <v>5.2965435829443727E-2</v>
      </c>
      <c r="L285" s="7">
        <f t="shared" si="33"/>
        <v>-0.14034239487284683</v>
      </c>
      <c r="M285" s="7">
        <f t="shared" si="34"/>
        <v>0</v>
      </c>
      <c r="N285" s="7">
        <f t="shared" si="39"/>
        <v>-0.14034239487284683</v>
      </c>
      <c r="O285" s="7">
        <f>('Session Details'!K285-'Session Details'!K278)/'Session Details'!K278</f>
        <v>-3.8834969171789531E-2</v>
      </c>
      <c r="P285" s="7">
        <f>('Session Details'!L285-'Session Details'!L278)/'Session Details'!L278</f>
        <v>-1.0309193849584761E-2</v>
      </c>
      <c r="Q285" s="7">
        <f>('Session Details'!M285-'Session Details'!M278)/'Session Details'!M278</f>
        <v>-5.9405642991487699E-2</v>
      </c>
      <c r="R285" s="7">
        <f>('Session Details'!N285-'Session Details'!N278)/'Session Details'!N278</f>
        <v>-3.9216263655005884E-2</v>
      </c>
    </row>
    <row r="286" spans="1:18" hidden="1" x14ac:dyDescent="0.3">
      <c r="A286" s="2">
        <v>43749</v>
      </c>
      <c r="B286" s="3">
        <v>21282993</v>
      </c>
      <c r="C286" s="4">
        <f t="shared" si="35"/>
        <v>1.0309259264533733E-2</v>
      </c>
      <c r="D286" s="3">
        <v>5267540</v>
      </c>
      <c r="E286" s="4">
        <f t="shared" si="36"/>
        <v>1.0309199258121252E-2</v>
      </c>
      <c r="F286" s="3">
        <v>2043805</v>
      </c>
      <c r="G286" s="4">
        <f t="shared" si="37"/>
        <v>-1.0101416164687569E-2</v>
      </c>
      <c r="H286" s="3">
        <v>1536737</v>
      </c>
      <c r="I286" s="4">
        <f t="shared" si="38"/>
        <v>7.3258781345986498E-2</v>
      </c>
      <c r="J286" s="3">
        <v>1234922</v>
      </c>
      <c r="K286" s="7">
        <f t="shared" si="32"/>
        <v>5.8023887899601341E-2</v>
      </c>
      <c r="L286" s="7">
        <f t="shared" si="33"/>
        <v>9.5618491304586994E-2</v>
      </c>
      <c r="M286" s="7">
        <f t="shared" si="34"/>
        <v>1.0309259264533743E-2</v>
      </c>
      <c r="N286" s="7">
        <f t="shared" si="39"/>
        <v>8.443873126744883E-2</v>
      </c>
      <c r="O286" s="7">
        <f>('Session Details'!K286-'Session Details'!K279)/'Session Details'!K279</f>
        <v>-5.939410329570644E-8</v>
      </c>
      <c r="P286" s="7">
        <f>('Session Details'!L286-'Session Details'!L279)/'Session Details'!L279</f>
        <v>-2.0202345418408967E-2</v>
      </c>
      <c r="Q286" s="7">
        <f>('Session Details'!M286-'Session Details'!M279)/'Session Details'!M279</f>
        <v>8.4210846314881252E-2</v>
      </c>
      <c r="R286" s="7">
        <f>('Session Details'!N286-'Session Details'!N279)/'Session Details'!N279</f>
        <v>2.0833474971021334E-2</v>
      </c>
    </row>
    <row r="287" spans="1:18" hidden="1" x14ac:dyDescent="0.3">
      <c r="A287" s="2">
        <v>43750</v>
      </c>
      <c r="B287" s="3">
        <v>45338648</v>
      </c>
      <c r="C287" s="4">
        <f t="shared" si="35"/>
        <v>-1.9417475518175131E-2</v>
      </c>
      <c r="D287" s="3">
        <v>9045060</v>
      </c>
      <c r="E287" s="4">
        <f t="shared" si="36"/>
        <v>-5.9036951254172146E-2</v>
      </c>
      <c r="F287" s="3">
        <v>2983060</v>
      </c>
      <c r="G287" s="4">
        <f t="shared" si="37"/>
        <v>-7.8046449700301584E-2</v>
      </c>
      <c r="H287" s="3">
        <v>2028481</v>
      </c>
      <c r="I287" s="4">
        <f t="shared" si="38"/>
        <v>-6.8733484039085552E-2</v>
      </c>
      <c r="J287" s="3">
        <v>1645504</v>
      </c>
      <c r="K287" s="7">
        <f t="shared" si="32"/>
        <v>3.6293627458851445E-2</v>
      </c>
      <c r="L287" s="7">
        <f t="shared" si="33"/>
        <v>-1.5284980852815488E-3</v>
      </c>
      <c r="M287" s="7">
        <f t="shared" si="34"/>
        <v>-1.9417475518175187E-2</v>
      </c>
      <c r="N287" s="7">
        <f t="shared" si="39"/>
        <v>1.824321460587619E-2</v>
      </c>
      <c r="O287" s="7">
        <f>('Session Details'!K287-'Session Details'!K280)/'Session Details'!K280</f>
        <v>-4.0404019801325089E-2</v>
      </c>
      <c r="P287" s="7">
        <f>('Session Details'!L287-'Session Details'!L280)/'Session Details'!L280</f>
        <v>-2.020217315809222E-2</v>
      </c>
      <c r="Q287" s="7">
        <f>('Session Details'!M287-'Session Details'!M280)/'Session Details'!M280</f>
        <v>1.0101339333406418E-2</v>
      </c>
      <c r="R287" s="7">
        <f>('Session Details'!N287-'Session Details'!N280)/'Session Details'!N280</f>
        <v>7.216514800219069E-2</v>
      </c>
    </row>
    <row r="288" spans="1:18" hidden="1" x14ac:dyDescent="0.3">
      <c r="A288" s="2">
        <v>43751</v>
      </c>
      <c r="B288" s="3">
        <v>43543058</v>
      </c>
      <c r="C288" s="4">
        <f t="shared" si="35"/>
        <v>0</v>
      </c>
      <c r="D288" s="3">
        <v>9509803</v>
      </c>
      <c r="E288" s="4">
        <f t="shared" si="36"/>
        <v>3.9999925634637286E-2</v>
      </c>
      <c r="F288" s="3">
        <v>3104000</v>
      </c>
      <c r="G288" s="4">
        <f t="shared" si="37"/>
        <v>-1.1485116226930407E-2</v>
      </c>
      <c r="H288" s="3">
        <v>2089612</v>
      </c>
      <c r="I288" s="4">
        <f t="shared" si="38"/>
        <v>-2.1370401401620331E-2</v>
      </c>
      <c r="J288" s="3">
        <v>1678794</v>
      </c>
      <c r="K288" s="7">
        <f t="shared" si="32"/>
        <v>3.8554802467020116E-2</v>
      </c>
      <c r="L288" s="7">
        <f t="shared" si="33"/>
        <v>-1.1775966432756357E-2</v>
      </c>
      <c r="M288" s="7">
        <f t="shared" si="34"/>
        <v>0</v>
      </c>
      <c r="N288" s="7">
        <f t="shared" si="39"/>
        <v>-1.1775966432756246E-2</v>
      </c>
      <c r="O288" s="7">
        <f>('Session Details'!K288-'Session Details'!K281)/'Session Details'!K281</f>
        <v>3.9999925634637286E-2</v>
      </c>
      <c r="P288" s="7">
        <f>('Session Details'!L288-'Session Details'!L281)/'Session Details'!L281</f>
        <v>-4.9504851483667296E-2</v>
      </c>
      <c r="Q288" s="7">
        <f>('Session Details'!M288-'Session Details'!M281)/'Session Details'!M281</f>
        <v>-1.000013792099797E-2</v>
      </c>
      <c r="R288" s="7">
        <f>('Session Details'!N288-'Session Details'!N281)/'Session Details'!N281</f>
        <v>9.8039493007420504E-3</v>
      </c>
    </row>
    <row r="289" spans="1:18" hidden="1" x14ac:dyDescent="0.3">
      <c r="A289" s="2">
        <v>43752</v>
      </c>
      <c r="B289" s="3">
        <v>20848646</v>
      </c>
      <c r="C289" s="4">
        <f t="shared" si="35"/>
        <v>-3.0303066948270681E-2</v>
      </c>
      <c r="D289" s="3">
        <v>5107918</v>
      </c>
      <c r="E289" s="4">
        <f t="shared" si="36"/>
        <v>-9.4949442688631563E-2</v>
      </c>
      <c r="F289" s="3">
        <v>1981872</v>
      </c>
      <c r="G289" s="4">
        <f t="shared" si="37"/>
        <v>-0.11323336355037401</v>
      </c>
      <c r="H289" s="3">
        <v>1403363</v>
      </c>
      <c r="I289" s="4">
        <f t="shared" si="38"/>
        <v>-0.13983635988077281</v>
      </c>
      <c r="J289" s="3">
        <v>1104728</v>
      </c>
      <c r="K289" s="7">
        <f t="shared" si="32"/>
        <v>5.2987997398008482E-2</v>
      </c>
      <c r="L289" s="7">
        <f t="shared" si="33"/>
        <v>-0.19829372316253391</v>
      </c>
      <c r="M289" s="7">
        <f t="shared" si="34"/>
        <v>-3.0303066948270674E-2</v>
      </c>
      <c r="N289" s="7">
        <f t="shared" si="39"/>
        <v>-0.17324037076778254</v>
      </c>
      <c r="O289" s="7">
        <f>('Session Details'!K289-'Session Details'!K282)/'Session Details'!K282</f>
        <v>-6.6666577501604013E-2</v>
      </c>
      <c r="P289" s="7">
        <f>('Session Details'!L289-'Session Details'!L282)/'Session Details'!L282</f>
        <v>-2.0202098892749765E-2</v>
      </c>
      <c r="Q289" s="7">
        <f>('Session Details'!M289-'Session Details'!M282)/'Session Details'!M282</f>
        <v>-2.9999996884084414E-2</v>
      </c>
      <c r="R289" s="7">
        <f>('Session Details'!N289-'Session Details'!N282)/'Session Details'!N282</f>
        <v>-6.7960746717517964E-2</v>
      </c>
    </row>
    <row r="290" spans="1:18" hidden="1" x14ac:dyDescent="0.3">
      <c r="A290" s="2">
        <v>43753</v>
      </c>
      <c r="B290" s="3">
        <v>21934513</v>
      </c>
      <c r="C290" s="4">
        <f t="shared" si="35"/>
        <v>-1.9417484842768028E-2</v>
      </c>
      <c r="D290" s="3">
        <v>5209447</v>
      </c>
      <c r="E290" s="4">
        <f t="shared" si="36"/>
        <v>-5.9036976547303402E-2</v>
      </c>
      <c r="F290" s="3">
        <v>2000427</v>
      </c>
      <c r="G290" s="4">
        <f t="shared" si="37"/>
        <v>-0.1314186940454527</v>
      </c>
      <c r="H290" s="3">
        <v>1416502</v>
      </c>
      <c r="I290" s="4">
        <f t="shared" si="38"/>
        <v>-0.13141892161197138</v>
      </c>
      <c r="J290" s="3">
        <v>1126686</v>
      </c>
      <c r="K290" s="7">
        <f t="shared" si="32"/>
        <v>5.1365899940427215E-2</v>
      </c>
      <c r="L290" s="7">
        <f t="shared" si="33"/>
        <v>-0.11313267910935909</v>
      </c>
      <c r="M290" s="7">
        <f t="shared" si="34"/>
        <v>-1.9417484842768062E-2</v>
      </c>
      <c r="N290" s="7">
        <f t="shared" si="39"/>
        <v>-9.557094157605317E-2</v>
      </c>
      <c r="O290" s="7">
        <f>('Session Details'!K290-'Session Details'!K283)/'Session Details'!K283</f>
        <v>-4.0404036470283684E-2</v>
      </c>
      <c r="P290" s="7">
        <f>('Session Details'!L290-'Session Details'!L283)/'Session Details'!L283</f>
        <v>-7.6923020027458044E-2</v>
      </c>
      <c r="Q290" s="7">
        <f>('Session Details'!M290-'Session Details'!M283)/'Session Details'!M283</f>
        <v>-2.6199794665491794E-7</v>
      </c>
      <c r="R290" s="7">
        <f>('Session Details'!N290-'Session Details'!N283)/'Session Details'!N283</f>
        <v>2.1053005824797778E-2</v>
      </c>
    </row>
    <row r="291" spans="1:18" hidden="1" x14ac:dyDescent="0.3">
      <c r="A291" s="2">
        <v>43754</v>
      </c>
      <c r="B291" s="3">
        <v>20631473</v>
      </c>
      <c r="C291" s="4">
        <f t="shared" si="35"/>
        <v>0</v>
      </c>
      <c r="D291" s="3">
        <v>5364183</v>
      </c>
      <c r="E291" s="4">
        <f t="shared" si="36"/>
        <v>-9.523684667768758E-3</v>
      </c>
      <c r="F291" s="3">
        <v>2252956</v>
      </c>
      <c r="G291" s="4">
        <f t="shared" si="37"/>
        <v>3.9999926141483372E-2</v>
      </c>
      <c r="H291" s="3">
        <v>1644658</v>
      </c>
      <c r="I291" s="4">
        <f t="shared" si="38"/>
        <v>-9.5237980526019107E-3</v>
      </c>
      <c r="J291" s="3">
        <v>1308161</v>
      </c>
      <c r="K291" s="7">
        <f t="shared" si="32"/>
        <v>6.3406088358305773E-2</v>
      </c>
      <c r="L291" s="7">
        <f t="shared" si="33"/>
        <v>-6.7221653766484701E-2</v>
      </c>
      <c r="M291" s="7">
        <f t="shared" si="34"/>
        <v>0</v>
      </c>
      <c r="N291" s="7">
        <f t="shared" si="39"/>
        <v>-6.7221653766484812E-2</v>
      </c>
      <c r="O291" s="7">
        <f>('Session Details'!K291-'Session Details'!K284)/'Session Details'!K284</f>
        <v>-9.5236846677686851E-3</v>
      </c>
      <c r="P291" s="7">
        <f>('Session Details'!L291-'Session Details'!L284)/'Session Details'!L284</f>
        <v>4.9999793071922871E-2</v>
      </c>
      <c r="Q291" s="7">
        <f>('Session Details'!M291-'Session Details'!M284)/'Session Details'!M284</f>
        <v>-4.7618968953030465E-2</v>
      </c>
      <c r="R291" s="7">
        <f>('Session Details'!N291-'Session Details'!N284)/'Session Details'!N284</f>
        <v>-5.8252642113401379E-2</v>
      </c>
    </row>
    <row r="292" spans="1:18" hidden="1" x14ac:dyDescent="0.3">
      <c r="A292" s="2">
        <v>43755</v>
      </c>
      <c r="B292" s="3">
        <v>22151687</v>
      </c>
      <c r="C292" s="4">
        <f t="shared" si="35"/>
        <v>4.0816345708519476E-2</v>
      </c>
      <c r="D292" s="3">
        <v>5648680</v>
      </c>
      <c r="E292" s="4">
        <f t="shared" si="36"/>
        <v>7.2356356097912883E-2</v>
      </c>
      <c r="F292" s="3">
        <v>2146498</v>
      </c>
      <c r="G292" s="4">
        <f t="shared" si="37"/>
        <v>6.1185968503041671E-2</v>
      </c>
      <c r="H292" s="3">
        <v>1504266</v>
      </c>
      <c r="I292" s="4">
        <f t="shared" si="38"/>
        <v>7.2356278697745247E-2</v>
      </c>
      <c r="J292" s="3">
        <v>1196493</v>
      </c>
      <c r="K292" s="7">
        <f t="shared" si="32"/>
        <v>5.4013628849125576E-2</v>
      </c>
      <c r="L292" s="7">
        <f t="shared" si="33"/>
        <v>6.1414239622874067E-2</v>
      </c>
      <c r="M292" s="7">
        <f t="shared" si="34"/>
        <v>4.0816345708519552E-2</v>
      </c>
      <c r="N292" s="7">
        <f t="shared" si="39"/>
        <v>1.9790133004043975E-2</v>
      </c>
      <c r="O292" s="7">
        <f>('Session Details'!K292-'Session Details'!K285)/'Session Details'!K285</f>
        <v>3.0303146678507344E-2</v>
      </c>
      <c r="P292" s="7">
        <f>('Session Details'!L292-'Session Details'!L285)/'Session Details'!L285</f>
        <v>-1.0416674952641649E-2</v>
      </c>
      <c r="Q292" s="7">
        <f>('Session Details'!M292-'Session Details'!M285)/'Session Details'!M285</f>
        <v>1.0526251313387658E-2</v>
      </c>
      <c r="R292" s="7">
        <f>('Session Details'!N292-'Session Details'!N285)/'Session Details'!N285</f>
        <v>-1.0203734796199383E-2</v>
      </c>
    </row>
    <row r="293" spans="1:18" hidden="1" x14ac:dyDescent="0.3">
      <c r="A293" s="2">
        <v>43756</v>
      </c>
      <c r="B293" s="3">
        <v>20848646</v>
      </c>
      <c r="C293" s="4">
        <f t="shared" si="35"/>
        <v>-2.0408172854259738E-2</v>
      </c>
      <c r="D293" s="3">
        <v>5316404</v>
      </c>
      <c r="E293" s="4">
        <f t="shared" si="36"/>
        <v>9.2764364390208708E-3</v>
      </c>
      <c r="F293" s="3">
        <v>2190358</v>
      </c>
      <c r="G293" s="4">
        <f t="shared" si="37"/>
        <v>7.1705960206575478E-2</v>
      </c>
      <c r="H293" s="3">
        <v>1566982</v>
      </c>
      <c r="I293" s="4">
        <f t="shared" si="38"/>
        <v>1.9681311766424573E-2</v>
      </c>
      <c r="J293" s="3">
        <v>1323473</v>
      </c>
      <c r="K293" s="7">
        <f t="shared" si="32"/>
        <v>6.3480045658600562E-2</v>
      </c>
      <c r="L293" s="7">
        <f t="shared" si="33"/>
        <v>7.1705743358689844E-2</v>
      </c>
      <c r="M293" s="7">
        <f t="shared" si="34"/>
        <v>-2.0408172854259776E-2</v>
      </c>
      <c r="N293" s="7">
        <f t="shared" si="39"/>
        <v>9.4032957054515309E-2</v>
      </c>
      <c r="O293" s="7">
        <f>('Session Details'!K293-'Session Details'!K286)/'Session Details'!K286</f>
        <v>3.0303038950185237E-2</v>
      </c>
      <c r="P293" s="7">
        <f>('Session Details'!L293-'Session Details'!L286)/'Session Details'!L286</f>
        <v>6.1855723083976355E-2</v>
      </c>
      <c r="Q293" s="7">
        <f>('Session Details'!M293-'Session Details'!M286)/'Session Details'!M286</f>
        <v>-4.8543770746710242E-2</v>
      </c>
      <c r="R293" s="7">
        <f>('Session Details'!N293-'Session Details'!N286)/'Session Details'!N286</f>
        <v>5.1020285447952056E-2</v>
      </c>
    </row>
    <row r="294" spans="1:18" hidden="1" x14ac:dyDescent="0.3">
      <c r="A294" s="2">
        <v>43757</v>
      </c>
      <c r="B294" s="3">
        <v>46236443</v>
      </c>
      <c r="C294" s="4">
        <f t="shared" si="35"/>
        <v>1.9801979979641209E-2</v>
      </c>
      <c r="D294" s="3">
        <v>9418363</v>
      </c>
      <c r="E294" s="4">
        <f t="shared" si="36"/>
        <v>4.1271478575045387E-2</v>
      </c>
      <c r="F294" s="3">
        <v>3202243</v>
      </c>
      <c r="G294" s="4">
        <f t="shared" si="37"/>
        <v>7.3475893880780144E-2</v>
      </c>
      <c r="H294" s="3">
        <v>2221076</v>
      </c>
      <c r="I294" s="4">
        <f t="shared" si="38"/>
        <v>9.4945429609643861E-2</v>
      </c>
      <c r="J294" s="3">
        <v>1697790</v>
      </c>
      <c r="K294" s="7">
        <f t="shared" si="32"/>
        <v>3.671973642090072E-2</v>
      </c>
      <c r="L294" s="7">
        <f t="shared" si="33"/>
        <v>3.177506709190614E-2</v>
      </c>
      <c r="M294" s="7">
        <f t="shared" si="34"/>
        <v>1.9801979979641171E-2</v>
      </c>
      <c r="N294" s="7">
        <f t="shared" si="39"/>
        <v>1.1740599986385547E-2</v>
      </c>
      <c r="O294" s="7">
        <f>('Session Details'!K294-'Session Details'!K287)/'Session Details'!K287</f>
        <v>2.1052615132040445E-2</v>
      </c>
      <c r="P294" s="7">
        <f>('Session Details'!L294-'Session Details'!L287)/'Session Details'!L287</f>
        <v>3.0927972165151172E-2</v>
      </c>
      <c r="Q294" s="7">
        <f>('Session Details'!M294-'Session Details'!M287)/'Session Details'!M287</f>
        <v>2.0000016629388905E-2</v>
      </c>
      <c r="R294" s="7">
        <f>('Session Details'!N294-'Session Details'!N287)/'Session Details'!N287</f>
        <v>-5.7692703955354467E-2</v>
      </c>
    </row>
    <row r="295" spans="1:18" hidden="1" x14ac:dyDescent="0.3">
      <c r="A295" s="2">
        <v>43758</v>
      </c>
      <c r="B295" s="3">
        <v>43094160</v>
      </c>
      <c r="C295" s="4">
        <f t="shared" si="35"/>
        <v>-1.0309289715021853E-2</v>
      </c>
      <c r="D295" s="3">
        <v>9140271</v>
      </c>
      <c r="E295" s="4">
        <f t="shared" si="36"/>
        <v>-3.8858007889332725E-2</v>
      </c>
      <c r="F295" s="3">
        <v>3169846</v>
      </c>
      <c r="G295" s="4">
        <f t="shared" si="37"/>
        <v>2.1213273195876289E-2</v>
      </c>
      <c r="H295" s="3">
        <v>2069275</v>
      </c>
      <c r="I295" s="4">
        <f t="shared" si="38"/>
        <v>-9.7324287953935943E-3</v>
      </c>
      <c r="J295" s="3">
        <v>1694736</v>
      </c>
      <c r="K295" s="7">
        <f t="shared" si="32"/>
        <v>3.9326349556413211E-2</v>
      </c>
      <c r="L295" s="7">
        <f t="shared" si="33"/>
        <v>9.4961025593371939E-3</v>
      </c>
      <c r="M295" s="7">
        <f t="shared" si="34"/>
        <v>-1.0309289715021874E-2</v>
      </c>
      <c r="N295" s="7">
        <f t="shared" si="39"/>
        <v>2.0011698673675582E-2</v>
      </c>
      <c r="O295" s="7">
        <f>('Session Details'!K295-'Session Details'!K288)/'Session Details'!K288</f>
        <v>-2.8846100986529784E-2</v>
      </c>
      <c r="P295" s="7">
        <f>('Session Details'!L295-'Session Details'!L288)/'Session Details'!L288</f>
        <v>6.249990280134634E-2</v>
      </c>
      <c r="Q295" s="7">
        <f>('Session Details'!M295-'Session Details'!M288)/'Session Details'!M288</f>
        <v>-3.0302878745813461E-2</v>
      </c>
      <c r="R295" s="7">
        <f>('Session Details'!N295-'Session Details'!N288)/'Session Details'!N288</f>
        <v>1.9417510896918837E-2</v>
      </c>
    </row>
    <row r="296" spans="1:18" x14ac:dyDescent="0.3">
      <c r="A296" s="11">
        <v>43759</v>
      </c>
      <c r="B296" s="12">
        <v>22803207</v>
      </c>
      <c r="C296" s="4">
        <f t="shared" si="35"/>
        <v>9.3750020984576174E-2</v>
      </c>
      <c r="D296" s="12">
        <v>5700801</v>
      </c>
      <c r="E296" s="4">
        <f t="shared" si="36"/>
        <v>0.11607136214794364</v>
      </c>
      <c r="F296" s="12">
        <v>2371533</v>
      </c>
      <c r="G296" s="4">
        <f t="shared" si="37"/>
        <v>0.19661259657535907</v>
      </c>
      <c r="H296" s="12">
        <v>1748531</v>
      </c>
      <c r="I296" s="4">
        <f t="shared" si="38"/>
        <v>0.24595774578637175</v>
      </c>
      <c r="J296" s="12">
        <v>1462471</v>
      </c>
      <c r="K296" s="13">
        <f t="shared" si="32"/>
        <v>6.4134443896422116E-2</v>
      </c>
      <c r="L296" s="13">
        <f t="shared" si="33"/>
        <v>0.32382903302894461</v>
      </c>
      <c r="M296" s="13">
        <f t="shared" si="34"/>
        <v>9.3750020984576077E-2</v>
      </c>
      <c r="N296" s="13">
        <f t="shared" si="39"/>
        <v>0.21035794983323086</v>
      </c>
      <c r="O296" s="7">
        <f>('Session Details'!K296-'Session Details'!K289)/'Session Details'!K289</f>
        <v>2.0408082957817226E-2</v>
      </c>
      <c r="P296" s="7">
        <f>('Session Details'!L296-'Session Details'!L289)/'Session Details'!L289</f>
        <v>7.2164950341893158E-2</v>
      </c>
      <c r="Q296" s="7">
        <f>('Session Details'!M296-'Session Details'!M289)/'Session Details'!M289</f>
        <v>4.1237363999205724E-2</v>
      </c>
      <c r="R296" s="7">
        <f>('Session Details'!N296-'Session Details'!N289)/'Session Details'!N289</f>
        <v>6.2499139722772309E-2</v>
      </c>
    </row>
    <row r="297" spans="1:18" hidden="1" x14ac:dyDescent="0.3">
      <c r="A297" s="2">
        <v>43760</v>
      </c>
      <c r="B297" s="3">
        <v>21717340</v>
      </c>
      <c r="C297" s="4">
        <f t="shared" si="35"/>
        <v>-9.9009720434641065E-3</v>
      </c>
      <c r="D297" s="3">
        <v>5429335</v>
      </c>
      <c r="E297" s="4">
        <f t="shared" si="36"/>
        <v>4.2209470602157961E-2</v>
      </c>
      <c r="F297" s="3">
        <v>2106582</v>
      </c>
      <c r="G297" s="4">
        <f t="shared" si="37"/>
        <v>5.3066170372625447E-2</v>
      </c>
      <c r="H297" s="3">
        <v>1568560</v>
      </c>
      <c r="I297" s="4">
        <f t="shared" si="38"/>
        <v>0.1073475363959952</v>
      </c>
      <c r="J297" s="3">
        <v>1350531</v>
      </c>
      <c r="K297" s="7">
        <f t="shared" si="32"/>
        <v>6.2186759520272743E-2</v>
      </c>
      <c r="L297" s="7">
        <f t="shared" si="33"/>
        <v>0.19867558485682779</v>
      </c>
      <c r="M297" s="7">
        <f t="shared" si="34"/>
        <v>-9.9009720434640736E-3</v>
      </c>
      <c r="N297" s="7">
        <f t="shared" si="39"/>
        <v>0.21066231862763574</v>
      </c>
      <c r="O297" s="7">
        <f>('Session Details'!K297-'Session Details'!K290)/'Session Details'!K290</f>
        <v>5.2631546112284031E-2</v>
      </c>
      <c r="P297" s="7">
        <f>('Session Details'!L297-'Session Details'!L290)/'Session Details'!L290</f>
        <v>1.041700356473896E-2</v>
      </c>
      <c r="Q297" s="7">
        <f>('Session Details'!M297-'Session Details'!M290)/'Session Details'!M290</f>
        <v>5.1546016338329829E-2</v>
      </c>
      <c r="R297" s="7">
        <f>('Session Details'!N297-'Session Details'!N290)/'Session Details'!N290</f>
        <v>8.247460301223189E-2</v>
      </c>
    </row>
    <row r="298" spans="1:18" hidden="1" x14ac:dyDescent="0.3">
      <c r="A298" s="2">
        <v>43761</v>
      </c>
      <c r="B298" s="3">
        <v>21717340</v>
      </c>
      <c r="C298" s="4">
        <f t="shared" si="35"/>
        <v>5.2631578947368418E-2</v>
      </c>
      <c r="D298" s="3">
        <v>5320748</v>
      </c>
      <c r="E298" s="4">
        <f t="shared" si="36"/>
        <v>-8.0972256166502894E-3</v>
      </c>
      <c r="F298" s="3">
        <v>2085733</v>
      </c>
      <c r="G298" s="4">
        <f t="shared" si="37"/>
        <v>-7.4223819728392385E-2</v>
      </c>
      <c r="H298" s="3">
        <v>1568262</v>
      </c>
      <c r="I298" s="4">
        <f t="shared" si="38"/>
        <v>-4.6450994674880737E-2</v>
      </c>
      <c r="J298" s="3">
        <v>1324554</v>
      </c>
      <c r="K298" s="7">
        <f t="shared" si="32"/>
        <v>6.0990618556416208E-2</v>
      </c>
      <c r="L298" s="7">
        <f t="shared" si="33"/>
        <v>1.2531332152540875E-2</v>
      </c>
      <c r="M298" s="7">
        <f t="shared" si="34"/>
        <v>5.2631578947368363E-2</v>
      </c>
      <c r="N298" s="7">
        <f t="shared" si="39"/>
        <v>-3.8095234455086113E-2</v>
      </c>
      <c r="O298" s="7">
        <f>('Session Details'!K298-'Session Details'!K291)/'Session Details'!K291</f>
        <v>-5.7692364335817856E-2</v>
      </c>
      <c r="P298" s="7">
        <f>('Session Details'!L298-'Session Details'!L291)/'Session Details'!L291</f>
        <v>-6.6666407050682927E-2</v>
      </c>
      <c r="Q298" s="7">
        <f>('Session Details'!M298-'Session Details'!M291)/'Session Details'!M291</f>
        <v>2.9999502736572415E-2</v>
      </c>
      <c r="R298" s="7">
        <f>('Session Details'!N298-'Session Details'!N291)/'Session Details'!N291</f>
        <v>6.1855580046786533E-2</v>
      </c>
    </row>
    <row r="299" spans="1:18" hidden="1" x14ac:dyDescent="0.3">
      <c r="A299" s="2">
        <v>43762</v>
      </c>
      <c r="B299" s="3">
        <v>21065820</v>
      </c>
      <c r="C299" s="4">
        <f t="shared" si="35"/>
        <v>-4.9019607400555991E-2</v>
      </c>
      <c r="D299" s="3">
        <v>5319119</v>
      </c>
      <c r="E299" s="4">
        <f t="shared" si="36"/>
        <v>-5.8343011110560346E-2</v>
      </c>
      <c r="F299" s="3">
        <v>2234030</v>
      </c>
      <c r="G299" s="4">
        <f t="shared" si="37"/>
        <v>4.0778980460265978E-2</v>
      </c>
      <c r="H299" s="3">
        <v>1663458</v>
      </c>
      <c r="I299" s="4">
        <f t="shared" si="38"/>
        <v>0.1058270279325598</v>
      </c>
      <c r="J299" s="3">
        <v>1309474</v>
      </c>
      <c r="K299" s="7">
        <f t="shared" si="32"/>
        <v>6.2161074195070498E-2</v>
      </c>
      <c r="L299" s="7">
        <f t="shared" si="33"/>
        <v>9.4426795643601791E-2</v>
      </c>
      <c r="M299" s="7">
        <f t="shared" si="34"/>
        <v>-4.9019607400555998E-2</v>
      </c>
      <c r="N299" s="7">
        <f t="shared" si="39"/>
        <v>0.15084054746076969</v>
      </c>
      <c r="O299" s="7">
        <f>('Session Details'!K299-'Session Details'!K292)/'Session Details'!K292</f>
        <v>-9.8039915255448522E-3</v>
      </c>
      <c r="P299" s="7">
        <f>('Session Details'!L299-'Session Details'!L292)/'Session Details'!L292</f>
        <v>0.10526337375537108</v>
      </c>
      <c r="Q299" s="7">
        <f>('Session Details'!M299-'Session Details'!M292)/'Session Details'!M292</f>
        <v>6.2499386222738179E-2</v>
      </c>
      <c r="R299" s="7">
        <f>('Session Details'!N299-'Session Details'!N292)/'Session Details'!N292</f>
        <v>-1.0309236436616851E-2</v>
      </c>
    </row>
    <row r="300" spans="1:18" hidden="1" x14ac:dyDescent="0.3">
      <c r="A300" s="2">
        <v>43763</v>
      </c>
      <c r="B300" s="3">
        <v>21500167</v>
      </c>
      <c r="C300" s="4">
        <f t="shared" si="35"/>
        <v>3.125003897135574E-2</v>
      </c>
      <c r="D300" s="3">
        <v>5321291</v>
      </c>
      <c r="E300" s="4">
        <f t="shared" si="36"/>
        <v>9.1923036699242575E-4</v>
      </c>
      <c r="F300" s="3">
        <v>2107231</v>
      </c>
      <c r="G300" s="4">
        <f t="shared" si="37"/>
        <v>-3.7951330330475659E-2</v>
      </c>
      <c r="H300" s="3">
        <v>1507513</v>
      </c>
      <c r="I300" s="4">
        <f t="shared" si="38"/>
        <v>-3.7951297462255472E-2</v>
      </c>
      <c r="J300" s="3">
        <v>1186714</v>
      </c>
      <c r="K300" s="7">
        <f t="shared" si="32"/>
        <v>5.5195571271609192E-2</v>
      </c>
      <c r="L300" s="7">
        <f t="shared" si="33"/>
        <v>-0.10333342652249045</v>
      </c>
      <c r="M300" s="7">
        <f t="shared" si="34"/>
        <v>3.1250038971355698E-2</v>
      </c>
      <c r="N300" s="7">
        <f t="shared" si="39"/>
        <v>-0.13050517372885584</v>
      </c>
      <c r="O300" s="7">
        <f>('Session Details'!K300-'Session Details'!K293)/'Session Details'!K293</f>
        <v>-2.9411692080629978E-2</v>
      </c>
      <c r="P300" s="7">
        <f>('Session Details'!L300-'Session Details'!L293)/'Session Details'!L293</f>
        <v>-3.8834862512548515E-2</v>
      </c>
      <c r="Q300" s="7">
        <f>('Session Details'!M300-'Session Details'!M293)/'Session Details'!M293</f>
        <v>3.4164820648533996E-8</v>
      </c>
      <c r="R300" s="7">
        <f>('Session Details'!N300-'Session Details'!N293)/'Session Details'!N293</f>
        <v>-6.7961350488563027E-2</v>
      </c>
    </row>
    <row r="301" spans="1:18" hidden="1" x14ac:dyDescent="0.3">
      <c r="A301" s="2">
        <v>43764</v>
      </c>
      <c r="B301" s="3">
        <v>43991955</v>
      </c>
      <c r="C301" s="4">
        <f t="shared" si="35"/>
        <v>-4.8543699609418484E-2</v>
      </c>
      <c r="D301" s="3">
        <v>9330693</v>
      </c>
      <c r="E301" s="4">
        <f t="shared" si="36"/>
        <v>-9.3084116634706057E-3</v>
      </c>
      <c r="F301" s="3">
        <v>3204160</v>
      </c>
      <c r="G301" s="4">
        <f t="shared" si="37"/>
        <v>5.986428887501667E-4</v>
      </c>
      <c r="H301" s="3">
        <v>2069887</v>
      </c>
      <c r="I301" s="4">
        <f t="shared" si="38"/>
        <v>-6.8070160588831724E-2</v>
      </c>
      <c r="J301" s="3">
        <v>1582222</v>
      </c>
      <c r="K301" s="7">
        <f t="shared" si="32"/>
        <v>3.5966166995760933E-2</v>
      </c>
      <c r="L301" s="7">
        <f t="shared" si="33"/>
        <v>-6.8069667037737314E-2</v>
      </c>
      <c r="M301" s="7">
        <f t="shared" si="34"/>
        <v>-4.8543699609418511E-2</v>
      </c>
      <c r="N301" s="7">
        <f t="shared" si="39"/>
        <v>-2.0522190478220792E-2</v>
      </c>
      <c r="O301" s="7">
        <f>('Session Details'!K301-'Session Details'!K294)/'Session Details'!K294</f>
        <v>4.123708879729035E-2</v>
      </c>
      <c r="P301" s="7">
        <f>('Session Details'!L301-'Session Details'!L294)/'Session Details'!L294</f>
        <v>1.0000139971770308E-2</v>
      </c>
      <c r="Q301" s="7">
        <f>('Session Details'!M301-'Session Details'!M294)/'Session Details'!M294</f>
        <v>-6.8627719981044152E-2</v>
      </c>
      <c r="R301" s="7">
        <f>('Session Details'!N301-'Session Details'!N294)/'Session Details'!N294</f>
        <v>5.2960112831996208E-7</v>
      </c>
    </row>
    <row r="302" spans="1:18" hidden="1" x14ac:dyDescent="0.3">
      <c r="A302" s="2">
        <v>43765</v>
      </c>
      <c r="B302" s="3">
        <v>43094160</v>
      </c>
      <c r="C302" s="4">
        <f t="shared" si="35"/>
        <v>0</v>
      </c>
      <c r="D302" s="3">
        <v>9321266</v>
      </c>
      <c r="E302" s="4">
        <f t="shared" si="36"/>
        <v>1.9801929286341727E-2</v>
      </c>
      <c r="F302" s="3">
        <v>3137538</v>
      </c>
      <c r="G302" s="4">
        <f t="shared" si="37"/>
        <v>-1.0192293253363098E-2</v>
      </c>
      <c r="H302" s="3">
        <v>2154861</v>
      </c>
      <c r="I302" s="4">
        <f t="shared" si="38"/>
        <v>4.1360379843181791E-2</v>
      </c>
      <c r="J302" s="3">
        <v>1613560</v>
      </c>
      <c r="K302" s="7">
        <f t="shared" si="32"/>
        <v>3.7442660444013759E-2</v>
      </c>
      <c r="L302" s="7">
        <f t="shared" si="33"/>
        <v>-4.7898905788276158E-2</v>
      </c>
      <c r="M302" s="7">
        <f t="shared" si="34"/>
        <v>0</v>
      </c>
      <c r="N302" s="7">
        <f t="shared" si="39"/>
        <v>-4.7898905788276158E-2</v>
      </c>
      <c r="O302" s="7">
        <f>('Session Details'!K302-'Session Details'!K295)/'Session Details'!K295</f>
        <v>1.9801929286341724E-2</v>
      </c>
      <c r="P302" s="7">
        <f>('Session Details'!L302-'Session Details'!L295)/'Session Details'!L295</f>
        <v>-2.9411811919884186E-2</v>
      </c>
      <c r="Q302" s="7">
        <f>('Session Details'!M302-'Session Details'!M295)/'Session Details'!M295</f>
        <v>5.2083523643184644E-2</v>
      </c>
      <c r="R302" s="7">
        <f>('Session Details'!N302-'Session Details'!N295)/'Session Details'!N295</f>
        <v>-8.5714117186693306E-2</v>
      </c>
    </row>
    <row r="303" spans="1:18" hidden="1" x14ac:dyDescent="0.3">
      <c r="A303" s="2">
        <v>43766</v>
      </c>
      <c r="B303" s="3">
        <v>21065820</v>
      </c>
      <c r="C303" s="4">
        <f t="shared" si="35"/>
        <v>-7.6190467419780028E-2</v>
      </c>
      <c r="D303" s="3">
        <v>5424448</v>
      </c>
      <c r="E303" s="4">
        <f t="shared" si="36"/>
        <v>-4.8476170278527526E-2</v>
      </c>
      <c r="F303" s="3">
        <v>2104686</v>
      </c>
      <c r="G303" s="4">
        <f t="shared" si="37"/>
        <v>-0.11252088838738487</v>
      </c>
      <c r="H303" s="3">
        <v>1490328</v>
      </c>
      <c r="I303" s="4">
        <f t="shared" si="38"/>
        <v>-0.14766852861058796</v>
      </c>
      <c r="J303" s="3">
        <v>1222069</v>
      </c>
      <c r="K303" s="7">
        <f t="shared" si="32"/>
        <v>5.8011935922741197E-2</v>
      </c>
      <c r="L303" s="7">
        <f t="shared" si="33"/>
        <v>-0.16438069541208</v>
      </c>
      <c r="M303" s="7">
        <f t="shared" si="34"/>
        <v>-7.6190467419780084E-2</v>
      </c>
      <c r="N303" s="7">
        <f t="shared" si="39"/>
        <v>-9.5463647951307462E-2</v>
      </c>
      <c r="O303" s="7">
        <f>('Session Details'!K303-'Session Details'!K296)/'Session Details'!K296</f>
        <v>3.0000012084575353E-2</v>
      </c>
      <c r="P303" s="7">
        <f>('Session Details'!L303-'Session Details'!L296)/'Session Details'!L296</f>
        <v>-6.7307529363299604E-2</v>
      </c>
      <c r="Q303" s="7">
        <f>('Session Details'!M303-'Session Details'!M296)/'Session Details'!M296</f>
        <v>-3.9603907025301456E-2</v>
      </c>
      <c r="R303" s="7">
        <f>('Session Details'!N303-'Session Details'!N296)/'Session Details'!N296</f>
        <v>-1.9607590899170815E-2</v>
      </c>
    </row>
    <row r="304" spans="1:18" hidden="1" x14ac:dyDescent="0.3">
      <c r="A304" s="2">
        <v>43767</v>
      </c>
      <c r="B304" s="3">
        <v>22151687</v>
      </c>
      <c r="C304" s="4">
        <f t="shared" si="35"/>
        <v>2.0000009209230965E-2</v>
      </c>
      <c r="D304" s="3">
        <v>5261025</v>
      </c>
      <c r="E304" s="4">
        <f t="shared" si="36"/>
        <v>-3.1000113273540866E-2</v>
      </c>
      <c r="F304" s="3">
        <v>2020233</v>
      </c>
      <c r="G304" s="4">
        <f t="shared" si="37"/>
        <v>-4.0990096753888525E-2</v>
      </c>
      <c r="H304" s="3">
        <v>1430527</v>
      </c>
      <c r="I304" s="4">
        <f t="shared" si="38"/>
        <v>-8.7999821492324173E-2</v>
      </c>
      <c r="J304" s="3">
        <v>1173032</v>
      </c>
      <c r="K304" s="7">
        <f t="shared" si="32"/>
        <v>5.2954522154452614E-2</v>
      </c>
      <c r="L304" s="7">
        <f t="shared" si="33"/>
        <v>-0.13142904531624966</v>
      </c>
      <c r="M304" s="7">
        <f t="shared" si="34"/>
        <v>2.0000009209230951E-2</v>
      </c>
      <c r="N304" s="7">
        <f t="shared" si="39"/>
        <v>-0.14845985603752898</v>
      </c>
      <c r="O304" s="7">
        <f>('Session Details'!K304-'Session Details'!K297)/'Session Details'!K297</f>
        <v>-5.0000119629714845E-2</v>
      </c>
      <c r="P304" s="7">
        <f>('Session Details'!L304-'Session Details'!L297)/'Session Details'!L297</f>
        <v>-1.0309581680237823E-2</v>
      </c>
      <c r="Q304" s="7">
        <f>('Session Details'!M304-'Session Details'!M297)/'Session Details'!M297</f>
        <v>-4.9019019073019442E-2</v>
      </c>
      <c r="R304" s="7">
        <f>('Session Details'!N304-'Session Details'!N297)/'Session Details'!N297</f>
        <v>-4.7619753644116192E-2</v>
      </c>
    </row>
    <row r="305" spans="1:18" hidden="1" x14ac:dyDescent="0.3">
      <c r="A305" s="2">
        <v>43768</v>
      </c>
      <c r="B305" s="3">
        <v>21500167</v>
      </c>
      <c r="C305" s="4">
        <f t="shared" si="35"/>
        <v>-9.999981581538071E-3</v>
      </c>
      <c r="D305" s="3">
        <v>5643793</v>
      </c>
      <c r="E305" s="4">
        <f t="shared" si="36"/>
        <v>6.0714207851978709E-2</v>
      </c>
      <c r="F305" s="3">
        <v>2325243</v>
      </c>
      <c r="G305" s="4">
        <f t="shared" si="37"/>
        <v>0.11483253129715069</v>
      </c>
      <c r="H305" s="3">
        <v>1629530</v>
      </c>
      <c r="I305" s="4">
        <f t="shared" si="38"/>
        <v>3.9067451739569027E-2</v>
      </c>
      <c r="J305" s="3">
        <v>1376301</v>
      </c>
      <c r="K305" s="7">
        <f t="shared" si="32"/>
        <v>6.4013502778838882E-2</v>
      </c>
      <c r="L305" s="7">
        <f t="shared" si="33"/>
        <v>3.906748988716191E-2</v>
      </c>
      <c r="M305" s="7">
        <f t="shared" si="34"/>
        <v>-9.9999815815380311E-3</v>
      </c>
      <c r="N305" s="7">
        <f t="shared" si="39"/>
        <v>4.9563101571539425E-2</v>
      </c>
      <c r="O305" s="7">
        <f>('Session Details'!K305-'Session Details'!K298)/'Session Details'!K298</f>
        <v>7.1428472846377891E-2</v>
      </c>
      <c r="P305" s="7">
        <f>('Session Details'!L305-'Session Details'!L298)/'Session Details'!L298</f>
        <v>5.1020645377010072E-2</v>
      </c>
      <c r="Q305" s="7">
        <f>('Session Details'!M305-'Session Details'!M298)/'Session Details'!M298</f>
        <v>-6.7960951470824121E-2</v>
      </c>
      <c r="R305" s="7">
        <f>('Session Details'!N305-'Session Details'!N298)/'Session Details'!N298</f>
        <v>3.6713298090224667E-8</v>
      </c>
    </row>
    <row r="306" spans="1:18" hidden="1" x14ac:dyDescent="0.3">
      <c r="A306" s="2">
        <v>43769</v>
      </c>
      <c r="B306" s="3">
        <v>20631473</v>
      </c>
      <c r="C306" s="4">
        <f t="shared" si="35"/>
        <v>-2.0618565999329722E-2</v>
      </c>
      <c r="D306" s="3">
        <v>5003132</v>
      </c>
      <c r="E306" s="4">
        <f t="shared" si="36"/>
        <v>-5.9405890336350811E-2</v>
      </c>
      <c r="F306" s="3">
        <v>1921202</v>
      </c>
      <c r="G306" s="4">
        <f t="shared" si="37"/>
        <v>-0.14002855825570829</v>
      </c>
      <c r="H306" s="3">
        <v>1332354</v>
      </c>
      <c r="I306" s="4">
        <f t="shared" si="38"/>
        <v>-0.19904560259411419</v>
      </c>
      <c r="J306" s="3">
        <v>1070679</v>
      </c>
      <c r="K306" s="7">
        <f t="shared" si="32"/>
        <v>5.1895422105828315E-2</v>
      </c>
      <c r="L306" s="7">
        <f t="shared" si="33"/>
        <v>-0.18235948174610572</v>
      </c>
      <c r="M306" s="7">
        <f t="shared" si="34"/>
        <v>-2.0618565999329763E-2</v>
      </c>
      <c r="N306" s="7">
        <f t="shared" si="39"/>
        <v>-0.16514598922513912</v>
      </c>
      <c r="O306" s="7">
        <f>('Session Details'!K306-'Session Details'!K299)/'Session Details'!K299</f>
        <v>-3.9603899962223063E-2</v>
      </c>
      <c r="P306" s="7">
        <f>('Session Details'!L306-'Session Details'!L299)/'Session Details'!L299</f>
        <v>-8.5714621313318251E-2</v>
      </c>
      <c r="Q306" s="7">
        <f>('Session Details'!M306-'Session Details'!M299)/'Session Details'!M299</f>
        <v>-6.8626749068202555E-2</v>
      </c>
      <c r="R306" s="7">
        <f>('Session Details'!N306-'Session Details'!N299)/'Session Details'!N299</f>
        <v>2.0832797600027118E-2</v>
      </c>
    </row>
    <row r="307" spans="1:18" hidden="1" x14ac:dyDescent="0.3">
      <c r="A307" s="2">
        <v>43770</v>
      </c>
      <c r="B307" s="3">
        <v>21065820</v>
      </c>
      <c r="C307" s="4">
        <f t="shared" si="35"/>
        <v>-2.0202029128424909E-2</v>
      </c>
      <c r="D307" s="3">
        <v>5055796</v>
      </c>
      <c r="E307" s="4">
        <f t="shared" si="36"/>
        <v>-4.9892967702762359E-2</v>
      </c>
      <c r="F307" s="3">
        <v>2103211</v>
      </c>
      <c r="G307" s="4">
        <f t="shared" si="37"/>
        <v>-1.9077168094053286E-3</v>
      </c>
      <c r="H307" s="3">
        <v>1581404</v>
      </c>
      <c r="I307" s="4">
        <f t="shared" si="38"/>
        <v>4.9015166038369154E-2</v>
      </c>
      <c r="J307" s="3">
        <v>1270816</v>
      </c>
      <c r="K307" s="7">
        <f t="shared" si="32"/>
        <v>6.0325968796847214E-2</v>
      </c>
      <c r="L307" s="7">
        <f t="shared" si="33"/>
        <v>7.0869645087190403E-2</v>
      </c>
      <c r="M307" s="7">
        <f t="shared" si="34"/>
        <v>-2.0202029128424948E-2</v>
      </c>
      <c r="N307" s="7">
        <f t="shared" si="39"/>
        <v>9.2949441541099409E-2</v>
      </c>
      <c r="O307" s="7">
        <f>('Session Details'!K307-'Session Details'!K300)/'Session Details'!K300</f>
        <v>-3.0303123150914477E-2</v>
      </c>
      <c r="P307" s="7">
        <f>('Session Details'!L307-'Session Details'!L300)/'Session Details'!L300</f>
        <v>5.0505100227849792E-2</v>
      </c>
      <c r="Q307" s="7">
        <f>('Session Details'!M307-'Session Details'!M300)/'Session Details'!M300</f>
        <v>5.1020214969491197E-2</v>
      </c>
      <c r="R307" s="7">
        <f>('Session Details'!N307-'Session Details'!N300)/'Session Details'!N300</f>
        <v>2.0833329923489359E-2</v>
      </c>
    </row>
    <row r="308" spans="1:18" hidden="1" x14ac:dyDescent="0.3">
      <c r="A308" s="2">
        <v>43771</v>
      </c>
      <c r="B308" s="3">
        <v>42645263</v>
      </c>
      <c r="C308" s="4">
        <f t="shared" si="35"/>
        <v>-3.0612233532244702E-2</v>
      </c>
      <c r="D308" s="3">
        <v>9134615</v>
      </c>
      <c r="E308" s="4">
        <f t="shared" si="36"/>
        <v>-2.1014301938773464E-2</v>
      </c>
      <c r="F308" s="3">
        <v>2981538</v>
      </c>
      <c r="G308" s="4">
        <f t="shared" si="37"/>
        <v>-6.9479052232098271E-2</v>
      </c>
      <c r="H308" s="3">
        <v>1926073</v>
      </c>
      <c r="I308" s="4">
        <f t="shared" si="38"/>
        <v>-6.9479155142285545E-2</v>
      </c>
      <c r="J308" s="3">
        <v>1457267</v>
      </c>
      <c r="K308" s="7">
        <f t="shared" si="32"/>
        <v>3.4171837561419192E-2</v>
      </c>
      <c r="L308" s="7">
        <f t="shared" si="33"/>
        <v>-7.8974379069435274E-2</v>
      </c>
      <c r="M308" s="7">
        <f t="shared" si="34"/>
        <v>-3.0612233532244737E-2</v>
      </c>
      <c r="N308" s="7">
        <f t="shared" si="39"/>
        <v>-4.9889370600798899E-2</v>
      </c>
      <c r="O308" s="7">
        <f>('Session Details'!K308-'Session Details'!K301)/'Session Details'!K301</f>
        <v>9.9010240540213408E-3</v>
      </c>
      <c r="P308" s="7">
        <f>('Session Details'!L308-'Session Details'!L301)/'Session Details'!L301</f>
        <v>-4.9505064669794305E-2</v>
      </c>
      <c r="Q308" s="7">
        <f>('Session Details'!M308-'Session Details'!M301)/'Session Details'!M301</f>
        <v>-1.1059416504718922E-7</v>
      </c>
      <c r="R308" s="7">
        <f>('Session Details'!N308-'Session Details'!N301)/'Session Details'!N301</f>
        <v>-1.0204203355166794E-2</v>
      </c>
    </row>
    <row r="309" spans="1:18" hidden="1" x14ac:dyDescent="0.3">
      <c r="A309" s="2">
        <v>43772</v>
      </c>
      <c r="B309" s="3">
        <v>45787545</v>
      </c>
      <c r="C309" s="4">
        <f t="shared" si="35"/>
        <v>6.25E-2</v>
      </c>
      <c r="D309" s="3">
        <v>9711538</v>
      </c>
      <c r="E309" s="4">
        <f t="shared" si="36"/>
        <v>4.1868990757264087E-2</v>
      </c>
      <c r="F309" s="3">
        <v>3268903</v>
      </c>
      <c r="G309" s="4">
        <f t="shared" si="37"/>
        <v>4.1868815612751145E-2</v>
      </c>
      <c r="H309" s="3">
        <v>2156168</v>
      </c>
      <c r="I309" s="4">
        <f t="shared" si="38"/>
        <v>6.0653564197412268E-4</v>
      </c>
      <c r="J309" s="3">
        <v>1648175</v>
      </c>
      <c r="K309" s="7">
        <f t="shared" si="32"/>
        <v>3.5996142619133656E-2</v>
      </c>
      <c r="L309" s="7">
        <f t="shared" si="33"/>
        <v>2.14525645157293E-2</v>
      </c>
      <c r="M309" s="7">
        <f t="shared" si="34"/>
        <v>6.25E-2</v>
      </c>
      <c r="N309" s="7">
        <f t="shared" si="39"/>
        <v>-3.8632880455784169E-2</v>
      </c>
      <c r="O309" s="7">
        <f>('Session Details'!K309-'Session Details'!K302)/'Session Details'!K302</f>
        <v>-1.9417420463751413E-2</v>
      </c>
      <c r="P309" s="7">
        <f>('Session Details'!L309-'Session Details'!L302)/'Session Details'!L302</f>
        <v>-1.6810608098892474E-7</v>
      </c>
      <c r="Q309" s="7">
        <f>('Session Details'!M309-'Session Details'!M302)/'Session Details'!M302</f>
        <v>-3.9604103081355299E-2</v>
      </c>
      <c r="R309" s="7">
        <f>('Session Details'!N309-'Session Details'!N302)/'Session Details'!N302</f>
        <v>2.0833392678552283E-2</v>
      </c>
    </row>
    <row r="310" spans="1:18" hidden="1" x14ac:dyDescent="0.3">
      <c r="A310" s="2">
        <v>43773</v>
      </c>
      <c r="B310" s="3">
        <v>21282993</v>
      </c>
      <c r="C310" s="4">
        <f t="shared" si="35"/>
        <v>1.0309259264533733E-2</v>
      </c>
      <c r="D310" s="3">
        <v>5107918</v>
      </c>
      <c r="E310" s="4">
        <f t="shared" si="36"/>
        <v>-5.8352481210991423E-2</v>
      </c>
      <c r="F310" s="3">
        <v>1941009</v>
      </c>
      <c r="G310" s="4">
        <f t="shared" si="37"/>
        <v>-7.7767895068433013E-2</v>
      </c>
      <c r="H310" s="3">
        <v>1360259</v>
      </c>
      <c r="I310" s="4">
        <f t="shared" si="38"/>
        <v>-8.7275418565577509E-2</v>
      </c>
      <c r="J310" s="3">
        <v>1070795</v>
      </c>
      <c r="K310" s="7">
        <f t="shared" si="32"/>
        <v>5.0312237569217828E-2</v>
      </c>
      <c r="L310" s="7">
        <f t="shared" si="33"/>
        <v>-0.12378515452073491</v>
      </c>
      <c r="M310" s="7">
        <f t="shared" si="34"/>
        <v>1.0309259264533743E-2</v>
      </c>
      <c r="N310" s="7">
        <f t="shared" si="39"/>
        <v>-0.13272610594787992</v>
      </c>
      <c r="O310" s="7">
        <f>('Session Details'!K310-'Session Details'!K303)/'Session Details'!K303</f>
        <v>-6.7961111754541642E-2</v>
      </c>
      <c r="P310" s="7">
        <f>('Session Details'!L310-'Session Details'!L303)/'Session Details'!L303</f>
        <v>-2.0618557868033825E-2</v>
      </c>
      <c r="Q310" s="7">
        <f>('Session Details'!M310-'Session Details'!M303)/'Session Details'!M303</f>
        <v>-1.0309252352313189E-2</v>
      </c>
      <c r="R310" s="7">
        <f>('Session Details'!N310-'Session Details'!N303)/'Session Details'!N303</f>
        <v>-4.0000824671314772E-2</v>
      </c>
    </row>
    <row r="311" spans="1:18" hidden="1" x14ac:dyDescent="0.3">
      <c r="A311" s="2">
        <v>43774</v>
      </c>
      <c r="B311" s="3">
        <v>20848646</v>
      </c>
      <c r="C311" s="4">
        <f t="shared" si="35"/>
        <v>-5.8823555966640372E-2</v>
      </c>
      <c r="D311" s="3">
        <v>5420648</v>
      </c>
      <c r="E311" s="4">
        <f t="shared" si="36"/>
        <v>3.034066555471605E-2</v>
      </c>
      <c r="F311" s="3">
        <v>2168259</v>
      </c>
      <c r="G311" s="4">
        <f t="shared" si="37"/>
        <v>7.3271746377769301E-2</v>
      </c>
      <c r="H311" s="3">
        <v>1567000</v>
      </c>
      <c r="I311" s="4">
        <f t="shared" si="38"/>
        <v>9.5400506246998487E-2</v>
      </c>
      <c r="J311" s="3">
        <v>1259241</v>
      </c>
      <c r="K311" s="7">
        <f t="shared" si="32"/>
        <v>6.0399174123825596E-2</v>
      </c>
      <c r="L311" s="7">
        <f t="shared" si="33"/>
        <v>7.3492453743802422E-2</v>
      </c>
      <c r="M311" s="7">
        <f t="shared" si="34"/>
        <v>-5.8823555966640351E-2</v>
      </c>
      <c r="N311" s="7">
        <f t="shared" si="39"/>
        <v>0.14058576428391034</v>
      </c>
      <c r="O311" s="7">
        <f>('Session Details'!K311-'Session Details'!K304)/'Session Details'!K304</f>
        <v>9.4736988039403044E-2</v>
      </c>
      <c r="P311" s="7">
        <f>('Session Details'!L311-'Session Details'!L304)/'Session Details'!L304</f>
        <v>4.1666879953670473E-2</v>
      </c>
      <c r="Q311" s="7">
        <f>('Session Details'!M311-'Session Details'!M304)/'Session Details'!M304</f>
        <v>2.0618040066658384E-2</v>
      </c>
      <c r="R311" s="7">
        <f>('Session Details'!N311-'Session Details'!N304)/'Session Details'!N304</f>
        <v>-2.000003868745347E-2</v>
      </c>
    </row>
    <row r="312" spans="1:18" hidden="1" x14ac:dyDescent="0.3">
      <c r="A312" s="2">
        <v>43775</v>
      </c>
      <c r="B312" s="3">
        <v>21500167</v>
      </c>
      <c r="C312" s="4">
        <f t="shared" si="35"/>
        <v>0</v>
      </c>
      <c r="D312" s="3">
        <v>5106289</v>
      </c>
      <c r="E312" s="4">
        <f t="shared" si="36"/>
        <v>-9.5238078363256762E-2</v>
      </c>
      <c r="F312" s="3">
        <v>2022090</v>
      </c>
      <c r="G312" s="4">
        <f t="shared" si="37"/>
        <v>-0.13037476083144858</v>
      </c>
      <c r="H312" s="3">
        <v>1461364</v>
      </c>
      <c r="I312" s="4">
        <f t="shared" si="38"/>
        <v>-0.10319908194387338</v>
      </c>
      <c r="J312" s="3">
        <v>1162369</v>
      </c>
      <c r="K312" s="7">
        <f t="shared" si="32"/>
        <v>5.4063254485418648E-2</v>
      </c>
      <c r="L312" s="7">
        <f t="shared" si="33"/>
        <v>-0.15543983474545175</v>
      </c>
      <c r="M312" s="7">
        <f t="shared" si="34"/>
        <v>0</v>
      </c>
      <c r="N312" s="7">
        <f t="shared" si="39"/>
        <v>-0.15543983474545175</v>
      </c>
      <c r="O312" s="7">
        <f>('Session Details'!K312-'Session Details'!K305)/'Session Details'!K305</f>
        <v>-9.5238078363256679E-2</v>
      </c>
      <c r="P312" s="7">
        <f>('Session Details'!L312-'Session Details'!L305)/'Session Details'!L305</f>
        <v>-3.8835279898416203E-2</v>
      </c>
      <c r="Q312" s="7">
        <f>('Session Details'!M312-'Session Details'!M305)/'Session Details'!M305</f>
        <v>3.1249873696809635E-2</v>
      </c>
      <c r="R312" s="7">
        <f>('Session Details'!N312-'Session Details'!N305)/'Session Details'!N305</f>
        <v>-5.8252340903947326E-2</v>
      </c>
    </row>
    <row r="313" spans="1:18" hidden="1" x14ac:dyDescent="0.3">
      <c r="A313" s="2">
        <v>43776</v>
      </c>
      <c r="B313" s="3">
        <v>20848646</v>
      </c>
      <c r="C313" s="4">
        <f t="shared" si="35"/>
        <v>1.0526296401619022E-2</v>
      </c>
      <c r="D313" s="3">
        <v>5264283</v>
      </c>
      <c r="E313" s="4">
        <f t="shared" si="36"/>
        <v>5.2197503483817735E-2</v>
      </c>
      <c r="F313" s="3">
        <v>2000427</v>
      </c>
      <c r="G313" s="4">
        <f t="shared" si="37"/>
        <v>4.1237204625021208E-2</v>
      </c>
      <c r="H313" s="3">
        <v>1489518</v>
      </c>
      <c r="I313" s="4">
        <f t="shared" si="38"/>
        <v>0.11795964135657641</v>
      </c>
      <c r="J313" s="3">
        <v>1209191</v>
      </c>
      <c r="K313" s="7">
        <f t="shared" si="32"/>
        <v>5.7998538610133245E-2</v>
      </c>
      <c r="L313" s="7">
        <f t="shared" si="33"/>
        <v>0.1293683727802637</v>
      </c>
      <c r="M313" s="7">
        <f t="shared" si="34"/>
        <v>1.0526296401619062E-2</v>
      </c>
      <c r="N313" s="7">
        <f t="shared" si="39"/>
        <v>0.11760414033937483</v>
      </c>
      <c r="O313" s="7">
        <f>('Session Details'!K313-'Session Details'!K306)/'Session Details'!K306</f>
        <v>4.1237132799597197E-2</v>
      </c>
      <c r="P313" s="7">
        <f>('Session Details'!L313-'Session Details'!L306)/'Session Details'!L306</f>
        <v>-1.0416579418319355E-2</v>
      </c>
      <c r="Q313" s="7">
        <f>('Session Details'!M313-'Session Details'!M306)/'Session Details'!M306</f>
        <v>7.3683917930290513E-2</v>
      </c>
      <c r="R313" s="7">
        <f>('Session Details'!N313-'Session Details'!N306)/'Session Details'!N306</f>
        <v>1.020495821284173E-2</v>
      </c>
    </row>
    <row r="314" spans="1:18" hidden="1" x14ac:dyDescent="0.3">
      <c r="A314" s="2">
        <v>43777</v>
      </c>
      <c r="B314" s="3">
        <v>21065820</v>
      </c>
      <c r="C314" s="4">
        <f t="shared" si="35"/>
        <v>0</v>
      </c>
      <c r="D314" s="3">
        <v>5108461</v>
      </c>
      <c r="E314" s="4">
        <f t="shared" si="36"/>
        <v>1.0416757321695733E-2</v>
      </c>
      <c r="F314" s="3">
        <v>2084252</v>
      </c>
      <c r="G314" s="4">
        <f t="shared" si="37"/>
        <v>-9.0143119259075769E-3</v>
      </c>
      <c r="H314" s="3">
        <v>1445428</v>
      </c>
      <c r="I314" s="4">
        <f t="shared" si="38"/>
        <v>-8.598435314442103E-2</v>
      </c>
      <c r="J314" s="3">
        <v>1232661</v>
      </c>
      <c r="K314" s="7">
        <f t="shared" si="32"/>
        <v>5.8514740940537803E-2</v>
      </c>
      <c r="L314" s="7">
        <f t="shared" si="33"/>
        <v>-3.0024016065268277E-2</v>
      </c>
      <c r="M314" s="7">
        <f t="shared" si="34"/>
        <v>0</v>
      </c>
      <c r="N314" s="7">
        <f t="shared" si="39"/>
        <v>-3.0024016065268277E-2</v>
      </c>
      <c r="O314" s="7">
        <f>('Session Details'!K314-'Session Details'!K307)/'Session Details'!K307</f>
        <v>1.0416757321695691E-2</v>
      </c>
      <c r="P314" s="7">
        <f>('Session Details'!L314-'Session Details'!L307)/'Session Details'!L307</f>
        <v>-1.9230747220690493E-2</v>
      </c>
      <c r="Q314" s="7">
        <f>('Session Details'!M314-'Session Details'!M307)/'Session Details'!M307</f>
        <v>-7.7670184488838653E-2</v>
      </c>
      <c r="R314" s="7">
        <f>('Session Details'!N314-'Session Details'!N307)/'Session Details'!N307</f>
        <v>6.1224703616036429E-2</v>
      </c>
    </row>
    <row r="315" spans="1:18" x14ac:dyDescent="0.3">
      <c r="A315" s="11">
        <v>43778</v>
      </c>
      <c r="B315" s="12">
        <v>45787545</v>
      </c>
      <c r="C315" s="4">
        <f t="shared" si="35"/>
        <v>7.3684197937763915E-2</v>
      </c>
      <c r="D315" s="12">
        <v>9711538</v>
      </c>
      <c r="E315" s="4">
        <f t="shared" si="36"/>
        <v>6.3157888975069007E-2</v>
      </c>
      <c r="F315" s="12">
        <v>3367961</v>
      </c>
      <c r="G315" s="4">
        <f t="shared" si="37"/>
        <v>0.12960525742083448</v>
      </c>
      <c r="H315" s="12">
        <v>2290213</v>
      </c>
      <c r="I315" s="4">
        <f t="shared" si="38"/>
        <v>0.18905825480134969</v>
      </c>
      <c r="J315" s="12">
        <v>1839957</v>
      </c>
      <c r="K315" s="13">
        <f t="shared" si="32"/>
        <v>4.0184661571176179E-2</v>
      </c>
      <c r="L315" s="13">
        <f t="shared" si="33"/>
        <v>0.26260801898348074</v>
      </c>
      <c r="M315" s="13">
        <f t="shared" si="34"/>
        <v>7.3684197937763818E-2</v>
      </c>
      <c r="N315" s="13">
        <f t="shared" si="39"/>
        <v>0.17595846284092165</v>
      </c>
      <c r="O315" s="7">
        <f>('Session Details'!K315-'Session Details'!K308)/'Session Details'!K308</f>
        <v>-9.8039153253003369E-3</v>
      </c>
      <c r="P315" s="7">
        <f>('Session Details'!L315-'Session Details'!L308)/'Session Details'!L308</f>
        <v>6.2500000361962904E-2</v>
      </c>
      <c r="Q315" s="7">
        <f>('Session Details'!M315-'Session Details'!M308)/'Session Details'!M308</f>
        <v>5.2631657820238001E-2</v>
      </c>
      <c r="R315" s="7">
        <f>('Session Details'!N315-'Session Details'!N308)/'Session Details'!N308</f>
        <v>6.1855475865157362E-2</v>
      </c>
    </row>
    <row r="316" spans="1:18" hidden="1" x14ac:dyDescent="0.3">
      <c r="A316" s="2">
        <v>43779</v>
      </c>
      <c r="B316" s="3">
        <v>47134238</v>
      </c>
      <c r="C316" s="4">
        <f t="shared" si="35"/>
        <v>2.9411775625882541E-2</v>
      </c>
      <c r="D316" s="3">
        <v>10096153</v>
      </c>
      <c r="E316" s="4">
        <f t="shared" si="36"/>
        <v>3.9603922674245833E-2</v>
      </c>
      <c r="F316" s="3">
        <v>3261057</v>
      </c>
      <c r="G316" s="4">
        <f t="shared" si="37"/>
        <v>-2.4001935817612209E-3</v>
      </c>
      <c r="H316" s="3">
        <v>2173168</v>
      </c>
      <c r="I316" s="4">
        <f t="shared" si="38"/>
        <v>7.8843578051431985E-3</v>
      </c>
      <c r="J316" s="3">
        <v>1627268</v>
      </c>
      <c r="K316" s="7">
        <f t="shared" si="32"/>
        <v>3.4524118115582987E-2</v>
      </c>
      <c r="L316" s="7">
        <f t="shared" si="33"/>
        <v>-1.2684939402672679E-2</v>
      </c>
      <c r="M316" s="7">
        <f t="shared" si="34"/>
        <v>2.9411775625882486E-2</v>
      </c>
      <c r="N316" s="7">
        <f t="shared" si="39"/>
        <v>-4.0893951308222043E-2</v>
      </c>
      <c r="O316" s="7">
        <f>('Session Details'!K316-'Session Details'!K309)/'Session Details'!K309</f>
        <v>9.9009427419522456E-3</v>
      </c>
      <c r="P316" s="7">
        <f>('Session Details'!L316-'Session Details'!L309)/'Session Details'!L309</f>
        <v>-4.0403960912302958E-2</v>
      </c>
      <c r="Q316" s="7">
        <f>('Session Details'!M316-'Session Details'!M309)/'Session Details'!M309</f>
        <v>1.0309295692257383E-2</v>
      </c>
      <c r="R316" s="7">
        <f>('Session Details'!N316-'Session Details'!N309)/'Session Details'!N309</f>
        <v>-2.0408390157586487E-2</v>
      </c>
    </row>
    <row r="317" spans="1:18" hidden="1" x14ac:dyDescent="0.3">
      <c r="A317" s="2">
        <v>43780</v>
      </c>
      <c r="B317" s="3">
        <v>21500167</v>
      </c>
      <c r="C317" s="4">
        <f t="shared" si="35"/>
        <v>1.0204109920066224E-2</v>
      </c>
      <c r="D317" s="3">
        <v>5482542</v>
      </c>
      <c r="E317" s="4">
        <f t="shared" si="36"/>
        <v>7.3341819504541772E-2</v>
      </c>
      <c r="F317" s="3">
        <v>2083366</v>
      </c>
      <c r="G317" s="4">
        <f t="shared" si="37"/>
        <v>7.3341751635360788E-2</v>
      </c>
      <c r="H317" s="3">
        <v>1566483</v>
      </c>
      <c r="I317" s="4">
        <f t="shared" si="38"/>
        <v>0.15160642201227856</v>
      </c>
      <c r="J317" s="3">
        <v>1245980</v>
      </c>
      <c r="K317" s="7">
        <f t="shared" si="32"/>
        <v>5.79521079999053E-2</v>
      </c>
      <c r="L317" s="7">
        <f t="shared" si="33"/>
        <v>0.16360274375580763</v>
      </c>
      <c r="M317" s="7">
        <f t="shared" si="34"/>
        <v>1.0204109920066262E-2</v>
      </c>
      <c r="N317" s="7">
        <f t="shared" si="39"/>
        <v>0.15184914843385378</v>
      </c>
      <c r="O317" s="7">
        <f>('Session Details'!K317-'Session Details'!K310)/'Session Details'!K310</f>
        <v>6.2499953192104309E-2</v>
      </c>
      <c r="P317" s="7">
        <f>('Session Details'!L317-'Session Details'!L310)/'Session Details'!L310</f>
        <v>-6.3231656215050657E-8</v>
      </c>
      <c r="Q317" s="7">
        <f>('Session Details'!M317-'Session Details'!M310)/'Session Details'!M310</f>
        <v>7.2916822864360201E-2</v>
      </c>
      <c r="R317" s="7">
        <f>('Session Details'!N317-'Session Details'!N310)/'Session Details'!N310</f>
        <v>1.0417032689490574E-2</v>
      </c>
    </row>
    <row r="318" spans="1:18" hidden="1" x14ac:dyDescent="0.3">
      <c r="A318" s="2">
        <v>43781</v>
      </c>
      <c r="B318" s="3">
        <v>20631473</v>
      </c>
      <c r="C318" s="4">
        <f t="shared" si="35"/>
        <v>-1.0416647680621562E-2</v>
      </c>
      <c r="D318" s="3">
        <v>4899974</v>
      </c>
      <c r="E318" s="4">
        <f t="shared" si="36"/>
        <v>-9.6053829726630471E-2</v>
      </c>
      <c r="F318" s="3">
        <v>2018789</v>
      </c>
      <c r="G318" s="4">
        <f t="shared" si="37"/>
        <v>-6.8935491562585466E-2</v>
      </c>
      <c r="H318" s="3">
        <v>1547402</v>
      </c>
      <c r="I318" s="4">
        <f t="shared" si="38"/>
        <v>-1.2506700701978303E-2</v>
      </c>
      <c r="J318" s="3">
        <v>1230803</v>
      </c>
      <c r="K318" s="7">
        <f t="shared" si="32"/>
        <v>5.9656574205826214E-2</v>
      </c>
      <c r="L318" s="7">
        <f t="shared" si="33"/>
        <v>-2.2583445107012823E-2</v>
      </c>
      <c r="M318" s="7">
        <f t="shared" si="34"/>
        <v>-1.041664768062156E-2</v>
      </c>
      <c r="N318" s="7">
        <f t="shared" si="39"/>
        <v>-1.2294868742359966E-2</v>
      </c>
      <c r="O318" s="7">
        <f>('Session Details'!K318-'Session Details'!K311)/'Session Details'!K311</f>
        <v>-8.6538624407224471E-2</v>
      </c>
      <c r="P318" s="7">
        <f>('Session Details'!L318-'Session Details'!L311)/'Session Details'!L311</f>
        <v>2.9999948067531437E-2</v>
      </c>
      <c r="Q318" s="7">
        <f>('Session Details'!M318-'Session Details'!M311)/'Session Details'!M311</f>
        <v>6.0606746739074395E-2</v>
      </c>
      <c r="R318" s="7">
        <f>('Session Details'!N318-'Session Details'!N311)/'Session Details'!N311</f>
        <v>-1.0204367373629602E-2</v>
      </c>
    </row>
    <row r="319" spans="1:18" hidden="1" x14ac:dyDescent="0.3">
      <c r="A319" s="2">
        <v>43782</v>
      </c>
      <c r="B319" s="3">
        <v>21500167</v>
      </c>
      <c r="C319" s="4">
        <f t="shared" si="35"/>
        <v>0</v>
      </c>
      <c r="D319" s="3">
        <v>5643793</v>
      </c>
      <c r="E319" s="4">
        <f t="shared" si="36"/>
        <v>0.10526313728032237</v>
      </c>
      <c r="F319" s="3">
        <v>2302667</v>
      </c>
      <c r="G319" s="4">
        <f t="shared" si="37"/>
        <v>0.13875594063567892</v>
      </c>
      <c r="H319" s="3">
        <v>1748185</v>
      </c>
      <c r="I319" s="4">
        <f t="shared" si="38"/>
        <v>0.19626937573390341</v>
      </c>
      <c r="J319" s="3">
        <v>1361836</v>
      </c>
      <c r="K319" s="7">
        <f t="shared" si="32"/>
        <v>6.3340717306986496E-2</v>
      </c>
      <c r="L319" s="7">
        <f t="shared" si="33"/>
        <v>0.17160385385363863</v>
      </c>
      <c r="M319" s="7">
        <f t="shared" si="34"/>
        <v>0</v>
      </c>
      <c r="N319" s="7">
        <f t="shared" si="39"/>
        <v>0.17160385385363841</v>
      </c>
      <c r="O319" s="7">
        <f>('Session Details'!K319-'Session Details'!K312)/'Session Details'!K312</f>
        <v>0.10526313728032226</v>
      </c>
      <c r="P319" s="7">
        <f>('Session Details'!L319-'Session Details'!L312)/'Session Details'!L312</f>
        <v>3.0303013124793984E-2</v>
      </c>
      <c r="Q319" s="7">
        <f>('Session Details'!M319-'Session Details'!M312)/'Session Details'!M312</f>
        <v>5.0505497311495264E-2</v>
      </c>
      <c r="R319" s="7">
        <f>('Session Details'!N319-'Session Details'!N312)/'Session Details'!N312</f>
        <v>-2.0618702092187736E-2</v>
      </c>
    </row>
    <row r="320" spans="1:18" hidden="1" x14ac:dyDescent="0.3">
      <c r="A320" s="2">
        <v>43783</v>
      </c>
      <c r="B320" s="3">
        <v>20848646</v>
      </c>
      <c r="C320" s="4">
        <f t="shared" si="35"/>
        <v>0</v>
      </c>
      <c r="D320" s="3">
        <v>5160040</v>
      </c>
      <c r="E320" s="4">
        <f t="shared" si="36"/>
        <v>-1.980193693994035E-2</v>
      </c>
      <c r="F320" s="3">
        <v>2125936</v>
      </c>
      <c r="G320" s="4">
        <f t="shared" si="37"/>
        <v>6.2741104774130724E-2</v>
      </c>
      <c r="H320" s="3">
        <v>1629530</v>
      </c>
      <c r="I320" s="4">
        <f t="shared" si="38"/>
        <v>9.3998192703948519E-2</v>
      </c>
      <c r="J320" s="3">
        <v>1349577</v>
      </c>
      <c r="K320" s="7">
        <f t="shared" si="32"/>
        <v>6.4732117375871798E-2</v>
      </c>
      <c r="L320" s="7">
        <f t="shared" si="33"/>
        <v>0.11609911089315084</v>
      </c>
      <c r="M320" s="7">
        <f t="shared" si="34"/>
        <v>0</v>
      </c>
      <c r="N320" s="7">
        <f t="shared" si="39"/>
        <v>0.11609911089315084</v>
      </c>
      <c r="O320" s="7">
        <f>('Session Details'!K320-'Session Details'!K313)/'Session Details'!K313</f>
        <v>-1.9801936939940319E-2</v>
      </c>
      <c r="P320" s="7">
        <f>('Session Details'!L320-'Session Details'!L313)/'Session Details'!L313</f>
        <v>8.4210574193935531E-2</v>
      </c>
      <c r="Q320" s="7">
        <f>('Session Details'!M320-'Session Details'!M313)/'Session Details'!M313</f>
        <v>2.9411761518776478E-2</v>
      </c>
      <c r="R320" s="7">
        <f>('Session Details'!N320-'Session Details'!N313)/'Session Details'!N313</f>
        <v>2.0201969561373028E-2</v>
      </c>
    </row>
    <row r="321" spans="1:18" hidden="1" x14ac:dyDescent="0.3">
      <c r="A321" s="2">
        <v>43784</v>
      </c>
      <c r="B321" s="3">
        <v>21717340</v>
      </c>
      <c r="C321" s="4">
        <f t="shared" si="35"/>
        <v>3.0927825263863454E-2</v>
      </c>
      <c r="D321" s="3">
        <v>5212161</v>
      </c>
      <c r="E321" s="4">
        <f t="shared" si="36"/>
        <v>2.0299655806318186E-2</v>
      </c>
      <c r="F321" s="3">
        <v>2126561</v>
      </c>
      <c r="G321" s="4">
        <f t="shared" si="37"/>
        <v>2.0299368790338213E-2</v>
      </c>
      <c r="H321" s="3">
        <v>1567914</v>
      </c>
      <c r="I321" s="4">
        <f t="shared" si="38"/>
        <v>8.4740298375290915E-2</v>
      </c>
      <c r="J321" s="3">
        <v>1324260</v>
      </c>
      <c r="K321" s="7">
        <f t="shared" si="32"/>
        <v>6.0977080986898025E-2</v>
      </c>
      <c r="L321" s="7">
        <f t="shared" si="33"/>
        <v>7.4309968434143725E-2</v>
      </c>
      <c r="M321" s="7">
        <f t="shared" si="34"/>
        <v>3.0927825263863395E-2</v>
      </c>
      <c r="N321" s="7">
        <f t="shared" si="39"/>
        <v>4.2080679274687949E-2</v>
      </c>
      <c r="O321" s="7">
        <f>('Session Details'!K321-'Session Details'!K314)/'Session Details'!K314</f>
        <v>-1.0309324471696156E-2</v>
      </c>
      <c r="P321" s="7">
        <f>('Session Details'!L321-'Session Details'!L314)/'Session Details'!L314</f>
        <v>-2.8130557364647561E-7</v>
      </c>
      <c r="Q321" s="7">
        <f>('Session Details'!M321-'Session Details'!M314)/'Session Details'!M314</f>
        <v>6.3158844899956684E-2</v>
      </c>
      <c r="R321" s="7">
        <f>('Session Details'!N321-'Session Details'!N314)/'Session Details'!N314</f>
        <v>-9.6155088519985811E-3</v>
      </c>
    </row>
    <row r="322" spans="1:18" hidden="1" x14ac:dyDescent="0.3">
      <c r="A322" s="2">
        <v>43785</v>
      </c>
      <c r="B322" s="3">
        <v>47134238</v>
      </c>
      <c r="C322" s="4">
        <f t="shared" si="35"/>
        <v>2.9411775625882541E-2</v>
      </c>
      <c r="D322" s="3">
        <v>9403280</v>
      </c>
      <c r="E322" s="4">
        <f t="shared" si="36"/>
        <v>-3.1741419330285278E-2</v>
      </c>
      <c r="F322" s="3">
        <v>3037259</v>
      </c>
      <c r="G322" s="4">
        <f t="shared" si="37"/>
        <v>-9.8190566933524473E-2</v>
      </c>
      <c r="H322" s="3">
        <v>2003376</v>
      </c>
      <c r="I322" s="4">
        <f t="shared" si="38"/>
        <v>-0.12524468248149845</v>
      </c>
      <c r="J322" s="3">
        <v>1547007</v>
      </c>
      <c r="K322" s="7">
        <f t="shared" si="32"/>
        <v>3.2821300728358017E-2</v>
      </c>
      <c r="L322" s="7">
        <f t="shared" si="33"/>
        <v>-0.15921567732289399</v>
      </c>
      <c r="M322" s="7">
        <f t="shared" si="34"/>
        <v>2.9411775625882486E-2</v>
      </c>
      <c r="N322" s="7">
        <f t="shared" si="39"/>
        <v>-0.18323809520645018</v>
      </c>
      <c r="O322" s="7">
        <f>('Session Details'!K322-'Session Details'!K315)/'Session Details'!K315</f>
        <v>-5.9405960184384578E-2</v>
      </c>
      <c r="P322" s="7">
        <f>('Session Details'!L322-'Session Details'!L315)/'Session Details'!L315</f>
        <v>-6.8627481263608806E-2</v>
      </c>
      <c r="Q322" s="7">
        <f>('Session Details'!M322-'Session Details'!M315)/'Session Details'!M315</f>
        <v>-2.99998143243859E-2</v>
      </c>
      <c r="R322" s="7">
        <f>('Session Details'!N322-'Session Details'!N315)/'Session Details'!N315</f>
        <v>-3.8834853771182773E-2</v>
      </c>
    </row>
    <row r="323" spans="1:18" x14ac:dyDescent="0.3">
      <c r="A323" s="11">
        <v>43786</v>
      </c>
      <c r="B323" s="12">
        <v>43991955</v>
      </c>
      <c r="C323" s="4">
        <f t="shared" si="35"/>
        <v>-6.6666676567466734E-2</v>
      </c>
      <c r="D323" s="12">
        <v>9330693</v>
      </c>
      <c r="E323" s="4">
        <f t="shared" si="36"/>
        <v>-7.5816996830376876E-2</v>
      </c>
      <c r="F323" s="12">
        <v>1268974</v>
      </c>
      <c r="G323" s="4">
        <f t="shared" si="37"/>
        <v>-0.61087034050616107</v>
      </c>
      <c r="H323" s="12">
        <v>906047</v>
      </c>
      <c r="I323" s="4">
        <f t="shared" si="38"/>
        <v>-0.58307549163249228</v>
      </c>
      <c r="J323" s="12">
        <v>699650</v>
      </c>
      <c r="K323" s="13">
        <f t="shared" ref="K323:K368" si="40">J323/B323</f>
        <v>1.5904044273549561E-2</v>
      </c>
      <c r="L323" s="13">
        <f t="shared" si="33"/>
        <v>-0.57004623700582813</v>
      </c>
      <c r="M323" s="13">
        <f t="shared" si="34"/>
        <v>-6.6666676567466721E-2</v>
      </c>
      <c r="N323" s="13">
        <f t="shared" si="39"/>
        <v>-0.53933524904808428</v>
      </c>
      <c r="O323" s="7">
        <f>('Session Details'!K323-'Session Details'!K316)/'Session Details'!K316</f>
        <v>-9.8039146714037143E-3</v>
      </c>
      <c r="P323" s="7">
        <f>('Session Details'!L323-'Session Details'!L316)/'Session Details'!L316</f>
        <v>-0.57894739660948003</v>
      </c>
      <c r="Q323" s="7">
        <f>('Session Details'!M323-'Session Details'!M316)/'Session Details'!M316</f>
        <v>7.1428245561705489E-2</v>
      </c>
      <c r="R323" s="7">
        <f>('Session Details'!N323-'Session Details'!N316)/'Session Details'!N316</f>
        <v>3.1250872436549566E-2</v>
      </c>
    </row>
    <row r="324" spans="1:18" hidden="1" x14ac:dyDescent="0.3">
      <c r="A324" s="2">
        <v>43787</v>
      </c>
      <c r="B324" s="3">
        <v>22803207</v>
      </c>
      <c r="C324" s="4">
        <f t="shared" si="35"/>
        <v>6.0606040874008095E-2</v>
      </c>
      <c r="D324" s="3">
        <v>5985841</v>
      </c>
      <c r="E324" s="4">
        <f t="shared" si="36"/>
        <v>9.1800299933862795E-2</v>
      </c>
      <c r="F324" s="3">
        <v>2298563</v>
      </c>
      <c r="G324" s="4">
        <f t="shared" si="37"/>
        <v>0.10329294036669505</v>
      </c>
      <c r="H324" s="3">
        <v>1761848</v>
      </c>
      <c r="I324" s="4">
        <f t="shared" si="38"/>
        <v>0.12471568475368069</v>
      </c>
      <c r="J324" s="3">
        <v>1459163</v>
      </c>
      <c r="K324" s="7">
        <f t="shared" si="40"/>
        <v>6.3989376581986918E-2</v>
      </c>
      <c r="L324" s="7">
        <f t="shared" si="33"/>
        <v>0.17109664681616077</v>
      </c>
      <c r="M324" s="7">
        <f t="shared" si="34"/>
        <v>6.0606040874008116E-2</v>
      </c>
      <c r="N324" s="7">
        <f t="shared" si="39"/>
        <v>0.10417685896933171</v>
      </c>
      <c r="O324" s="7">
        <f>('Session Details'!K324-'Session Details'!K317)/'Session Details'!K317</f>
        <v>2.941173051791092E-2</v>
      </c>
      <c r="P324" s="7">
        <f>('Session Details'!L324-'Session Details'!L317)/'Session Details'!L317</f>
        <v>1.0526321007173675E-2</v>
      </c>
      <c r="Q324" s="7">
        <f>('Session Details'!M324-'Session Details'!M317)/'Session Details'!M317</f>
        <v>1.9417095499464958E-2</v>
      </c>
      <c r="R324" s="7">
        <f>('Session Details'!N324-'Session Details'!N317)/'Session Details'!N317</f>
        <v>4.123794367875086E-2</v>
      </c>
    </row>
    <row r="325" spans="1:18" hidden="1" x14ac:dyDescent="0.3">
      <c r="A325" s="2">
        <v>43788</v>
      </c>
      <c r="B325" s="3">
        <v>21282993</v>
      </c>
      <c r="C325" s="4">
        <f t="shared" si="35"/>
        <v>3.1578937674493719E-2</v>
      </c>
      <c r="D325" s="3">
        <v>5373955</v>
      </c>
      <c r="E325" s="4">
        <f t="shared" si="36"/>
        <v>9.6731329594810095E-2</v>
      </c>
      <c r="F325" s="3">
        <v>2149582</v>
      </c>
      <c r="G325" s="4">
        <f t="shared" si="37"/>
        <v>6.478785053811964E-2</v>
      </c>
      <c r="H325" s="3">
        <v>1537811</v>
      </c>
      <c r="I325" s="4">
        <f t="shared" si="38"/>
        <v>-6.1981308024676197E-3</v>
      </c>
      <c r="J325" s="3">
        <v>1197954</v>
      </c>
      <c r="K325" s="7">
        <f t="shared" si="40"/>
        <v>5.6286914157233428E-2</v>
      </c>
      <c r="L325" s="7">
        <f t="shared" si="33"/>
        <v>-2.6689080218361472E-2</v>
      </c>
      <c r="M325" s="7">
        <f t="shared" si="34"/>
        <v>3.1578937674493712E-2</v>
      </c>
      <c r="N325" s="7">
        <f t="shared" si="39"/>
        <v>-5.6484303590193408E-2</v>
      </c>
      <c r="O325" s="7">
        <f>('Session Details'!K325-'Session Details'!K318)/'Session Details'!K318</f>
        <v>6.3157931536669973E-2</v>
      </c>
      <c r="P325" s="7">
        <f>('Session Details'!L325-'Session Details'!L318)/'Session Details'!L318</f>
        <v>-2.912607508758961E-2</v>
      </c>
      <c r="Q325" s="7">
        <f>('Session Details'!M325-'Session Details'!M318)/'Session Details'!M318</f>
        <v>-6.6666783721013145E-2</v>
      </c>
      <c r="R325" s="7">
        <f>('Session Details'!N325-'Session Details'!N318)/'Session Details'!N318</f>
        <v>-2.0618747107448845E-2</v>
      </c>
    </row>
    <row r="326" spans="1:18" hidden="1" x14ac:dyDescent="0.3">
      <c r="A326" s="2">
        <v>43789</v>
      </c>
      <c r="B326" s="3">
        <v>22368860</v>
      </c>
      <c r="C326" s="4">
        <f t="shared" si="35"/>
        <v>4.0404011745583182E-2</v>
      </c>
      <c r="D326" s="3">
        <v>5648137</v>
      </c>
      <c r="E326" s="4">
        <f t="shared" si="36"/>
        <v>7.6969513233387545E-4</v>
      </c>
      <c r="F326" s="3">
        <v>2281847</v>
      </c>
      <c r="G326" s="4">
        <f t="shared" si="37"/>
        <v>-9.0416894844109023E-3</v>
      </c>
      <c r="H326" s="3">
        <v>1649091</v>
      </c>
      <c r="I326" s="4">
        <f t="shared" si="38"/>
        <v>-5.6683932192531108E-2</v>
      </c>
      <c r="J326" s="3">
        <v>1338732</v>
      </c>
      <c r="K326" s="7">
        <f t="shared" si="40"/>
        <v>5.9848020864719971E-2</v>
      </c>
      <c r="L326" s="7">
        <f t="shared" si="33"/>
        <v>-1.6965332095788321E-2</v>
      </c>
      <c r="M326" s="7">
        <f t="shared" si="34"/>
        <v>4.0404011745583279E-2</v>
      </c>
      <c r="N326" s="7">
        <f t="shared" si="39"/>
        <v>-5.5141409677109565E-2</v>
      </c>
      <c r="O326" s="7">
        <f>('Session Details'!K326-'Session Details'!K319)/'Session Details'!K319</f>
        <v>-3.8095120900919148E-2</v>
      </c>
      <c r="P326" s="7">
        <f>('Session Details'!L326-'Session Details'!L319)/'Session Details'!L319</f>
        <v>-9.8038386498577965E-3</v>
      </c>
      <c r="Q326" s="7">
        <f>('Session Details'!M326-'Session Details'!M319)/'Session Details'!M319</f>
        <v>-4.8076939466133777E-2</v>
      </c>
      <c r="R326" s="7">
        <f>('Session Details'!N326-'Session Details'!N319)/'Session Details'!N319</f>
        <v>4.2105293710367801E-2</v>
      </c>
    </row>
    <row r="327" spans="1:18" hidden="1" x14ac:dyDescent="0.3">
      <c r="A327" s="2">
        <v>43790</v>
      </c>
      <c r="B327" s="3">
        <v>21282993</v>
      </c>
      <c r="C327" s="4">
        <f t="shared" si="35"/>
        <v>2.0833343325988653E-2</v>
      </c>
      <c r="D327" s="3">
        <v>5054710</v>
      </c>
      <c r="E327" s="4">
        <f t="shared" si="36"/>
        <v>-2.0412632460213485E-2</v>
      </c>
      <c r="F327" s="3">
        <v>2102759</v>
      </c>
      <c r="G327" s="4">
        <f t="shared" si="37"/>
        <v>-1.0902021509584484E-2</v>
      </c>
      <c r="H327" s="3">
        <v>1550364</v>
      </c>
      <c r="I327" s="4">
        <f t="shared" si="38"/>
        <v>-4.8582106496965385E-2</v>
      </c>
      <c r="J327" s="3">
        <v>1220447</v>
      </c>
      <c r="K327" s="7">
        <f t="shared" si="40"/>
        <v>5.7343767392114449E-2</v>
      </c>
      <c r="L327" s="7">
        <f t="shared" si="33"/>
        <v>-9.5681832159261737E-2</v>
      </c>
      <c r="M327" s="7">
        <f t="shared" si="34"/>
        <v>2.0833343325988629E-2</v>
      </c>
      <c r="N327" s="7">
        <f t="shared" si="39"/>
        <v>-0.11413731364380297</v>
      </c>
      <c r="O327" s="7">
        <f>('Session Details'!K327-'Session Details'!K320)/'Session Details'!K320</f>
        <v>-4.04042207828147E-2</v>
      </c>
      <c r="P327" s="7">
        <f>('Session Details'!L327-'Session Details'!L320)/'Session Details'!L320</f>
        <v>9.7087929732236709E-3</v>
      </c>
      <c r="Q327" s="7">
        <f>('Session Details'!M327-'Session Details'!M320)/'Session Details'!M320</f>
        <v>-3.8095401878071991E-2</v>
      </c>
      <c r="R327" s="7">
        <f>('Session Details'!N327-'Session Details'!N320)/'Session Details'!N320</f>
        <v>-4.9504771755846916E-2</v>
      </c>
    </row>
    <row r="328" spans="1:18" hidden="1" x14ac:dyDescent="0.3">
      <c r="A328" s="2">
        <v>43791</v>
      </c>
      <c r="B328" s="3">
        <v>22803207</v>
      </c>
      <c r="C328" s="4">
        <f t="shared" si="35"/>
        <v>0.05</v>
      </c>
      <c r="D328" s="3">
        <v>5529777</v>
      </c>
      <c r="E328" s="4">
        <f t="shared" si="36"/>
        <v>6.0937488308592157E-2</v>
      </c>
      <c r="F328" s="3">
        <v>2300387</v>
      </c>
      <c r="G328" s="4">
        <f t="shared" si="37"/>
        <v>8.1740425033657624E-2</v>
      </c>
      <c r="H328" s="3">
        <v>1763247</v>
      </c>
      <c r="I328" s="4">
        <f t="shared" si="38"/>
        <v>0.12458145025811365</v>
      </c>
      <c r="J328" s="3">
        <v>1518155</v>
      </c>
      <c r="K328" s="7">
        <f t="shared" si="40"/>
        <v>6.6576381120427491E-2</v>
      </c>
      <c r="L328" s="7">
        <f t="shared" si="33"/>
        <v>0.14641762191714625</v>
      </c>
      <c r="M328" s="7">
        <f t="shared" si="34"/>
        <v>5.0000000000000044E-2</v>
      </c>
      <c r="N328" s="7">
        <f t="shared" si="39"/>
        <v>9.1826306587758255E-2</v>
      </c>
      <c r="O328" s="7">
        <f>('Session Details'!K328-'Session Details'!K321)/'Session Details'!K321</f>
        <v>1.0416655531992497E-2</v>
      </c>
      <c r="P328" s="7">
        <f>('Session Details'!L328-'Session Details'!L321)/'Session Details'!L321</f>
        <v>1.9608070177848758E-2</v>
      </c>
      <c r="Q328" s="7">
        <f>('Session Details'!M328-'Session Details'!M321)/'Session Details'!M321</f>
        <v>3.9603794249552182E-2</v>
      </c>
      <c r="R328" s="7">
        <f>('Session Details'!N328-'Session Details'!N321)/'Session Details'!N321</f>
        <v>1.9417154403552239E-2</v>
      </c>
    </row>
    <row r="329" spans="1:18" hidden="1" x14ac:dyDescent="0.3">
      <c r="A329" s="2">
        <v>43792</v>
      </c>
      <c r="B329" s="3">
        <v>45787545</v>
      </c>
      <c r="C329" s="4">
        <f t="shared" si="35"/>
        <v>-2.8571438876342926E-2</v>
      </c>
      <c r="D329" s="3">
        <v>9519230</v>
      </c>
      <c r="E329" s="4">
        <f t="shared" si="36"/>
        <v>1.2330803719553177E-2</v>
      </c>
      <c r="F329" s="3">
        <v>3268903</v>
      </c>
      <c r="G329" s="4">
        <f t="shared" si="37"/>
        <v>7.6267450355731931E-2</v>
      </c>
      <c r="H329" s="3">
        <v>2133940</v>
      </c>
      <c r="I329" s="4">
        <f t="shared" si="38"/>
        <v>6.5171989681417769E-2</v>
      </c>
      <c r="J329" s="3">
        <v>1631184</v>
      </c>
      <c r="K329" s="7">
        <f t="shared" si="40"/>
        <v>3.5625059172751015E-2</v>
      </c>
      <c r="L329" s="7">
        <f t="shared" si="33"/>
        <v>5.4412811318888643E-2</v>
      </c>
      <c r="M329" s="7">
        <f t="shared" si="34"/>
        <v>-2.8571438876342947E-2</v>
      </c>
      <c r="N329" s="7">
        <f t="shared" si="39"/>
        <v>8.5424964342455612E-2</v>
      </c>
      <c r="O329" s="7">
        <f>('Session Details'!K329-'Session Details'!K322)/'Session Details'!K322</f>
        <v>4.2105250177722021E-2</v>
      </c>
      <c r="P329" s="7">
        <f>('Session Details'!L329-'Session Details'!L322)/'Session Details'!L322</f>
        <v>6.3157859467735014E-2</v>
      </c>
      <c r="Q329" s="7">
        <f>('Session Details'!M329-'Session Details'!M322)/'Session Details'!M322</f>
        <v>-1.0309203972160209E-2</v>
      </c>
      <c r="R329" s="7">
        <f>('Session Details'!N329-'Session Details'!N322)/'Session Details'!N322</f>
        <v>-1.0100883675834423E-2</v>
      </c>
    </row>
    <row r="330" spans="1:18" x14ac:dyDescent="0.3">
      <c r="A330" s="11">
        <v>43793</v>
      </c>
      <c r="B330" s="12">
        <v>46236443</v>
      </c>
      <c r="C330" s="4">
        <f t="shared" si="35"/>
        <v>5.1020419528979788E-2</v>
      </c>
      <c r="D330" s="12">
        <v>9709653</v>
      </c>
      <c r="E330" s="4">
        <f t="shared" si="36"/>
        <v>4.0614346651422356E-2</v>
      </c>
      <c r="F330" s="12">
        <v>3301282</v>
      </c>
      <c r="G330" s="4">
        <f t="shared" si="37"/>
        <v>1.6015363592949894</v>
      </c>
      <c r="H330" s="12">
        <v>2177525</v>
      </c>
      <c r="I330" s="4">
        <f t="shared" si="38"/>
        <v>1.4033245515961092</v>
      </c>
      <c r="J330" s="12">
        <v>1647515</v>
      </c>
      <c r="K330" s="13">
        <f t="shared" si="40"/>
        <v>3.5632390666384087E-2</v>
      </c>
      <c r="L330" s="13">
        <f t="shared" ref="L330:L368" si="41">(J330/J323)-1</f>
        <v>1.3547702422639891</v>
      </c>
      <c r="M330" s="13">
        <f t="shared" ref="M330:M368" si="42">(B330/B323)-1</f>
        <v>5.1020419528979843E-2</v>
      </c>
      <c r="N330" s="13">
        <f t="shared" si="39"/>
        <v>1.2404609829743283</v>
      </c>
      <c r="O330" s="7">
        <f>('Session Details'!K330-'Session Details'!K323)/'Session Details'!K323</f>
        <v>-9.9009236016755799E-3</v>
      </c>
      <c r="P330" s="7">
        <f>('Session Details'!L330-'Session Details'!L323)/'Session Details'!L323</f>
        <v>1.5000004734380561</v>
      </c>
      <c r="Q330" s="7">
        <f>('Session Details'!M330-'Session Details'!M323)/'Session Details'!M323</f>
        <v>-7.6190289246080387E-2</v>
      </c>
      <c r="R330" s="7">
        <f>('Session Details'!N330-'Session Details'!N323)/'Session Details'!N323</f>
        <v>-2.0202976456040349E-2</v>
      </c>
    </row>
    <row r="331" spans="1:18" hidden="1" x14ac:dyDescent="0.3">
      <c r="A331" s="2">
        <v>43794</v>
      </c>
      <c r="B331" s="3">
        <v>22151687</v>
      </c>
      <c r="C331" s="4">
        <f t="shared" ref="C331:C368" si="43">(B331-B324)/B324</f>
        <v>-2.8571419800732415E-2</v>
      </c>
      <c r="D331" s="3">
        <v>5593301</v>
      </c>
      <c r="E331" s="4">
        <f t="shared" ref="E331:E368" si="44">(D331-D324)/D324</f>
        <v>-6.5578086688236462E-2</v>
      </c>
      <c r="F331" s="3">
        <v>2237320</v>
      </c>
      <c r="G331" s="4">
        <f t="shared" ref="G331:G368" si="45">(F331-F324)/F324</f>
        <v>-2.6644038035938105E-2</v>
      </c>
      <c r="H331" s="3">
        <v>1698573</v>
      </c>
      <c r="I331" s="4">
        <f t="shared" ref="I331:I368" si="46">(H331-H324)/H324</f>
        <v>-3.5913994850861143E-2</v>
      </c>
      <c r="J331" s="3">
        <v>1364973</v>
      </c>
      <c r="K331" s="7">
        <f t="shared" si="40"/>
        <v>6.1619370118402267E-2</v>
      </c>
      <c r="L331" s="7">
        <f t="shared" si="41"/>
        <v>-6.4550704753341459E-2</v>
      </c>
      <c r="M331" s="7">
        <f t="shared" si="42"/>
        <v>-2.8571419800732412E-2</v>
      </c>
      <c r="N331" s="7">
        <f t="shared" ref="N331:N368" si="47">(K331/K324)-1</f>
        <v>-3.7037498881522302E-2</v>
      </c>
      <c r="O331" s="7">
        <f>('Session Details'!K331-'Session Details'!K324)/'Session Details'!K324</f>
        <v>-3.8095097922600664E-2</v>
      </c>
      <c r="P331" s="7">
        <f>('Session Details'!L331-'Session Details'!L324)/'Session Details'!L324</f>
        <v>4.16664550538084E-2</v>
      </c>
      <c r="Q331" s="7">
        <f>('Session Details'!M331-'Session Details'!M324)/'Session Details'!M324</f>
        <v>-9.5237068217240914E-3</v>
      </c>
      <c r="R331" s="7">
        <f>('Session Details'!N331-'Session Details'!N324)/'Session Details'!N324</f>
        <v>-2.970348055000583E-2</v>
      </c>
    </row>
    <row r="332" spans="1:18" hidden="1" x14ac:dyDescent="0.3">
      <c r="A332" s="2">
        <v>43795</v>
      </c>
      <c r="B332" s="3">
        <v>21065820</v>
      </c>
      <c r="C332" s="4">
        <f t="shared" si="43"/>
        <v>-1.0204062934193512E-2</v>
      </c>
      <c r="D332" s="3">
        <v>5424448</v>
      </c>
      <c r="E332" s="4">
        <f t="shared" si="44"/>
        <v>9.3958732441935221E-3</v>
      </c>
      <c r="F332" s="3">
        <v>2191477</v>
      </c>
      <c r="G332" s="4">
        <f t="shared" si="45"/>
        <v>1.948983569828925E-2</v>
      </c>
      <c r="H332" s="3">
        <v>1519789</v>
      </c>
      <c r="I332" s="4">
        <f t="shared" si="46"/>
        <v>-1.1719255487182756E-2</v>
      </c>
      <c r="J332" s="3">
        <v>1258689</v>
      </c>
      <c r="K332" s="7">
        <f t="shared" si="40"/>
        <v>5.97502969264904E-2</v>
      </c>
      <c r="L332" s="7">
        <f t="shared" si="41"/>
        <v>5.0698941695590971E-2</v>
      </c>
      <c r="M332" s="7">
        <f t="shared" si="42"/>
        <v>-1.0204062934193514E-2</v>
      </c>
      <c r="N332" s="7">
        <f t="shared" si="47"/>
        <v>6.1530869494502038E-2</v>
      </c>
      <c r="O332" s="7">
        <f>('Session Details'!K332-'Session Details'!K325)/'Session Details'!K325</f>
        <v>1.9801997002018283E-2</v>
      </c>
      <c r="P332" s="7">
        <f>('Session Details'!L332-'Session Details'!L325)/'Session Details'!L325</f>
        <v>1.0000003687010983E-2</v>
      </c>
      <c r="Q332" s="7">
        <f>('Session Details'!M332-'Session Details'!M325)/'Session Details'!M325</f>
        <v>-3.0612459381800163E-2</v>
      </c>
      <c r="R332" s="7">
        <f>('Session Details'!N332-'Session Details'!N325)/'Session Details'!N325</f>
        <v>6.3158366212571898E-2</v>
      </c>
    </row>
    <row r="333" spans="1:18" hidden="1" x14ac:dyDescent="0.3">
      <c r="A333" s="2">
        <v>43796</v>
      </c>
      <c r="B333" s="3">
        <v>22803207</v>
      </c>
      <c r="C333" s="4">
        <f t="shared" si="43"/>
        <v>1.9417484842768028E-2</v>
      </c>
      <c r="D333" s="3">
        <v>5985841</v>
      </c>
      <c r="E333" s="4">
        <f t="shared" si="44"/>
        <v>5.9790334405840369E-2</v>
      </c>
      <c r="F333" s="3">
        <v>2442223</v>
      </c>
      <c r="G333" s="4">
        <f t="shared" si="45"/>
        <v>7.0283415145713096E-2</v>
      </c>
      <c r="H333" s="3">
        <v>1729338</v>
      </c>
      <c r="I333" s="4">
        <f t="shared" si="46"/>
        <v>4.8661353436529581E-2</v>
      </c>
      <c r="J333" s="3">
        <v>1347154</v>
      </c>
      <c r="K333" s="7">
        <f t="shared" si="40"/>
        <v>5.9077392052793276E-2</v>
      </c>
      <c r="L333" s="7">
        <f t="shared" si="41"/>
        <v>6.2910276291296974E-3</v>
      </c>
      <c r="M333" s="7">
        <f t="shared" si="42"/>
        <v>1.9417484842767951E-2</v>
      </c>
      <c r="N333" s="7">
        <f t="shared" si="47"/>
        <v>-1.2876429342059903E-2</v>
      </c>
      <c r="O333" s="7">
        <f>('Session Details'!K333-'Session Details'!K326)/'Session Details'!K326</f>
        <v>3.9603842550630264E-2</v>
      </c>
      <c r="P333" s="7">
        <f>('Session Details'!L333-'Session Details'!L326)/'Session Details'!L326</f>
        <v>9.901091186829478E-3</v>
      </c>
      <c r="Q333" s="7">
        <f>('Session Details'!M333-'Session Details'!M326)/'Session Details'!M326</f>
        <v>-2.0202183275202699E-2</v>
      </c>
      <c r="R333" s="7">
        <f>('Session Details'!N333-'Session Details'!N326)/'Session Details'!N326</f>
        <v>-4.0404202623229822E-2</v>
      </c>
    </row>
    <row r="334" spans="1:18" hidden="1" x14ac:dyDescent="0.3">
      <c r="A334" s="2">
        <v>43797</v>
      </c>
      <c r="B334" s="3">
        <v>22803207</v>
      </c>
      <c r="C334" s="4">
        <f t="shared" si="43"/>
        <v>7.1428581496972718E-2</v>
      </c>
      <c r="D334" s="3">
        <v>5472769</v>
      </c>
      <c r="E334" s="4">
        <f t="shared" si="44"/>
        <v>8.270682195417739E-2</v>
      </c>
      <c r="F334" s="3">
        <v>2123434</v>
      </c>
      <c r="G334" s="4">
        <f t="shared" si="45"/>
        <v>9.8323202991878762E-3</v>
      </c>
      <c r="H334" s="3">
        <v>1519105</v>
      </c>
      <c r="I334" s="4">
        <f t="shared" si="46"/>
        <v>-2.0162361871147678E-2</v>
      </c>
      <c r="J334" s="3">
        <v>1295492</v>
      </c>
      <c r="K334" s="7">
        <f t="shared" si="40"/>
        <v>5.6811833528503247E-2</v>
      </c>
      <c r="L334" s="7">
        <f t="shared" si="41"/>
        <v>6.1489765635050153E-2</v>
      </c>
      <c r="M334" s="7">
        <f t="shared" si="42"/>
        <v>7.1428581496972621E-2</v>
      </c>
      <c r="N334" s="7">
        <f t="shared" si="47"/>
        <v>-9.2762280506242245E-3</v>
      </c>
      <c r="O334" s="7">
        <f>('Session Details'!K334-'Session Details'!K327)/'Session Details'!K327</f>
        <v>1.0526357661139692E-2</v>
      </c>
      <c r="P334" s="7">
        <f>('Session Details'!L334-'Session Details'!L327)/'Session Details'!L327</f>
        <v>-6.7307696023802974E-2</v>
      </c>
      <c r="Q334" s="7">
        <f>('Session Details'!M334-'Session Details'!M327)/'Session Details'!M327</f>
        <v>-2.9702636336148183E-2</v>
      </c>
      <c r="R334" s="7">
        <f>('Session Details'!N334-'Session Details'!N327)/'Session Details'!N327</f>
        <v>8.3332303566256968E-2</v>
      </c>
    </row>
    <row r="335" spans="1:18" hidden="1" x14ac:dyDescent="0.3">
      <c r="A335" s="2">
        <v>43798</v>
      </c>
      <c r="B335" s="3">
        <v>21717340</v>
      </c>
      <c r="C335" s="4">
        <f t="shared" si="43"/>
        <v>-4.7619047619047616E-2</v>
      </c>
      <c r="D335" s="3">
        <v>5537921</v>
      </c>
      <c r="E335" s="4">
        <f t="shared" si="44"/>
        <v>1.472753783742093E-3</v>
      </c>
      <c r="F335" s="3">
        <v>2170865</v>
      </c>
      <c r="G335" s="4">
        <f t="shared" si="45"/>
        <v>-5.6304439209576479E-2</v>
      </c>
      <c r="H335" s="3">
        <v>1584731</v>
      </c>
      <c r="I335" s="4">
        <f t="shared" si="46"/>
        <v>-0.10124276405971483</v>
      </c>
      <c r="J335" s="3">
        <v>1364454</v>
      </c>
      <c r="K335" s="7">
        <f t="shared" si="40"/>
        <v>6.2827860133883806E-2</v>
      </c>
      <c r="L335" s="7">
        <f t="shared" si="41"/>
        <v>-0.1012419680467409</v>
      </c>
      <c r="M335" s="7">
        <f t="shared" si="42"/>
        <v>-4.7619047619047672E-2</v>
      </c>
      <c r="N335" s="7">
        <f t="shared" si="47"/>
        <v>-5.6304066449077927E-2</v>
      </c>
      <c r="O335" s="7">
        <f>('Session Details'!K335-'Session Details'!K328)/'Session Details'!K328</f>
        <v>5.1546391472929234E-2</v>
      </c>
      <c r="P335" s="7">
        <f>('Session Details'!L335-'Session Details'!L328)/'Session Details'!L328</f>
        <v>-5.7692226548376913E-2</v>
      </c>
      <c r="Q335" s="7">
        <f>('Session Details'!M335-'Session Details'!M328)/'Session Details'!M328</f>
        <v>-4.7619514933925106E-2</v>
      </c>
      <c r="R335" s="7">
        <f>('Session Details'!N335-'Session Details'!N328)/'Session Details'!N328</f>
        <v>8.8568185276819617E-7</v>
      </c>
    </row>
    <row r="336" spans="1:18" hidden="1" x14ac:dyDescent="0.3">
      <c r="A336" s="2">
        <v>43799</v>
      </c>
      <c r="B336" s="3">
        <v>47134238</v>
      </c>
      <c r="C336" s="4">
        <f t="shared" si="43"/>
        <v>2.9411775625882541E-2</v>
      </c>
      <c r="D336" s="3">
        <v>10195135</v>
      </c>
      <c r="E336" s="4">
        <f t="shared" si="44"/>
        <v>7.1004167353872105E-2</v>
      </c>
      <c r="F336" s="3">
        <v>3327692</v>
      </c>
      <c r="G336" s="4">
        <f t="shared" si="45"/>
        <v>1.798432073389758E-2</v>
      </c>
      <c r="H336" s="3">
        <v>2308087</v>
      </c>
      <c r="I336" s="4">
        <f t="shared" si="46"/>
        <v>8.1608198918432573E-2</v>
      </c>
      <c r="J336" s="3">
        <v>1728295</v>
      </c>
      <c r="K336" s="7">
        <f t="shared" si="40"/>
        <v>3.6667506961712205E-2</v>
      </c>
      <c r="L336" s="7">
        <f t="shared" si="41"/>
        <v>5.9534056243808253E-2</v>
      </c>
      <c r="M336" s="7">
        <f t="shared" si="42"/>
        <v>2.9411775625882486E-2</v>
      </c>
      <c r="N336" s="7">
        <f t="shared" si="47"/>
        <v>2.9261643718434538E-2</v>
      </c>
      <c r="O336" s="7">
        <f>('Session Details'!K336-'Session Details'!K329)/'Session Details'!K329</f>
        <v>4.0404037250012348E-2</v>
      </c>
      <c r="P336" s="7">
        <f>('Session Details'!L336-'Session Details'!L329)/'Session Details'!L329</f>
        <v>-4.9504799548045222E-2</v>
      </c>
      <c r="Q336" s="7">
        <f>('Session Details'!M336-'Session Details'!M329)/'Session Details'!M329</f>
        <v>6.2499860644873562E-2</v>
      </c>
      <c r="R336" s="7">
        <f>('Session Details'!N336-'Session Details'!N329)/'Session Details'!N329</f>
        <v>-2.0408631052073887E-2</v>
      </c>
    </row>
    <row r="337" spans="1:18" x14ac:dyDescent="0.3">
      <c r="A337" s="11">
        <v>43800</v>
      </c>
      <c r="B337" s="12">
        <v>46685340</v>
      </c>
      <c r="C337" s="4">
        <f t="shared" si="43"/>
        <v>9.7087269451069155E-3</v>
      </c>
      <c r="D337" s="12">
        <v>10196078</v>
      </c>
      <c r="E337" s="4">
        <f t="shared" si="44"/>
        <v>5.0097052901890524E-2</v>
      </c>
      <c r="F337" s="12">
        <v>3501333</v>
      </c>
      <c r="G337" s="4">
        <f t="shared" si="45"/>
        <v>6.0597973756861725E-2</v>
      </c>
      <c r="H337" s="12">
        <v>2452333</v>
      </c>
      <c r="I337" s="4">
        <f t="shared" si="46"/>
        <v>0.12620199538466836</v>
      </c>
      <c r="J337" s="12">
        <v>1989333</v>
      </c>
      <c r="K337" s="13">
        <f t="shared" si="40"/>
        <v>4.2611513592918031E-2</v>
      </c>
      <c r="L337" s="13">
        <f t="shared" si="41"/>
        <v>0.20747489400703478</v>
      </c>
      <c r="M337" s="13">
        <f t="shared" si="42"/>
        <v>9.708726945106827E-3</v>
      </c>
      <c r="N337" s="13">
        <f t="shared" si="47"/>
        <v>0.19586457141979285</v>
      </c>
      <c r="O337" s="7">
        <f>('Session Details'!K337-'Session Details'!K330)/'Session Details'!K330</f>
        <v>3.9999977101296623E-2</v>
      </c>
      <c r="P337" s="7">
        <f>('Session Details'!L337-'Session Details'!L330)/'Session Details'!L330</f>
        <v>9.9999526957555134E-3</v>
      </c>
      <c r="Q337" s="7">
        <f>('Session Details'!M337-'Session Details'!M330)/'Session Details'!M330</f>
        <v>6.1855692025719632E-2</v>
      </c>
      <c r="R337" s="7">
        <f>('Session Details'!N337-'Session Details'!N330)/'Session Details'!N330</f>
        <v>7.2165472051580443E-2</v>
      </c>
    </row>
    <row r="338" spans="1:18" hidden="1" x14ac:dyDescent="0.3">
      <c r="A338" s="2">
        <v>43801</v>
      </c>
      <c r="B338" s="3">
        <v>21500167</v>
      </c>
      <c r="C338" s="4">
        <f t="shared" si="43"/>
        <v>-2.9411755411675868E-2</v>
      </c>
      <c r="D338" s="3">
        <v>5643793</v>
      </c>
      <c r="E338" s="4">
        <f t="shared" si="44"/>
        <v>9.0272273921964859E-3</v>
      </c>
      <c r="F338" s="3">
        <v>2212367</v>
      </c>
      <c r="G338" s="4">
        <f t="shared" si="45"/>
        <v>-1.1153076001644825E-2</v>
      </c>
      <c r="H338" s="3">
        <v>1582727</v>
      </c>
      <c r="I338" s="4">
        <f t="shared" si="46"/>
        <v>-6.8201955406096762E-2</v>
      </c>
      <c r="J338" s="3">
        <v>1310814</v>
      </c>
      <c r="K338" s="7">
        <f t="shared" si="40"/>
        <v>6.0967619460816282E-2</v>
      </c>
      <c r="L338" s="7">
        <f t="shared" si="41"/>
        <v>-3.9677707910705906E-2</v>
      </c>
      <c r="M338" s="7">
        <f t="shared" si="42"/>
        <v>-2.9411755411675844E-2</v>
      </c>
      <c r="N338" s="7">
        <f t="shared" si="47"/>
        <v>-1.0577041867413484E-2</v>
      </c>
      <c r="O338" s="7">
        <f>('Session Details'!K338-'Session Details'!K331)/'Session Details'!K331</f>
        <v>3.9603800085355564E-2</v>
      </c>
      <c r="P338" s="7">
        <f>('Session Details'!L338-'Session Details'!L331)/'Session Details'!L331</f>
        <v>-1.9999761003473327E-2</v>
      </c>
      <c r="Q338" s="7">
        <f>('Session Details'!M338-'Session Details'!M331)/'Session Details'!M331</f>
        <v>-5.7692326304437096E-2</v>
      </c>
      <c r="R338" s="7">
        <f>('Session Details'!N338-'Session Details'!N331)/'Session Details'!N331</f>
        <v>3.0612049103217624E-2</v>
      </c>
    </row>
    <row r="339" spans="1:18" hidden="1" x14ac:dyDescent="0.3">
      <c r="A339" s="2">
        <v>43802</v>
      </c>
      <c r="B339" s="3">
        <v>20848646</v>
      </c>
      <c r="C339" s="4">
        <f t="shared" si="43"/>
        <v>-1.0309306734795987E-2</v>
      </c>
      <c r="D339" s="3">
        <v>5420648</v>
      </c>
      <c r="E339" s="4">
        <f t="shared" si="44"/>
        <v>-7.0053210944228794E-4</v>
      </c>
      <c r="F339" s="3">
        <v>2254989</v>
      </c>
      <c r="G339" s="4">
        <f t="shared" si="45"/>
        <v>2.898136736091686E-2</v>
      </c>
      <c r="H339" s="3">
        <v>1580296</v>
      </c>
      <c r="I339" s="4">
        <f t="shared" si="46"/>
        <v>3.9812763482299188E-2</v>
      </c>
      <c r="J339" s="3">
        <v>1282884</v>
      </c>
      <c r="K339" s="7">
        <f t="shared" si="40"/>
        <v>6.1533204602351635E-2</v>
      </c>
      <c r="L339" s="7">
        <f t="shared" si="41"/>
        <v>1.9222381382533626E-2</v>
      </c>
      <c r="M339" s="7">
        <f t="shared" si="42"/>
        <v>-1.030930673479602E-2</v>
      </c>
      <c r="N339" s="7">
        <f t="shared" si="47"/>
        <v>2.9839310724341761E-2</v>
      </c>
      <c r="O339" s="7">
        <f>('Session Details'!K339-'Session Details'!K332)/'Session Details'!K332</f>
        <v>9.7088663061508026E-3</v>
      </c>
      <c r="P339" s="7">
        <f>('Session Details'!L339-'Session Details'!L332)/'Session Details'!L332</f>
        <v>2.9702707170469442E-2</v>
      </c>
      <c r="Q339" s="7">
        <f>('Session Details'!M339-'Session Details'!M332)/'Session Details'!M332</f>
        <v>1.0526328721735945E-2</v>
      </c>
      <c r="R339" s="7">
        <f>('Session Details'!N339-'Session Details'!N332)/'Session Details'!N332</f>
        <v>-1.980200938369794E-2</v>
      </c>
    </row>
    <row r="340" spans="1:18" hidden="1" x14ac:dyDescent="0.3">
      <c r="A340" s="2">
        <v>43803</v>
      </c>
      <c r="B340" s="3">
        <v>22368860</v>
      </c>
      <c r="C340" s="4">
        <f t="shared" si="43"/>
        <v>-1.9047627818315205E-2</v>
      </c>
      <c r="D340" s="3">
        <v>5759981</v>
      </c>
      <c r="E340" s="4">
        <f t="shared" si="44"/>
        <v>-3.7732375450667668E-2</v>
      </c>
      <c r="F340" s="3">
        <v>2280952</v>
      </c>
      <c r="G340" s="4">
        <f t="shared" si="45"/>
        <v>-6.603451036207586E-2</v>
      </c>
      <c r="H340" s="3">
        <v>1581840</v>
      </c>
      <c r="I340" s="4">
        <f t="shared" si="46"/>
        <v>-8.5291597131387856E-2</v>
      </c>
      <c r="J340" s="3">
        <v>1336022</v>
      </c>
      <c r="K340" s="7">
        <f t="shared" si="40"/>
        <v>5.9726870300945152E-2</v>
      </c>
      <c r="L340" s="7">
        <f t="shared" si="41"/>
        <v>-8.263346284092199E-3</v>
      </c>
      <c r="M340" s="7">
        <f t="shared" si="42"/>
        <v>-1.9047627818315149E-2</v>
      </c>
      <c r="N340" s="7">
        <f t="shared" si="47"/>
        <v>1.0993685157453914E-2</v>
      </c>
      <c r="O340" s="7">
        <f>('Session Details'!K340-'Session Details'!K333)/'Session Details'!K333</f>
        <v>-1.9047558436294722E-2</v>
      </c>
      <c r="P340" s="7">
        <f>('Session Details'!L340-'Session Details'!L333)/'Session Details'!L333</f>
        <v>-2.9411916383098931E-2</v>
      </c>
      <c r="Q340" s="7">
        <f>('Session Details'!M340-'Session Details'!M333)/'Session Details'!M333</f>
        <v>-2.0618627757624654E-2</v>
      </c>
      <c r="R340" s="7">
        <f>('Session Details'!N340-'Session Details'!N333)/'Session Details'!N333</f>
        <v>8.4210717432711607E-2</v>
      </c>
    </row>
    <row r="341" spans="1:18" hidden="1" x14ac:dyDescent="0.3">
      <c r="A341" s="2">
        <v>43804</v>
      </c>
      <c r="B341" s="3">
        <v>22586034</v>
      </c>
      <c r="C341" s="4">
        <f t="shared" si="43"/>
        <v>-9.5237919824172103E-3</v>
      </c>
      <c r="D341" s="3">
        <v>5815903</v>
      </c>
      <c r="E341" s="4">
        <f t="shared" si="44"/>
        <v>6.2698425605027364E-2</v>
      </c>
      <c r="F341" s="3">
        <v>2419415</v>
      </c>
      <c r="G341" s="4">
        <f t="shared" si="45"/>
        <v>0.13938789715150082</v>
      </c>
      <c r="H341" s="3">
        <v>1783835</v>
      </c>
      <c r="I341" s="4">
        <f t="shared" si="46"/>
        <v>0.17426708489538248</v>
      </c>
      <c r="J341" s="3">
        <v>1418862</v>
      </c>
      <c r="K341" s="7">
        <f t="shared" si="40"/>
        <v>6.2820325162000548E-2</v>
      </c>
      <c r="L341" s="7">
        <f t="shared" si="41"/>
        <v>9.5230229133024258E-2</v>
      </c>
      <c r="M341" s="7">
        <f t="shared" si="42"/>
        <v>-9.5237919824172623E-3</v>
      </c>
      <c r="N341" s="7">
        <f t="shared" si="47"/>
        <v>0.10576126944543618</v>
      </c>
      <c r="O341" s="7">
        <f>('Session Details'!K341-'Session Details'!K334)/'Session Details'!K334</f>
        <v>7.2916660695965488E-2</v>
      </c>
      <c r="P341" s="7">
        <f>('Session Details'!L341-'Session Details'!L334)/'Session Details'!L334</f>
        <v>7.2164849122470273E-2</v>
      </c>
      <c r="Q341" s="7">
        <f>('Session Details'!M341-'Session Details'!M334)/'Session Details'!M334</f>
        <v>3.0612215410643268E-2</v>
      </c>
      <c r="R341" s="7">
        <f>('Session Details'!N341-'Session Details'!N334)/'Session Details'!N334</f>
        <v>-6.730739265283886E-2</v>
      </c>
    </row>
    <row r="342" spans="1:18" hidden="1" x14ac:dyDescent="0.3">
      <c r="A342" s="2">
        <v>43805</v>
      </c>
      <c r="B342" s="3">
        <v>21065820</v>
      </c>
      <c r="C342" s="4">
        <f t="shared" si="43"/>
        <v>-2.9999990790769034E-2</v>
      </c>
      <c r="D342" s="3">
        <v>5108461</v>
      </c>
      <c r="E342" s="4">
        <f t="shared" si="44"/>
        <v>-7.7548957451722411E-2</v>
      </c>
      <c r="F342" s="3">
        <v>2125119</v>
      </c>
      <c r="G342" s="4">
        <f t="shared" si="45"/>
        <v>-2.1072706041140282E-2</v>
      </c>
      <c r="H342" s="3">
        <v>1582364</v>
      </c>
      <c r="I342" s="4">
        <f t="shared" si="46"/>
        <v>-1.4936288871739115E-3</v>
      </c>
      <c r="J342" s="3">
        <v>1336464</v>
      </c>
      <c r="K342" s="7">
        <f t="shared" si="40"/>
        <v>6.3442296573311643E-2</v>
      </c>
      <c r="L342" s="7">
        <f t="shared" si="41"/>
        <v>-2.0513699985488687E-2</v>
      </c>
      <c r="M342" s="7">
        <f t="shared" si="42"/>
        <v>-2.9999990790768982E-2</v>
      </c>
      <c r="N342" s="7">
        <f t="shared" si="47"/>
        <v>9.7796811497079528E-3</v>
      </c>
      <c r="O342" s="7">
        <f>('Session Details'!K342-'Session Details'!K335)/'Session Details'!K335</f>
        <v>-4.9019552793320632E-2</v>
      </c>
      <c r="P342" s="7">
        <f>('Session Details'!L342-'Session Details'!L335)/'Session Details'!L335</f>
        <v>6.122411792669899E-2</v>
      </c>
      <c r="Q342" s="7">
        <f>('Session Details'!M342-'Session Details'!M335)/'Session Details'!M335</f>
        <v>2.0000542711182415E-2</v>
      </c>
      <c r="R342" s="7">
        <f>('Session Details'!N342-'Session Details'!N335)/'Session Details'!N335</f>
        <v>-1.9048522521811318E-2</v>
      </c>
    </row>
    <row r="343" spans="1:18" hidden="1" x14ac:dyDescent="0.3">
      <c r="A343" s="2">
        <v>43806</v>
      </c>
      <c r="B343" s="3">
        <v>43991955</v>
      </c>
      <c r="C343" s="4">
        <f t="shared" si="43"/>
        <v>-6.6666676567466734E-2</v>
      </c>
      <c r="D343" s="3">
        <v>9145927</v>
      </c>
      <c r="E343" s="4">
        <f t="shared" si="44"/>
        <v>-0.10291261469318454</v>
      </c>
      <c r="F343" s="3">
        <v>3140711</v>
      </c>
      <c r="G343" s="4">
        <f t="shared" si="45"/>
        <v>-5.618939493198289E-2</v>
      </c>
      <c r="H343" s="3">
        <v>2157040</v>
      </c>
      <c r="I343" s="4">
        <f t="shared" si="46"/>
        <v>-6.5442507149860468E-2</v>
      </c>
      <c r="J343" s="3">
        <v>1665666</v>
      </c>
      <c r="K343" s="7">
        <f t="shared" si="40"/>
        <v>3.7862968354100197E-2</v>
      </c>
      <c r="L343" s="7">
        <f t="shared" si="41"/>
        <v>-3.623744788939387E-2</v>
      </c>
      <c r="M343" s="7">
        <f t="shared" si="42"/>
        <v>-6.6666676567466721E-2</v>
      </c>
      <c r="N343" s="7">
        <f t="shared" si="47"/>
        <v>3.2602745358070839E-2</v>
      </c>
      <c r="O343" s="7">
        <f>('Session Details'!K343-'Session Details'!K336)/'Session Details'!K336</f>
        <v>-3.8834934118087243E-2</v>
      </c>
      <c r="P343" s="7">
        <f>('Session Details'!L343-'Session Details'!L336)/'Session Details'!L336</f>
        <v>5.2083242420382245E-2</v>
      </c>
      <c r="Q343" s="7">
        <f>('Session Details'!M343-'Session Details'!M336)/'Session Details'!M336</f>
        <v>-9.8039926317745902E-3</v>
      </c>
      <c r="R343" s="7">
        <f>('Session Details'!N343-'Session Details'!N336)/'Session Details'!N336</f>
        <v>3.1250147244980452E-2</v>
      </c>
    </row>
    <row r="344" spans="1:18" hidden="1" x14ac:dyDescent="0.3">
      <c r="A344" s="2">
        <v>43807</v>
      </c>
      <c r="B344" s="3">
        <v>43991955</v>
      </c>
      <c r="C344" s="4">
        <f t="shared" si="43"/>
        <v>-5.7692307692307696E-2</v>
      </c>
      <c r="D344" s="3">
        <v>9238310</v>
      </c>
      <c r="E344" s="4">
        <f t="shared" si="44"/>
        <v>-9.3934942435709101E-2</v>
      </c>
      <c r="F344" s="3">
        <v>3078205</v>
      </c>
      <c r="G344" s="4">
        <f t="shared" si="45"/>
        <v>-0.12084768858032069</v>
      </c>
      <c r="H344" s="3">
        <v>2093179</v>
      </c>
      <c r="I344" s="4">
        <f t="shared" si="46"/>
        <v>-0.14645400930460911</v>
      </c>
      <c r="J344" s="3">
        <v>1632680</v>
      </c>
      <c r="K344" s="7">
        <f t="shared" si="40"/>
        <v>3.711314943834617E-2</v>
      </c>
      <c r="L344" s="7">
        <f t="shared" si="41"/>
        <v>-0.17928270430340221</v>
      </c>
      <c r="M344" s="7">
        <f t="shared" si="42"/>
        <v>-5.7692307692307709E-2</v>
      </c>
      <c r="N344" s="7">
        <f t="shared" si="47"/>
        <v>-0.12903470660769212</v>
      </c>
      <c r="O344" s="7">
        <f>('Session Details'!K344-'Session Details'!K337)/'Session Details'!K337</f>
        <v>-3.8461571564425999E-2</v>
      </c>
      <c r="P344" s="7">
        <f>('Session Details'!L344-'Session Details'!L337)/'Session Details'!L337</f>
        <v>-2.9702884930756641E-2</v>
      </c>
      <c r="Q344" s="7">
        <f>('Session Details'!M344-'Session Details'!M337)/'Session Details'!M337</f>
        <v>-2.9126148440579942E-2</v>
      </c>
      <c r="R344" s="7">
        <f>('Session Details'!N344-'Session Details'!N337)/'Session Details'!N337</f>
        <v>-3.8461542033660472E-2</v>
      </c>
    </row>
    <row r="345" spans="1:18" hidden="1" x14ac:dyDescent="0.3">
      <c r="A345" s="2">
        <v>43808</v>
      </c>
      <c r="B345" s="3">
        <v>22586034</v>
      </c>
      <c r="C345" s="4">
        <f t="shared" si="43"/>
        <v>5.0505049565428957E-2</v>
      </c>
      <c r="D345" s="3">
        <v>5533578</v>
      </c>
      <c r="E345" s="4">
        <f t="shared" si="44"/>
        <v>-1.9528533381716871E-2</v>
      </c>
      <c r="F345" s="3">
        <v>2257699</v>
      </c>
      <c r="G345" s="4">
        <f t="shared" si="45"/>
        <v>2.0490271279584263E-2</v>
      </c>
      <c r="H345" s="3">
        <v>1582196</v>
      </c>
      <c r="I345" s="4">
        <f t="shared" si="46"/>
        <v>-3.354968987071049E-4</v>
      </c>
      <c r="J345" s="3">
        <v>1245504</v>
      </c>
      <c r="K345" s="7">
        <f t="shared" si="40"/>
        <v>5.5144874040302959E-2</v>
      </c>
      <c r="L345" s="7">
        <f t="shared" si="41"/>
        <v>-4.9824002490055808E-2</v>
      </c>
      <c r="M345" s="7">
        <f t="shared" si="42"/>
        <v>5.0505049565428894E-2</v>
      </c>
      <c r="N345" s="7">
        <f t="shared" si="47"/>
        <v>-9.5505540022857272E-2</v>
      </c>
      <c r="O345" s="7">
        <f>('Session Details'!K345-'Session Details'!K338)/'Session Details'!K338</f>
        <v>-6.6666583826624298E-2</v>
      </c>
      <c r="P345" s="7">
        <f>('Session Details'!L345-'Session Details'!L338)/'Session Details'!L338</f>
        <v>4.0815878915200707E-2</v>
      </c>
      <c r="Q345" s="7">
        <f>('Session Details'!M345-'Session Details'!M338)/'Session Details'!M338</f>
        <v>-2.0407610698902689E-2</v>
      </c>
      <c r="R345" s="7">
        <f>('Session Details'!N345-'Session Details'!N338)/'Session Details'!N338</f>
        <v>-4.9505114403701179E-2</v>
      </c>
    </row>
    <row r="346" spans="1:18" hidden="1" x14ac:dyDescent="0.3">
      <c r="A346" s="2">
        <v>43809</v>
      </c>
      <c r="B346" s="3">
        <v>21500167</v>
      </c>
      <c r="C346" s="4">
        <f t="shared" si="43"/>
        <v>3.125003897135574E-2</v>
      </c>
      <c r="D346" s="3">
        <v>5213790</v>
      </c>
      <c r="E346" s="4">
        <f t="shared" si="44"/>
        <v>-3.8161120220313142E-2</v>
      </c>
      <c r="F346" s="3">
        <v>2106371</v>
      </c>
      <c r="G346" s="4">
        <f t="shared" si="45"/>
        <v>-6.5906308190416887E-2</v>
      </c>
      <c r="H346" s="3">
        <v>1522274</v>
      </c>
      <c r="I346" s="4">
        <f t="shared" si="46"/>
        <v>-3.6715906387157847E-2</v>
      </c>
      <c r="J346" s="3">
        <v>1235782</v>
      </c>
      <c r="K346" s="7">
        <f t="shared" si="40"/>
        <v>5.7477786102777713E-2</v>
      </c>
      <c r="L346" s="7">
        <f t="shared" si="41"/>
        <v>-3.671571241047511E-2</v>
      </c>
      <c r="M346" s="7">
        <f t="shared" si="42"/>
        <v>3.1250038971355698E-2</v>
      </c>
      <c r="N346" s="7">
        <f t="shared" si="47"/>
        <v>-6.5906180667517744E-2</v>
      </c>
      <c r="O346" s="7">
        <f>('Session Details'!K346-'Session Details'!K339)/'Session Details'!K339</f>
        <v>-6.7307788187726619E-2</v>
      </c>
      <c r="P346" s="7">
        <f>('Session Details'!L346-'Session Details'!L339)/'Session Details'!L339</f>
        <v>-2.8845982995050964E-2</v>
      </c>
      <c r="Q346" s="7">
        <f>('Session Details'!M346-'Session Details'!M339)/'Session Details'!M339</f>
        <v>3.1249972095100657E-2</v>
      </c>
      <c r="R346" s="7">
        <f>('Session Details'!N346-'Session Details'!N339)/'Session Details'!N339</f>
        <v>2.0137017099109342E-7</v>
      </c>
    </row>
    <row r="347" spans="1:18" hidden="1" x14ac:dyDescent="0.3">
      <c r="A347" s="2">
        <v>43810</v>
      </c>
      <c r="B347" s="3">
        <v>22586034</v>
      </c>
      <c r="C347" s="4">
        <f t="shared" si="43"/>
        <v>9.7087647738865555E-3</v>
      </c>
      <c r="D347" s="3">
        <v>5477113</v>
      </c>
      <c r="E347" s="4">
        <f t="shared" si="44"/>
        <v>-4.9109189769896811E-2</v>
      </c>
      <c r="F347" s="3">
        <v>2212753</v>
      </c>
      <c r="G347" s="4">
        <f t="shared" si="45"/>
        <v>-2.9899357812001304E-2</v>
      </c>
      <c r="H347" s="3">
        <v>1566850</v>
      </c>
      <c r="I347" s="4">
        <f t="shared" si="46"/>
        <v>-9.4763060739392092E-3</v>
      </c>
      <c r="J347" s="3">
        <v>1246273</v>
      </c>
      <c r="K347" s="7">
        <f t="shared" si="40"/>
        <v>5.5178921629180228E-2</v>
      </c>
      <c r="L347" s="7">
        <f t="shared" si="41"/>
        <v>-6.7176289013204826E-2</v>
      </c>
      <c r="M347" s="7">
        <f t="shared" si="42"/>
        <v>9.7087647738864913E-3</v>
      </c>
      <c r="N347" s="7">
        <f t="shared" si="47"/>
        <v>-7.6145772394388356E-2</v>
      </c>
      <c r="O347" s="7">
        <f>('Session Details'!K347-'Session Details'!K340)/'Session Details'!K340</f>
        <v>-5.8252395736066491E-2</v>
      </c>
      <c r="P347" s="7">
        <f>('Session Details'!L347-'Session Details'!L340)/'Session Details'!L340</f>
        <v>2.0201932494485889E-2</v>
      </c>
      <c r="Q347" s="7">
        <f>('Session Details'!M347-'Session Details'!M340)/'Session Details'!M340</f>
        <v>2.1052508213992412E-2</v>
      </c>
      <c r="R347" s="7">
        <f>('Session Details'!N347-'Session Details'!N340)/'Session Details'!N340</f>
        <v>-5.8251996689311615E-2</v>
      </c>
    </row>
    <row r="348" spans="1:18" hidden="1" x14ac:dyDescent="0.3">
      <c r="A348" s="2">
        <v>43811</v>
      </c>
      <c r="B348" s="3">
        <v>21934513</v>
      </c>
      <c r="C348" s="4">
        <f t="shared" si="43"/>
        <v>-2.8846188755405219E-2</v>
      </c>
      <c r="D348" s="3">
        <v>5648137</v>
      </c>
      <c r="E348" s="4">
        <f t="shared" si="44"/>
        <v>-2.8846079448023806E-2</v>
      </c>
      <c r="F348" s="3">
        <v>2259254</v>
      </c>
      <c r="G348" s="4">
        <f t="shared" si="45"/>
        <v>-6.6198233870584419E-2</v>
      </c>
      <c r="H348" s="3">
        <v>1682241</v>
      </c>
      <c r="I348" s="4">
        <f t="shared" si="46"/>
        <v>-5.6952576891921056E-2</v>
      </c>
      <c r="J348" s="3">
        <v>1379437</v>
      </c>
      <c r="K348" s="7">
        <f t="shared" si="40"/>
        <v>6.2888882009826244E-2</v>
      </c>
      <c r="L348" s="7">
        <f t="shared" si="41"/>
        <v>-2.7786352724930241E-2</v>
      </c>
      <c r="M348" s="7">
        <f t="shared" si="42"/>
        <v>-2.8846188755405233E-2</v>
      </c>
      <c r="N348" s="7">
        <f t="shared" si="47"/>
        <v>1.0913163478365462E-3</v>
      </c>
      <c r="O348" s="7">
        <f>('Session Details'!K348-'Session Details'!K341)/'Session Details'!K341</f>
        <v>1.1255413942355048E-7</v>
      </c>
      <c r="P348" s="7">
        <f>('Session Details'!L348-'Session Details'!L341)/'Session Details'!L341</f>
        <v>-3.8461621409437062E-2</v>
      </c>
      <c r="Q348" s="7">
        <f>('Session Details'!M348-'Session Details'!M341)/'Session Details'!M341</f>
        <v>9.9010917670313871E-3</v>
      </c>
      <c r="R348" s="7">
        <f>('Session Details'!N348-'Session Details'!N341)/'Session Details'!N341</f>
        <v>3.0927632537147743E-2</v>
      </c>
    </row>
    <row r="349" spans="1:18" hidden="1" x14ac:dyDescent="0.3">
      <c r="A349" s="2">
        <v>43812</v>
      </c>
      <c r="B349" s="3">
        <v>22803207</v>
      </c>
      <c r="C349" s="4">
        <f t="shared" si="43"/>
        <v>8.2474216527056624E-2</v>
      </c>
      <c r="D349" s="3">
        <v>5928833</v>
      </c>
      <c r="E349" s="4">
        <f t="shared" si="44"/>
        <v>0.160590831563557</v>
      </c>
      <c r="F349" s="3">
        <v>2276672</v>
      </c>
      <c r="G349" s="4">
        <f t="shared" si="45"/>
        <v>7.1315065179879344E-2</v>
      </c>
      <c r="H349" s="3">
        <v>1661970</v>
      </c>
      <c r="I349" s="4">
        <f t="shared" si="46"/>
        <v>5.0308272938464224E-2</v>
      </c>
      <c r="J349" s="3">
        <v>1308303</v>
      </c>
      <c r="K349" s="7">
        <f t="shared" si="40"/>
        <v>5.7373640470833771E-2</v>
      </c>
      <c r="L349" s="7">
        <f t="shared" si="41"/>
        <v>-2.1071274647128546E-2</v>
      </c>
      <c r="M349" s="7">
        <f t="shared" si="42"/>
        <v>8.2474216527056665E-2</v>
      </c>
      <c r="N349" s="7">
        <f t="shared" si="47"/>
        <v>-9.5656311802413296E-2</v>
      </c>
      <c r="O349" s="7">
        <f>('Session Details'!K349-'Session Details'!K342)/'Session Details'!K342</f>
        <v>7.2164873623618384E-2</v>
      </c>
      <c r="P349" s="7">
        <f>('Session Details'!L349-'Session Details'!L342)/'Session Details'!L342</f>
        <v>-7.6922687958343283E-2</v>
      </c>
      <c r="Q349" s="7">
        <f>('Session Details'!M349-'Session Details'!M342)/'Session Details'!M342</f>
        <v>-1.9608416724624333E-2</v>
      </c>
      <c r="R349" s="7">
        <f>('Session Details'!N349-'Session Details'!N342)/'Session Details'!N342</f>
        <v>-6.7960568744158401E-2</v>
      </c>
    </row>
    <row r="350" spans="1:18" hidden="1" x14ac:dyDescent="0.3">
      <c r="A350" s="2">
        <v>43813</v>
      </c>
      <c r="B350" s="3">
        <v>45787545</v>
      </c>
      <c r="C350" s="4">
        <f t="shared" si="43"/>
        <v>4.0816326530612242E-2</v>
      </c>
      <c r="D350" s="3">
        <v>9230769</v>
      </c>
      <c r="E350" s="4">
        <f t="shared" si="44"/>
        <v>9.2764790272216249E-3</v>
      </c>
      <c r="F350" s="3">
        <v>3232615</v>
      </c>
      <c r="G350" s="4">
        <f t="shared" si="45"/>
        <v>2.9262163885820758E-2</v>
      </c>
      <c r="H350" s="3">
        <v>2220160</v>
      </c>
      <c r="I350" s="4">
        <f t="shared" si="46"/>
        <v>2.9262322441864778E-2</v>
      </c>
      <c r="J350" s="3">
        <v>1783676</v>
      </c>
      <c r="K350" s="7">
        <f t="shared" si="40"/>
        <v>3.8955484510034333E-2</v>
      </c>
      <c r="L350" s="7">
        <f t="shared" si="41"/>
        <v>7.0848537461892125E-2</v>
      </c>
      <c r="M350" s="7">
        <f t="shared" si="42"/>
        <v>4.081632653061229E-2</v>
      </c>
      <c r="N350" s="7">
        <f t="shared" si="47"/>
        <v>2.8854477169268922E-2</v>
      </c>
      <c r="O350" s="7">
        <f>('Session Details'!K350-'Session Details'!K343)/'Session Details'!K343</f>
        <v>-3.0302990738551784E-2</v>
      </c>
      <c r="P350" s="7">
        <f>('Session Details'!L350-'Session Details'!L343)/'Session Details'!L343</f>
        <v>1.9801992094239666E-2</v>
      </c>
      <c r="Q350" s="7">
        <f>('Session Details'!M350-'Session Details'!M343)/'Session Details'!M343</f>
        <v>1.5404825866302014E-7</v>
      </c>
      <c r="R350" s="7">
        <f>('Session Details'!N350-'Session Details'!N343)/'Session Details'!N343</f>
        <v>4.0403902983028213E-2</v>
      </c>
    </row>
    <row r="351" spans="1:18" hidden="1" x14ac:dyDescent="0.3">
      <c r="A351" s="2">
        <v>43814</v>
      </c>
      <c r="B351" s="3">
        <v>43094160</v>
      </c>
      <c r="C351" s="4">
        <f t="shared" si="43"/>
        <v>-2.0408163265306121E-2</v>
      </c>
      <c r="D351" s="3">
        <v>8687782</v>
      </c>
      <c r="E351" s="4">
        <f t="shared" si="44"/>
        <v>-5.9591851756435971E-2</v>
      </c>
      <c r="F351" s="3">
        <v>2806153</v>
      </c>
      <c r="G351" s="4">
        <f t="shared" si="45"/>
        <v>-8.838007864973256E-2</v>
      </c>
      <c r="H351" s="3">
        <v>1812775</v>
      </c>
      <c r="I351" s="4">
        <f t="shared" si="46"/>
        <v>-0.13396083182565849</v>
      </c>
      <c r="J351" s="3">
        <v>1385685</v>
      </c>
      <c r="K351" s="7">
        <f t="shared" si="40"/>
        <v>3.2154820978062923E-2</v>
      </c>
      <c r="L351" s="7">
        <f t="shared" si="41"/>
        <v>-0.1512819413479678</v>
      </c>
      <c r="M351" s="7">
        <f t="shared" si="42"/>
        <v>-2.0408163265306145E-2</v>
      </c>
      <c r="N351" s="7">
        <f t="shared" si="47"/>
        <v>-0.13360031512605031</v>
      </c>
      <c r="O351" s="7">
        <f>('Session Details'!K351-'Session Details'!K344)/'Session Details'!K344</f>
        <v>-4.0000015334695084E-2</v>
      </c>
      <c r="P351" s="7">
        <f>('Session Details'!L351-'Session Details'!L344)/'Session Details'!L344</f>
        <v>-3.0612481343409687E-2</v>
      </c>
      <c r="Q351" s="7">
        <f>('Session Details'!M351-'Session Details'!M344)/'Session Details'!M344</f>
        <v>-4.9999733560465463E-2</v>
      </c>
      <c r="R351" s="7">
        <f>('Session Details'!N351-'Session Details'!N344)/'Session Details'!N344</f>
        <v>-2.0000376609782097E-2</v>
      </c>
    </row>
    <row r="352" spans="1:18" hidden="1" x14ac:dyDescent="0.3">
      <c r="A352" s="2">
        <v>43815</v>
      </c>
      <c r="B352" s="3">
        <v>21282993</v>
      </c>
      <c r="C352" s="4">
        <f t="shared" si="43"/>
        <v>-5.7692333235662356E-2</v>
      </c>
      <c r="D352" s="3">
        <v>5427163</v>
      </c>
      <c r="E352" s="4">
        <f t="shared" si="44"/>
        <v>-1.9230776181342342E-2</v>
      </c>
      <c r="F352" s="3">
        <v>2214282</v>
      </c>
      <c r="G352" s="4">
        <f t="shared" si="45"/>
        <v>-1.9230641462834507E-2</v>
      </c>
      <c r="H352" s="3">
        <v>1584097</v>
      </c>
      <c r="I352" s="4">
        <f t="shared" si="46"/>
        <v>1.2014946315121514E-3</v>
      </c>
      <c r="J352" s="3">
        <v>1324939</v>
      </c>
      <c r="K352" s="7">
        <f t="shared" si="40"/>
        <v>6.2253415203397382E-2</v>
      </c>
      <c r="L352" s="7">
        <f t="shared" si="41"/>
        <v>6.3777394532654963E-2</v>
      </c>
      <c r="M352" s="7">
        <f t="shared" si="42"/>
        <v>-5.7692333235662363E-2</v>
      </c>
      <c r="N352" s="7">
        <f t="shared" si="47"/>
        <v>0.12890665337088447</v>
      </c>
      <c r="O352" s="7">
        <f>('Session Details'!K352-'Session Details'!K345)/'Session Details'!K345</f>
        <v>4.08163473681456E-2</v>
      </c>
      <c r="P352" s="7">
        <f>('Session Details'!L352-'Session Details'!L345)/'Session Details'!L345</f>
        <v>1.3736004823623516E-7</v>
      </c>
      <c r="Q352" s="7">
        <f>('Session Details'!M352-'Session Details'!M345)/'Session Details'!M345</f>
        <v>2.0832763499893145E-2</v>
      </c>
      <c r="R352" s="7">
        <f>('Session Details'!N352-'Session Details'!N345)/'Session Details'!N345</f>
        <v>6.2500805518846722E-2</v>
      </c>
    </row>
    <row r="353" spans="1:18" hidden="1" x14ac:dyDescent="0.3">
      <c r="A353" s="2">
        <v>43816</v>
      </c>
      <c r="B353" s="3">
        <v>21065820</v>
      </c>
      <c r="C353" s="4">
        <f t="shared" si="43"/>
        <v>-2.0202029128424909E-2</v>
      </c>
      <c r="D353" s="3">
        <v>5108461</v>
      </c>
      <c r="E353" s="4">
        <f t="shared" si="44"/>
        <v>-2.0202002765742386E-2</v>
      </c>
      <c r="F353" s="3">
        <v>2022950</v>
      </c>
      <c r="G353" s="4">
        <f t="shared" si="45"/>
        <v>-3.9604134314420392E-2</v>
      </c>
      <c r="H353" s="3">
        <v>1402916</v>
      </c>
      <c r="I353" s="4">
        <f t="shared" si="46"/>
        <v>-7.8407697957135175E-2</v>
      </c>
      <c r="J353" s="3">
        <v>1104375</v>
      </c>
      <c r="K353" s="7">
        <f t="shared" si="40"/>
        <v>5.2424970876994104E-2</v>
      </c>
      <c r="L353" s="7">
        <f t="shared" si="41"/>
        <v>-0.10633509793798579</v>
      </c>
      <c r="M353" s="7">
        <f t="shared" si="42"/>
        <v>-2.0202029128424948E-2</v>
      </c>
      <c r="N353" s="7">
        <f t="shared" si="47"/>
        <v>-8.7909009173535724E-2</v>
      </c>
      <c r="O353" s="7">
        <f>('Session Details'!K353-'Session Details'!K346)/'Session Details'!K346</f>
        <v>2.6906243262187234E-8</v>
      </c>
      <c r="P353" s="7">
        <f>('Session Details'!L353-'Session Details'!L346)/'Session Details'!L346</f>
        <v>-1.9802175145740005E-2</v>
      </c>
      <c r="Q353" s="7">
        <f>('Session Details'!M353-'Session Details'!M346)/'Session Details'!M346</f>
        <v>-4.040371791377384E-2</v>
      </c>
      <c r="R353" s="7">
        <f>('Session Details'!N353-'Session Details'!N346)/'Session Details'!N346</f>
        <v>-3.0303421500966165E-2</v>
      </c>
    </row>
    <row r="354" spans="1:18" hidden="1" x14ac:dyDescent="0.3">
      <c r="A354" s="2">
        <v>43817</v>
      </c>
      <c r="B354" s="3">
        <v>22368860</v>
      </c>
      <c r="C354" s="4">
        <f t="shared" si="43"/>
        <v>-9.6154110101844357E-3</v>
      </c>
      <c r="D354" s="3">
        <v>5424448</v>
      </c>
      <c r="E354" s="4">
        <f t="shared" si="44"/>
        <v>-9.6154671265683209E-3</v>
      </c>
      <c r="F354" s="3">
        <v>2104686</v>
      </c>
      <c r="G354" s="4">
        <f t="shared" si="45"/>
        <v>-4.8838257139409598E-2</v>
      </c>
      <c r="H354" s="3">
        <v>1597877</v>
      </c>
      <c r="I354" s="4">
        <f t="shared" si="46"/>
        <v>1.9802150812139006E-2</v>
      </c>
      <c r="J354" s="3">
        <v>1284054</v>
      </c>
      <c r="K354" s="7">
        <f t="shared" si="40"/>
        <v>5.7403640596793933E-2</v>
      </c>
      <c r="L354" s="7">
        <f t="shared" si="41"/>
        <v>3.0315187763836571E-2</v>
      </c>
      <c r="M354" s="7">
        <f t="shared" si="42"/>
        <v>-9.6154110101844825E-3</v>
      </c>
      <c r="N354" s="7">
        <f t="shared" si="47"/>
        <v>4.0318275564798389E-2</v>
      </c>
      <c r="O354" s="7">
        <f>('Session Details'!K354-'Session Details'!K347)/'Session Details'!K347</f>
        <v>-5.6661204610737575E-8</v>
      </c>
      <c r="P354" s="7">
        <f>('Session Details'!L354-'Session Details'!L347)/'Session Details'!L347</f>
        <v>-3.9603597098839032E-2</v>
      </c>
      <c r="Q354" s="7">
        <f>('Session Details'!M354-'Session Details'!M347)/'Session Details'!M347</f>
        <v>7.2164811575699636E-2</v>
      </c>
      <c r="R354" s="7">
        <f>('Session Details'!N354-'Session Details'!N347)/'Session Details'!N347</f>
        <v>1.0308898587167516E-2</v>
      </c>
    </row>
    <row r="355" spans="1:18" hidden="1" x14ac:dyDescent="0.3">
      <c r="A355" s="2">
        <v>43818</v>
      </c>
      <c r="B355" s="3">
        <v>21065820</v>
      </c>
      <c r="C355" s="4">
        <f t="shared" si="43"/>
        <v>-3.9603933764109554E-2</v>
      </c>
      <c r="D355" s="3">
        <v>5213790</v>
      </c>
      <c r="E355" s="4">
        <f t="shared" si="44"/>
        <v>-7.6900932112659443E-2</v>
      </c>
      <c r="F355" s="3">
        <v>2064661</v>
      </c>
      <c r="G355" s="4">
        <f t="shared" si="45"/>
        <v>-8.613152837175457E-2</v>
      </c>
      <c r="H355" s="3">
        <v>1507202</v>
      </c>
      <c r="I355" s="4">
        <f t="shared" si="46"/>
        <v>-0.10405108423822745</v>
      </c>
      <c r="J355" s="3">
        <v>1211187</v>
      </c>
      <c r="K355" s="7">
        <f t="shared" si="40"/>
        <v>5.7495364528890876E-2</v>
      </c>
      <c r="L355" s="7">
        <f t="shared" si="41"/>
        <v>-0.12197005010014961</v>
      </c>
      <c r="M355" s="7">
        <f t="shared" si="42"/>
        <v>-3.9603933764109533E-2</v>
      </c>
      <c r="N355" s="7">
        <f t="shared" si="47"/>
        <v>-8.5762654837664987E-2</v>
      </c>
      <c r="O355" s="7">
        <f>('Session Details'!K355-'Session Details'!K348)/'Session Details'!K348</f>
        <v>-3.8835017822104592E-2</v>
      </c>
      <c r="P355" s="7">
        <f>('Session Details'!L355-'Session Details'!L348)/'Session Details'!L348</f>
        <v>-9.999572722157327E-3</v>
      </c>
      <c r="Q355" s="7">
        <f>('Session Details'!M355-'Session Details'!M348)/'Session Details'!M348</f>
        <v>-1.9608462730468647E-2</v>
      </c>
      <c r="R355" s="7">
        <f>('Session Details'!N355-'Session Details'!N348)/'Session Details'!N348</f>
        <v>-1.9999986100420364E-2</v>
      </c>
    </row>
    <row r="356" spans="1:18" hidden="1" x14ac:dyDescent="0.3">
      <c r="A356" s="2">
        <v>43819</v>
      </c>
      <c r="B356" s="3">
        <v>22151687</v>
      </c>
      <c r="C356" s="4">
        <f t="shared" si="43"/>
        <v>-2.8571419800732415E-2</v>
      </c>
      <c r="D356" s="3">
        <v>5261025</v>
      </c>
      <c r="E356" s="4">
        <f t="shared" si="44"/>
        <v>-0.11263734363912763</v>
      </c>
      <c r="F356" s="3">
        <v>2062322</v>
      </c>
      <c r="G356" s="4">
        <f t="shared" si="45"/>
        <v>-9.4150584713125124E-2</v>
      </c>
      <c r="H356" s="3">
        <v>1430220</v>
      </c>
      <c r="I356" s="4">
        <f t="shared" si="46"/>
        <v>-0.13944295023375874</v>
      </c>
      <c r="J356" s="3">
        <v>1231419</v>
      </c>
      <c r="K356" s="7">
        <f t="shared" si="40"/>
        <v>5.5590303348002343E-2</v>
      </c>
      <c r="L356" s="7">
        <f t="shared" si="41"/>
        <v>-5.8766203241909509E-2</v>
      </c>
      <c r="M356" s="7">
        <f t="shared" si="42"/>
        <v>-2.8571419800732412E-2</v>
      </c>
      <c r="N356" s="7">
        <f t="shared" si="47"/>
        <v>-3.1082865026457518E-2</v>
      </c>
      <c r="O356" s="7">
        <f>('Session Details'!K356-'Session Details'!K349)/'Session Details'!K349</f>
        <v>-8.6538450228786604E-2</v>
      </c>
      <c r="P356" s="7">
        <f>('Session Details'!L356-'Session Details'!L349)/'Session Details'!L349</f>
        <v>2.083337493806391E-2</v>
      </c>
      <c r="Q356" s="7">
        <f>('Session Details'!M356-'Session Details'!M349)/'Session Details'!M349</f>
        <v>-4.999988381765403E-2</v>
      </c>
      <c r="R356" s="7">
        <f>('Session Details'!N356-'Session Details'!N349)/'Session Details'!N349</f>
        <v>9.3749446377510801E-2</v>
      </c>
    </row>
    <row r="357" spans="1:18" hidden="1" x14ac:dyDescent="0.3">
      <c r="A357" s="2">
        <v>43820</v>
      </c>
      <c r="B357" s="3">
        <v>46236443</v>
      </c>
      <c r="C357" s="4">
        <f t="shared" si="43"/>
        <v>9.8039324886276397E-3</v>
      </c>
      <c r="D357" s="3">
        <v>9321266</v>
      </c>
      <c r="E357" s="4">
        <f t="shared" si="44"/>
        <v>9.8038419117627146E-3</v>
      </c>
      <c r="F357" s="3">
        <v>3042461</v>
      </c>
      <c r="G357" s="4">
        <f t="shared" si="45"/>
        <v>-5.882358400242528E-2</v>
      </c>
      <c r="H357" s="3">
        <v>1965430</v>
      </c>
      <c r="I357" s="4">
        <f t="shared" si="46"/>
        <v>-0.11473497405592389</v>
      </c>
      <c r="J357" s="3">
        <v>1502374</v>
      </c>
      <c r="K357" s="7">
        <f t="shared" si="40"/>
        <v>3.2493286734881402E-2</v>
      </c>
      <c r="L357" s="7">
        <f t="shared" si="41"/>
        <v>-0.15770913551564303</v>
      </c>
      <c r="M357" s="7">
        <f t="shared" si="42"/>
        <v>9.8039324886276535E-3</v>
      </c>
      <c r="N357" s="7">
        <f t="shared" si="47"/>
        <v>-0.16588672574431385</v>
      </c>
      <c r="O357" s="7">
        <f>('Session Details'!K357-'Session Details'!K350)/'Session Details'!K350</f>
        <v>-8.969747688785147E-8</v>
      </c>
      <c r="P357" s="7">
        <f>('Session Details'!L357-'Session Details'!L350)/'Session Details'!L350</f>
        <v>-6.7961145586713609E-2</v>
      </c>
      <c r="Q357" s="7">
        <f>('Session Details'!M357-'Session Details'!M350)/'Session Details'!M350</f>
        <v>-5.9405855377534997E-2</v>
      </c>
      <c r="R357" s="7">
        <f>('Session Details'!N357-'Session Details'!N350)/'Session Details'!N350</f>
        <v>-4.854383738235906E-2</v>
      </c>
    </row>
    <row r="358" spans="1:18" x14ac:dyDescent="0.3">
      <c r="A358" s="11">
        <v>43821</v>
      </c>
      <c r="B358" s="12">
        <v>43094160</v>
      </c>
      <c r="C358" s="4">
        <f t="shared" si="43"/>
        <v>0</v>
      </c>
      <c r="D358" s="12">
        <v>9140271</v>
      </c>
      <c r="E358" s="4">
        <f t="shared" si="44"/>
        <v>5.2083374099396139E-2</v>
      </c>
      <c r="F358" s="12">
        <v>3263076</v>
      </c>
      <c r="G358" s="4">
        <f t="shared" si="45"/>
        <v>0.16282896905478783</v>
      </c>
      <c r="H358" s="12">
        <v>2107947</v>
      </c>
      <c r="I358" s="4">
        <f t="shared" si="46"/>
        <v>0.16282881218022094</v>
      </c>
      <c r="J358" s="12">
        <v>1677083</v>
      </c>
      <c r="K358" s="13">
        <f t="shared" si="40"/>
        <v>3.8916711684367444E-2</v>
      </c>
      <c r="L358" s="13">
        <f t="shared" si="41"/>
        <v>0.21029166080314066</v>
      </c>
      <c r="M358" s="13">
        <f t="shared" si="42"/>
        <v>0</v>
      </c>
      <c r="N358" s="13">
        <f t="shared" si="47"/>
        <v>0.21029166080314066</v>
      </c>
      <c r="O358" s="7">
        <f>('Session Details'!K358-'Session Details'!K351)/'Session Details'!K351</f>
        <v>5.2083374099396222E-2</v>
      </c>
      <c r="P358" s="7">
        <f>('Session Details'!L358-'Session Details'!L351)/'Session Details'!L351</f>
        <v>0.10526313568085047</v>
      </c>
      <c r="Q358" s="7">
        <f>('Session Details'!M358-'Session Details'!M351)/'Session Details'!M351</f>
        <v>-1.3490768733468642E-7</v>
      </c>
      <c r="R358" s="7">
        <f>('Session Details'!N358-'Session Details'!N351)/'Session Details'!N351</f>
        <v>4.0816711906140682E-2</v>
      </c>
    </row>
    <row r="359" spans="1:18" hidden="1" x14ac:dyDescent="0.3">
      <c r="A359" s="2">
        <v>43822</v>
      </c>
      <c r="B359" s="3">
        <v>21500167</v>
      </c>
      <c r="C359" s="4">
        <f t="shared" si="43"/>
        <v>1.0204109920066224E-2</v>
      </c>
      <c r="D359" s="3">
        <v>5106289</v>
      </c>
      <c r="E359" s="4">
        <f t="shared" si="44"/>
        <v>-5.9123707911481561E-2</v>
      </c>
      <c r="F359" s="3">
        <v>1940390</v>
      </c>
      <c r="G359" s="4">
        <f t="shared" si="45"/>
        <v>-0.12369336877597344</v>
      </c>
      <c r="H359" s="3">
        <v>1430649</v>
      </c>
      <c r="I359" s="4">
        <f t="shared" si="46"/>
        <v>-9.6867805443732302E-2</v>
      </c>
      <c r="J359" s="3">
        <v>1196595</v>
      </c>
      <c r="K359" s="7">
        <f t="shared" si="40"/>
        <v>5.5655149097213988E-2</v>
      </c>
      <c r="L359" s="7">
        <f t="shared" si="41"/>
        <v>-9.6867855803172809E-2</v>
      </c>
      <c r="M359" s="7">
        <f t="shared" si="42"/>
        <v>1.0204109920066262E-2</v>
      </c>
      <c r="N359" s="7">
        <f t="shared" si="47"/>
        <v>-0.10599042774802347</v>
      </c>
      <c r="O359" s="7">
        <f>('Session Details'!K359-'Session Details'!K352)/'Session Details'!K352</f>
        <v>-6.8627534921663888E-2</v>
      </c>
      <c r="P359" s="7">
        <f>('Session Details'!L359-'Session Details'!L352)/'Session Details'!L352</f>
        <v>-6.8627152588958171E-2</v>
      </c>
      <c r="Q359" s="7">
        <f>('Session Details'!M359-'Session Details'!M352)/'Session Details'!M352</f>
        <v>3.0612073875067199E-2</v>
      </c>
      <c r="R359" s="7">
        <f>('Session Details'!N359-'Session Details'!N352)/'Session Details'!N352</f>
        <v>-5.57608739786819E-8</v>
      </c>
    </row>
    <row r="360" spans="1:18" hidden="1" x14ac:dyDescent="0.3">
      <c r="A360" s="2">
        <v>43823</v>
      </c>
      <c r="B360" s="3">
        <v>21282993</v>
      </c>
      <c r="C360" s="4">
        <f t="shared" si="43"/>
        <v>1.0309259264533733E-2</v>
      </c>
      <c r="D360" s="3">
        <v>5320748</v>
      </c>
      <c r="E360" s="4">
        <f t="shared" si="44"/>
        <v>4.1555959808639041E-2</v>
      </c>
      <c r="F360" s="3">
        <v>2107016</v>
      </c>
      <c r="G360" s="4">
        <f t="shared" si="45"/>
        <v>4.1556143256135838E-2</v>
      </c>
      <c r="H360" s="3">
        <v>1568884</v>
      </c>
      <c r="I360" s="4">
        <f t="shared" si="46"/>
        <v>0.11830216491935369</v>
      </c>
      <c r="J360" s="3">
        <v>1312214</v>
      </c>
      <c r="K360" s="7">
        <f t="shared" si="40"/>
        <v>6.1655519973154153E-2</v>
      </c>
      <c r="L360" s="7">
        <f t="shared" si="41"/>
        <v>0.18819603848330502</v>
      </c>
      <c r="M360" s="7">
        <f t="shared" si="42"/>
        <v>1.0309259264533743E-2</v>
      </c>
      <c r="N360" s="7">
        <f t="shared" si="47"/>
        <v>0.17607161132846216</v>
      </c>
      <c r="O360" s="7">
        <f>('Session Details'!K360-'Session Details'!K353)/'Session Details'!K353</f>
        <v>3.0927857245267334E-2</v>
      </c>
      <c r="P360" s="7">
        <f>('Session Details'!L360-'Session Details'!L353)/'Session Details'!L353</f>
        <v>1.7612831568196108E-7</v>
      </c>
      <c r="Q360" s="7">
        <f>('Session Details'!M360-'Session Details'!M353)/'Session Details'!M353</f>
        <v>7.3683998851269597E-2</v>
      </c>
      <c r="R360" s="7">
        <f>('Session Details'!N360-'Session Details'!N353)/'Session Details'!N353</f>
        <v>6.2499989498805718E-2</v>
      </c>
    </row>
    <row r="361" spans="1:18" hidden="1" x14ac:dyDescent="0.3">
      <c r="A361" s="2">
        <v>43824</v>
      </c>
      <c r="B361" s="3">
        <v>20631473</v>
      </c>
      <c r="C361" s="4">
        <f t="shared" si="43"/>
        <v>-7.7669894666067024E-2</v>
      </c>
      <c r="D361" s="3">
        <v>5261025</v>
      </c>
      <c r="E361" s="4">
        <f t="shared" si="44"/>
        <v>-3.0127120768786059E-2</v>
      </c>
      <c r="F361" s="3">
        <v>2167542</v>
      </c>
      <c r="G361" s="4">
        <f t="shared" si="45"/>
        <v>2.9864787431474339E-2</v>
      </c>
      <c r="H361" s="3">
        <v>1582306</v>
      </c>
      <c r="I361" s="4">
        <f t="shared" si="46"/>
        <v>-9.7448051383179062E-3</v>
      </c>
      <c r="J361" s="3">
        <v>1258566</v>
      </c>
      <c r="K361" s="7">
        <f t="shared" si="40"/>
        <v>6.1002236728322792E-2</v>
      </c>
      <c r="L361" s="7">
        <f t="shared" si="41"/>
        <v>-1.9849632492091485E-2</v>
      </c>
      <c r="M361" s="7">
        <f t="shared" si="42"/>
        <v>-7.7669894666066996E-2</v>
      </c>
      <c r="N361" s="7">
        <f t="shared" si="47"/>
        <v>6.2689336322857558E-2</v>
      </c>
      <c r="O361" s="7">
        <f>('Session Details'!K361-'Session Details'!K354)/'Session Details'!K354</f>
        <v>5.1546375448807226E-2</v>
      </c>
      <c r="P361" s="7">
        <f>('Session Details'!L361-'Session Details'!L354)/'Session Details'!L354</f>
        <v>6.1855434340853069E-2</v>
      </c>
      <c r="Q361" s="7">
        <f>('Session Details'!M361-'Session Details'!M354)/'Session Details'!M354</f>
        <v>-3.8460964053912527E-2</v>
      </c>
      <c r="R361" s="7">
        <f>('Session Details'!N361-'Session Details'!N354)/'Session Details'!N354</f>
        <v>-1.0204265936908322E-2</v>
      </c>
    </row>
    <row r="362" spans="1:18" hidden="1" x14ac:dyDescent="0.3">
      <c r="A362" s="2">
        <v>43825</v>
      </c>
      <c r="B362" s="3">
        <v>20631473</v>
      </c>
      <c r="C362" s="4">
        <f t="shared" si="43"/>
        <v>-2.0618565999329722E-2</v>
      </c>
      <c r="D362" s="3">
        <v>5209447</v>
      </c>
      <c r="E362" s="4">
        <f t="shared" si="44"/>
        <v>-8.3298330005619715E-4</v>
      </c>
      <c r="F362" s="3">
        <v>2146292</v>
      </c>
      <c r="G362" s="4">
        <f t="shared" si="45"/>
        <v>3.9537241222651079E-2</v>
      </c>
      <c r="H362" s="3">
        <v>1645132</v>
      </c>
      <c r="I362" s="4">
        <f t="shared" si="46"/>
        <v>9.1513944381708623E-2</v>
      </c>
      <c r="J362" s="3">
        <v>1295048</v>
      </c>
      <c r="K362" s="7">
        <f t="shared" si="40"/>
        <v>6.2770506012828076E-2</v>
      </c>
      <c r="L362" s="7">
        <f t="shared" si="41"/>
        <v>6.9238688988570773E-2</v>
      </c>
      <c r="M362" s="7">
        <f t="shared" si="42"/>
        <v>-2.0618565999329763E-2</v>
      </c>
      <c r="N362" s="7">
        <f t="shared" si="47"/>
        <v>9.1748987542926042E-2</v>
      </c>
      <c r="O362" s="7">
        <f>('Session Details'!K362-'Session Details'!K355)/'Session Details'!K355</f>
        <v>2.0202121474216059E-2</v>
      </c>
      <c r="P362" s="7">
        <f>('Session Details'!L362-'Session Details'!L355)/'Session Details'!L355</f>
        <v>4.0403880280238176E-2</v>
      </c>
      <c r="Q362" s="7">
        <f>('Session Details'!M362-'Session Details'!M355)/'Session Details'!M355</f>
        <v>4.9999847141527186E-2</v>
      </c>
      <c r="R362" s="7">
        <f>('Session Details'!N362-'Session Details'!N355)/'Session Details'!N355</f>
        <v>-2.0407669098314402E-2</v>
      </c>
    </row>
    <row r="363" spans="1:18" hidden="1" x14ac:dyDescent="0.3">
      <c r="A363" s="2">
        <v>43826</v>
      </c>
      <c r="B363" s="3">
        <v>22368860</v>
      </c>
      <c r="C363" s="4">
        <f t="shared" si="43"/>
        <v>9.8039034227957438E-3</v>
      </c>
      <c r="D363" s="3">
        <v>5648137</v>
      </c>
      <c r="E363" s="4">
        <f t="shared" si="44"/>
        <v>7.3581098740264486E-2</v>
      </c>
      <c r="F363" s="3">
        <v>2349625</v>
      </c>
      <c r="G363" s="4">
        <f t="shared" si="45"/>
        <v>0.13931044715616669</v>
      </c>
      <c r="H363" s="3">
        <v>1629465</v>
      </c>
      <c r="I363" s="4">
        <f t="shared" si="46"/>
        <v>0.13931073541133532</v>
      </c>
      <c r="J363" s="3">
        <v>1309438</v>
      </c>
      <c r="K363" s="7">
        <f t="shared" si="40"/>
        <v>5.8538432445819771E-2</v>
      </c>
      <c r="L363" s="7">
        <f t="shared" si="41"/>
        <v>6.335698896963593E-2</v>
      </c>
      <c r="M363" s="7">
        <f t="shared" si="42"/>
        <v>9.80390342279569E-3</v>
      </c>
      <c r="N363" s="7">
        <f t="shared" si="47"/>
        <v>5.3033153630440921E-2</v>
      </c>
      <c r="O363" s="7">
        <f>('Session Details'!K363-'Session Details'!K356)/'Session Details'!K356</f>
        <v>6.3158000381352927E-2</v>
      </c>
      <c r="P363" s="7">
        <f>('Session Details'!L363-'Session Details'!L356)/'Session Details'!L356</f>
        <v>6.1224390493674709E-2</v>
      </c>
      <c r="Q363" s="7">
        <f>('Session Details'!M363-'Session Details'!M356)/'Session Details'!M356</f>
        <v>2.5300844848496384E-7</v>
      </c>
      <c r="R363" s="7">
        <f>('Session Details'!N363-'Session Details'!N356)/'Session Details'!N356</f>
        <v>-6.6666401080015453E-2</v>
      </c>
    </row>
    <row r="364" spans="1:18" hidden="1" x14ac:dyDescent="0.3">
      <c r="A364" s="2">
        <v>43827</v>
      </c>
      <c r="B364" s="3">
        <v>45338648</v>
      </c>
      <c r="C364" s="4">
        <f t="shared" si="43"/>
        <v>-1.9417475518175131E-2</v>
      </c>
      <c r="D364" s="3">
        <v>9521116</v>
      </c>
      <c r="E364" s="4">
        <f t="shared" si="44"/>
        <v>2.1440220673887001E-2</v>
      </c>
      <c r="F364" s="3">
        <v>3269551</v>
      </c>
      <c r="G364" s="4">
        <f t="shared" si="45"/>
        <v>7.4640233679248477E-2</v>
      </c>
      <c r="H364" s="3">
        <v>2201061</v>
      </c>
      <c r="I364" s="4">
        <f t="shared" si="46"/>
        <v>0.11988775993039691</v>
      </c>
      <c r="J364" s="3">
        <v>1768333</v>
      </c>
      <c r="K364" s="7">
        <f t="shared" si="40"/>
        <v>3.9002773086661079E-2</v>
      </c>
      <c r="L364" s="7">
        <f t="shared" si="41"/>
        <v>0.17702582712427128</v>
      </c>
      <c r="M364" s="7">
        <f t="shared" si="42"/>
        <v>-1.9417475518175187E-2</v>
      </c>
      <c r="N364" s="7">
        <f t="shared" si="47"/>
        <v>0.2003332689885069</v>
      </c>
      <c r="O364" s="7">
        <f>('Session Details'!K364-'Session Details'!K357)/'Session Details'!K357</f>
        <v>4.1666759474071585E-2</v>
      </c>
      <c r="P364" s="7">
        <f>('Session Details'!L364-'Session Details'!L357)/'Session Details'!L357</f>
        <v>5.2083334813527608E-2</v>
      </c>
      <c r="Q364" s="7">
        <f>('Session Details'!M364-'Session Details'!M357)/'Session Details'!M357</f>
        <v>4.2104813158013295E-2</v>
      </c>
      <c r="R364" s="7">
        <f>('Session Details'!N364-'Session Details'!N357)/'Session Details'!N357</f>
        <v>5.102124448384511E-2</v>
      </c>
    </row>
    <row r="365" spans="1:18" hidden="1" x14ac:dyDescent="0.3">
      <c r="A365" s="2">
        <v>43828</v>
      </c>
      <c r="B365" s="3">
        <v>43543058</v>
      </c>
      <c r="C365" s="4">
        <f t="shared" si="43"/>
        <v>1.0416678269166866E-2</v>
      </c>
      <c r="D365" s="3">
        <v>8778280</v>
      </c>
      <c r="E365" s="4">
        <f t="shared" si="44"/>
        <v>-3.9603967978629959E-2</v>
      </c>
      <c r="F365" s="3">
        <v>3133846</v>
      </c>
      <c r="G365" s="4">
        <f t="shared" si="45"/>
        <v>-3.9603735861500011E-2</v>
      </c>
      <c r="H365" s="3">
        <v>2109705</v>
      </c>
      <c r="I365" s="4">
        <f t="shared" si="46"/>
        <v>8.3398681276142142E-4</v>
      </c>
      <c r="J365" s="3">
        <v>1596202</v>
      </c>
      <c r="K365" s="7">
        <f t="shared" si="40"/>
        <v>3.6658013316382146E-2</v>
      </c>
      <c r="L365" s="7">
        <f t="shared" si="41"/>
        <v>-4.8227189709752039E-2</v>
      </c>
      <c r="M365" s="7">
        <f t="shared" si="42"/>
        <v>1.0416678269166812E-2</v>
      </c>
      <c r="N365" s="7">
        <f t="shared" si="47"/>
        <v>-5.8039291353914724E-2</v>
      </c>
      <c r="O365" s="7">
        <f>('Session Details'!K365-'Session Details'!K358)/'Session Details'!K358</f>
        <v>-4.9504968913895719E-2</v>
      </c>
      <c r="P365" s="7">
        <f>('Session Details'!L365-'Session Details'!L358)/'Session Details'!L358</f>
        <v>2.416889722633162E-7</v>
      </c>
      <c r="Q365" s="7">
        <f>('Session Details'!M365-'Session Details'!M358)/'Session Details'!M358</f>
        <v>4.210524778595965E-2</v>
      </c>
      <c r="R365" s="7">
        <f>('Session Details'!N365-'Session Details'!N358)/'Session Details'!N358</f>
        <v>-4.9020294243556591E-2</v>
      </c>
    </row>
    <row r="366" spans="1:18" hidden="1" x14ac:dyDescent="0.3">
      <c r="A366" s="2">
        <v>43829</v>
      </c>
      <c r="B366" s="3">
        <v>22151687</v>
      </c>
      <c r="C366" s="4">
        <f t="shared" si="43"/>
        <v>3.0303020437004047E-2</v>
      </c>
      <c r="D366" s="3">
        <v>5316404</v>
      </c>
      <c r="E366" s="4">
        <f t="shared" si="44"/>
        <v>4.1148278133102144E-2</v>
      </c>
      <c r="F366" s="3">
        <v>2041499</v>
      </c>
      <c r="G366" s="4">
        <f t="shared" si="45"/>
        <v>5.2107566004772239E-2</v>
      </c>
      <c r="H366" s="3">
        <v>1415779</v>
      </c>
      <c r="I366" s="4">
        <f t="shared" si="46"/>
        <v>-1.0393884174245395E-2</v>
      </c>
      <c r="J366" s="3">
        <v>1172548</v>
      </c>
      <c r="K366" s="7">
        <f t="shared" si="40"/>
        <v>5.2932672802753128E-2</v>
      </c>
      <c r="L366" s="7">
        <f t="shared" si="41"/>
        <v>-2.0096189604669967E-2</v>
      </c>
      <c r="M366" s="7">
        <f t="shared" si="42"/>
        <v>3.0303020437004058E-2</v>
      </c>
      <c r="N366" s="7">
        <f t="shared" si="47"/>
        <v>-4.8916880802986507E-2</v>
      </c>
      <c r="O366" s="7">
        <f>('Session Details'!K366-'Session Details'!K359)/'Session Details'!K359</f>
        <v>1.052627962936384E-2</v>
      </c>
      <c r="P366" s="7">
        <f>('Session Details'!L366-'Session Details'!L359)/'Session Details'!L359</f>
        <v>1.0526154729200867E-2</v>
      </c>
      <c r="Q366" s="7">
        <f>('Session Details'!M366-'Session Details'!M359)/'Session Details'!M359</f>
        <v>-5.9405950682740495E-2</v>
      </c>
      <c r="R366" s="7">
        <f>('Session Details'!N366-'Session Details'!N359)/'Session Details'!N359</f>
        <v>-9.8042092457448979E-3</v>
      </c>
    </row>
    <row r="367" spans="1:18" hidden="1" x14ac:dyDescent="0.3">
      <c r="A367" s="2">
        <v>43830</v>
      </c>
      <c r="B367" s="3">
        <v>21934513</v>
      </c>
      <c r="C367" s="4">
        <f t="shared" si="43"/>
        <v>3.0612235788453249E-2</v>
      </c>
      <c r="D367" s="3">
        <v>5319119</v>
      </c>
      <c r="E367" s="4">
        <f t="shared" si="44"/>
        <v>-3.0615996096789398E-4</v>
      </c>
      <c r="F367" s="3">
        <v>2106371</v>
      </c>
      <c r="G367" s="4">
        <f t="shared" si="45"/>
        <v>-3.0612012438443754E-4</v>
      </c>
      <c r="H367" s="3">
        <v>1491521</v>
      </c>
      <c r="I367" s="4">
        <f t="shared" si="46"/>
        <v>-4.9310847710856892E-2</v>
      </c>
      <c r="J367" s="3">
        <v>1284200</v>
      </c>
      <c r="K367" s="7">
        <f t="shared" si="40"/>
        <v>5.854700307228157E-2</v>
      </c>
      <c r="L367" s="7">
        <f t="shared" si="41"/>
        <v>-2.1348651972925126E-2</v>
      </c>
      <c r="M367" s="7">
        <f t="shared" si="42"/>
        <v>3.061223578845329E-2</v>
      </c>
      <c r="N367" s="7">
        <f t="shared" si="47"/>
        <v>-5.0417495501231424E-2</v>
      </c>
      <c r="O367" s="7">
        <f>('Session Details'!K367-'Session Details'!K360)/'Session Details'!K360</f>
        <v>-3.0000027824012267E-2</v>
      </c>
      <c r="P367" s="7">
        <f>('Session Details'!L367-'Session Details'!L360)/'Session Details'!L360</f>
        <v>3.9848783512891382E-8</v>
      </c>
      <c r="Q367" s="7">
        <f>('Session Details'!M367-'Session Details'!M360)/'Session Details'!M360</f>
        <v>-4.90197335133929E-2</v>
      </c>
      <c r="R367" s="7">
        <f>('Session Details'!N367-'Session Details'!N360)/'Session Details'!N360</f>
        <v>2.9412553693920141E-2</v>
      </c>
    </row>
    <row r="368" spans="1:18" hidden="1" x14ac:dyDescent="0.3">
      <c r="A368" s="2">
        <v>43831</v>
      </c>
      <c r="B368" s="3">
        <v>21717340</v>
      </c>
      <c r="C368" s="4">
        <f t="shared" si="43"/>
        <v>5.2631578947368418E-2</v>
      </c>
      <c r="D368" s="3">
        <v>5375041</v>
      </c>
      <c r="E368" s="4">
        <f t="shared" si="44"/>
        <v>2.1671822506070585E-2</v>
      </c>
      <c r="F368" s="3">
        <v>2042515</v>
      </c>
      <c r="G368" s="4">
        <f t="shared" si="45"/>
        <v>-5.7681465918538143E-2</v>
      </c>
      <c r="H368" s="3">
        <v>1520857</v>
      </c>
      <c r="I368" s="4">
        <f t="shared" si="46"/>
        <v>-3.8835092580069848E-2</v>
      </c>
      <c r="J368" s="3">
        <v>1284516</v>
      </c>
      <c r="K368" s="7">
        <f t="shared" si="40"/>
        <v>5.914702260958294E-2</v>
      </c>
      <c r="L368" s="7">
        <f t="shared" si="41"/>
        <v>2.0618704144240274E-2</v>
      </c>
      <c r="M368" s="7">
        <f t="shared" si="42"/>
        <v>5.2631578947368363E-2</v>
      </c>
      <c r="N368" s="7">
        <f t="shared" si="47"/>
        <v>-3.0412231062971751E-2</v>
      </c>
      <c r="O368" s="7">
        <f>('Session Details'!K368-'Session Details'!K361)/'Session Details'!K361</f>
        <v>-2.9411768619232892E-2</v>
      </c>
      <c r="P368" s="7">
        <f>('Session Details'!L368-'Session Details'!L361)/'Session Details'!L361</f>
        <v>-7.7670037165126188E-2</v>
      </c>
      <c r="Q368" s="7">
        <f>('Session Details'!M368-'Session Details'!M361)/'Session Details'!M361</f>
        <v>2.0000002819470238E-2</v>
      </c>
      <c r="R368" s="7">
        <f>('Session Details'!N368-'Session Details'!N361)/'Session Details'!N361</f>
        <v>6.1855979411382163E-2</v>
      </c>
    </row>
  </sheetData>
  <autoFilter ref="A2:R368" xr:uid="{4375D379-A816-2846-B956-DD451B8B10CC}">
    <filterColumn colId="0">
      <colorFilter dxfId="1"/>
    </filterColumn>
  </autoFilter>
  <conditionalFormatting sqref="L10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3267-B689-47E6-88F7-1BEAD53E1B43}">
  <dimension ref="A3:B8"/>
  <sheetViews>
    <sheetView workbookViewId="0">
      <selection activeCell="D25" sqref="D25"/>
    </sheetView>
  </sheetViews>
  <sheetFormatPr defaultRowHeight="15.6" x14ac:dyDescent="0.3"/>
  <cols>
    <col min="1" max="1" width="12.296875" bestFit="1" customWidth="1"/>
    <col min="2" max="2" width="27.59765625" bestFit="1" customWidth="1"/>
  </cols>
  <sheetData>
    <row r="3" spans="1:2" x14ac:dyDescent="0.3">
      <c r="A3" s="76" t="s">
        <v>61</v>
      </c>
      <c r="B3" t="s">
        <v>193</v>
      </c>
    </row>
    <row r="4" spans="1:2" x14ac:dyDescent="0.3">
      <c r="A4" s="77" t="s">
        <v>6</v>
      </c>
      <c r="B4" s="10">
        <v>0.35966662987863618</v>
      </c>
    </row>
    <row r="5" spans="1:2" x14ac:dyDescent="0.3">
      <c r="A5" s="77" t="s">
        <v>9</v>
      </c>
      <c r="B5" s="10">
        <v>0.25959966897841241</v>
      </c>
    </row>
    <row r="6" spans="1:2" x14ac:dyDescent="0.3">
      <c r="A6" s="77" t="s">
        <v>8</v>
      </c>
      <c r="B6" s="10">
        <v>0.11151930176888539</v>
      </c>
    </row>
    <row r="7" spans="1:2" x14ac:dyDescent="0.3">
      <c r="A7" s="77" t="s">
        <v>7</v>
      </c>
      <c r="B7" s="10">
        <v>0.26921439937406605</v>
      </c>
    </row>
    <row r="8" spans="1:2" x14ac:dyDescent="0.3">
      <c r="A8" s="77" t="s">
        <v>62</v>
      </c>
      <c r="B8" s="7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D503-E902-4066-9C52-621F9E75F0AA}">
  <dimension ref="A1:R50"/>
  <sheetViews>
    <sheetView tabSelected="1" workbookViewId="0"/>
  </sheetViews>
  <sheetFormatPr defaultRowHeight="15.6" x14ac:dyDescent="0.3"/>
  <cols>
    <col min="1" max="1" width="12.19921875" style="139" customWidth="1"/>
    <col min="2" max="2" width="16.8984375" style="139" customWidth="1"/>
    <col min="3" max="4" width="21.8984375" style="139" customWidth="1"/>
    <col min="5" max="5" width="27.09765625" style="139" customWidth="1"/>
    <col min="6" max="6" width="17.09765625" style="139" customWidth="1"/>
    <col min="7" max="7" width="11.19921875" style="139" customWidth="1"/>
    <col min="8" max="8" width="11.5" style="139" customWidth="1"/>
    <col min="9" max="9" width="12.5" style="139" customWidth="1"/>
    <col min="10" max="10" width="38.19921875" style="139" customWidth="1"/>
    <col min="11" max="11" width="38.09765625" style="139" customWidth="1"/>
    <col min="12" max="17" width="8.796875" style="139"/>
    <col min="18" max="18" width="55" style="139" hidden="1" customWidth="1"/>
    <col min="19" max="16384" width="8.796875" style="139"/>
  </cols>
  <sheetData>
    <row r="1" spans="1:18" ht="9.6" customHeight="1" x14ac:dyDescent="0.3"/>
    <row r="2" spans="1:18" ht="28.2" customHeight="1" x14ac:dyDescent="0.35">
      <c r="A2" s="184" t="s">
        <v>203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41"/>
      <c r="M2" s="141"/>
    </row>
    <row r="3" spans="1:18" ht="28.2" customHeight="1" x14ac:dyDescent="0.3">
      <c r="D3" s="140"/>
      <c r="E3" s="140"/>
      <c r="F3" s="140"/>
      <c r="G3" s="140"/>
      <c r="H3" s="140"/>
      <c r="I3" s="140"/>
      <c r="K3" s="141"/>
      <c r="L3" s="141"/>
      <c r="M3" s="142"/>
    </row>
    <row r="4" spans="1:18" ht="33.6" customHeight="1" x14ac:dyDescent="0.3">
      <c r="A4" s="176" t="s">
        <v>0</v>
      </c>
      <c r="B4" s="176" t="s">
        <v>65</v>
      </c>
      <c r="C4" s="176" t="s">
        <v>71</v>
      </c>
      <c r="D4" s="177" t="s">
        <v>75</v>
      </c>
      <c r="E4" s="177"/>
      <c r="F4" s="176" t="s">
        <v>6</v>
      </c>
      <c r="G4" s="176" t="s">
        <v>73</v>
      </c>
      <c r="H4" s="176" t="s">
        <v>74</v>
      </c>
      <c r="I4" s="176" t="s">
        <v>9</v>
      </c>
      <c r="J4" s="176" t="s">
        <v>191</v>
      </c>
      <c r="K4" s="176" t="s">
        <v>102</v>
      </c>
      <c r="L4" s="142"/>
      <c r="M4" s="142"/>
      <c r="R4" s="142" t="s">
        <v>76</v>
      </c>
    </row>
    <row r="5" spans="1:18" ht="33" customHeight="1" x14ac:dyDescent="0.3">
      <c r="A5" s="95">
        <v>43475</v>
      </c>
      <c r="B5" s="143">
        <f>VLOOKUP(A5,Table6[#All],2,FALSE)</f>
        <v>43475</v>
      </c>
      <c r="C5" s="139" t="str">
        <f>VLOOKUP(A5,Table24[#All],13,FALSE)</f>
        <v>Traffic</v>
      </c>
      <c r="D5" s="17">
        <f>VLOOKUP(A5,Table24[#All],10,FALSE)</f>
        <v>-0.4522502426107996</v>
      </c>
      <c r="E5" s="144" t="s">
        <v>119</v>
      </c>
      <c r="F5" s="17">
        <f>VLOOKUP(Reasons!$A5,Table18[#All],7,FALSE)</f>
        <v>-0.94841710998530149</v>
      </c>
      <c r="G5" s="17">
        <f>VLOOKUP(Reasons!$A5,Table18[#All],8,FALSE)</f>
        <v>-0.48958330002447981</v>
      </c>
      <c r="H5" s="17">
        <f>VLOOKUP(Reasons!$A5,Table18[#All],9,FALSE)</f>
        <v>-0.48958358314972283</v>
      </c>
      <c r="I5" s="17">
        <f>VLOOKUP(Reasons!$A5,Table18[#All],10,FALSE)</f>
        <v>0.14572501295048121</v>
      </c>
      <c r="J5" s="139" t="s">
        <v>137</v>
      </c>
      <c r="K5" s="17" t="s">
        <v>134</v>
      </c>
      <c r="L5" s="17"/>
      <c r="M5" s="17"/>
      <c r="R5" s="139" t="s">
        <v>77</v>
      </c>
    </row>
    <row r="6" spans="1:18" s="146" customFormat="1" ht="46.8" x14ac:dyDescent="0.3">
      <c r="A6" s="126">
        <v>43636</v>
      </c>
      <c r="B6" s="145">
        <f>VLOOKUP(A6,Table6[#All],2,FALSE)</f>
        <v>43636</v>
      </c>
      <c r="C6" s="146" t="str">
        <f>VLOOKUP(A6,Table24[#All],13,FALSE)</f>
        <v>Traffic</v>
      </c>
      <c r="D6" s="144">
        <f>VLOOKUP(A6,Table24[#All],10,FALSE)</f>
        <v>-0.54373712252615491</v>
      </c>
      <c r="E6" s="144" t="s">
        <v>122</v>
      </c>
      <c r="F6" s="144">
        <f>VLOOKUP(Reasons!$A6,Table18[#All],7,FALSE)</f>
        <v>-0.52999996674444205</v>
      </c>
      <c r="G6" s="144">
        <f>VLOOKUP(Reasons!$A6,Table18[#All],8,FALSE)</f>
        <v>-0.53000001193789359</v>
      </c>
      <c r="H6" s="144">
        <f>VLOOKUP(Reasons!$A6,Table18[#All],9,FALSE)</f>
        <v>-0.53000012139442854</v>
      </c>
      <c r="I6" s="144">
        <f>VLOOKUP(Reasons!$A6,Table18[#All],10,FALSE)</f>
        <v>-0.52999995749585405</v>
      </c>
      <c r="J6" s="144" t="s">
        <v>106</v>
      </c>
      <c r="K6" s="146" t="s">
        <v>103</v>
      </c>
      <c r="R6" s="146" t="s">
        <v>78</v>
      </c>
    </row>
    <row r="7" spans="1:18" ht="46.2" customHeight="1" x14ac:dyDescent="0.3">
      <c r="A7" s="95">
        <v>43643</v>
      </c>
      <c r="B7" s="143">
        <f>VLOOKUP(A7,Table6[#All],2,FALSE)</f>
        <v>43643</v>
      </c>
      <c r="C7" s="139" t="str">
        <f>VLOOKUP(A7,Table24[#All],13,FALSE)</f>
        <v>Traffic</v>
      </c>
      <c r="D7" s="17">
        <f>VLOOKUP(A7,Table24[#All],10,FALSE)</f>
        <v>1.1472182813955829</v>
      </c>
      <c r="E7" s="144" t="s">
        <v>123</v>
      </c>
      <c r="F7" s="17">
        <f>VLOOKUP(Reasons!$A7,Table18[#All],7,FALSE)</f>
        <v>1.1914891358835065</v>
      </c>
      <c r="G7" s="17">
        <f>VLOOKUP(Reasons!$A7,Table18[#All],8,FALSE)</f>
        <v>1.1914896241921964</v>
      </c>
      <c r="H7" s="17">
        <f>VLOOKUP(Reasons!$A7,Table18[#All],9,FALSE)</f>
        <v>1.1914897406985836</v>
      </c>
      <c r="I7" s="17">
        <f>VLOOKUP(Reasons!$A7,Table18[#All],10,FALSE)</f>
        <v>1.1914890730818781</v>
      </c>
      <c r="J7" s="144" t="s">
        <v>105</v>
      </c>
      <c r="K7" s="17" t="s">
        <v>134</v>
      </c>
      <c r="R7" s="146" t="s">
        <v>79</v>
      </c>
    </row>
    <row r="8" spans="1:18" s="146" customFormat="1" ht="50.4" customHeight="1" x14ac:dyDescent="0.3">
      <c r="A8" s="126">
        <v>43482</v>
      </c>
      <c r="B8" s="145">
        <f>VLOOKUP(A8,Table6[#All],2,FALSE)</f>
        <v>43482</v>
      </c>
      <c r="C8" s="146" t="str">
        <f>VLOOKUP(A8,Table24[#All],13,FALSE)</f>
        <v>Traffic</v>
      </c>
      <c r="D8" s="144">
        <f>VLOOKUP(A8,Table24[#All],10,FALSE)</f>
        <v>1.0595416371384867</v>
      </c>
      <c r="E8" s="144" t="s">
        <v>124</v>
      </c>
      <c r="F8" s="144">
        <f>VLOOKUP(Reasons!$A8,Table18[#All],7,FALSE)</f>
        <v>19.799855872051577</v>
      </c>
      <c r="G8" s="144">
        <f>VLOOKUP(Reasons!$A8,Table18[#All],8,FALSE)</f>
        <v>1.1020407879148157</v>
      </c>
      <c r="H8" s="144">
        <f>VLOOKUP(Reasons!$A8,Table18[#All],9,FALSE)</f>
        <v>1.10204140909852</v>
      </c>
      <c r="I8" s="144">
        <f>VLOOKUP(Reasons!$A8,Table18[#All],10,FALSE)</f>
        <v>-6.3547930850813741E-2</v>
      </c>
      <c r="J8" s="144" t="s">
        <v>139</v>
      </c>
      <c r="K8" s="146" t="s">
        <v>138</v>
      </c>
      <c r="R8" s="146" t="s">
        <v>80</v>
      </c>
    </row>
    <row r="9" spans="1:18" x14ac:dyDescent="0.3">
      <c r="A9" s="95">
        <v>43487</v>
      </c>
      <c r="B9" s="143">
        <f>VLOOKUP(A9,Table6[#All],2,FALSE)</f>
        <v>43487</v>
      </c>
      <c r="C9" s="139" t="str">
        <f>VLOOKUP(A9,Table24[#All],13,FALSE)</f>
        <v>Traffic</v>
      </c>
      <c r="D9" s="17">
        <f>VLOOKUP(A9,Table24[#All],10,FALSE)</f>
        <v>0.85430485686646174</v>
      </c>
      <c r="E9" s="144" t="s">
        <v>125</v>
      </c>
      <c r="F9" s="17">
        <f>VLOOKUP(Reasons!$A9,Table18[#All],7,FALSE)</f>
        <v>0.76530620368873059</v>
      </c>
      <c r="G9" s="17">
        <f>VLOOKUP(Reasons!$A9,Table18[#All],8,FALSE)</f>
        <v>-0.64693892254082896</v>
      </c>
      <c r="H9" s="17">
        <f>VLOOKUP(Reasons!$A9,Table18[#All],9,FALSE)</f>
        <v>7.4691475779420955</v>
      </c>
      <c r="I9" s="17">
        <f>VLOOKUP(Reasons!$A9,Table18[#All],10,FALSE)</f>
        <v>-0.60437207174092422</v>
      </c>
      <c r="J9" s="17" t="s">
        <v>113</v>
      </c>
      <c r="K9" s="139" t="s">
        <v>135</v>
      </c>
      <c r="R9" s="139" t="s">
        <v>81</v>
      </c>
    </row>
    <row r="10" spans="1:18" x14ac:dyDescent="0.3">
      <c r="A10" s="95"/>
      <c r="B10" s="143"/>
    </row>
    <row r="11" spans="1:18" x14ac:dyDescent="0.3">
      <c r="A11" s="95"/>
      <c r="B11" s="143"/>
    </row>
    <row r="12" spans="1:18" s="175" customFormat="1" ht="26.4" customHeight="1" x14ac:dyDescent="0.35">
      <c r="A12" s="185" t="s">
        <v>192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</row>
    <row r="13" spans="1:18" x14ac:dyDescent="0.3">
      <c r="A13" s="95"/>
      <c r="B13" s="143"/>
    </row>
    <row r="14" spans="1:18" ht="31.2" x14ac:dyDescent="0.3">
      <c r="A14" s="178" t="s">
        <v>0</v>
      </c>
      <c r="B14" s="179" t="s">
        <v>65</v>
      </c>
      <c r="C14" s="176" t="s">
        <v>71</v>
      </c>
      <c r="D14" s="177" t="s">
        <v>75</v>
      </c>
      <c r="E14" s="176" t="s">
        <v>72</v>
      </c>
      <c r="F14" s="183" t="s">
        <v>101</v>
      </c>
      <c r="G14" s="183"/>
      <c r="H14" s="183"/>
      <c r="I14" s="183"/>
      <c r="J14" s="176" t="s">
        <v>191</v>
      </c>
      <c r="K14" s="176" t="s">
        <v>102</v>
      </c>
    </row>
    <row r="15" spans="1:18" ht="45" customHeight="1" x14ac:dyDescent="0.3">
      <c r="A15" s="95">
        <v>43486</v>
      </c>
      <c r="B15" s="143">
        <f>VLOOKUP(A15,Table6[#All],2,FALSE)</f>
        <v>43486</v>
      </c>
      <c r="C15" s="139" t="str">
        <f>VLOOKUP(A15,Table24[#All],13,FALSE)</f>
        <v>Conversion</v>
      </c>
      <c r="D15" s="17">
        <f>VLOOKUP(A15,Table24[#All],10,FALSE)</f>
        <v>0.23352106416819263</v>
      </c>
      <c r="E15" s="144" t="s">
        <v>110</v>
      </c>
      <c r="F15" s="140"/>
      <c r="G15" s="140"/>
      <c r="H15" s="140"/>
      <c r="I15" s="140"/>
      <c r="J15" s="147" t="s">
        <v>111</v>
      </c>
      <c r="K15" s="148" t="s">
        <v>112</v>
      </c>
    </row>
    <row r="16" spans="1:18" ht="45" customHeight="1" x14ac:dyDescent="0.3">
      <c r="A16" s="95">
        <v>43501</v>
      </c>
      <c r="B16" s="143">
        <f>VLOOKUP(A16,Table6[#All],2,FALSE)</f>
        <v>43501</v>
      </c>
      <c r="C16" s="139" t="str">
        <f>VLOOKUP('Changeinordervalue detailed'!A8,Table24[#All],13,FALSE)</f>
        <v>Conversion</v>
      </c>
      <c r="D16" s="17">
        <f>VLOOKUP(A16,Table24[#All],10,FALSE)</f>
        <v>1.1476852728398028</v>
      </c>
      <c r="E16" s="17" t="s">
        <v>127</v>
      </c>
      <c r="F16" s="182">
        <f>'Change due to conversion'!O38</f>
        <v>1.234042310339488</v>
      </c>
      <c r="G16" s="182"/>
      <c r="H16" s="182"/>
      <c r="I16" s="182"/>
      <c r="J16" s="148" t="s">
        <v>115</v>
      </c>
      <c r="K16" s="149" t="s">
        <v>140</v>
      </c>
    </row>
    <row r="17" spans="1:11" ht="45" customHeight="1" thickBot="1" x14ac:dyDescent="0.35">
      <c r="A17" s="95">
        <v>43515</v>
      </c>
      <c r="B17" s="143">
        <f>VLOOKUP(A17,Table6[#All],2,FALSE)</f>
        <v>43515</v>
      </c>
      <c r="C17" s="139" t="str">
        <f>VLOOKUP('Changeinordervalue detailed'!A9,Table24[#All],13,FALSE)</f>
        <v>Conversion</v>
      </c>
      <c r="D17" s="17">
        <f>VLOOKUP(A17,Table24[#All],10,FALSE)</f>
        <v>-0.55839299648571217</v>
      </c>
      <c r="E17" s="17" t="s">
        <v>120</v>
      </c>
      <c r="F17" s="182">
        <f>'Change due to conversion'!P52</f>
        <v>-0.56701031734702356</v>
      </c>
      <c r="G17" s="182"/>
      <c r="H17" s="182"/>
      <c r="I17" s="182"/>
      <c r="J17" s="148" t="s">
        <v>141</v>
      </c>
      <c r="K17" s="149" t="s">
        <v>142</v>
      </c>
    </row>
    <row r="18" spans="1:11" ht="45" customHeight="1" thickBot="1" x14ac:dyDescent="0.35">
      <c r="A18" s="95">
        <v>43522</v>
      </c>
      <c r="B18" s="143">
        <f>VLOOKUP(A18,Table6[#All],2,FALSE)</f>
        <v>43522</v>
      </c>
      <c r="C18" s="139" t="str">
        <f>VLOOKUP('Changeinordervalue detailed'!A10,Table24[#All],13,FALSE)</f>
        <v>Conversion</v>
      </c>
      <c r="D18" s="17">
        <f>VLOOKUP(A18,Table24[#All],10,FALSE)</f>
        <v>1.2004191790539451</v>
      </c>
      <c r="E18" s="17" t="s">
        <v>128</v>
      </c>
      <c r="F18" s="182">
        <f>'Change due to conversion'!P59</f>
        <v>1.4523805158365186</v>
      </c>
      <c r="G18" s="182"/>
      <c r="H18" s="182"/>
      <c r="I18" s="182"/>
      <c r="J18" s="150" t="s">
        <v>143</v>
      </c>
      <c r="K18" s="149" t="s">
        <v>144</v>
      </c>
    </row>
    <row r="19" spans="1:11" ht="45" customHeight="1" x14ac:dyDescent="0.3">
      <c r="A19" s="95">
        <v>43524</v>
      </c>
      <c r="B19" s="143">
        <f>VLOOKUP(A19,Table6[#All],2,FALSE)</f>
        <v>43524</v>
      </c>
      <c r="C19" s="139" t="str">
        <f>VLOOKUP('Changeinordervalue detailed'!A11,Table24[#All],13,FALSE)</f>
        <v>Conversion</v>
      </c>
      <c r="D19" s="17">
        <f>VLOOKUP(A19,Table24[#All],10,FALSE)</f>
        <v>0.22324803045110131</v>
      </c>
      <c r="E19" s="151" t="s">
        <v>145</v>
      </c>
      <c r="F19" s="182"/>
      <c r="G19" s="182"/>
      <c r="H19" s="182"/>
      <c r="I19" s="182"/>
      <c r="J19" s="152" t="s">
        <v>146</v>
      </c>
      <c r="K19" s="153" t="s">
        <v>147</v>
      </c>
    </row>
    <row r="20" spans="1:11" ht="45" customHeight="1" x14ac:dyDescent="0.3">
      <c r="A20" s="95">
        <v>43526</v>
      </c>
      <c r="B20" s="143">
        <f>VLOOKUP(A20,Table6[#All],2,FALSE)</f>
        <v>43526</v>
      </c>
      <c r="C20" s="139" t="str">
        <f>VLOOKUP('Changeinordervalue detailed'!A12,Table24[#All],13,FALSE)</f>
        <v>Conversion</v>
      </c>
      <c r="D20" s="17">
        <f>VLOOKUP(A20,Table24[#All],10,FALSE)</f>
        <v>-0.37594234941110949</v>
      </c>
      <c r="E20" s="17" t="s">
        <v>129</v>
      </c>
      <c r="F20" s="182">
        <f>'Change due to conversion'!P96</f>
        <v>-0.48979617291931027</v>
      </c>
      <c r="G20" s="182"/>
      <c r="H20" s="182"/>
      <c r="I20" s="182"/>
      <c r="J20" s="148" t="s">
        <v>148</v>
      </c>
      <c r="K20" s="148" t="s">
        <v>149</v>
      </c>
    </row>
    <row r="21" spans="1:11" s="146" customFormat="1" ht="45" customHeight="1" x14ac:dyDescent="0.3">
      <c r="A21" s="126">
        <v>43533</v>
      </c>
      <c r="B21" s="145">
        <f>VLOOKUP(A21,Table6[#All],2,FALSE)</f>
        <v>43533</v>
      </c>
      <c r="C21" s="146" t="str">
        <f>VLOOKUP('Changeinordervalue detailed'!A13,Table24[#All],13,FALSE)</f>
        <v>Conversion</v>
      </c>
      <c r="D21" s="144">
        <f>VLOOKUP(A21,Table24[#All],10,FALSE)</f>
        <v>1.0202070652584099</v>
      </c>
      <c r="E21" s="144" t="s">
        <v>130</v>
      </c>
      <c r="F21" s="182">
        <f>'Change due to conversion'!Q70</f>
        <v>1.1224496738699308</v>
      </c>
      <c r="G21" s="182"/>
      <c r="H21" s="182"/>
      <c r="I21" s="182"/>
      <c r="J21" s="148" t="s">
        <v>150</v>
      </c>
      <c r="K21" s="148" t="s">
        <v>103</v>
      </c>
    </row>
    <row r="22" spans="1:11" s="146" customFormat="1" ht="45" customHeight="1" x14ac:dyDescent="0.3">
      <c r="A22" s="126">
        <v>43543</v>
      </c>
      <c r="B22" s="145">
        <f>VLOOKUP(A22,Table6[#All],2,FALSE)</f>
        <v>43543</v>
      </c>
      <c r="C22" s="146" t="str">
        <f>VLOOKUP('Changeinordervalue detailed'!A14,Table24[#All],13,FALSE)</f>
        <v>Conversion</v>
      </c>
      <c r="D22" s="144">
        <f>VLOOKUP(A22,Table24[#All],10,FALSE)</f>
        <v>-0.45549226537958976</v>
      </c>
      <c r="E22" s="144" t="s">
        <v>131</v>
      </c>
      <c r="F22" s="182">
        <f>'Change due to conversion'!R80</f>
        <v>-0.52525253838500408</v>
      </c>
      <c r="G22" s="182"/>
      <c r="H22" s="182"/>
      <c r="I22" s="182"/>
      <c r="J22" s="148" t="s">
        <v>151</v>
      </c>
      <c r="K22" s="148" t="s">
        <v>152</v>
      </c>
    </row>
    <row r="23" spans="1:11" ht="45" customHeight="1" x14ac:dyDescent="0.3">
      <c r="A23" s="95">
        <v>43548</v>
      </c>
      <c r="B23" s="143">
        <f>VLOOKUP(A23,Table6[#All],2,FALSE)</f>
        <v>43548</v>
      </c>
      <c r="C23" s="139" t="str">
        <f>VLOOKUP('Changeinordervalue detailed'!A15,Table24[#All],13,FALSE)</f>
        <v>Conversion</v>
      </c>
      <c r="D23" s="17">
        <f>VLOOKUP(A23,Table24[#All],10,FALSE)</f>
        <v>0.22259812803337153</v>
      </c>
      <c r="E23" s="17"/>
      <c r="F23" s="182"/>
      <c r="G23" s="182"/>
      <c r="H23" s="182"/>
      <c r="I23" s="182"/>
      <c r="J23" s="154" t="s">
        <v>153</v>
      </c>
      <c r="K23" s="149" t="s">
        <v>154</v>
      </c>
    </row>
    <row r="24" spans="1:11" ht="45" customHeight="1" x14ac:dyDescent="0.3">
      <c r="A24" s="95">
        <v>43550</v>
      </c>
      <c r="B24" s="143">
        <f>VLOOKUP(A24,Table6[#All],2,FALSE)</f>
        <v>43550</v>
      </c>
      <c r="C24" s="139" t="str">
        <f>VLOOKUP('Changeinordervalue detailed'!A16,Table24[#All],13,FALSE)</f>
        <v>Conversion</v>
      </c>
      <c r="D24" s="17">
        <f>VLOOKUP(A24,Table24[#All],10,FALSE)</f>
        <v>0.77964973472889199</v>
      </c>
      <c r="E24" s="17" t="s">
        <v>132</v>
      </c>
      <c r="F24" s="182">
        <f>'Change due to conversion'!R87</f>
        <v>1.2127650047192209</v>
      </c>
      <c r="G24" s="182"/>
      <c r="H24" s="182"/>
      <c r="I24" s="182"/>
      <c r="J24" s="148" t="s">
        <v>95</v>
      </c>
      <c r="K24" s="155" t="s">
        <v>155</v>
      </c>
    </row>
    <row r="25" spans="1:11" ht="45" customHeight="1" x14ac:dyDescent="0.3">
      <c r="A25" s="95">
        <v>43559</v>
      </c>
      <c r="B25" s="143">
        <f>VLOOKUP(A25,Table6[#All],2,FALSE)</f>
        <v>43559</v>
      </c>
      <c r="C25" s="139" t="str">
        <f>VLOOKUP('Changeinordervalue detailed'!A17,Table24[#All],13,FALSE)</f>
        <v>Conversion</v>
      </c>
      <c r="D25" s="17">
        <f>VLOOKUP(A25,Table24[#All],10,FALSE)</f>
        <v>-0.52087951809985289</v>
      </c>
      <c r="E25" s="17" t="s">
        <v>120</v>
      </c>
      <c r="F25" s="182">
        <f>'Change due to conversion'!P96</f>
        <v>-0.48979617291931027</v>
      </c>
      <c r="G25" s="182"/>
      <c r="H25" s="182"/>
      <c r="I25" s="182"/>
      <c r="J25" s="149" t="s">
        <v>156</v>
      </c>
      <c r="K25" s="156" t="s">
        <v>158</v>
      </c>
    </row>
    <row r="26" spans="1:11" ht="45" customHeight="1" x14ac:dyDescent="0.3">
      <c r="A26" s="95">
        <v>43566</v>
      </c>
      <c r="B26" s="143">
        <f>VLOOKUP(A26,Table6[#All],2,FALSE)</f>
        <v>43566</v>
      </c>
      <c r="C26" s="139" t="str">
        <f>VLOOKUP('Changeinordervalue detailed'!A18,Table24[#All],13,FALSE)</f>
        <v>Conversion</v>
      </c>
      <c r="D26" s="17">
        <f>VLOOKUP(A26,Table24[#All],10,FALSE)</f>
        <v>0.9239043412518404</v>
      </c>
      <c r="E26" s="17" t="s">
        <v>128</v>
      </c>
      <c r="F26" s="182">
        <f>'Change due to conversion'!P103</f>
        <v>0.94000053800870187</v>
      </c>
      <c r="G26" s="182"/>
      <c r="H26" s="182"/>
      <c r="I26" s="182"/>
      <c r="J26" s="149" t="s">
        <v>157</v>
      </c>
      <c r="K26" s="149" t="s">
        <v>114</v>
      </c>
    </row>
    <row r="27" spans="1:11" ht="45" customHeight="1" x14ac:dyDescent="0.3">
      <c r="A27" s="95">
        <v>43567</v>
      </c>
      <c r="B27" s="143">
        <f>VLOOKUP(A27,Table6[#All],2,FALSE)</f>
        <v>43567</v>
      </c>
      <c r="C27" s="139" t="str">
        <f>VLOOKUP('Changeinordervalue detailed'!A19,Table24[#All],13,FALSE)</f>
        <v>Conversion</v>
      </c>
      <c r="D27" s="17">
        <f>VLOOKUP(A27,Table24[#All],10,FALSE)</f>
        <v>-0.27312591355188975</v>
      </c>
      <c r="E27" s="17" t="s">
        <v>159</v>
      </c>
      <c r="F27" s="182"/>
      <c r="G27" s="182"/>
      <c r="H27" s="182"/>
      <c r="I27" s="182"/>
      <c r="J27" s="149" t="s">
        <v>160</v>
      </c>
      <c r="K27" s="149"/>
    </row>
    <row r="28" spans="1:11" ht="45" customHeight="1" x14ac:dyDescent="0.3">
      <c r="A28" s="95">
        <v>43569</v>
      </c>
      <c r="B28" s="143">
        <f>VLOOKUP(A28,Table6[#All],2,FALSE)</f>
        <v>43569</v>
      </c>
      <c r="C28" s="139" t="str">
        <f>VLOOKUP('Changeinordervalue detailed'!A20,Table24[#All],13,FALSE)</f>
        <v>Conversion</v>
      </c>
      <c r="D28" s="17">
        <f>VLOOKUP(A28,Table24[#All],10,FALSE)</f>
        <v>0.28376620785956508</v>
      </c>
      <c r="E28" s="157" t="s">
        <v>161</v>
      </c>
      <c r="F28" s="182"/>
      <c r="G28" s="182"/>
      <c r="H28" s="182"/>
      <c r="I28" s="182"/>
      <c r="J28" s="156" t="s">
        <v>163</v>
      </c>
      <c r="K28" s="155" t="s">
        <v>162</v>
      </c>
    </row>
    <row r="29" spans="1:11" ht="45" customHeight="1" x14ac:dyDescent="0.3">
      <c r="A29" s="95">
        <v>43573</v>
      </c>
      <c r="B29" s="143">
        <f>VLOOKUP(A29,Table6[#All],2,FALSE)</f>
        <v>43573</v>
      </c>
      <c r="C29" s="139" t="str">
        <f>VLOOKUP('Changeinordervalue detailed'!A21,Table24[#All],13,FALSE)</f>
        <v>Conversion</v>
      </c>
      <c r="D29" s="17">
        <f>VLOOKUP(A29,Table24[#All],10,FALSE)</f>
        <v>0.7302283946685022</v>
      </c>
      <c r="E29" s="17" t="s">
        <v>128</v>
      </c>
      <c r="F29" s="182">
        <f>'Change due to conversion'!P110</f>
        <v>0.73195869172841055</v>
      </c>
      <c r="G29" s="182"/>
      <c r="H29" s="182"/>
      <c r="I29" s="182"/>
      <c r="J29" s="149" t="s">
        <v>164</v>
      </c>
      <c r="K29" s="156" t="s">
        <v>158</v>
      </c>
    </row>
    <row r="30" spans="1:11" ht="45" customHeight="1" x14ac:dyDescent="0.3">
      <c r="A30" s="95">
        <v>43574</v>
      </c>
      <c r="B30" s="143">
        <f>VLOOKUP(A30,Table6[#All],2,FALSE)</f>
        <v>43574</v>
      </c>
      <c r="C30" s="139" t="str">
        <f>VLOOKUP('Changeinordervalue detailed'!A22,Table24[#All],13,FALSE)</f>
        <v>Conversion</v>
      </c>
      <c r="D30" s="17">
        <f>VLOOKUP(A30,Table24[#All],10,FALSE)</f>
        <v>0.2472495952251057</v>
      </c>
      <c r="E30" s="157" t="s">
        <v>161</v>
      </c>
      <c r="F30" s="182"/>
      <c r="G30" s="182"/>
      <c r="H30" s="182"/>
      <c r="I30" s="182"/>
      <c r="J30" s="156" t="s">
        <v>165</v>
      </c>
      <c r="K30" s="149" t="s">
        <v>166</v>
      </c>
    </row>
    <row r="31" spans="1:11" ht="45" customHeight="1" x14ac:dyDescent="0.3">
      <c r="A31" s="95">
        <v>43580</v>
      </c>
      <c r="B31" s="143">
        <f>VLOOKUP(A31,Table6[#All],2,FALSE)</f>
        <v>43580</v>
      </c>
      <c r="C31" s="139" t="str">
        <f>VLOOKUP('Changeinordervalue detailed'!A23,Table24[#All],13,FALSE)</f>
        <v>Conversion</v>
      </c>
      <c r="D31" s="17">
        <f>VLOOKUP(A31,Table24[#All],10,FALSE)</f>
        <v>-0.38690483590402214</v>
      </c>
      <c r="E31" s="17" t="s">
        <v>120</v>
      </c>
      <c r="F31" s="182">
        <f>'Change due to conversion'!P117</f>
        <v>-0.42857151946575822</v>
      </c>
      <c r="G31" s="182"/>
      <c r="H31" s="182"/>
      <c r="I31" s="182"/>
      <c r="J31" s="158" t="s">
        <v>167</v>
      </c>
      <c r="K31" s="149" t="s">
        <v>166</v>
      </c>
    </row>
    <row r="32" spans="1:11" ht="45" customHeight="1" x14ac:dyDescent="0.3">
      <c r="A32" s="95">
        <v>43662</v>
      </c>
      <c r="B32" s="143">
        <f>VLOOKUP(A32,Table6[#All],2,FALSE)</f>
        <v>43662</v>
      </c>
      <c r="C32" s="139" t="str">
        <f>VLOOKUP('Changeinordervalue detailed'!A26,Table24[#All],13,FALSE)</f>
        <v>Conversion</v>
      </c>
      <c r="D32" s="17">
        <f>VLOOKUP(A32,Table24[#All],10,FALSE)</f>
        <v>-0.63082013655867986</v>
      </c>
      <c r="E32" s="17" t="s">
        <v>121</v>
      </c>
      <c r="F32" s="182">
        <f>'Change due to conversion'!O199</f>
        <v>-0.59595960227083933</v>
      </c>
      <c r="G32" s="182"/>
      <c r="H32" s="182"/>
      <c r="I32" s="182"/>
      <c r="J32" s="147" t="s">
        <v>168</v>
      </c>
      <c r="K32" s="148" t="s">
        <v>169</v>
      </c>
    </row>
    <row r="33" spans="1:11" ht="45" customHeight="1" x14ac:dyDescent="0.3">
      <c r="A33" s="95">
        <v>43669</v>
      </c>
      <c r="B33" s="143">
        <f>VLOOKUP(A33,Table6[#All],2,FALSE)</f>
        <v>43669</v>
      </c>
      <c r="C33" s="139" t="str">
        <f>VLOOKUP('Changeinordervalue detailed'!A27,Table24[#All],13,FALSE)</f>
        <v>Conversion</v>
      </c>
      <c r="D33" s="17">
        <f>VLOOKUP(A33,Table24[#All],10,FALSE)</f>
        <v>1.3503180372102532</v>
      </c>
      <c r="E33" s="17" t="s">
        <v>127</v>
      </c>
      <c r="F33" s="182">
        <f>'Change due to conversion'!O206</f>
        <v>1.3749999518394704</v>
      </c>
      <c r="G33" s="182"/>
      <c r="H33" s="182"/>
      <c r="I33" s="182"/>
      <c r="J33" s="154" t="s">
        <v>170</v>
      </c>
      <c r="K33" s="149" t="s">
        <v>114</v>
      </c>
    </row>
    <row r="34" spans="1:11" s="146" customFormat="1" ht="45" customHeight="1" x14ac:dyDescent="0.3">
      <c r="A34" s="126">
        <v>43688</v>
      </c>
      <c r="B34" s="145">
        <f>VLOOKUP(A34,Table6[#All],2,FALSE)</f>
        <v>43688</v>
      </c>
      <c r="C34" s="146" t="str">
        <f>VLOOKUP('Changeinordervalue detailed'!A28,Table24[#All],13,FALSE)</f>
        <v>Conversion</v>
      </c>
      <c r="D34" s="144">
        <f>VLOOKUP(A34,Table24[#All],10,FALSE)</f>
        <v>-0.54353363205176886</v>
      </c>
      <c r="E34" s="144" t="s">
        <v>129</v>
      </c>
      <c r="F34" s="182">
        <f>'Change due to conversion'!Q225</f>
        <v>-0.53846175315374112</v>
      </c>
      <c r="G34" s="182"/>
      <c r="H34" s="182"/>
      <c r="I34" s="182"/>
      <c r="J34" s="156" t="s">
        <v>171</v>
      </c>
      <c r="K34" s="159" t="s">
        <v>166</v>
      </c>
    </row>
    <row r="35" spans="1:11" ht="45" customHeight="1" x14ac:dyDescent="0.3">
      <c r="A35" s="95">
        <v>43695</v>
      </c>
      <c r="B35" s="143">
        <f>VLOOKUP(A35,Table6[#All],2,FALSE)</f>
        <v>43695</v>
      </c>
      <c r="C35" s="139" t="str">
        <f>VLOOKUP('Changeinordervalue detailed'!A29,Table24[#All],13,FALSE)</f>
        <v>Conversion</v>
      </c>
      <c r="D35" s="17">
        <f>VLOOKUP(A35,Table24[#All],10,FALSE)</f>
        <v>1.0661671278564273</v>
      </c>
      <c r="E35" s="17" t="s">
        <v>130</v>
      </c>
      <c r="F35" s="182">
        <f>'Change due to conversion'!Q232</f>
        <v>0.97916698064497742</v>
      </c>
      <c r="G35" s="182"/>
      <c r="H35" s="182"/>
      <c r="I35" s="182"/>
      <c r="J35" s="156" t="s">
        <v>172</v>
      </c>
      <c r="K35" s="149"/>
    </row>
    <row r="36" spans="1:11" ht="45" customHeight="1" x14ac:dyDescent="0.3">
      <c r="A36" s="95">
        <v>43722</v>
      </c>
      <c r="B36" s="143">
        <f>VLOOKUP(A36,Table6[#All],2,FALSE)</f>
        <v>43722</v>
      </c>
      <c r="C36" s="139" t="str">
        <f>VLOOKUP('Changeinordervalue detailed'!A30,Table24[#All],13,FALSE)</f>
        <v>conversion</v>
      </c>
      <c r="D36" s="17">
        <f>VLOOKUP(A36,Table24[#All],10,FALSE)</f>
        <v>-0.53590439000986212</v>
      </c>
      <c r="E36" s="17" t="s">
        <v>120</v>
      </c>
      <c r="F36" s="182">
        <f>'Change due to conversion'!P259</f>
        <v>-0.55555583947261233</v>
      </c>
      <c r="G36" s="182"/>
      <c r="H36" s="182"/>
      <c r="I36" s="182"/>
      <c r="J36" s="156" t="s">
        <v>173</v>
      </c>
      <c r="K36" s="149" t="s">
        <v>174</v>
      </c>
    </row>
    <row r="37" spans="1:11" ht="45" customHeight="1" x14ac:dyDescent="0.3">
      <c r="A37" s="95">
        <v>43729</v>
      </c>
      <c r="B37" s="143">
        <f>VLOOKUP(A37,Table6[#All],2,FALSE)</f>
        <v>43729</v>
      </c>
      <c r="C37" s="139" t="str">
        <f>VLOOKUP('Changeinordervalue detailed'!A31,Table24[#All],13,FALSE)</f>
        <v>Conversion</v>
      </c>
      <c r="D37" s="17">
        <f>VLOOKUP(A37,Table24[#All],10,FALSE)</f>
        <v>1.1152745531323451</v>
      </c>
      <c r="E37" s="17" t="s">
        <v>128</v>
      </c>
      <c r="F37" s="182">
        <f>'Change due to conversion'!P266</f>
        <v>1.2954556157538077</v>
      </c>
      <c r="G37" s="182"/>
      <c r="H37" s="182"/>
      <c r="I37" s="182"/>
      <c r="J37" s="154" t="s">
        <v>176</v>
      </c>
      <c r="K37" s="149" t="s">
        <v>175</v>
      </c>
    </row>
    <row r="38" spans="1:11" ht="45" customHeight="1" x14ac:dyDescent="0.3">
      <c r="A38" s="95">
        <v>43747</v>
      </c>
      <c r="B38" s="143">
        <f>VLOOKUP(A38,Table6[#All],2,FALSE)</f>
        <v>43747</v>
      </c>
      <c r="C38" s="139" t="str">
        <f>VLOOKUP('Changeinordervalue detailed'!A32,Table24[#All],13,FALSE)</f>
        <v>Conversion</v>
      </c>
      <c r="D38" s="17">
        <f>VLOOKUP(A38,Table24[#All],10,FALSE)</f>
        <v>0.21871070507745793</v>
      </c>
      <c r="E38" s="17" t="s">
        <v>161</v>
      </c>
      <c r="F38" s="182"/>
      <c r="G38" s="182"/>
      <c r="H38" s="182"/>
      <c r="I38" s="182"/>
      <c r="J38" s="147" t="s">
        <v>177</v>
      </c>
      <c r="K38" s="149" t="s">
        <v>175</v>
      </c>
    </row>
    <row r="39" spans="1:11" ht="45" customHeight="1" x14ac:dyDescent="0.3">
      <c r="A39" s="95">
        <v>43759</v>
      </c>
      <c r="B39" s="143">
        <f>VLOOKUP(A39,Table6[#All],2,FALSE)</f>
        <v>43759</v>
      </c>
      <c r="C39" s="139" t="str">
        <f>VLOOKUP('Changeinordervalue detailed'!A33,Table24[#All],13,FALSE)</f>
        <v>Conversion</v>
      </c>
      <c r="D39" s="17">
        <f>VLOOKUP(A39,Table24[#All],10,FALSE)</f>
        <v>0.32382903302894461</v>
      </c>
      <c r="E39" s="17" t="s">
        <v>161</v>
      </c>
      <c r="F39" s="182"/>
      <c r="G39" s="182"/>
      <c r="H39" s="182"/>
      <c r="I39" s="182"/>
      <c r="J39" s="147" t="s">
        <v>178</v>
      </c>
      <c r="K39" s="149" t="s">
        <v>175</v>
      </c>
    </row>
    <row r="40" spans="1:11" ht="45" customHeight="1" x14ac:dyDescent="0.3">
      <c r="A40" s="95">
        <v>43778</v>
      </c>
      <c r="B40" s="143">
        <f>VLOOKUP(A40,Table6[#All],2,FALSE)</f>
        <v>43778</v>
      </c>
      <c r="C40" s="139" t="str">
        <f>VLOOKUP('Changeinordervalue detailed'!A34,Table24[#All],13,FALSE)</f>
        <v>Conversion</v>
      </c>
      <c r="D40" s="17">
        <f>VLOOKUP(A40,Table24[#All],10,FALSE)</f>
        <v>0.26260801898348074</v>
      </c>
      <c r="E40" s="17" t="s">
        <v>161</v>
      </c>
      <c r="F40" s="182"/>
      <c r="G40" s="182"/>
      <c r="H40" s="182"/>
      <c r="I40" s="182"/>
      <c r="J40" s="149" t="s">
        <v>179</v>
      </c>
      <c r="K40" s="149" t="s">
        <v>175</v>
      </c>
    </row>
    <row r="41" spans="1:11" ht="45" customHeight="1" x14ac:dyDescent="0.3">
      <c r="A41" s="95">
        <v>43786</v>
      </c>
      <c r="B41" s="143">
        <f>VLOOKUP(A41,Table6[#All],2,FALSE)</f>
        <v>43786</v>
      </c>
      <c r="C41" s="139" t="str">
        <f>VLOOKUP('Changeinordervalue detailed'!A35,Table24[#All],13,FALSE)</f>
        <v>Conversion</v>
      </c>
      <c r="D41" s="17">
        <f>VLOOKUP(A41,Table24[#All],10,FALSE)</f>
        <v>-0.57004623700582813</v>
      </c>
      <c r="E41" s="17" t="s">
        <v>120</v>
      </c>
      <c r="F41" s="182">
        <f>'Change due to conversion'!P323</f>
        <v>-0.57894739660948003</v>
      </c>
      <c r="G41" s="182"/>
      <c r="H41" s="182"/>
      <c r="I41" s="182"/>
      <c r="J41" s="148" t="s">
        <v>181</v>
      </c>
      <c r="K41" s="159" t="s">
        <v>180</v>
      </c>
    </row>
    <row r="42" spans="1:11" s="146" customFormat="1" ht="45" customHeight="1" x14ac:dyDescent="0.3">
      <c r="A42" s="126">
        <v>43793</v>
      </c>
      <c r="B42" s="145">
        <f>VLOOKUP(A42,Table6[#All],2,FALSE)</f>
        <v>43793</v>
      </c>
      <c r="C42" s="146" t="str">
        <f>VLOOKUP('Changeinordervalue detailed'!A36,Table24[#All],13,FALSE)</f>
        <v>Conversion</v>
      </c>
      <c r="D42" s="144">
        <f>VLOOKUP(A42,Table24[#All],10,FALSE)</f>
        <v>1.3547702422639891</v>
      </c>
      <c r="E42" s="17" t="s">
        <v>128</v>
      </c>
      <c r="F42" s="182">
        <f>'Change due to conversion'!P330</f>
        <v>1.5000004734380561</v>
      </c>
      <c r="G42" s="182"/>
      <c r="H42" s="182"/>
      <c r="I42" s="182"/>
      <c r="J42" s="152" t="s">
        <v>182</v>
      </c>
      <c r="K42" s="155" t="s">
        <v>175</v>
      </c>
    </row>
    <row r="43" spans="1:11" ht="45" customHeight="1" x14ac:dyDescent="0.3">
      <c r="A43" s="95">
        <v>43800</v>
      </c>
      <c r="B43" s="143">
        <f>VLOOKUP(A43,Table6[#All],2,FALSE)</f>
        <v>43800</v>
      </c>
      <c r="C43" s="139" t="str">
        <f>VLOOKUP('Changeinordervalue detailed'!A37,Table24[#All],13,FALSE)</f>
        <v>Conversion</v>
      </c>
      <c r="D43" s="17">
        <f>VLOOKUP(A43,Table24[#All],10,FALSE)</f>
        <v>0.20747489400703478</v>
      </c>
      <c r="E43" s="17" t="s">
        <v>161</v>
      </c>
      <c r="F43" s="182"/>
      <c r="G43" s="182"/>
      <c r="H43" s="182"/>
      <c r="I43" s="182"/>
      <c r="J43" s="149" t="s">
        <v>99</v>
      </c>
      <c r="K43" s="149"/>
    </row>
    <row r="44" spans="1:11" s="146" customFormat="1" ht="45" customHeight="1" x14ac:dyDescent="0.3">
      <c r="A44" s="126">
        <v>43821</v>
      </c>
      <c r="B44" s="145">
        <f>VLOOKUP(A44,Table6[#All],2,FALSE)</f>
        <v>43821</v>
      </c>
      <c r="C44" s="146" t="str">
        <f>VLOOKUP('Changeinordervalue detailed'!A38,Table24[#All],13,FALSE)</f>
        <v>Conversion</v>
      </c>
      <c r="D44" s="144">
        <f>VLOOKUP(A44,Table24[#All],10,FALSE)</f>
        <v>0.21029166080314066</v>
      </c>
      <c r="E44" s="17" t="s">
        <v>161</v>
      </c>
      <c r="F44" s="182"/>
      <c r="G44" s="182"/>
      <c r="H44" s="182"/>
      <c r="I44" s="182"/>
      <c r="J44" s="149" t="s">
        <v>99</v>
      </c>
      <c r="K44" s="148"/>
    </row>
    <row r="45" spans="1:11" ht="45" customHeight="1" x14ac:dyDescent="0.3">
      <c r="A45" s="95">
        <v>43494</v>
      </c>
      <c r="B45" s="143">
        <f>VLOOKUP(A45,Table6[#All],2,FALSE)</f>
        <v>43494</v>
      </c>
      <c r="C45" s="139" t="str">
        <f>VLOOKUP('Changeinordervalue detailed'!A7,Table24[#All],13,FALSE)</f>
        <v>Both</v>
      </c>
      <c r="D45" s="17">
        <f>VLOOKUP(A45,Table24[#All],10,FALSE)</f>
        <v>-0.71708723442563915</v>
      </c>
      <c r="E45" s="17" t="s">
        <v>136</v>
      </c>
      <c r="F45" s="182">
        <f>'Change due to conversion'!O31</f>
        <v>-0.54807690946756127</v>
      </c>
      <c r="G45" s="182"/>
      <c r="H45" s="182"/>
      <c r="I45" s="182"/>
      <c r="J45" s="148" t="s">
        <v>117</v>
      </c>
      <c r="K45" s="149" t="s">
        <v>183</v>
      </c>
    </row>
    <row r="46" spans="1:11" x14ac:dyDescent="0.3">
      <c r="A46" s="24"/>
      <c r="F46" s="182"/>
      <c r="G46" s="182"/>
      <c r="H46" s="182"/>
      <c r="I46" s="182"/>
      <c r="J46" s="149"/>
      <c r="K46" s="149"/>
    </row>
    <row r="47" spans="1:11" x14ac:dyDescent="0.3">
      <c r="A47" s="24"/>
      <c r="J47" s="149"/>
      <c r="K47" s="149"/>
    </row>
    <row r="48" spans="1:11" x14ac:dyDescent="0.3">
      <c r="A48" s="24"/>
      <c r="J48" s="149"/>
      <c r="K48" s="149"/>
    </row>
    <row r="49" spans="1:11" x14ac:dyDescent="0.3">
      <c r="A49" s="24"/>
      <c r="J49" s="149"/>
      <c r="K49" s="149"/>
    </row>
    <row r="50" spans="1:11" x14ac:dyDescent="0.3">
      <c r="A50" s="24"/>
      <c r="J50" s="149"/>
      <c r="K50" s="149"/>
    </row>
  </sheetData>
  <sortState xmlns:xlrd2="http://schemas.microsoft.com/office/spreadsheetml/2017/richdata2" ref="A5:F45">
    <sortCondition ref="C5:C45" customList="Traffic,Conversion,Both"/>
  </sortState>
  <mergeCells count="34">
    <mergeCell ref="F14:I14"/>
    <mergeCell ref="A2:K2"/>
    <mergeCell ref="A12:K12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6:I46"/>
    <mergeCell ref="F41:I41"/>
    <mergeCell ref="F42:I42"/>
    <mergeCell ref="F43:I43"/>
    <mergeCell ref="F44:I44"/>
    <mergeCell ref="F45:I45"/>
  </mergeCells>
  <conditionalFormatting sqref="D1:E1 D3:E11 A2 D14 D15:E18 D20:E27 D19 D29:E29 D28 D30 D31:E1048576 D13:E13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{D512C88B-9D69-4656-9129-A93701EBD510}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12C88B-9D69-4656-9129-A93701EBD5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D1:E1 D3:E11 A2 D14 D15:E18 D20:E27 D19 D29:E29 D28 D30 D31:E1048576 D13:E13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21A791-E55E-43AE-BF93-F44B0D27DA76}">
          <x14:formula1>
            <xm:f>'Data Validation'!$D$2:$D$38</xm:f>
          </x14:formula1>
          <xm:sqref>A5:A11 A13:A45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DFED-7CC9-4B1B-BAE3-E157D8F21D04}">
  <dimension ref="A1:S50"/>
  <sheetViews>
    <sheetView topLeftCell="A3" workbookViewId="0">
      <pane xSplit="1" ySplit="12" topLeftCell="B15" activePane="bottomRight" state="frozen"/>
      <selection activeCell="A3" sqref="A3"/>
      <selection pane="topRight" activeCell="B3" sqref="B3"/>
      <selection pane="bottomLeft" activeCell="A15" sqref="A15"/>
      <selection pane="bottomRight" activeCell="F5" sqref="F5"/>
    </sheetView>
  </sheetViews>
  <sheetFormatPr defaultRowHeight="15.6" x14ac:dyDescent="0.3"/>
  <cols>
    <col min="1" max="1" width="12.19921875" customWidth="1"/>
    <col min="2" max="2" width="16.8984375" customWidth="1"/>
    <col min="3" max="3" width="21.8984375" hidden="1" customWidth="1"/>
    <col min="4" max="4" width="21.8984375" customWidth="1"/>
    <col min="5" max="5" width="27.09765625" customWidth="1"/>
    <col min="6" max="6" width="17.09765625" customWidth="1"/>
    <col min="7" max="7" width="11.19921875" customWidth="1"/>
    <col min="8" max="8" width="11.5" customWidth="1"/>
    <col min="9" max="9" width="12.5" customWidth="1"/>
    <col min="10" max="10" width="38.19921875" customWidth="1"/>
    <col min="11" max="11" width="34.296875" customWidth="1"/>
    <col min="12" max="12" width="10.19921875" customWidth="1"/>
    <col min="19" max="19" width="55" customWidth="1"/>
  </cols>
  <sheetData>
    <row r="1" spans="1:19" ht="9.6" customHeight="1" x14ac:dyDescent="0.3"/>
    <row r="2" spans="1:19" ht="28.2" customHeight="1" x14ac:dyDescent="0.3">
      <c r="D2" s="181" t="s">
        <v>86</v>
      </c>
      <c r="E2" s="181"/>
      <c r="F2" s="181"/>
      <c r="G2" s="181"/>
      <c r="H2" s="181"/>
      <c r="I2" s="181"/>
      <c r="J2" s="186"/>
      <c r="K2" s="186"/>
      <c r="L2" s="186"/>
      <c r="M2" s="186"/>
      <c r="N2" s="186"/>
    </row>
    <row r="3" spans="1:19" ht="28.2" customHeight="1" x14ac:dyDescent="0.3">
      <c r="D3" s="73"/>
      <c r="E3" s="73"/>
      <c r="F3" s="73"/>
      <c r="G3" s="73"/>
      <c r="H3" s="73"/>
      <c r="I3" s="73"/>
      <c r="K3" s="134"/>
      <c r="L3" s="134"/>
      <c r="M3" s="134"/>
      <c r="N3" s="105"/>
    </row>
    <row r="4" spans="1:19" ht="33.6" customHeight="1" x14ac:dyDescent="0.3">
      <c r="A4" s="105" t="s">
        <v>0</v>
      </c>
      <c r="B4" s="105" t="s">
        <v>65</v>
      </c>
      <c r="C4" s="105"/>
      <c r="D4" s="106" t="s">
        <v>75</v>
      </c>
      <c r="E4" s="106"/>
      <c r="F4" s="105" t="s">
        <v>6</v>
      </c>
      <c r="G4" s="105" t="s">
        <v>73</v>
      </c>
      <c r="H4" s="105" t="s">
        <v>74</v>
      </c>
      <c r="I4" s="105" t="s">
        <v>9</v>
      </c>
      <c r="J4" s="134" t="s">
        <v>133</v>
      </c>
      <c r="K4" s="105" t="s">
        <v>102</v>
      </c>
      <c r="L4" s="105"/>
      <c r="M4" s="105"/>
      <c r="N4" s="105"/>
      <c r="S4" s="105" t="s">
        <v>76</v>
      </c>
    </row>
    <row r="5" spans="1:19" ht="33" customHeight="1" x14ac:dyDescent="0.3">
      <c r="A5" s="95">
        <v>43475</v>
      </c>
      <c r="B5" s="92">
        <f>VLOOKUP(A5,Table6[#All],2,FALSE)</f>
        <v>43475</v>
      </c>
      <c r="C5" t="str">
        <f>VLOOKUP(A5,Table24[#All],13,FALSE)</f>
        <v>Traffic</v>
      </c>
      <c r="D5" s="7">
        <f>VLOOKUP(A5,Table24[#All],10,FALSE)</f>
        <v>-0.4522502426107996</v>
      </c>
      <c r="E5" s="128" t="s">
        <v>119</v>
      </c>
      <c r="F5" s="7">
        <f>VLOOKUP('Reasons (2)'!$A5,Table18[#All],7,FALSE)</f>
        <v>-0.94841710998530149</v>
      </c>
      <c r="G5" s="7">
        <f>VLOOKUP('Reasons (2)'!$A5,Table18[#All],8,FALSE)</f>
        <v>-0.48958330002447981</v>
      </c>
      <c r="H5" s="7">
        <f>VLOOKUP('Reasons (2)'!$A5,Table18[#All],9,FALSE)</f>
        <v>-0.48958358314972283</v>
      </c>
      <c r="I5" s="7">
        <f>VLOOKUP('Reasons (2)'!$A5,Table18[#All],10,FALSE)</f>
        <v>0.14572501295048121</v>
      </c>
      <c r="J5" t="s">
        <v>104</v>
      </c>
      <c r="K5" s="7" t="s">
        <v>134</v>
      </c>
      <c r="L5" s="7"/>
      <c r="M5" s="7"/>
      <c r="N5" s="7"/>
      <c r="S5" t="s">
        <v>77</v>
      </c>
    </row>
    <row r="6" spans="1:19" s="117" customFormat="1" ht="46.8" x14ac:dyDescent="0.3">
      <c r="A6" s="123">
        <v>43636</v>
      </c>
      <c r="B6" s="124">
        <f>VLOOKUP(A6,Table6[#All],2,FALSE)</f>
        <v>43636</v>
      </c>
      <c r="C6" s="117" t="str">
        <f>VLOOKUP(A6,Table24[#All],13,FALSE)</f>
        <v>Traffic</v>
      </c>
      <c r="D6" s="125">
        <f>VLOOKUP(A6,Table24[#All],10,FALSE)</f>
        <v>-0.54373712252615491</v>
      </c>
      <c r="E6" s="128" t="s">
        <v>122</v>
      </c>
      <c r="F6" s="125">
        <f>VLOOKUP('Reasons (2)'!$A6,Table18[#All],7,FALSE)</f>
        <v>-0.52999996674444205</v>
      </c>
      <c r="G6" s="125">
        <f>VLOOKUP('Reasons (2)'!$A6,Table18[#All],8,FALSE)</f>
        <v>-0.53000001193789359</v>
      </c>
      <c r="H6" s="125">
        <f>VLOOKUP('Reasons (2)'!$A6,Table18[#All],9,FALSE)</f>
        <v>-0.53000012139442854</v>
      </c>
      <c r="I6" s="125">
        <f>VLOOKUP('Reasons (2)'!$A6,Table18[#All],10,FALSE)</f>
        <v>-0.52999995749585405</v>
      </c>
      <c r="J6" s="125" t="s">
        <v>106</v>
      </c>
      <c r="K6" s="117" t="s">
        <v>103</v>
      </c>
      <c r="S6" s="117" t="s">
        <v>78</v>
      </c>
    </row>
    <row r="7" spans="1:19" ht="46.2" customHeight="1" x14ac:dyDescent="0.3">
      <c r="A7" s="95">
        <v>43643</v>
      </c>
      <c r="B7" s="92">
        <f>VLOOKUP(A7,Table6[#All],2,FALSE)</f>
        <v>43643</v>
      </c>
      <c r="C7" t="str">
        <f>VLOOKUP(A7,Table24[#All],13,FALSE)</f>
        <v>Traffic</v>
      </c>
      <c r="D7" s="7">
        <f>VLOOKUP(A7,Table24[#All],10,FALSE)</f>
        <v>1.1472182813955829</v>
      </c>
      <c r="E7" s="128" t="s">
        <v>123</v>
      </c>
      <c r="F7" s="7">
        <f>VLOOKUP('Reasons (2)'!$A7,Table18[#All],7,FALSE)</f>
        <v>1.1914891358835065</v>
      </c>
      <c r="G7" s="7">
        <f>VLOOKUP('Reasons (2)'!$A7,Table18[#All],8,FALSE)</f>
        <v>1.1914896241921964</v>
      </c>
      <c r="H7" s="7">
        <f>VLOOKUP('Reasons (2)'!$A7,Table18[#All],9,FALSE)</f>
        <v>1.1914897406985836</v>
      </c>
      <c r="I7" s="7">
        <f>VLOOKUP('Reasons (2)'!$A7,Table18[#All],10,FALSE)</f>
        <v>1.1914890730818781</v>
      </c>
      <c r="J7" s="125" t="s">
        <v>105</v>
      </c>
      <c r="K7" s="7" t="s">
        <v>134</v>
      </c>
      <c r="S7" s="79" t="s">
        <v>79</v>
      </c>
    </row>
    <row r="8" spans="1:19" s="79" customFormat="1" ht="38.4" customHeight="1" x14ac:dyDescent="0.3">
      <c r="A8" s="126">
        <v>43482</v>
      </c>
      <c r="B8" s="127">
        <f>VLOOKUP(A8,Table6[#All],2,FALSE)</f>
        <v>43482</v>
      </c>
      <c r="C8" s="79" t="str">
        <f>VLOOKUP(A8,Table24[#All],13,FALSE)</f>
        <v>Traffic</v>
      </c>
      <c r="D8" s="128">
        <f>VLOOKUP(A8,Table24[#All],10,FALSE)</f>
        <v>1.0595416371384867</v>
      </c>
      <c r="E8" s="128" t="s">
        <v>124</v>
      </c>
      <c r="F8" s="128">
        <f>VLOOKUP('Reasons (2)'!$A8,Table18[#All],7,FALSE)</f>
        <v>19.799855872051577</v>
      </c>
      <c r="G8" s="128">
        <f>VLOOKUP('Reasons (2)'!$A8,Table18[#All],8,FALSE)</f>
        <v>1.1020407879148157</v>
      </c>
      <c r="H8" s="128">
        <f>VLOOKUP('Reasons (2)'!$A8,Table18[#All],9,FALSE)</f>
        <v>1.10204140909852</v>
      </c>
      <c r="I8" s="128">
        <f>VLOOKUP('Reasons (2)'!$A8,Table18[#All],10,FALSE)</f>
        <v>-6.3547930850813741E-2</v>
      </c>
      <c r="J8" s="125" t="s">
        <v>107</v>
      </c>
      <c r="K8" s="117" t="s">
        <v>108</v>
      </c>
      <c r="S8" s="79" t="s">
        <v>80</v>
      </c>
    </row>
    <row r="9" spans="1:19" x14ac:dyDescent="0.3">
      <c r="A9" s="95">
        <v>43487</v>
      </c>
      <c r="B9" s="92">
        <f>VLOOKUP(A9,Table6[#All],2,FALSE)</f>
        <v>43487</v>
      </c>
      <c r="C9" t="str">
        <f>VLOOKUP(A9,Table24[#All],13,FALSE)</f>
        <v>Traffic</v>
      </c>
      <c r="D9" s="7">
        <f>VLOOKUP(A9,Table24[#All],10,FALSE)</f>
        <v>0.85430485686646174</v>
      </c>
      <c r="E9" s="128" t="s">
        <v>125</v>
      </c>
      <c r="F9" s="7">
        <f>VLOOKUP('Reasons (2)'!$A9,Table18[#All],7,FALSE)</f>
        <v>0.76530620368873059</v>
      </c>
      <c r="G9" s="7">
        <f>VLOOKUP('Reasons (2)'!$A9,Table18[#All],8,FALSE)</f>
        <v>-0.64693892254082896</v>
      </c>
      <c r="H9" s="7">
        <f>VLOOKUP('Reasons (2)'!$A9,Table18[#All],9,FALSE)</f>
        <v>7.4691475779420955</v>
      </c>
      <c r="I9" s="7">
        <f>VLOOKUP('Reasons (2)'!$A9,Table18[#All],10,FALSE)</f>
        <v>-0.60437207174092422</v>
      </c>
      <c r="J9" s="7" t="s">
        <v>113</v>
      </c>
      <c r="K9" t="s">
        <v>135</v>
      </c>
      <c r="S9" t="s">
        <v>81</v>
      </c>
    </row>
    <row r="10" spans="1:19" x14ac:dyDescent="0.3">
      <c r="A10" s="95"/>
      <c r="B10" s="92"/>
    </row>
    <row r="11" spans="1:19" x14ac:dyDescent="0.3">
      <c r="A11" s="95"/>
      <c r="B11" s="92"/>
    </row>
    <row r="12" spans="1:19" x14ac:dyDescent="0.3">
      <c r="A12" s="95"/>
      <c r="B12" s="135" t="s">
        <v>109</v>
      </c>
    </row>
    <row r="13" spans="1:19" x14ac:dyDescent="0.3">
      <c r="A13" s="95"/>
      <c r="B13" s="92"/>
    </row>
    <row r="14" spans="1:19" ht="31.2" x14ac:dyDescent="0.3">
      <c r="A14" s="95" t="s">
        <v>0</v>
      </c>
      <c r="B14" s="92" t="s">
        <v>65</v>
      </c>
      <c r="C14" t="s">
        <v>71</v>
      </c>
      <c r="D14" s="106" t="s">
        <v>75</v>
      </c>
      <c r="E14" t="s">
        <v>72</v>
      </c>
      <c r="F14" t="s">
        <v>18</v>
      </c>
      <c r="G14" t="s">
        <v>19</v>
      </c>
      <c r="H14" t="s">
        <v>20</v>
      </c>
      <c r="I14" t="s">
        <v>21</v>
      </c>
    </row>
    <row r="15" spans="1:19" ht="31.2" x14ac:dyDescent="0.3">
      <c r="A15" s="95">
        <v>43486</v>
      </c>
      <c r="B15" s="92">
        <f>VLOOKUP(A15,Table6[#All],2,FALSE)</f>
        <v>43486</v>
      </c>
      <c r="C15" t="str">
        <f>VLOOKUP(A15,Table24[#All],13,FALSE)</f>
        <v>Conversion</v>
      </c>
      <c r="D15" s="7">
        <f>VLOOKUP(A15,Table24[#All],10,FALSE)</f>
        <v>0.23352106416819263</v>
      </c>
      <c r="E15" s="128" t="s">
        <v>110</v>
      </c>
      <c r="J15" s="125" t="s">
        <v>111</v>
      </c>
      <c r="K15" s="79" t="s">
        <v>112</v>
      </c>
    </row>
    <row r="16" spans="1:19" s="115" customFormat="1" ht="31.2" x14ac:dyDescent="0.3">
      <c r="A16" s="113">
        <v>43501</v>
      </c>
      <c r="B16" s="114">
        <f>VLOOKUP(A16,Table6[#All],2,FALSE)</f>
        <v>43501</v>
      </c>
      <c r="C16" s="115" t="str">
        <f>VLOOKUP('Changeinordervalue detailed'!A8,Table24[#All],13,FALSE)</f>
        <v>Conversion</v>
      </c>
      <c r="D16" s="116">
        <f>VLOOKUP(A16,Table24[#All],10,FALSE)</f>
        <v>1.1476852728398028</v>
      </c>
      <c r="E16" s="116" t="s">
        <v>127</v>
      </c>
      <c r="F16" s="129">
        <f>'Change due to conversion'!O38</f>
        <v>1.234042310339488</v>
      </c>
      <c r="J16" s="117" t="s">
        <v>115</v>
      </c>
      <c r="K16" s="115" t="s">
        <v>116</v>
      </c>
    </row>
    <row r="17" spans="1:11" x14ac:dyDescent="0.3">
      <c r="A17" s="95">
        <v>43515</v>
      </c>
      <c r="B17" s="92">
        <f>VLOOKUP(A17,Table6[#All],2,FALSE)</f>
        <v>43515</v>
      </c>
      <c r="C17" t="str">
        <f>VLOOKUP('Changeinordervalue detailed'!A9,Table24[#All],13,FALSE)</f>
        <v>Conversion</v>
      </c>
      <c r="D17" s="7">
        <f>VLOOKUP(A17,Table24[#All],10,FALSE)</f>
        <v>-0.55839299648571217</v>
      </c>
      <c r="E17" s="7" t="s">
        <v>120</v>
      </c>
      <c r="G17" s="10">
        <f>'Change due to conversion'!P52</f>
        <v>-0.56701031734702356</v>
      </c>
      <c r="J17" t="s">
        <v>126</v>
      </c>
      <c r="K17" t="s">
        <v>114</v>
      </c>
    </row>
    <row r="18" spans="1:11" x14ac:dyDescent="0.3">
      <c r="A18" s="95">
        <v>43522</v>
      </c>
      <c r="B18" s="92">
        <f>VLOOKUP(A18,Table6[#All],2,FALSE)</f>
        <v>43522</v>
      </c>
      <c r="C18" t="str">
        <f>VLOOKUP('Changeinordervalue detailed'!A10,Table24[#All],13,FALSE)</f>
        <v>Conversion</v>
      </c>
      <c r="D18" s="7">
        <f>VLOOKUP(A18,Table24[#All],10,FALSE)</f>
        <v>1.2004191790539451</v>
      </c>
      <c r="E18" s="7" t="s">
        <v>128</v>
      </c>
      <c r="G18" s="10">
        <f>'Change due to conversion'!P59</f>
        <v>1.4523805158365186</v>
      </c>
    </row>
    <row r="19" spans="1:11" x14ac:dyDescent="0.3">
      <c r="A19" s="95">
        <v>43524</v>
      </c>
      <c r="B19" s="92">
        <f>VLOOKUP(A19,Table6[#All],2,FALSE)</f>
        <v>43524</v>
      </c>
      <c r="C19" t="str">
        <f>VLOOKUP('Changeinordervalue detailed'!A11,Table24[#All],13,FALSE)</f>
        <v>Conversion</v>
      </c>
      <c r="D19" s="7">
        <f>VLOOKUP(A19,Table24[#All],10,FALSE)</f>
        <v>0.22324803045110131</v>
      </c>
      <c r="E19" s="7"/>
    </row>
    <row r="20" spans="1:11" x14ac:dyDescent="0.3">
      <c r="A20" s="95">
        <v>43526</v>
      </c>
      <c r="B20" s="92">
        <f>VLOOKUP(A20,Table6[#All],2,FALSE)</f>
        <v>43526</v>
      </c>
      <c r="C20" t="str">
        <f>VLOOKUP('Changeinordervalue detailed'!A12,Table24[#All],13,FALSE)</f>
        <v>Conversion</v>
      </c>
      <c r="D20" s="7">
        <f>VLOOKUP(A20,Table24[#All],10,FALSE)</f>
        <v>-0.37594234941110949</v>
      </c>
      <c r="E20" s="7" t="s">
        <v>129</v>
      </c>
      <c r="H20" s="10">
        <f>'Change due to conversion'!P96</f>
        <v>-0.48979617291931027</v>
      </c>
    </row>
    <row r="21" spans="1:11" s="79" customFormat="1" ht="31.2" x14ac:dyDescent="0.3">
      <c r="A21" s="126">
        <v>43533</v>
      </c>
      <c r="B21" s="127">
        <f>VLOOKUP(A21,Table6[#All],2,FALSE)</f>
        <v>43533</v>
      </c>
      <c r="C21" s="79" t="str">
        <f>VLOOKUP('Changeinordervalue detailed'!A13,Table24[#All],13,FALSE)</f>
        <v>Conversion</v>
      </c>
      <c r="D21" s="128">
        <f>VLOOKUP(A21,Table24[#All],10,FALSE)</f>
        <v>1.0202070652584099</v>
      </c>
      <c r="E21" s="128" t="s">
        <v>130</v>
      </c>
      <c r="H21" s="10">
        <f>'Change due to conversion'!Q70</f>
        <v>1.1224496738699308</v>
      </c>
      <c r="J21" s="79" t="s">
        <v>96</v>
      </c>
    </row>
    <row r="22" spans="1:11" s="117" customFormat="1" ht="46.8" x14ac:dyDescent="0.3">
      <c r="A22" s="123">
        <v>43543</v>
      </c>
      <c r="B22" s="124">
        <f>VLOOKUP(A22,Table6[#All],2,FALSE)</f>
        <v>43543</v>
      </c>
      <c r="C22" s="117" t="str">
        <f>VLOOKUP('Changeinordervalue detailed'!A14,Table24[#All],13,FALSE)</f>
        <v>Conversion</v>
      </c>
      <c r="D22" s="125">
        <f>VLOOKUP(A22,Table24[#All],10,FALSE)</f>
        <v>-0.45549226537958976</v>
      </c>
      <c r="E22" s="125" t="s">
        <v>131</v>
      </c>
      <c r="I22" s="136">
        <f>'Change due to conversion'!R80</f>
        <v>-0.52525253838500408</v>
      </c>
      <c r="J22" s="117" t="s">
        <v>94</v>
      </c>
    </row>
    <row r="23" spans="1:11" x14ac:dyDescent="0.3">
      <c r="A23" s="95">
        <v>43548</v>
      </c>
      <c r="B23" s="92">
        <f>VLOOKUP(A23,Table6[#All],2,FALSE)</f>
        <v>43548</v>
      </c>
      <c r="C23" t="str">
        <f>VLOOKUP('Changeinordervalue detailed'!A15,Table24[#All],13,FALSE)</f>
        <v>Conversion</v>
      </c>
      <c r="D23" s="7">
        <f>VLOOKUP(A23,Table24[#All],10,FALSE)</f>
        <v>0.22259812803337153</v>
      </c>
      <c r="E23" s="7"/>
    </row>
    <row r="24" spans="1:11" s="115" customFormat="1" ht="31.2" x14ac:dyDescent="0.3">
      <c r="A24" s="113">
        <v>43550</v>
      </c>
      <c r="B24" s="114">
        <f>VLOOKUP(A24,Table6[#All],2,FALSE)</f>
        <v>43550</v>
      </c>
      <c r="C24" s="115" t="str">
        <f>VLOOKUP('Changeinordervalue detailed'!A16,Table24[#All],13,FALSE)</f>
        <v>Conversion</v>
      </c>
      <c r="D24" s="116">
        <f>VLOOKUP(A24,Table24[#All],10,FALSE)</f>
        <v>0.77964973472889199</v>
      </c>
      <c r="E24" s="116" t="s">
        <v>132</v>
      </c>
      <c r="I24" s="129">
        <f>'Change due to conversion'!R87</f>
        <v>1.2127650047192209</v>
      </c>
      <c r="J24" s="117" t="s">
        <v>95</v>
      </c>
    </row>
    <row r="25" spans="1:11" s="115" customFormat="1" x14ac:dyDescent="0.3">
      <c r="A25" s="113">
        <v>43559</v>
      </c>
      <c r="B25" s="114">
        <f>VLOOKUP(A25,Table6[#All],2,FALSE)</f>
        <v>43559</v>
      </c>
      <c r="C25" s="115" t="str">
        <f>VLOOKUP('Changeinordervalue detailed'!A17,Table24[#All],13,FALSE)</f>
        <v>Conversion</v>
      </c>
      <c r="D25" s="116">
        <f>VLOOKUP(A25,Table24[#All],10,FALSE)</f>
        <v>-0.52087951809985289</v>
      </c>
      <c r="E25" s="116" t="s">
        <v>120</v>
      </c>
      <c r="G25" s="129">
        <f>'Change due to conversion'!P96</f>
        <v>-0.48979617291931027</v>
      </c>
      <c r="J25" s="115" t="s">
        <v>88</v>
      </c>
    </row>
    <row r="26" spans="1:11" s="115" customFormat="1" x14ac:dyDescent="0.3">
      <c r="A26" s="113">
        <v>43566</v>
      </c>
      <c r="B26" s="114">
        <f>VLOOKUP(A26,Table6[#All],2,FALSE)</f>
        <v>43566</v>
      </c>
      <c r="C26" s="115" t="str">
        <f>VLOOKUP('Changeinordervalue detailed'!A18,Table24[#All],13,FALSE)</f>
        <v>Conversion</v>
      </c>
      <c r="D26" s="116">
        <f>VLOOKUP(A26,Table24[#All],10,FALSE)</f>
        <v>0.9239043412518404</v>
      </c>
      <c r="E26" s="116" t="s">
        <v>128</v>
      </c>
      <c r="G26" s="129">
        <f>'Change due to conversion'!P103</f>
        <v>0.94000053800870187</v>
      </c>
      <c r="J26" s="115" t="s">
        <v>89</v>
      </c>
    </row>
    <row r="27" spans="1:11" x14ac:dyDescent="0.3">
      <c r="A27" s="95">
        <v>43567</v>
      </c>
      <c r="B27" s="92">
        <f>VLOOKUP(A27,Table6[#All],2,FALSE)</f>
        <v>43567</v>
      </c>
      <c r="C27" t="str">
        <f>VLOOKUP('Changeinordervalue detailed'!A19,Table24[#All],13,FALSE)</f>
        <v>Conversion</v>
      </c>
      <c r="D27" s="7">
        <f>VLOOKUP(A27,Table24[#All],10,FALSE)</f>
        <v>-0.27312591355188975</v>
      </c>
      <c r="E27" s="7"/>
    </row>
    <row r="28" spans="1:11" x14ac:dyDescent="0.3">
      <c r="A28" s="95">
        <v>43569</v>
      </c>
      <c r="B28" s="92">
        <f>VLOOKUP(A28,Table6[#All],2,FALSE)</f>
        <v>43569</v>
      </c>
      <c r="C28" t="str">
        <f>VLOOKUP('Changeinordervalue detailed'!A20,Table24[#All],13,FALSE)</f>
        <v>Conversion</v>
      </c>
      <c r="D28" s="7">
        <f>VLOOKUP(A28,Table24[#All],10,FALSE)</f>
        <v>0.28376620785956508</v>
      </c>
      <c r="E28" s="7"/>
    </row>
    <row r="29" spans="1:11" s="115" customFormat="1" x14ac:dyDescent="0.3">
      <c r="A29" s="113">
        <v>43573</v>
      </c>
      <c r="B29" s="114">
        <f>VLOOKUP(A29,Table6[#All],2,FALSE)</f>
        <v>43573</v>
      </c>
      <c r="C29" s="115" t="str">
        <f>VLOOKUP('Changeinordervalue detailed'!A21,Table24[#All],13,FALSE)</f>
        <v>Conversion</v>
      </c>
      <c r="D29" s="116">
        <f>VLOOKUP(A29,Table24[#All],10,FALSE)</f>
        <v>0.7302283946685022</v>
      </c>
      <c r="E29" s="116" t="s">
        <v>128</v>
      </c>
      <c r="G29" s="129">
        <f>'Change due to conversion'!P110</f>
        <v>0.73195869172841055</v>
      </c>
      <c r="J29" s="115" t="s">
        <v>90</v>
      </c>
    </row>
    <row r="30" spans="1:11" ht="31.2" x14ac:dyDescent="0.3">
      <c r="A30" s="95">
        <v>43574</v>
      </c>
      <c r="B30" s="92">
        <f>VLOOKUP(A30,Table6[#All],2,FALSE)</f>
        <v>43574</v>
      </c>
      <c r="C30" t="str">
        <f>VLOOKUP('Changeinordervalue detailed'!A22,Table24[#All],13,FALSE)</f>
        <v>Conversion</v>
      </c>
      <c r="D30" s="7">
        <f>VLOOKUP(A30,Table24[#All],10,FALSE)</f>
        <v>0.2472495952251057</v>
      </c>
      <c r="E30" s="7"/>
      <c r="J30" s="117" t="s">
        <v>91</v>
      </c>
    </row>
    <row r="31" spans="1:11" s="115" customFormat="1" x14ac:dyDescent="0.3">
      <c r="A31" s="113">
        <v>43580</v>
      </c>
      <c r="B31" s="114">
        <f>VLOOKUP(A31,Table6[#All],2,FALSE)</f>
        <v>43580</v>
      </c>
      <c r="C31" s="115" t="str">
        <f>VLOOKUP('Changeinordervalue detailed'!A23,Table24[#All],13,FALSE)</f>
        <v>Conversion</v>
      </c>
      <c r="D31" s="116">
        <f>VLOOKUP(A31,Table24[#All],10,FALSE)</f>
        <v>-0.38690483590402214</v>
      </c>
      <c r="E31" s="116" t="s">
        <v>120</v>
      </c>
      <c r="G31" s="129">
        <f>'Change due to conversion'!P117</f>
        <v>-0.42857151946575822</v>
      </c>
      <c r="J31" s="115" t="s">
        <v>88</v>
      </c>
    </row>
    <row r="32" spans="1:11" s="115" customFormat="1" x14ac:dyDescent="0.3">
      <c r="A32" s="113">
        <v>43662</v>
      </c>
      <c r="B32" s="114">
        <f>VLOOKUP(A32,Table6[#All],2,FALSE)</f>
        <v>43662</v>
      </c>
      <c r="C32" s="115" t="str">
        <f>VLOOKUP('Changeinordervalue detailed'!A26,Table24[#All],13,FALSE)</f>
        <v>Conversion</v>
      </c>
      <c r="D32" s="116">
        <f>VLOOKUP(A32,Table24[#All],10,FALSE)</f>
        <v>-0.63082013655867986</v>
      </c>
      <c r="E32" s="116" t="s">
        <v>121</v>
      </c>
      <c r="F32" s="129">
        <f>'Change due to conversion'!O199</f>
        <v>-0.59595960227083933</v>
      </c>
    </row>
    <row r="33" spans="1:11" x14ac:dyDescent="0.3">
      <c r="A33" s="95">
        <v>43669</v>
      </c>
      <c r="B33" s="92">
        <f>VLOOKUP(A33,Table6[#All],2,FALSE)</f>
        <v>43669</v>
      </c>
      <c r="C33" t="str">
        <f>VLOOKUP('Changeinordervalue detailed'!A27,Table24[#All],13,FALSE)</f>
        <v>Conversion</v>
      </c>
      <c r="D33" s="7">
        <f>VLOOKUP(A33,Table24[#All],10,FALSE)</f>
        <v>1.3503180372102532</v>
      </c>
      <c r="E33" s="7" t="s">
        <v>127</v>
      </c>
      <c r="F33" s="10">
        <f>'Change due to conversion'!O206</f>
        <v>1.3749999518394704</v>
      </c>
    </row>
    <row r="34" spans="1:11" s="117" customFormat="1" ht="46.8" x14ac:dyDescent="0.3">
      <c r="A34" s="123">
        <v>43688</v>
      </c>
      <c r="B34" s="124">
        <f>VLOOKUP(A34,Table6[#All],2,FALSE)</f>
        <v>43688</v>
      </c>
      <c r="C34" s="117" t="str">
        <f>VLOOKUP('Changeinordervalue detailed'!A28,Table24[#All],13,FALSE)</f>
        <v>Conversion</v>
      </c>
      <c r="D34" s="125">
        <f>VLOOKUP(A34,Table24[#All],10,FALSE)</f>
        <v>-0.54353363205176886</v>
      </c>
      <c r="E34" s="125" t="s">
        <v>129</v>
      </c>
      <c r="H34" s="136">
        <f>'Change due to conversion'!Q225</f>
        <v>-0.53846175315374112</v>
      </c>
      <c r="J34" s="117" t="s">
        <v>97</v>
      </c>
    </row>
    <row r="35" spans="1:11" ht="46.8" x14ac:dyDescent="0.3">
      <c r="A35" s="95">
        <v>43695</v>
      </c>
      <c r="B35" s="92">
        <f>VLOOKUP(A35,Table6[#All],2,FALSE)</f>
        <v>43695</v>
      </c>
      <c r="C35" t="str">
        <f>VLOOKUP('Changeinordervalue detailed'!A29,Table24[#All],13,FALSE)</f>
        <v>Conversion</v>
      </c>
      <c r="D35" s="7">
        <f>VLOOKUP(A35,Table24[#All],10,FALSE)</f>
        <v>1.0661671278564273</v>
      </c>
      <c r="E35" s="7" t="s">
        <v>130</v>
      </c>
      <c r="H35" s="10">
        <f>'Change due to conversion'!Q232</f>
        <v>0.97916698064497742</v>
      </c>
      <c r="J35" s="117" t="s">
        <v>98</v>
      </c>
    </row>
    <row r="36" spans="1:11" x14ac:dyDescent="0.3">
      <c r="A36" s="95">
        <v>43722</v>
      </c>
      <c r="B36" s="92">
        <f>VLOOKUP(A36,Table6[#All],2,FALSE)</f>
        <v>43722</v>
      </c>
      <c r="C36" t="str">
        <f>VLOOKUP('Changeinordervalue detailed'!A30,Table24[#All],13,FALSE)</f>
        <v>conversion</v>
      </c>
      <c r="D36" s="7">
        <f>VLOOKUP(A36,Table24[#All],10,FALSE)</f>
        <v>-0.53590439000986212</v>
      </c>
      <c r="E36" s="7" t="s">
        <v>120</v>
      </c>
      <c r="G36" s="10">
        <f>'Change due to conversion'!P259</f>
        <v>-0.55555583947261233</v>
      </c>
    </row>
    <row r="37" spans="1:11" x14ac:dyDescent="0.3">
      <c r="A37" s="95">
        <v>43729</v>
      </c>
      <c r="B37" s="92">
        <f>VLOOKUP(A37,Table6[#All],2,FALSE)</f>
        <v>43729</v>
      </c>
      <c r="C37" t="str">
        <f>VLOOKUP('Changeinordervalue detailed'!A31,Table24[#All],13,FALSE)</f>
        <v>Conversion</v>
      </c>
      <c r="D37" s="7">
        <f>VLOOKUP(A37,Table24[#All],10,FALSE)</f>
        <v>1.1152745531323451</v>
      </c>
      <c r="E37" s="7" t="s">
        <v>128</v>
      </c>
      <c r="G37" s="10">
        <f>'Change due to conversion'!P266</f>
        <v>1.2954556157538077</v>
      </c>
    </row>
    <row r="38" spans="1:11" x14ac:dyDescent="0.3">
      <c r="A38" s="95">
        <v>43747</v>
      </c>
      <c r="B38" s="92">
        <f>VLOOKUP(A38,Table6[#All],2,FALSE)</f>
        <v>43747</v>
      </c>
      <c r="C38" t="str">
        <f>VLOOKUP('Changeinordervalue detailed'!A32,Table24[#All],13,FALSE)</f>
        <v>Conversion</v>
      </c>
      <c r="D38" s="7">
        <f>VLOOKUP(A38,Table24[#All],10,FALSE)</f>
        <v>0.21871070507745793</v>
      </c>
      <c r="E38" s="7"/>
    </row>
    <row r="39" spans="1:11" x14ac:dyDescent="0.3">
      <c r="A39" s="95">
        <v>43759</v>
      </c>
      <c r="B39" s="92">
        <f>VLOOKUP(A39,Table6[#All],2,FALSE)</f>
        <v>43759</v>
      </c>
      <c r="C39" t="str">
        <f>VLOOKUP('Changeinordervalue detailed'!A33,Table24[#All],13,FALSE)</f>
        <v>Conversion</v>
      </c>
      <c r="D39" s="7">
        <f>VLOOKUP(A39,Table24[#All],10,FALSE)</f>
        <v>0.32382903302894461</v>
      </c>
      <c r="E39" s="7"/>
    </row>
    <row r="40" spans="1:11" x14ac:dyDescent="0.3">
      <c r="A40" s="95">
        <v>43778</v>
      </c>
      <c r="B40" s="92">
        <f>VLOOKUP(A40,Table6[#All],2,FALSE)</f>
        <v>43778</v>
      </c>
      <c r="C40" t="str">
        <f>VLOOKUP('Changeinordervalue detailed'!A34,Table24[#All],13,FALSE)</f>
        <v>Conversion</v>
      </c>
      <c r="D40" s="7">
        <f>VLOOKUP(A40,Table24[#All],10,FALSE)</f>
        <v>0.26260801898348074</v>
      </c>
      <c r="E40" s="7"/>
      <c r="J40" t="s">
        <v>93</v>
      </c>
    </row>
    <row r="41" spans="1:11" s="115" customFormat="1" ht="31.2" x14ac:dyDescent="0.3">
      <c r="A41" s="113">
        <v>43786</v>
      </c>
      <c r="B41" s="114">
        <f>VLOOKUP(A41,Table6[#All],2,FALSE)</f>
        <v>43786</v>
      </c>
      <c r="C41" s="115" t="str">
        <f>VLOOKUP('Changeinordervalue detailed'!A35,Table24[#All],13,FALSE)</f>
        <v>Conversion</v>
      </c>
      <c r="D41" s="116">
        <f>VLOOKUP(A41,Table24[#All],10,FALSE)</f>
        <v>-0.57004623700582813</v>
      </c>
      <c r="E41" s="116" t="s">
        <v>120</v>
      </c>
      <c r="G41" s="129">
        <f>'Change due to conversion'!P323</f>
        <v>-0.57894739660948003</v>
      </c>
      <c r="J41" s="117" t="s">
        <v>91</v>
      </c>
    </row>
    <row r="42" spans="1:11" s="117" customFormat="1" ht="31.2" x14ac:dyDescent="0.3">
      <c r="A42" s="123">
        <v>43793</v>
      </c>
      <c r="B42" s="124">
        <f>VLOOKUP(A42,Table6[#All],2,FALSE)</f>
        <v>43793</v>
      </c>
      <c r="C42" s="117" t="str">
        <f>VLOOKUP('Changeinordervalue detailed'!A36,Table24[#All],13,FALSE)</f>
        <v>Conversion</v>
      </c>
      <c r="D42" s="125">
        <f>VLOOKUP(A42,Table24[#All],10,FALSE)</f>
        <v>1.3547702422639891</v>
      </c>
      <c r="E42" s="125"/>
      <c r="G42" s="136">
        <f>'Change due to conversion'!P330</f>
        <v>1.5000004734380561</v>
      </c>
      <c r="J42" s="117" t="s">
        <v>92</v>
      </c>
    </row>
    <row r="43" spans="1:11" x14ac:dyDescent="0.3">
      <c r="A43" s="95">
        <v>43800</v>
      </c>
      <c r="B43" s="92">
        <f>VLOOKUP(A43,Table6[#All],2,FALSE)</f>
        <v>43800</v>
      </c>
      <c r="C43" t="str">
        <f>VLOOKUP('Changeinordervalue detailed'!A37,Table24[#All],13,FALSE)</f>
        <v>Conversion</v>
      </c>
      <c r="D43" s="7">
        <f>VLOOKUP(A43,Table24[#All],10,FALSE)</f>
        <v>0.20747489400703478</v>
      </c>
      <c r="E43" s="7"/>
    </row>
    <row r="44" spans="1:11" s="117" customFormat="1" ht="46.8" x14ac:dyDescent="0.3">
      <c r="A44" s="123">
        <v>43821</v>
      </c>
      <c r="B44" s="124">
        <f>VLOOKUP(A44,Table6[#All],2,FALSE)</f>
        <v>43821</v>
      </c>
      <c r="C44" s="117" t="str">
        <f>VLOOKUP('Changeinordervalue detailed'!A38,Table24[#All],13,FALSE)</f>
        <v>Conversion</v>
      </c>
      <c r="D44" s="125">
        <f>VLOOKUP(A44,Table24[#All],10,FALSE)</f>
        <v>0.21029166080314066</v>
      </c>
      <c r="E44" s="125"/>
      <c r="J44" s="117" t="s">
        <v>100</v>
      </c>
    </row>
    <row r="45" spans="1:11" s="115" customFormat="1" ht="46.8" customHeight="1" x14ac:dyDescent="0.3">
      <c r="A45" s="113">
        <v>43494</v>
      </c>
      <c r="B45" s="114">
        <f>VLOOKUP(A45,Table6[#All],2,FALSE)</f>
        <v>43494</v>
      </c>
      <c r="C45" s="115" t="str">
        <f>VLOOKUP('Changeinordervalue detailed'!A7,Table24[#All],13,FALSE)</f>
        <v>Both</v>
      </c>
      <c r="D45" s="116">
        <f>VLOOKUP(A45,Table24[#All],10,FALSE)</f>
        <v>-0.71708723442563915</v>
      </c>
      <c r="E45" s="116" t="s">
        <v>121</v>
      </c>
      <c r="F45" s="129">
        <f>'Change due to conversion'!O31</f>
        <v>-0.54807690946756127</v>
      </c>
      <c r="J45" s="117" t="s">
        <v>117</v>
      </c>
      <c r="K45" s="115" t="s">
        <v>118</v>
      </c>
    </row>
    <row r="46" spans="1:11" x14ac:dyDescent="0.3">
      <c r="A46" s="61"/>
    </row>
    <row r="47" spans="1:11" x14ac:dyDescent="0.3">
      <c r="A47" s="61"/>
    </row>
    <row r="48" spans="1:11" x14ac:dyDescent="0.3">
      <c r="A48" s="61"/>
    </row>
    <row r="49" spans="1:1" x14ac:dyDescent="0.3">
      <c r="A49" s="61"/>
    </row>
    <row r="50" spans="1:1" x14ac:dyDescent="0.3">
      <c r="A50" s="61"/>
    </row>
  </sheetData>
  <mergeCells count="2">
    <mergeCell ref="D2:I2"/>
    <mergeCell ref="J2:N2"/>
  </mergeCells>
  <conditionalFormatting sqref="D1:E13 D14 D15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{95FFD754-1F9D-4EC5-8D5F-A8B03C1E8289}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FD754-1F9D-4EC5-8D5F-A8B03C1E82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D1:E13 D14 D15:E1048576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86BFA0-6EC8-45C6-A0A6-1DC05B785D5B}">
          <x14:formula1>
            <xm:f>'Data Validation'!$D$2:$D$38</xm:f>
          </x14:formula1>
          <xm:sqref>A5:A45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>
    <tabColor theme="7"/>
  </sheetPr>
  <dimension ref="A1:O368"/>
  <sheetViews>
    <sheetView workbookViewId="0">
      <pane xSplit="1" ySplit="2" topLeftCell="F12" activePane="bottomRight" state="frozen"/>
      <selection pane="topRight" activeCell="B1" sqref="B1"/>
      <selection pane="bottomLeft" activeCell="A3" sqref="A3"/>
      <selection pane="bottomRight" activeCell="I31" sqref="I31"/>
    </sheetView>
  </sheetViews>
  <sheetFormatPr defaultColWidth="11.19921875" defaultRowHeight="15.6" x14ac:dyDescent="0.3"/>
  <cols>
    <col min="7" max="7" width="18.59765625" bestFit="1" customWidth="1"/>
    <col min="8" max="8" width="25.69921875" bestFit="1" customWidth="1"/>
    <col min="9" max="9" width="26" bestFit="1" customWidth="1"/>
    <col min="10" max="10" width="28.59765625" bestFit="1" customWidth="1"/>
    <col min="11" max="11" width="11.8984375" bestFit="1" customWidth="1"/>
    <col min="12" max="12" width="10.09765625" bestFit="1" customWidth="1"/>
    <col min="13" max="13" width="12.5" bestFit="1" customWidth="1"/>
    <col min="14" max="14" width="14.69921875" bestFit="1" customWidth="1"/>
    <col min="15" max="15" width="20" hidden="1" customWidth="1"/>
  </cols>
  <sheetData>
    <row r="1" spans="1:15" ht="46.8" customHeight="1" x14ac:dyDescent="0.3">
      <c r="G1" s="79" t="s">
        <v>25</v>
      </c>
      <c r="H1" s="79" t="s">
        <v>26</v>
      </c>
      <c r="I1" s="79" t="s">
        <v>27</v>
      </c>
      <c r="J1" s="79" t="s">
        <v>28</v>
      </c>
      <c r="K1" s="79" t="s">
        <v>29</v>
      </c>
      <c r="L1" t="s">
        <v>30</v>
      </c>
      <c r="M1" t="s">
        <v>31</v>
      </c>
      <c r="N1" t="s">
        <v>32</v>
      </c>
    </row>
    <row r="2" spans="1:15" ht="41.4" customHeight="1" x14ac:dyDescent="0.3">
      <c r="A2" s="5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63" t="s">
        <v>17</v>
      </c>
      <c r="H2" s="162" t="s">
        <v>22</v>
      </c>
      <c r="I2" s="162" t="s">
        <v>23</v>
      </c>
      <c r="J2" s="162" t="s">
        <v>24</v>
      </c>
      <c r="K2" s="8" t="s">
        <v>18</v>
      </c>
      <c r="L2" s="8" t="s">
        <v>19</v>
      </c>
      <c r="M2" s="8" t="s">
        <v>20</v>
      </c>
      <c r="N2" s="8" t="s">
        <v>21</v>
      </c>
    </row>
    <row r="3" spans="1:15" x14ac:dyDescent="0.3">
      <c r="A3" s="2">
        <v>43466</v>
      </c>
      <c r="B3" s="160">
        <v>20848646</v>
      </c>
      <c r="C3" s="3">
        <v>5107918</v>
      </c>
      <c r="D3" s="3">
        <v>2104462</v>
      </c>
      <c r="E3" s="3">
        <v>1505532</v>
      </c>
      <c r="F3" s="6">
        <v>1271572.67328</v>
      </c>
      <c r="G3" s="7">
        <f>F3/B3</f>
        <v>6.0990659694639161E-2</v>
      </c>
      <c r="H3" s="61">
        <v>0</v>
      </c>
      <c r="I3" s="61">
        <v>0</v>
      </c>
      <c r="J3" s="61">
        <v>0</v>
      </c>
      <c r="K3" s="7">
        <f>C3/B3</f>
        <v>0.2449999870495187</v>
      </c>
      <c r="L3" s="7">
        <f>D3/C3</f>
        <v>0.41199995771271192</v>
      </c>
      <c r="M3" s="7">
        <f>E3/D3</f>
        <v>0.71539994544924068</v>
      </c>
      <c r="N3" s="7">
        <f>F3/E3</f>
        <v>0.84460022987223116</v>
      </c>
      <c r="O3" s="133">
        <f>B3-Table1[[#This Row],[Total]]</f>
        <v>1</v>
      </c>
    </row>
    <row r="4" spans="1:15" x14ac:dyDescent="0.3">
      <c r="A4" s="2">
        <v>43467</v>
      </c>
      <c r="B4" s="3">
        <v>21934513</v>
      </c>
      <c r="C4" s="3">
        <v>5428792</v>
      </c>
      <c r="D4" s="3">
        <v>2171516</v>
      </c>
      <c r="E4" s="3">
        <v>1569355</v>
      </c>
      <c r="F4" s="3">
        <v>1261133</v>
      </c>
      <c r="G4" s="7">
        <f t="shared" ref="G4:G67" si="0">F4/B4</f>
        <v>5.749537270328272E-2</v>
      </c>
      <c r="H4" s="61">
        <v>0</v>
      </c>
      <c r="I4" s="61">
        <v>0</v>
      </c>
      <c r="J4" s="61">
        <v>0</v>
      </c>
      <c r="K4" s="7">
        <f t="shared" ref="K4:K67" si="1">C4/B4</f>
        <v>0.24750000148168322</v>
      </c>
      <c r="L4" s="7">
        <f t="shared" ref="L4:L67" si="2">D4/C4</f>
        <v>0.39999985263756649</v>
      </c>
      <c r="M4" s="7">
        <f t="shared" ref="M4:M67" si="3">E4/D4</f>
        <v>0.72270017812440712</v>
      </c>
      <c r="N4" s="7">
        <f t="shared" ref="N4:N67" si="4">F4/E4</f>
        <v>0.80359956797537846</v>
      </c>
      <c r="O4" s="133">
        <f>B4-Table1[[#This Row],[Total]]</f>
        <v>2</v>
      </c>
    </row>
    <row r="5" spans="1:15" s="14" customFormat="1" x14ac:dyDescent="0.3">
      <c r="A5" s="15">
        <v>43468</v>
      </c>
      <c r="B5" s="16">
        <v>20848646</v>
      </c>
      <c r="C5" s="16">
        <v>5212161</v>
      </c>
      <c r="D5" s="16">
        <v>2001470</v>
      </c>
      <c r="E5" s="16">
        <v>1402630</v>
      </c>
      <c r="F5" s="16">
        <v>1138655</v>
      </c>
      <c r="G5" s="7">
        <f t="shared" si="0"/>
        <v>5.4615297319547756E-2</v>
      </c>
      <c r="H5" s="61">
        <v>0</v>
      </c>
      <c r="I5" s="61">
        <v>0</v>
      </c>
      <c r="J5" s="61">
        <v>0</v>
      </c>
      <c r="K5" s="17">
        <f t="shared" si="1"/>
        <v>0.24999997601762725</v>
      </c>
      <c r="L5" s="17">
        <f t="shared" si="2"/>
        <v>0.38400003376718411</v>
      </c>
      <c r="M5" s="17">
        <f t="shared" si="3"/>
        <v>0.70079991206463255</v>
      </c>
      <c r="N5" s="17">
        <f t="shared" si="4"/>
        <v>0.81179997575982266</v>
      </c>
      <c r="O5" s="133">
        <f>B5-Table1[[#This Row],[Total]]</f>
        <v>1</v>
      </c>
    </row>
    <row r="6" spans="1:15" x14ac:dyDescent="0.3">
      <c r="A6" s="2">
        <v>43469</v>
      </c>
      <c r="B6" s="3">
        <v>21717340</v>
      </c>
      <c r="C6" s="3">
        <v>5700801</v>
      </c>
      <c r="D6" s="3">
        <v>2303123</v>
      </c>
      <c r="E6" s="3">
        <v>1597216</v>
      </c>
      <c r="F6" s="3">
        <v>1296620</v>
      </c>
      <c r="G6" s="7">
        <f t="shared" si="0"/>
        <v>5.9704365267569601E-2</v>
      </c>
      <c r="H6" s="61">
        <v>0</v>
      </c>
      <c r="I6" s="61">
        <v>0</v>
      </c>
      <c r="J6" s="61">
        <v>0</v>
      </c>
      <c r="K6" s="7">
        <f t="shared" si="1"/>
        <v>0.2624999654653839</v>
      </c>
      <c r="L6" s="7">
        <f t="shared" si="2"/>
        <v>0.40399989404997649</v>
      </c>
      <c r="M6" s="7">
        <f t="shared" si="3"/>
        <v>0.69350008662151352</v>
      </c>
      <c r="N6" s="7">
        <f t="shared" si="4"/>
        <v>0.811800032055777</v>
      </c>
      <c r="O6" s="133">
        <f>B6-Table1[[#This Row],[Total]]</f>
        <v>2</v>
      </c>
    </row>
    <row r="7" spans="1:15" x14ac:dyDescent="0.3">
      <c r="A7" s="2">
        <v>43470</v>
      </c>
      <c r="B7" s="3">
        <v>42645263</v>
      </c>
      <c r="C7" s="3">
        <v>8776395</v>
      </c>
      <c r="D7" s="3">
        <v>2924294</v>
      </c>
      <c r="E7" s="3">
        <v>2087946</v>
      </c>
      <c r="F7" s="3">
        <v>1596026</v>
      </c>
      <c r="G7" s="7">
        <f t="shared" si="0"/>
        <v>3.7425633885761242E-2</v>
      </c>
      <c r="H7" s="61">
        <v>0</v>
      </c>
      <c r="I7" s="61">
        <v>0</v>
      </c>
      <c r="J7" s="61">
        <v>0</v>
      </c>
      <c r="K7" s="7">
        <f t="shared" si="1"/>
        <v>0.20579999705946239</v>
      </c>
      <c r="L7" s="7">
        <f t="shared" si="2"/>
        <v>0.3331999072512119</v>
      </c>
      <c r="M7" s="7">
        <f t="shared" si="3"/>
        <v>0.714000028724882</v>
      </c>
      <c r="N7" s="7">
        <f t="shared" si="4"/>
        <v>0.76440003716571214</v>
      </c>
      <c r="O7" s="133">
        <f>B7-Table1[[#This Row],[Total]]</f>
        <v>2</v>
      </c>
    </row>
    <row r="8" spans="1:15" x14ac:dyDescent="0.3">
      <c r="A8" s="2">
        <v>43471</v>
      </c>
      <c r="B8" s="3">
        <v>43543058</v>
      </c>
      <c r="C8" s="3">
        <v>8778280</v>
      </c>
      <c r="D8" s="3">
        <v>3014461</v>
      </c>
      <c r="E8" s="3">
        <v>2049833</v>
      </c>
      <c r="F8" s="3">
        <v>1582881</v>
      </c>
      <c r="G8" s="7">
        <f t="shared" si="0"/>
        <v>3.6352086249890857E-2</v>
      </c>
      <c r="H8" s="61">
        <v>0</v>
      </c>
      <c r="I8" s="61">
        <v>0</v>
      </c>
      <c r="J8" s="61">
        <v>0</v>
      </c>
      <c r="K8" s="7">
        <f t="shared" si="1"/>
        <v>0.2015999886824669</v>
      </c>
      <c r="L8" s="7">
        <f t="shared" si="2"/>
        <v>0.34339995990102845</v>
      </c>
      <c r="M8" s="7">
        <f t="shared" si="3"/>
        <v>0.67999984076755349</v>
      </c>
      <c r="N8" s="7">
        <f t="shared" si="4"/>
        <v>0.77219997921781924</v>
      </c>
      <c r="O8" s="133">
        <f>B8-Table1[[#This Row],[Total]]</f>
        <v>2</v>
      </c>
    </row>
    <row r="9" spans="1:15" x14ac:dyDescent="0.3">
      <c r="A9" s="2">
        <v>43472</v>
      </c>
      <c r="B9" s="3">
        <v>22803207</v>
      </c>
      <c r="C9" s="3">
        <v>5415761</v>
      </c>
      <c r="D9" s="3">
        <v>2079652</v>
      </c>
      <c r="E9" s="3">
        <v>1442239</v>
      </c>
      <c r="F9" s="3">
        <v>1123504</v>
      </c>
      <c r="G9" s="7">
        <f t="shared" si="0"/>
        <v>4.9269561075334707E-2</v>
      </c>
      <c r="H9" s="61">
        <v>0</v>
      </c>
      <c r="I9" s="61">
        <v>0</v>
      </c>
      <c r="J9" s="61">
        <v>0</v>
      </c>
      <c r="K9" s="7">
        <f t="shared" si="1"/>
        <v>0.23749997094706898</v>
      </c>
      <c r="L9" s="7">
        <f t="shared" si="2"/>
        <v>0.3839999586392383</v>
      </c>
      <c r="M9" s="7">
        <f t="shared" si="3"/>
        <v>0.69350016252719204</v>
      </c>
      <c r="N9" s="7">
        <f t="shared" si="4"/>
        <v>0.77899987450068953</v>
      </c>
      <c r="O9" s="133">
        <f>B9-Table1[[#This Row],[Total]]</f>
        <v>2</v>
      </c>
    </row>
    <row r="10" spans="1:15" x14ac:dyDescent="0.3">
      <c r="A10" s="2">
        <v>43473</v>
      </c>
      <c r="B10" s="3">
        <v>21717340</v>
      </c>
      <c r="C10" s="3">
        <v>5320748</v>
      </c>
      <c r="D10" s="3">
        <v>2085733</v>
      </c>
      <c r="E10" s="3">
        <v>1583488</v>
      </c>
      <c r="F10" s="3">
        <v>1311445</v>
      </c>
      <c r="G10" s="7">
        <f t="shared" si="0"/>
        <v>6.0386999512831684E-2</v>
      </c>
      <c r="H10" s="7">
        <f>(F10/F3)-1</f>
        <v>3.1356703048005974E-2</v>
      </c>
      <c r="I10" s="7">
        <f>(B10/B3)-1</f>
        <v>4.1666686651977258E-2</v>
      </c>
      <c r="J10" s="7">
        <f>(G10/G3)-1</f>
        <v>-9.8975840699184747E-3</v>
      </c>
      <c r="K10" s="7">
        <f t="shared" si="1"/>
        <v>0.24499998618615354</v>
      </c>
      <c r="L10" s="7">
        <f t="shared" si="2"/>
        <v>0.39199995940420407</v>
      </c>
      <c r="M10" s="7">
        <f t="shared" si="3"/>
        <v>0.75919976334458916</v>
      </c>
      <c r="N10" s="7">
        <f t="shared" si="4"/>
        <v>0.82820015055371432</v>
      </c>
      <c r="O10" s="133">
        <f>B10-Table1[[#This Row],[Total]]</f>
        <v>2</v>
      </c>
    </row>
    <row r="11" spans="1:15" x14ac:dyDescent="0.3">
      <c r="A11" s="2">
        <v>43474</v>
      </c>
      <c r="B11" s="3">
        <v>22586034</v>
      </c>
      <c r="C11" s="3">
        <v>5872368</v>
      </c>
      <c r="D11" s="3">
        <v>2372437</v>
      </c>
      <c r="E11" s="3">
        <v>1766516</v>
      </c>
      <c r="F11" s="3">
        <v>1506485</v>
      </c>
      <c r="G11" s="7">
        <f t="shared" si="0"/>
        <v>6.6699846462641474E-2</v>
      </c>
      <c r="H11" s="7">
        <f t="shared" ref="H11:H12" si="5">(F11/F4)-1</f>
        <v>0.1945488699447242</v>
      </c>
      <c r="I11" s="7">
        <f t="shared" ref="I11:I13" si="6">(B11/B4)-1</f>
        <v>2.9703007310898588E-2</v>
      </c>
      <c r="J11" s="7">
        <f t="shared" ref="J11:J74" si="7">(G11/G4)-1</f>
        <v>0.16009068776474278</v>
      </c>
      <c r="K11" s="7">
        <f t="shared" si="1"/>
        <v>0.25999996280887561</v>
      </c>
      <c r="L11" s="7">
        <f t="shared" si="2"/>
        <v>0.40400005585481019</v>
      </c>
      <c r="M11" s="7">
        <f t="shared" si="3"/>
        <v>0.74459975122627076</v>
      </c>
      <c r="N11" s="7">
        <f t="shared" si="4"/>
        <v>0.85280008785654926</v>
      </c>
      <c r="O11" s="133">
        <f>B11-Table1[[#This Row],[Total]]</f>
        <v>2</v>
      </c>
    </row>
    <row r="12" spans="1:15" x14ac:dyDescent="0.3">
      <c r="A12" s="20">
        <v>43475</v>
      </c>
      <c r="B12" s="21">
        <v>10641496</v>
      </c>
      <c r="C12" s="21">
        <v>2740185</v>
      </c>
      <c r="D12" s="21">
        <v>1063191</v>
      </c>
      <c r="E12" s="21">
        <v>760607</v>
      </c>
      <c r="F12" s="21">
        <v>623698</v>
      </c>
      <c r="G12" s="13">
        <f t="shared" si="0"/>
        <v>5.8609992429635833E-2</v>
      </c>
      <c r="H12" s="13">
        <f t="shared" si="5"/>
        <v>-0.4522502426107996</v>
      </c>
      <c r="I12" s="13">
        <f t="shared" si="6"/>
        <v>-0.48958335231937844</v>
      </c>
      <c r="J12" s="161">
        <f>(G12/G5)-1</f>
        <v>7.3142421741578811E-2</v>
      </c>
      <c r="K12" s="13">
        <f t="shared" si="1"/>
        <v>0.25749997932621504</v>
      </c>
      <c r="L12" s="13">
        <f t="shared" si="2"/>
        <v>0.3879997153476864</v>
      </c>
      <c r="M12" s="13">
        <f t="shared" si="3"/>
        <v>0.71540014917357275</v>
      </c>
      <c r="N12" s="13">
        <f t="shared" si="4"/>
        <v>0.82000034183224713</v>
      </c>
      <c r="O12" s="133">
        <f>B12-Table1[[#This Row],[Total]]</f>
        <v>0</v>
      </c>
    </row>
    <row r="13" spans="1:15" x14ac:dyDescent="0.3">
      <c r="A13" s="2">
        <v>43476</v>
      </c>
      <c r="B13" s="3">
        <v>20631473</v>
      </c>
      <c r="C13" s="3">
        <v>4951553</v>
      </c>
      <c r="D13" s="3">
        <v>2000427</v>
      </c>
      <c r="E13" s="3">
        <v>1431105</v>
      </c>
      <c r="F13" s="3">
        <v>1126566</v>
      </c>
      <c r="G13" s="7">
        <f t="shared" si="0"/>
        <v>5.4604244689654489E-2</v>
      </c>
      <c r="H13" s="7">
        <f t="shared" ref="H13:H74" si="8">(F13/F6)-1</f>
        <v>-0.13115176381669258</v>
      </c>
      <c r="I13" s="7">
        <f t="shared" si="6"/>
        <v>-5.0000000000000044E-2</v>
      </c>
      <c r="J13" s="7">
        <f t="shared" si="7"/>
        <v>-8.5422909280729042E-2</v>
      </c>
      <c r="K13" s="7">
        <f t="shared" si="1"/>
        <v>0.23999997479578894</v>
      </c>
      <c r="L13" s="7">
        <f t="shared" si="2"/>
        <v>0.40399991679378167</v>
      </c>
      <c r="M13" s="7">
        <f t="shared" si="3"/>
        <v>0.71539976215078083</v>
      </c>
      <c r="N13" s="7">
        <f t="shared" si="4"/>
        <v>0.78720010062154766</v>
      </c>
      <c r="O13" s="133">
        <f>B13-Table1[[#This Row],[Total]]</f>
        <v>1</v>
      </c>
    </row>
    <row r="14" spans="1:15" x14ac:dyDescent="0.3">
      <c r="A14" s="2">
        <v>43477</v>
      </c>
      <c r="B14" s="3">
        <v>42645263</v>
      </c>
      <c r="C14" s="3">
        <v>9045060</v>
      </c>
      <c r="D14" s="3">
        <v>3075320</v>
      </c>
      <c r="E14" s="3">
        <v>2133042</v>
      </c>
      <c r="F14" s="3">
        <v>1680410</v>
      </c>
      <c r="G14" s="7">
        <f t="shared" si="0"/>
        <v>3.9404376518911377E-2</v>
      </c>
      <c r="H14" s="7">
        <f t="shared" si="8"/>
        <v>5.2871319138911188E-2</v>
      </c>
      <c r="I14" s="7">
        <f t="shared" ref="I14:I74" si="9">(B14/B7)-1</f>
        <v>0</v>
      </c>
      <c r="J14" s="7">
        <f t="shared" si="7"/>
        <v>5.2871319138911188E-2</v>
      </c>
      <c r="K14" s="7">
        <f t="shared" si="1"/>
        <v>0.21209999338027297</v>
      </c>
      <c r="L14" s="7">
        <f t="shared" si="2"/>
        <v>0.33999995577696557</v>
      </c>
      <c r="M14" s="7">
        <f t="shared" si="3"/>
        <v>0.69360001560813178</v>
      </c>
      <c r="N14" s="7">
        <f t="shared" si="4"/>
        <v>0.78779977140628266</v>
      </c>
      <c r="O14" s="133">
        <f>B14-Table1[[#This Row],[Total]]</f>
        <v>2</v>
      </c>
    </row>
    <row r="15" spans="1:15" x14ac:dyDescent="0.3">
      <c r="A15" s="2">
        <v>43478</v>
      </c>
      <c r="B15" s="3">
        <v>46236443</v>
      </c>
      <c r="C15" s="3">
        <v>9806749</v>
      </c>
      <c r="D15" s="3">
        <v>3300951</v>
      </c>
      <c r="E15" s="3">
        <v>2199754</v>
      </c>
      <c r="F15" s="3">
        <v>1630017</v>
      </c>
      <c r="G15" s="7">
        <f t="shared" si="0"/>
        <v>3.5253944599501305E-2</v>
      </c>
      <c r="H15" s="7">
        <f t="shared" si="8"/>
        <v>2.9778612542572747E-2</v>
      </c>
      <c r="I15" s="7">
        <f t="shared" si="9"/>
        <v>6.1855669392811174E-2</v>
      </c>
      <c r="J15" s="7">
        <f t="shared" si="7"/>
        <v>-3.0208490451984704E-2</v>
      </c>
      <c r="K15" s="7">
        <f t="shared" si="1"/>
        <v>0.21209998788185327</v>
      </c>
      <c r="L15" s="7">
        <f t="shared" si="2"/>
        <v>0.33659992725417975</v>
      </c>
      <c r="M15" s="7">
        <f t="shared" si="3"/>
        <v>0.66640007682634494</v>
      </c>
      <c r="N15" s="7">
        <f t="shared" si="4"/>
        <v>0.74099967541825129</v>
      </c>
      <c r="O15" s="133">
        <f>B15-Table1[[#This Row],[Total]]</f>
        <v>2</v>
      </c>
    </row>
    <row r="16" spans="1:15" x14ac:dyDescent="0.3">
      <c r="A16" s="2">
        <v>43479</v>
      </c>
      <c r="B16" s="3">
        <v>21065820</v>
      </c>
      <c r="C16" s="3">
        <v>5371784</v>
      </c>
      <c r="D16" s="3">
        <v>2084252</v>
      </c>
      <c r="E16" s="3">
        <v>1445428</v>
      </c>
      <c r="F16" s="3">
        <v>1197104</v>
      </c>
      <c r="G16" s="7">
        <f t="shared" si="0"/>
        <v>5.6826840825564828E-2</v>
      </c>
      <c r="H16" s="7">
        <f t="shared" si="8"/>
        <v>6.550933508024892E-2</v>
      </c>
      <c r="I16" s="7">
        <f t="shared" si="9"/>
        <v>-7.6190467419780084E-2</v>
      </c>
      <c r="J16" s="7">
        <f t="shared" si="7"/>
        <v>0.15338638269325777</v>
      </c>
      <c r="K16" s="7">
        <f t="shared" si="1"/>
        <v>0.25499999525297379</v>
      </c>
      <c r="L16" s="7">
        <f t="shared" si="2"/>
        <v>0.38799996425768424</v>
      </c>
      <c r="M16" s="7">
        <f t="shared" si="3"/>
        <v>0.69349963440121443</v>
      </c>
      <c r="N16" s="7">
        <f t="shared" si="4"/>
        <v>0.82820036695013521</v>
      </c>
      <c r="O16" s="133">
        <f>B16-Table1[[#This Row],[Total]]</f>
        <v>1</v>
      </c>
    </row>
    <row r="17" spans="1:15" x14ac:dyDescent="0.3">
      <c r="A17" s="2">
        <v>43480</v>
      </c>
      <c r="B17" s="3">
        <v>21282993</v>
      </c>
      <c r="C17" s="3">
        <v>5054710</v>
      </c>
      <c r="D17" s="3">
        <v>2042103</v>
      </c>
      <c r="E17" s="3">
        <v>1475828</v>
      </c>
      <c r="F17" s="3">
        <v>1198077</v>
      </c>
      <c r="G17" s="7">
        <f t="shared" si="0"/>
        <v>5.6292693419576843E-2</v>
      </c>
      <c r="H17" s="7">
        <f t="shared" si="8"/>
        <v>-8.6445104445859289E-2</v>
      </c>
      <c r="I17" s="7">
        <f t="shared" si="9"/>
        <v>-2.0000009209230951E-2</v>
      </c>
      <c r="J17" s="7">
        <f t="shared" si="7"/>
        <v>-6.7801118225535251E-2</v>
      </c>
      <c r="K17" s="7">
        <f t="shared" si="1"/>
        <v>0.2374999606493316</v>
      </c>
      <c r="L17" s="7">
        <f t="shared" si="2"/>
        <v>0.40400003165364579</v>
      </c>
      <c r="M17" s="7">
        <f t="shared" si="3"/>
        <v>0.72270007928101565</v>
      </c>
      <c r="N17" s="7">
        <f t="shared" si="4"/>
        <v>0.81179988453939078</v>
      </c>
      <c r="O17" s="133">
        <f>B17-Table1[[#This Row],[Total]]</f>
        <v>1</v>
      </c>
    </row>
    <row r="18" spans="1:15" x14ac:dyDescent="0.3">
      <c r="A18" s="2">
        <v>43481</v>
      </c>
      <c r="B18" s="3">
        <v>21065820</v>
      </c>
      <c r="C18" s="3">
        <v>5529777</v>
      </c>
      <c r="D18" s="3">
        <v>2278268</v>
      </c>
      <c r="E18" s="3">
        <v>1663135</v>
      </c>
      <c r="F18" s="3">
        <v>1391046</v>
      </c>
      <c r="G18" s="7">
        <f t="shared" si="0"/>
        <v>6.6033318427670989E-2</v>
      </c>
      <c r="H18" s="7">
        <f t="shared" si="8"/>
        <v>-7.6628044753183744E-2</v>
      </c>
      <c r="I18" s="7">
        <f t="shared" si="9"/>
        <v>-6.7307699970698742E-2</v>
      </c>
      <c r="J18" s="7">
        <f t="shared" si="7"/>
        <v>-9.992947065385005E-3</v>
      </c>
      <c r="K18" s="7">
        <f t="shared" si="1"/>
        <v>0.26249996439730333</v>
      </c>
      <c r="L18" s="7">
        <f t="shared" si="2"/>
        <v>0.41199997757594925</v>
      </c>
      <c r="M18" s="7">
        <f t="shared" si="3"/>
        <v>0.72999971908484862</v>
      </c>
      <c r="N18" s="7">
        <f t="shared" si="4"/>
        <v>0.83639993145475267</v>
      </c>
      <c r="O18" s="133">
        <f>B18-Table1[[#This Row],[Total]]</f>
        <v>1</v>
      </c>
    </row>
    <row r="19" spans="1:15" x14ac:dyDescent="0.3">
      <c r="A19" s="11">
        <v>43482</v>
      </c>
      <c r="B19" s="12">
        <v>22368860</v>
      </c>
      <c r="C19" s="12">
        <v>5648137</v>
      </c>
      <c r="D19" s="12">
        <v>2168884</v>
      </c>
      <c r="E19" s="12">
        <v>1535787</v>
      </c>
      <c r="F19" s="12">
        <v>1284532</v>
      </c>
      <c r="G19" s="13">
        <f t="shared" si="0"/>
        <v>5.7425009589223593E-2</v>
      </c>
      <c r="H19" s="13">
        <f t="shared" si="8"/>
        <v>1.0595416371384867</v>
      </c>
      <c r="I19" s="13">
        <f t="shared" si="9"/>
        <v>1.1020409160516529</v>
      </c>
      <c r="J19" s="13">
        <f t="shared" si="7"/>
        <v>-2.0218102601444077E-2</v>
      </c>
      <c r="K19" s="13">
        <f t="shared" si="1"/>
        <v>0.25249999329424921</v>
      </c>
      <c r="L19" s="13">
        <f t="shared" si="2"/>
        <v>0.38399989235388587</v>
      </c>
      <c r="M19" s="13">
        <f t="shared" si="3"/>
        <v>0.70810011047156052</v>
      </c>
      <c r="N19" s="13">
        <f t="shared" si="4"/>
        <v>0.83639983930063222</v>
      </c>
      <c r="O19" s="133">
        <f>B19-Table1[[#This Row],[Total]]</f>
        <v>2</v>
      </c>
    </row>
    <row r="20" spans="1:15" x14ac:dyDescent="0.3">
      <c r="A20" s="2">
        <v>43483</v>
      </c>
      <c r="B20" s="3">
        <v>22151687</v>
      </c>
      <c r="C20" s="3">
        <v>5759438</v>
      </c>
      <c r="D20" s="3">
        <v>2395926</v>
      </c>
      <c r="E20" s="3">
        <v>1661575</v>
      </c>
      <c r="F20" s="3">
        <v>1307991</v>
      </c>
      <c r="G20" s="7">
        <f t="shared" si="0"/>
        <v>5.9047015245385151E-2</v>
      </c>
      <c r="H20" s="7">
        <f t="shared" si="8"/>
        <v>0.16104249551291261</v>
      </c>
      <c r="I20" s="7">
        <f t="shared" si="9"/>
        <v>7.3684220220243013E-2</v>
      </c>
      <c r="J20" s="7">
        <f t="shared" si="7"/>
        <v>8.136309880269077E-2</v>
      </c>
      <c r="K20" s="7">
        <f t="shared" si="1"/>
        <v>0.25999997201116104</v>
      </c>
      <c r="L20" s="7">
        <f t="shared" si="2"/>
        <v>0.4159999638853652</v>
      </c>
      <c r="M20" s="7">
        <f t="shared" si="3"/>
        <v>0.69350013314267633</v>
      </c>
      <c r="N20" s="7">
        <f t="shared" si="4"/>
        <v>0.7871994944555617</v>
      </c>
      <c r="O20" s="133">
        <f>B20-Table1[[#This Row],[Total]]</f>
        <v>2</v>
      </c>
    </row>
    <row r="21" spans="1:15" x14ac:dyDescent="0.3">
      <c r="A21" s="2">
        <v>43484</v>
      </c>
      <c r="B21" s="3">
        <v>42645263</v>
      </c>
      <c r="C21" s="3">
        <v>8686840</v>
      </c>
      <c r="D21" s="3">
        <v>2894455</v>
      </c>
      <c r="E21" s="3">
        <v>2046958</v>
      </c>
      <c r="F21" s="3">
        <v>1612594</v>
      </c>
      <c r="G21" s="7">
        <f t="shared" si="0"/>
        <v>3.7814141279888462E-2</v>
      </c>
      <c r="H21" s="7">
        <f t="shared" si="8"/>
        <v>-4.0356817681399204E-2</v>
      </c>
      <c r="I21" s="7">
        <f t="shared" si="9"/>
        <v>0</v>
      </c>
      <c r="J21" s="7">
        <f t="shared" si="7"/>
        <v>-4.0356817681399204E-2</v>
      </c>
      <c r="K21" s="7">
        <f t="shared" si="1"/>
        <v>0.20369999828585886</v>
      </c>
      <c r="L21" s="7">
        <f t="shared" si="2"/>
        <v>0.33319998986973398</v>
      </c>
      <c r="M21" s="7">
        <f t="shared" si="3"/>
        <v>0.7071998009988063</v>
      </c>
      <c r="N21" s="7">
        <f t="shared" si="4"/>
        <v>0.78780023820713474</v>
      </c>
      <c r="O21" s="133">
        <f>B21-Table1[[#This Row],[Total]]</f>
        <v>2</v>
      </c>
    </row>
    <row r="22" spans="1:15" x14ac:dyDescent="0.3">
      <c r="A22" s="2">
        <v>43485</v>
      </c>
      <c r="B22" s="3">
        <v>44440853</v>
      </c>
      <c r="C22" s="3">
        <v>9239253</v>
      </c>
      <c r="D22" s="3">
        <v>3267000</v>
      </c>
      <c r="E22" s="3">
        <v>2310422</v>
      </c>
      <c r="F22" s="3">
        <v>1820150</v>
      </c>
      <c r="G22" s="7">
        <f t="shared" si="0"/>
        <v>4.0956684607291405E-2</v>
      </c>
      <c r="H22" s="7">
        <f t="shared" si="8"/>
        <v>0.11664479572912434</v>
      </c>
      <c r="I22" s="7">
        <f t="shared" si="9"/>
        <v>-3.8834951036350263E-2</v>
      </c>
      <c r="J22" s="7">
        <f t="shared" si="7"/>
        <v>0.16176175666511861</v>
      </c>
      <c r="K22" s="7">
        <f t="shared" si="1"/>
        <v>0.20789999237863413</v>
      </c>
      <c r="L22" s="7">
        <f t="shared" si="2"/>
        <v>0.35360001506615307</v>
      </c>
      <c r="M22" s="7">
        <f t="shared" si="3"/>
        <v>0.70719987756351388</v>
      </c>
      <c r="N22" s="7">
        <f t="shared" si="4"/>
        <v>0.78779980453787235</v>
      </c>
      <c r="O22" s="133">
        <f>B22-Table1[[#This Row],[Total]]</f>
        <v>2</v>
      </c>
    </row>
    <row r="23" spans="1:15" x14ac:dyDescent="0.3">
      <c r="A23" s="11">
        <v>43486</v>
      </c>
      <c r="B23" s="12">
        <v>22151687</v>
      </c>
      <c r="C23" s="12">
        <v>5759438</v>
      </c>
      <c r="D23" s="12">
        <v>2395926</v>
      </c>
      <c r="E23" s="12">
        <v>1818987</v>
      </c>
      <c r="F23" s="12">
        <v>1476653</v>
      </c>
      <c r="G23" s="13">
        <f t="shared" si="0"/>
        <v>6.6660972593193465E-2</v>
      </c>
      <c r="H23" s="13">
        <f t="shared" si="8"/>
        <v>0.23352106416819263</v>
      </c>
      <c r="I23" s="13">
        <f t="shared" si="9"/>
        <v>5.154639126319327E-2</v>
      </c>
      <c r="J23" s="13">
        <f t="shared" si="7"/>
        <v>0.17305434588235169</v>
      </c>
      <c r="K23" s="13">
        <f t="shared" si="1"/>
        <v>0.25999997201116104</v>
      </c>
      <c r="L23" s="13">
        <f t="shared" si="2"/>
        <v>0.4159999638853652</v>
      </c>
      <c r="M23" s="13">
        <f t="shared" si="3"/>
        <v>0.75919999198639687</v>
      </c>
      <c r="N23" s="13">
        <f t="shared" si="4"/>
        <v>0.81179964452742104</v>
      </c>
      <c r="O23" s="133">
        <f>B23-Table1[[#This Row],[Total]]</f>
        <v>2</v>
      </c>
    </row>
    <row r="24" spans="1:15" x14ac:dyDescent="0.3">
      <c r="A24" s="11">
        <v>43487</v>
      </c>
      <c r="B24" s="12">
        <v>37570998</v>
      </c>
      <c r="C24" s="12">
        <v>9768459</v>
      </c>
      <c r="D24" s="12">
        <v>3751088</v>
      </c>
      <c r="E24" s="12">
        <v>2656145</v>
      </c>
      <c r="F24" s="12">
        <v>2221600</v>
      </c>
      <c r="G24" s="13">
        <f t="shared" si="0"/>
        <v>5.9130715665311848E-2</v>
      </c>
      <c r="H24" s="13">
        <f t="shared" si="8"/>
        <v>0.85430485686646174</v>
      </c>
      <c r="I24" s="13">
        <f t="shared" si="9"/>
        <v>0.76530612964069489</v>
      </c>
      <c r="J24" s="13">
        <f t="shared" si="7"/>
        <v>5.041546377221362E-2</v>
      </c>
      <c r="K24" s="13">
        <f t="shared" si="1"/>
        <v>0.25999998722418821</v>
      </c>
      <c r="L24" s="13">
        <f t="shared" si="2"/>
        <v>0.38399997379320527</v>
      </c>
      <c r="M24" s="13">
        <f t="shared" si="3"/>
        <v>0.70809988995192863</v>
      </c>
      <c r="N24" s="13">
        <f t="shared" si="4"/>
        <v>0.83640012122832152</v>
      </c>
      <c r="O24" s="133">
        <f>B24-Table1[[#This Row],[Total]]</f>
        <v>1</v>
      </c>
    </row>
    <row r="25" spans="1:15" x14ac:dyDescent="0.3">
      <c r="A25" s="2">
        <v>43488</v>
      </c>
      <c r="B25" s="3">
        <v>21500167</v>
      </c>
      <c r="C25" s="3">
        <v>5428792</v>
      </c>
      <c r="D25" s="3">
        <v>2258377</v>
      </c>
      <c r="E25" s="3">
        <v>1648615</v>
      </c>
      <c r="F25" s="3">
        <v>1392420</v>
      </c>
      <c r="G25" s="7">
        <f t="shared" si="0"/>
        <v>6.4763217885702939E-2</v>
      </c>
      <c r="H25" s="7">
        <f t="shared" si="8"/>
        <v>9.8774591206907125E-4</v>
      </c>
      <c r="I25" s="7">
        <f t="shared" si="9"/>
        <v>2.0618565999329652E-2</v>
      </c>
      <c r="J25" s="7">
        <f t="shared" si="7"/>
        <v>-1.9234237688042999E-2</v>
      </c>
      <c r="K25" s="7">
        <f t="shared" si="1"/>
        <v>0.25249999220936281</v>
      </c>
      <c r="L25" s="7">
        <f t="shared" si="2"/>
        <v>0.41599991305616424</v>
      </c>
      <c r="M25" s="7">
        <f t="shared" si="3"/>
        <v>0.7299999070128681</v>
      </c>
      <c r="N25" s="7">
        <f t="shared" si="4"/>
        <v>0.84459986109552565</v>
      </c>
      <c r="O25" s="133">
        <f>B25-Table1[[#This Row],[Total]]</f>
        <v>1</v>
      </c>
    </row>
    <row r="26" spans="1:15" x14ac:dyDescent="0.3">
      <c r="A26" s="2">
        <v>43489</v>
      </c>
      <c r="B26" s="3">
        <v>20631473</v>
      </c>
      <c r="C26" s="3">
        <v>4899974</v>
      </c>
      <c r="D26" s="3">
        <v>1861990</v>
      </c>
      <c r="E26" s="3">
        <v>1332067</v>
      </c>
      <c r="F26" s="3">
        <v>1059526</v>
      </c>
      <c r="G26" s="7">
        <f t="shared" si="0"/>
        <v>5.1354840248197496E-2</v>
      </c>
      <c r="H26" s="7">
        <f t="shared" si="8"/>
        <v>-0.17516574129721951</v>
      </c>
      <c r="I26" s="7">
        <f t="shared" si="9"/>
        <v>-7.7669894666066996E-2</v>
      </c>
      <c r="J26" s="7">
        <f t="shared" si="7"/>
        <v>-0.10570602224444781</v>
      </c>
      <c r="K26" s="7">
        <f t="shared" si="1"/>
        <v>0.23749995940667931</v>
      </c>
      <c r="L26" s="7">
        <f t="shared" si="2"/>
        <v>0.37999997551007414</v>
      </c>
      <c r="M26" s="7">
        <f t="shared" si="3"/>
        <v>0.71539965305936126</v>
      </c>
      <c r="N26" s="7">
        <f t="shared" si="4"/>
        <v>0.79539993108454754</v>
      </c>
      <c r="O26" s="133">
        <f>B26-Table1[[#This Row],[Total]]</f>
        <v>1</v>
      </c>
    </row>
    <row r="27" spans="1:15" x14ac:dyDescent="0.3">
      <c r="A27" s="2">
        <v>43490</v>
      </c>
      <c r="B27" s="3">
        <v>20631473</v>
      </c>
      <c r="C27" s="3">
        <v>5054710</v>
      </c>
      <c r="D27" s="3">
        <v>2021884</v>
      </c>
      <c r="E27" s="3">
        <v>1520254</v>
      </c>
      <c r="F27" s="3">
        <v>1234142</v>
      </c>
      <c r="G27" s="7">
        <f t="shared" si="0"/>
        <v>5.9818414322622526E-2</v>
      </c>
      <c r="H27" s="7">
        <f t="shared" si="8"/>
        <v>-5.6459868607658614E-2</v>
      </c>
      <c r="I27" s="7">
        <f t="shared" si="9"/>
        <v>-6.8627459389436152E-2</v>
      </c>
      <c r="J27" s="7">
        <f t="shared" si="7"/>
        <v>1.3064150220491788E-2</v>
      </c>
      <c r="K27" s="7">
        <f t="shared" si="1"/>
        <v>0.24499995710437156</v>
      </c>
      <c r="L27" s="7">
        <f t="shared" si="2"/>
        <v>0.4</v>
      </c>
      <c r="M27" s="7">
        <f t="shared" si="3"/>
        <v>0.75189971333667016</v>
      </c>
      <c r="N27" s="7">
        <f t="shared" si="4"/>
        <v>0.81179987028483402</v>
      </c>
      <c r="O27" s="133">
        <f>B27-Table1[[#This Row],[Total]]</f>
        <v>1</v>
      </c>
    </row>
    <row r="28" spans="1:15" x14ac:dyDescent="0.3">
      <c r="A28" s="2">
        <v>43491</v>
      </c>
      <c r="B28" s="3">
        <v>47134238</v>
      </c>
      <c r="C28" s="3">
        <v>9997171</v>
      </c>
      <c r="D28" s="3">
        <v>3568990</v>
      </c>
      <c r="E28" s="3">
        <v>2378375</v>
      </c>
      <c r="F28" s="3">
        <v>1762376</v>
      </c>
      <c r="G28" s="7">
        <f t="shared" si="0"/>
        <v>3.7390569462478637E-2</v>
      </c>
      <c r="H28" s="7">
        <f t="shared" si="8"/>
        <v>9.2882647461171253E-2</v>
      </c>
      <c r="I28" s="7">
        <f t="shared" si="9"/>
        <v>0.10526315666056507</v>
      </c>
      <c r="J28" s="7">
        <f t="shared" si="7"/>
        <v>-1.120141309767364E-2</v>
      </c>
      <c r="K28" s="7">
        <f t="shared" si="1"/>
        <v>0.21209998133416308</v>
      </c>
      <c r="L28" s="7">
        <f t="shared" si="2"/>
        <v>0.35699999529866999</v>
      </c>
      <c r="M28" s="7">
        <f t="shared" si="3"/>
        <v>0.66640001793224413</v>
      </c>
      <c r="N28" s="7">
        <f t="shared" si="4"/>
        <v>0.74100005255689283</v>
      </c>
      <c r="O28" s="133">
        <f>B28-Table1[[#This Row],[Total]]</f>
        <v>2</v>
      </c>
    </row>
    <row r="29" spans="1:15" x14ac:dyDescent="0.3">
      <c r="A29" s="2">
        <v>43492</v>
      </c>
      <c r="B29" s="3">
        <v>45338648</v>
      </c>
      <c r="C29" s="3">
        <v>9616327</v>
      </c>
      <c r="D29" s="3">
        <v>3400333</v>
      </c>
      <c r="E29" s="3">
        <v>2358471</v>
      </c>
      <c r="F29" s="3">
        <v>1784419</v>
      </c>
      <c r="G29" s="7">
        <f t="shared" si="0"/>
        <v>3.9357569727266679E-2</v>
      </c>
      <c r="H29" s="7">
        <f t="shared" si="8"/>
        <v>-1.9630799659368758E-2</v>
      </c>
      <c r="I29" s="7">
        <f t="shared" si="9"/>
        <v>2.0202019974729035E-2</v>
      </c>
      <c r="J29" s="7">
        <f t="shared" si="7"/>
        <v>-3.9044050937170782E-2</v>
      </c>
      <c r="K29" s="7">
        <f t="shared" si="1"/>
        <v>0.21209999468885796</v>
      </c>
      <c r="L29" s="7">
        <f t="shared" si="2"/>
        <v>0.35359997637351559</v>
      </c>
      <c r="M29" s="7">
        <f t="shared" si="3"/>
        <v>0.69360000917557196</v>
      </c>
      <c r="N29" s="7">
        <f t="shared" si="4"/>
        <v>0.75659993275304216</v>
      </c>
      <c r="O29" s="133">
        <f>B29-Table1[[#This Row],[Total]]</f>
        <v>1</v>
      </c>
    </row>
    <row r="30" spans="1:15" x14ac:dyDescent="0.3">
      <c r="A30" s="2">
        <v>43493</v>
      </c>
      <c r="B30" s="3">
        <v>21282993</v>
      </c>
      <c r="C30" s="3">
        <v>5267540</v>
      </c>
      <c r="D30" s="3">
        <v>2043805</v>
      </c>
      <c r="E30" s="3">
        <v>1536737</v>
      </c>
      <c r="F30" s="3">
        <v>1310529</v>
      </c>
      <c r="G30" s="7">
        <f t="shared" si="0"/>
        <v>6.157634877763668E-2</v>
      </c>
      <c r="H30" s="7">
        <f t="shared" si="8"/>
        <v>-0.11250036399885421</v>
      </c>
      <c r="I30" s="7">
        <f t="shared" si="9"/>
        <v>-3.9215703977760197E-2</v>
      </c>
      <c r="J30" s="7">
        <f t="shared" si="7"/>
        <v>-7.6275872039646142E-2</v>
      </c>
      <c r="K30" s="7">
        <f t="shared" si="1"/>
        <v>0.2474999639383427</v>
      </c>
      <c r="L30" s="7">
        <f t="shared" si="2"/>
        <v>0.38799990128219247</v>
      </c>
      <c r="M30" s="7">
        <f t="shared" si="3"/>
        <v>0.75190001003031115</v>
      </c>
      <c r="N30" s="7">
        <f t="shared" si="4"/>
        <v>0.8527997959312491</v>
      </c>
      <c r="O30" s="133">
        <f>B30-Table1[[#This Row],[Total]]</f>
        <v>1</v>
      </c>
    </row>
    <row r="31" spans="1:15" x14ac:dyDescent="0.3">
      <c r="A31" s="11">
        <v>43494</v>
      </c>
      <c r="B31" s="12">
        <v>22368860</v>
      </c>
      <c r="C31" s="12">
        <v>2628341</v>
      </c>
      <c r="D31" s="12">
        <v>1093389</v>
      </c>
      <c r="E31" s="12">
        <v>790192</v>
      </c>
      <c r="F31" s="12">
        <v>628519</v>
      </c>
      <c r="G31" s="13">
        <f t="shared" si="0"/>
        <v>2.8097945089736356E-2</v>
      </c>
      <c r="H31" s="13">
        <f t="shared" si="8"/>
        <v>-0.71708723442563915</v>
      </c>
      <c r="I31" s="13">
        <f t="shared" si="9"/>
        <v>-0.40462427961056557</v>
      </c>
      <c r="J31" s="13">
        <f t="shared" si="7"/>
        <v>-0.52481642115115479</v>
      </c>
      <c r="K31" s="13">
        <f t="shared" si="1"/>
        <v>0.11749999776474974</v>
      </c>
      <c r="L31" s="13">
        <f t="shared" si="2"/>
        <v>0.41599967431927592</v>
      </c>
      <c r="M31" s="13">
        <f t="shared" si="3"/>
        <v>0.72269978937048018</v>
      </c>
      <c r="N31" s="13">
        <f t="shared" si="4"/>
        <v>0.79540035839390932</v>
      </c>
      <c r="O31" s="133">
        <f>B31-Table1[[#This Row],[Total]]</f>
        <v>2</v>
      </c>
    </row>
    <row r="32" spans="1:15" x14ac:dyDescent="0.3">
      <c r="A32" s="2">
        <v>43495</v>
      </c>
      <c r="B32" s="3">
        <v>22368860</v>
      </c>
      <c r="C32" s="3">
        <v>5536293</v>
      </c>
      <c r="D32" s="3">
        <v>2303097</v>
      </c>
      <c r="E32" s="3">
        <v>1614011</v>
      </c>
      <c r="F32" s="3">
        <v>1283784</v>
      </c>
      <c r="G32" s="7">
        <f t="shared" si="0"/>
        <v>5.739157024542154E-2</v>
      </c>
      <c r="H32" s="7">
        <f t="shared" si="8"/>
        <v>-7.8019563062868946E-2</v>
      </c>
      <c r="I32" s="7">
        <f t="shared" si="9"/>
        <v>4.0404011745583279E-2</v>
      </c>
      <c r="J32" s="7">
        <f t="shared" si="7"/>
        <v>-0.11382460416483964</v>
      </c>
      <c r="K32" s="7">
        <f t="shared" si="1"/>
        <v>0.24750000670575076</v>
      </c>
      <c r="L32" s="7">
        <f t="shared" si="2"/>
        <v>0.41599983960386488</v>
      </c>
      <c r="M32" s="7">
        <f t="shared" si="3"/>
        <v>0.70080027024480518</v>
      </c>
      <c r="N32" s="7">
        <f t="shared" si="4"/>
        <v>0.7953997835206823</v>
      </c>
      <c r="O32" s="133">
        <f>B32-Table1[[#This Row],[Total]]</f>
        <v>2</v>
      </c>
    </row>
    <row r="33" spans="1:15" x14ac:dyDescent="0.3">
      <c r="A33" s="11">
        <v>43496</v>
      </c>
      <c r="B33" s="12">
        <v>20848646</v>
      </c>
      <c r="C33" s="12">
        <v>5316404</v>
      </c>
      <c r="D33" s="12">
        <v>2147827</v>
      </c>
      <c r="E33" s="12">
        <v>1520876</v>
      </c>
      <c r="F33" s="12">
        <v>1272061</v>
      </c>
      <c r="G33" s="13">
        <f t="shared" si="0"/>
        <v>6.1014082161498638E-2</v>
      </c>
      <c r="H33" s="13">
        <f t="shared" si="8"/>
        <v>0.20059441674862155</v>
      </c>
      <c r="I33" s="13">
        <f t="shared" si="9"/>
        <v>1.0526296401619062E-2</v>
      </c>
      <c r="J33" s="13">
        <f t="shared" si="7"/>
        <v>0.18808824770202981</v>
      </c>
      <c r="K33" s="13">
        <f t="shared" si="1"/>
        <v>0.25499996498573574</v>
      </c>
      <c r="L33" s="13">
        <f t="shared" si="2"/>
        <v>0.4039999593710335</v>
      </c>
      <c r="M33" s="13">
        <f t="shared" si="3"/>
        <v>0.70809986092920896</v>
      </c>
      <c r="N33" s="13">
        <f t="shared" si="4"/>
        <v>0.83640020619695488</v>
      </c>
      <c r="O33" s="133">
        <f>B33-Table1[[#This Row],[Total]]</f>
        <v>1</v>
      </c>
    </row>
    <row r="34" spans="1:15" x14ac:dyDescent="0.3">
      <c r="A34" s="2">
        <v>43497</v>
      </c>
      <c r="B34" s="3">
        <v>20631473</v>
      </c>
      <c r="C34" s="3">
        <v>5054710</v>
      </c>
      <c r="D34" s="3">
        <v>2082540</v>
      </c>
      <c r="E34" s="3">
        <v>1565862</v>
      </c>
      <c r="F34" s="3">
        <v>1322527</v>
      </c>
      <c r="G34" s="7">
        <f t="shared" si="0"/>
        <v>6.4102403158514176E-2</v>
      </c>
      <c r="H34" s="7">
        <f t="shared" si="8"/>
        <v>7.1616556279585408E-2</v>
      </c>
      <c r="I34" s="7">
        <f t="shared" si="9"/>
        <v>0</v>
      </c>
      <c r="J34" s="7">
        <f t="shared" si="7"/>
        <v>7.1616556279585408E-2</v>
      </c>
      <c r="K34" s="7">
        <f t="shared" si="1"/>
        <v>0.24499995710437156</v>
      </c>
      <c r="L34" s="7">
        <f t="shared" si="2"/>
        <v>0.4119998971256511</v>
      </c>
      <c r="M34" s="7">
        <f t="shared" si="3"/>
        <v>0.75190008355181648</v>
      </c>
      <c r="N34" s="7">
        <f t="shared" si="4"/>
        <v>0.84459997113411012</v>
      </c>
      <c r="O34" s="133">
        <f>B34-Table1[[#This Row],[Total]]</f>
        <v>1</v>
      </c>
    </row>
    <row r="35" spans="1:15" x14ac:dyDescent="0.3">
      <c r="A35" s="2">
        <v>43498</v>
      </c>
      <c r="B35" s="3">
        <v>43543058</v>
      </c>
      <c r="C35" s="3">
        <v>9052601</v>
      </c>
      <c r="D35" s="3">
        <v>2985548</v>
      </c>
      <c r="E35" s="3">
        <v>2070776</v>
      </c>
      <c r="F35" s="3">
        <v>1566749</v>
      </c>
      <c r="G35" s="7">
        <f t="shared" si="0"/>
        <v>3.598160239457688E-2</v>
      </c>
      <c r="H35" s="7">
        <f t="shared" si="8"/>
        <v>-0.11100185204519353</v>
      </c>
      <c r="I35" s="7">
        <f t="shared" si="9"/>
        <v>-7.6190475382247658E-2</v>
      </c>
      <c r="J35" s="7">
        <f t="shared" si="7"/>
        <v>-3.7682418004241769E-2</v>
      </c>
      <c r="K35" s="7">
        <f t="shared" si="1"/>
        <v>0.20789998258735065</v>
      </c>
      <c r="L35" s="7">
        <f t="shared" si="2"/>
        <v>0.32980002101053607</v>
      </c>
      <c r="M35" s="7">
        <f t="shared" si="3"/>
        <v>0.6935999689169291</v>
      </c>
      <c r="N35" s="7">
        <f t="shared" si="4"/>
        <v>0.7565999412780523</v>
      </c>
      <c r="O35" s="133">
        <f>B35-Table1[[#This Row],[Total]]</f>
        <v>2</v>
      </c>
    </row>
    <row r="36" spans="1:15" x14ac:dyDescent="0.3">
      <c r="A36" s="2">
        <v>43499</v>
      </c>
      <c r="B36" s="3">
        <v>44889750</v>
      </c>
      <c r="C36" s="3">
        <v>9709653</v>
      </c>
      <c r="D36" s="3">
        <v>3268269</v>
      </c>
      <c r="E36" s="3">
        <v>2333544</v>
      </c>
      <c r="F36" s="3">
        <v>1892971</v>
      </c>
      <c r="G36" s="7">
        <f t="shared" si="0"/>
        <v>4.2169337098112596E-2</v>
      </c>
      <c r="H36" s="7">
        <f t="shared" si="8"/>
        <v>6.0833246003320962E-2</v>
      </c>
      <c r="I36" s="7">
        <f t="shared" si="9"/>
        <v>-9.9010010179394481E-3</v>
      </c>
      <c r="J36" s="7">
        <f t="shared" si="7"/>
        <v>7.1441590279339273E-2</v>
      </c>
      <c r="K36" s="7">
        <f t="shared" si="1"/>
        <v>0.21630000167076002</v>
      </c>
      <c r="L36" s="7">
        <f t="shared" si="2"/>
        <v>0.33659997942253961</v>
      </c>
      <c r="M36" s="7">
        <f t="shared" si="3"/>
        <v>0.71399997980582386</v>
      </c>
      <c r="N36" s="7">
        <f t="shared" si="4"/>
        <v>0.81120004593870954</v>
      </c>
      <c r="O36" s="133">
        <f>B36-Table1[[#This Row],[Total]]</f>
        <v>1</v>
      </c>
    </row>
    <row r="37" spans="1:15" x14ac:dyDescent="0.3">
      <c r="A37" s="2">
        <v>43500</v>
      </c>
      <c r="B37" s="3">
        <v>21282993</v>
      </c>
      <c r="C37" s="3">
        <v>5054710</v>
      </c>
      <c r="D37" s="3">
        <v>2001665</v>
      </c>
      <c r="E37" s="3">
        <v>1475828</v>
      </c>
      <c r="F37" s="3">
        <v>1198077</v>
      </c>
      <c r="G37" s="7">
        <f t="shared" si="0"/>
        <v>5.6292693419576843E-2</v>
      </c>
      <c r="H37" s="7">
        <f t="shared" si="8"/>
        <v>-8.5806571239552931E-2</v>
      </c>
      <c r="I37" s="7">
        <f t="shared" si="9"/>
        <v>0</v>
      </c>
      <c r="J37" s="7">
        <f t="shared" si="7"/>
        <v>-8.5806571239552931E-2</v>
      </c>
      <c r="K37" s="7">
        <f t="shared" si="1"/>
        <v>0.2374999606493316</v>
      </c>
      <c r="L37" s="7">
        <f t="shared" si="2"/>
        <v>0.3959999683463542</v>
      </c>
      <c r="M37" s="7">
        <f t="shared" si="3"/>
        <v>0.73730019758551002</v>
      </c>
      <c r="N37" s="7">
        <f t="shared" si="4"/>
        <v>0.81179988453939078</v>
      </c>
      <c r="O37" s="133">
        <f>B37-Table1[[#This Row],[Total]]</f>
        <v>1</v>
      </c>
    </row>
    <row r="38" spans="1:15" x14ac:dyDescent="0.3">
      <c r="A38" s="11">
        <v>43501</v>
      </c>
      <c r="B38" s="12">
        <v>22368860</v>
      </c>
      <c r="C38" s="12">
        <v>5871825</v>
      </c>
      <c r="D38" s="12">
        <v>2372217</v>
      </c>
      <c r="E38" s="12">
        <v>1679767</v>
      </c>
      <c r="F38" s="12">
        <v>1349861</v>
      </c>
      <c r="G38" s="13">
        <f t="shared" si="0"/>
        <v>6.0345542866288224E-2</v>
      </c>
      <c r="H38" s="13">
        <f t="shared" si="8"/>
        <v>1.1476852728398028</v>
      </c>
      <c r="I38" s="13">
        <f t="shared" si="9"/>
        <v>0</v>
      </c>
      <c r="J38" s="13">
        <f t="shared" si="7"/>
        <v>1.1476852728398028</v>
      </c>
      <c r="K38" s="13">
        <f t="shared" si="1"/>
        <v>0.26249996647124618</v>
      </c>
      <c r="L38" s="13">
        <f t="shared" si="2"/>
        <v>0.40399994890855911</v>
      </c>
      <c r="M38" s="13">
        <f t="shared" si="3"/>
        <v>0.7081000599860805</v>
      </c>
      <c r="N38" s="13">
        <f t="shared" si="4"/>
        <v>0.80360014216257369</v>
      </c>
      <c r="O38" s="133">
        <f>B38-Table1[[#This Row],[Total]]</f>
        <v>2</v>
      </c>
    </row>
    <row r="39" spans="1:15" x14ac:dyDescent="0.3">
      <c r="A39" s="2">
        <v>43502</v>
      </c>
      <c r="B39" s="3">
        <v>20631473</v>
      </c>
      <c r="C39" s="3">
        <v>5364183</v>
      </c>
      <c r="D39" s="3">
        <v>2145673</v>
      </c>
      <c r="E39" s="3">
        <v>1488024</v>
      </c>
      <c r="F39" s="3">
        <v>1281189</v>
      </c>
      <c r="G39" s="7">
        <f t="shared" si="0"/>
        <v>6.2098765318404553E-2</v>
      </c>
      <c r="H39" s="7">
        <f t="shared" si="8"/>
        <v>-2.0213680806117074E-3</v>
      </c>
      <c r="I39" s="7">
        <f t="shared" si="9"/>
        <v>-7.7669894666066996E-2</v>
      </c>
      <c r="J39" s="7">
        <f t="shared" si="7"/>
        <v>8.2018928090899168E-2</v>
      </c>
      <c r="K39" s="7">
        <f t="shared" si="1"/>
        <v>0.26000000096939274</v>
      </c>
      <c r="L39" s="7">
        <f t="shared" si="2"/>
        <v>0.39999996271566424</v>
      </c>
      <c r="M39" s="7">
        <f t="shared" si="3"/>
        <v>0.69349989490476882</v>
      </c>
      <c r="N39" s="7">
        <f t="shared" si="4"/>
        <v>0.86100022580280966</v>
      </c>
      <c r="O39" s="133">
        <f>B39-Table1[[#This Row],[Total]]</f>
        <v>1</v>
      </c>
    </row>
    <row r="40" spans="1:15" x14ac:dyDescent="0.3">
      <c r="A40" s="2">
        <v>43503</v>
      </c>
      <c r="B40" s="3">
        <v>22151687</v>
      </c>
      <c r="C40" s="3">
        <v>5482542</v>
      </c>
      <c r="D40" s="3">
        <v>2193017</v>
      </c>
      <c r="E40" s="3">
        <v>1616911</v>
      </c>
      <c r="F40" s="3">
        <v>1378902</v>
      </c>
      <c r="G40" s="7">
        <f t="shared" si="0"/>
        <v>6.2248170985803472E-2</v>
      </c>
      <c r="H40" s="7">
        <f t="shared" si="8"/>
        <v>8.3990469010527091E-2</v>
      </c>
      <c r="I40" s="7">
        <f t="shared" si="9"/>
        <v>6.2500029977965887E-2</v>
      </c>
      <c r="J40" s="7">
        <f t="shared" si="7"/>
        <v>2.0226294989381444E-2</v>
      </c>
      <c r="K40" s="7">
        <f t="shared" si="1"/>
        <v>0.2474999759611988</v>
      </c>
      <c r="L40" s="7">
        <f t="shared" si="2"/>
        <v>0.40000003647942872</v>
      </c>
      <c r="M40" s="7">
        <f t="shared" si="3"/>
        <v>0.73729980205351808</v>
      </c>
      <c r="N40" s="7">
        <f t="shared" si="4"/>
        <v>0.85280018504419852</v>
      </c>
      <c r="O40" s="133">
        <f>B40-Table1[[#This Row],[Total]]</f>
        <v>2</v>
      </c>
    </row>
    <row r="41" spans="1:15" x14ac:dyDescent="0.3">
      <c r="A41" s="2">
        <v>43504</v>
      </c>
      <c r="B41" s="3">
        <v>21934513</v>
      </c>
      <c r="C41" s="3">
        <v>5209447</v>
      </c>
      <c r="D41" s="3">
        <v>2104616</v>
      </c>
      <c r="E41" s="3">
        <v>1490279</v>
      </c>
      <c r="F41" s="3">
        <v>1246469</v>
      </c>
      <c r="G41" s="7">
        <f t="shared" si="0"/>
        <v>5.6826837231353164E-2</v>
      </c>
      <c r="H41" s="7">
        <f t="shared" si="8"/>
        <v>-5.7509600938203898E-2</v>
      </c>
      <c r="I41" s="7">
        <f t="shared" si="9"/>
        <v>6.3157875348987425E-2</v>
      </c>
      <c r="J41" s="7">
        <f t="shared" si="7"/>
        <v>-0.11349911342902064</v>
      </c>
      <c r="K41" s="7">
        <f t="shared" si="1"/>
        <v>0.23750000740841615</v>
      </c>
      <c r="L41" s="7">
        <f t="shared" si="2"/>
        <v>0.40399988712813473</v>
      </c>
      <c r="M41" s="7">
        <f t="shared" si="3"/>
        <v>0.70810019499994303</v>
      </c>
      <c r="N41" s="7">
        <f t="shared" si="4"/>
        <v>0.83639976138696182</v>
      </c>
      <c r="O41" s="133">
        <f>B41-Table1[[#This Row],[Total]]</f>
        <v>2</v>
      </c>
    </row>
    <row r="42" spans="1:15" x14ac:dyDescent="0.3">
      <c r="A42" s="2">
        <v>43505</v>
      </c>
      <c r="B42" s="3">
        <v>43991955</v>
      </c>
      <c r="C42" s="3">
        <v>9145927</v>
      </c>
      <c r="D42" s="3">
        <v>3265096</v>
      </c>
      <c r="E42" s="3">
        <v>2286873</v>
      </c>
      <c r="F42" s="3">
        <v>1855111</v>
      </c>
      <c r="G42" s="7">
        <f t="shared" si="0"/>
        <v>4.2169323913883797E-2</v>
      </c>
      <c r="H42" s="7">
        <f t="shared" si="8"/>
        <v>0.1840511785869976</v>
      </c>
      <c r="I42" s="7">
        <f t="shared" si="9"/>
        <v>1.0309266749248591E-2</v>
      </c>
      <c r="J42" s="7">
        <f t="shared" si="7"/>
        <v>0.1719690371610445</v>
      </c>
      <c r="K42" s="7">
        <f t="shared" si="1"/>
        <v>0.20789998989587982</v>
      </c>
      <c r="L42" s="7">
        <f t="shared" si="2"/>
        <v>0.35700000666963555</v>
      </c>
      <c r="M42" s="7">
        <f t="shared" si="3"/>
        <v>0.70039992698530151</v>
      </c>
      <c r="N42" s="7">
        <f t="shared" si="4"/>
        <v>0.81119983488370362</v>
      </c>
      <c r="O42" s="133">
        <f>B42-Table1[[#This Row],[Total]]</f>
        <v>0</v>
      </c>
    </row>
    <row r="43" spans="1:15" x14ac:dyDescent="0.3">
      <c r="A43" s="2">
        <v>43506</v>
      </c>
      <c r="B43" s="3">
        <v>46236443</v>
      </c>
      <c r="C43" s="3">
        <v>10000942</v>
      </c>
      <c r="D43" s="3">
        <v>3366317</v>
      </c>
      <c r="E43" s="3">
        <v>2197531</v>
      </c>
      <c r="F43" s="3">
        <v>1799778</v>
      </c>
      <c r="G43" s="7">
        <f t="shared" si="0"/>
        <v>3.892552893828792E-2</v>
      </c>
      <c r="H43" s="7">
        <f t="shared" si="8"/>
        <v>-4.9231076440156785E-2</v>
      </c>
      <c r="I43" s="7">
        <f t="shared" si="9"/>
        <v>3.0000011138400229E-2</v>
      </c>
      <c r="J43" s="7">
        <f t="shared" si="7"/>
        <v>-7.6923385166750902E-2</v>
      </c>
      <c r="K43" s="7">
        <f t="shared" si="1"/>
        <v>0.21629998657119884</v>
      </c>
      <c r="L43" s="7">
        <f t="shared" si="2"/>
        <v>0.33659999228072718</v>
      </c>
      <c r="M43" s="7">
        <f t="shared" si="3"/>
        <v>0.65279978088813384</v>
      </c>
      <c r="N43" s="7">
        <f t="shared" si="4"/>
        <v>0.81900005051123281</v>
      </c>
      <c r="O43" s="133">
        <f>B43-Table1[[#This Row],[Total]]</f>
        <v>2</v>
      </c>
    </row>
    <row r="44" spans="1:15" x14ac:dyDescent="0.3">
      <c r="A44" s="2">
        <v>43507</v>
      </c>
      <c r="B44" s="3">
        <v>22368860</v>
      </c>
      <c r="C44" s="3">
        <v>5312604</v>
      </c>
      <c r="D44" s="3">
        <v>2125041</v>
      </c>
      <c r="E44" s="3">
        <v>1582306</v>
      </c>
      <c r="F44" s="3">
        <v>1297491</v>
      </c>
      <c r="G44" s="7">
        <f t="shared" si="0"/>
        <v>5.8004341750093655E-2</v>
      </c>
      <c r="H44" s="7">
        <f t="shared" si="8"/>
        <v>8.2977972200451333E-2</v>
      </c>
      <c r="I44" s="7">
        <f t="shared" si="9"/>
        <v>5.1020408642713067E-2</v>
      </c>
      <c r="J44" s="7">
        <f t="shared" si="7"/>
        <v>3.0406225507084272E-2</v>
      </c>
      <c r="K44" s="7">
        <f t="shared" si="1"/>
        <v>0.23749998882374873</v>
      </c>
      <c r="L44" s="7">
        <f t="shared" si="2"/>
        <v>0.39999988706103445</v>
      </c>
      <c r="M44" s="7">
        <f t="shared" si="3"/>
        <v>0.74460022183101404</v>
      </c>
      <c r="N44" s="7">
        <f t="shared" si="4"/>
        <v>0.82000005055912073</v>
      </c>
      <c r="O44" s="133">
        <f>B44-Table1[[#This Row],[Total]]</f>
        <v>2</v>
      </c>
    </row>
    <row r="45" spans="1:15" x14ac:dyDescent="0.3">
      <c r="A45" s="2">
        <v>43508</v>
      </c>
      <c r="B45" s="3">
        <v>22803207</v>
      </c>
      <c r="C45" s="3">
        <v>5814817</v>
      </c>
      <c r="D45" s="3">
        <v>2256149</v>
      </c>
      <c r="E45" s="3">
        <v>1712868</v>
      </c>
      <c r="F45" s="3">
        <v>1404552</v>
      </c>
      <c r="G45" s="7">
        <f t="shared" si="0"/>
        <v>6.1594494142863325E-2</v>
      </c>
      <c r="H45" s="7">
        <f t="shared" si="8"/>
        <v>4.0516023501679044E-2</v>
      </c>
      <c r="I45" s="7">
        <f t="shared" si="9"/>
        <v>1.9417484842767951E-2</v>
      </c>
      <c r="J45" s="7">
        <f t="shared" si="7"/>
        <v>2.0696661547025652E-2</v>
      </c>
      <c r="K45" s="7">
        <f t="shared" si="1"/>
        <v>0.25499996557501758</v>
      </c>
      <c r="L45" s="7">
        <f t="shared" si="2"/>
        <v>0.38800000068789781</v>
      </c>
      <c r="M45" s="7">
        <f t="shared" si="3"/>
        <v>0.75919985781080945</v>
      </c>
      <c r="N45" s="7">
        <f t="shared" si="4"/>
        <v>0.82000014011587585</v>
      </c>
      <c r="O45" s="133">
        <f>B45-Table1[[#This Row],[Total]]</f>
        <v>2</v>
      </c>
    </row>
    <row r="46" spans="1:15" x14ac:dyDescent="0.3">
      <c r="A46" s="2">
        <v>43509</v>
      </c>
      <c r="B46" s="3">
        <v>21717340</v>
      </c>
      <c r="C46" s="3">
        <v>5483628</v>
      </c>
      <c r="D46" s="3">
        <v>2259254</v>
      </c>
      <c r="E46" s="3">
        <v>1682241</v>
      </c>
      <c r="F46" s="3">
        <v>1393232</v>
      </c>
      <c r="G46" s="7">
        <f t="shared" si="0"/>
        <v>6.4152976377401652E-2</v>
      </c>
      <c r="H46" s="7">
        <f t="shared" si="8"/>
        <v>8.7452358707419409E-2</v>
      </c>
      <c r="I46" s="7">
        <f t="shared" si="9"/>
        <v>5.2631578947368363E-2</v>
      </c>
      <c r="J46" s="7">
        <f t="shared" si="7"/>
        <v>3.3079740772048449E-2</v>
      </c>
      <c r="K46" s="7">
        <f t="shared" si="1"/>
        <v>0.25249998388384581</v>
      </c>
      <c r="L46" s="7">
        <f t="shared" si="2"/>
        <v>0.41199986578228864</v>
      </c>
      <c r="M46" s="7">
        <f t="shared" si="3"/>
        <v>0.74460020874146948</v>
      </c>
      <c r="N46" s="7">
        <f t="shared" si="4"/>
        <v>0.82820000225889157</v>
      </c>
      <c r="O46" s="133">
        <f>B46-Table1[[#This Row],[Total]]</f>
        <v>2</v>
      </c>
    </row>
    <row r="47" spans="1:15" x14ac:dyDescent="0.3">
      <c r="A47" s="2">
        <v>43510</v>
      </c>
      <c r="B47" s="3">
        <v>21500167</v>
      </c>
      <c r="C47" s="3">
        <v>5213790</v>
      </c>
      <c r="D47" s="3">
        <v>1981240</v>
      </c>
      <c r="E47" s="3">
        <v>1402916</v>
      </c>
      <c r="F47" s="3">
        <v>1184903</v>
      </c>
      <c r="G47" s="7">
        <f t="shared" si="0"/>
        <v>5.5111339367736073E-2</v>
      </c>
      <c r="H47" s="7">
        <f t="shared" si="8"/>
        <v>-0.14069092654880477</v>
      </c>
      <c r="I47" s="7">
        <f t="shared" si="9"/>
        <v>-2.9411755411675844E-2</v>
      </c>
      <c r="J47" s="7">
        <f t="shared" si="7"/>
        <v>-0.1146512661343102</v>
      </c>
      <c r="K47" s="7">
        <f t="shared" si="1"/>
        <v>0.24249997686064484</v>
      </c>
      <c r="L47" s="7">
        <f t="shared" si="2"/>
        <v>0.37999996164018879</v>
      </c>
      <c r="M47" s="7">
        <f t="shared" si="3"/>
        <v>0.70809997779168599</v>
      </c>
      <c r="N47" s="7">
        <f t="shared" si="4"/>
        <v>0.84460010435407396</v>
      </c>
      <c r="O47" s="133">
        <f>B47-Table1[[#This Row],[Total]]</f>
        <v>1</v>
      </c>
    </row>
    <row r="48" spans="1:15" x14ac:dyDescent="0.3">
      <c r="A48" s="2">
        <v>43511</v>
      </c>
      <c r="B48" s="3">
        <v>21500167</v>
      </c>
      <c r="C48" s="3">
        <v>5482542</v>
      </c>
      <c r="D48" s="3">
        <v>2214947</v>
      </c>
      <c r="E48" s="3">
        <v>1633080</v>
      </c>
      <c r="F48" s="3">
        <v>1285561</v>
      </c>
      <c r="G48" s="7">
        <f t="shared" si="0"/>
        <v>5.9793070444522596E-2</v>
      </c>
      <c r="H48" s="7">
        <f t="shared" si="8"/>
        <v>3.1362191919734883E-2</v>
      </c>
      <c r="I48" s="7">
        <f t="shared" si="9"/>
        <v>-1.9801944086928258E-2</v>
      </c>
      <c r="J48" s="7">
        <f t="shared" si="7"/>
        <v>5.2197752992891644E-2</v>
      </c>
      <c r="K48" s="7">
        <f t="shared" si="1"/>
        <v>0.25499997279090902</v>
      </c>
      <c r="L48" s="7">
        <f t="shared" si="2"/>
        <v>0.40400000583670859</v>
      </c>
      <c r="M48" s="7">
        <f t="shared" si="3"/>
        <v>0.73729980897962799</v>
      </c>
      <c r="N48" s="7">
        <f t="shared" si="4"/>
        <v>0.78720025963210616</v>
      </c>
      <c r="O48" s="133">
        <f>B48-Table1[[#This Row],[Total]]</f>
        <v>1</v>
      </c>
    </row>
    <row r="49" spans="1:15" x14ac:dyDescent="0.3">
      <c r="A49" s="2">
        <v>43512</v>
      </c>
      <c r="B49" s="3">
        <v>45787545</v>
      </c>
      <c r="C49" s="3">
        <v>9807692</v>
      </c>
      <c r="D49" s="3">
        <v>3334615</v>
      </c>
      <c r="E49" s="3">
        <v>2290213</v>
      </c>
      <c r="F49" s="3">
        <v>1768503</v>
      </c>
      <c r="G49" s="7">
        <f t="shared" si="0"/>
        <v>3.8624106184334629E-2</v>
      </c>
      <c r="H49" s="7">
        <f t="shared" si="8"/>
        <v>-4.6686155168073507E-2</v>
      </c>
      <c r="I49" s="7">
        <f t="shared" si="9"/>
        <v>4.081632653061229E-2</v>
      </c>
      <c r="J49" s="7">
        <f t="shared" si="7"/>
        <v>-8.4071011828148912E-2</v>
      </c>
      <c r="K49" s="7">
        <f t="shared" si="1"/>
        <v>0.21419999696423994</v>
      </c>
      <c r="L49" s="7">
        <f t="shared" si="2"/>
        <v>0.33999997145097949</v>
      </c>
      <c r="M49" s="7">
        <f t="shared" si="3"/>
        <v>0.68679982546710794</v>
      </c>
      <c r="N49" s="7">
        <f t="shared" si="4"/>
        <v>0.77220022766441376</v>
      </c>
      <c r="O49" s="133">
        <f>B49-Table1[[#This Row],[Total]]</f>
        <v>1</v>
      </c>
    </row>
    <row r="50" spans="1:15" x14ac:dyDescent="0.3">
      <c r="A50" s="2">
        <v>43513</v>
      </c>
      <c r="B50" s="3">
        <v>45338648</v>
      </c>
      <c r="C50" s="3">
        <v>9901960</v>
      </c>
      <c r="D50" s="3">
        <v>3232000</v>
      </c>
      <c r="E50" s="3">
        <v>2087872</v>
      </c>
      <c r="F50" s="3">
        <v>1579683</v>
      </c>
      <c r="G50" s="7">
        <f t="shared" si="0"/>
        <v>3.4841863833257665E-2</v>
      </c>
      <c r="H50" s="7">
        <f t="shared" si="8"/>
        <v>-0.12229008244350137</v>
      </c>
      <c r="I50" s="7">
        <f t="shared" si="9"/>
        <v>-1.9417475518175187E-2</v>
      </c>
      <c r="J50" s="7">
        <f t="shared" si="7"/>
        <v>-0.10490968822811508</v>
      </c>
      <c r="K50" s="7">
        <f t="shared" si="1"/>
        <v>0.21839998404892885</v>
      </c>
      <c r="L50" s="7">
        <f t="shared" si="2"/>
        <v>0.32640002585346739</v>
      </c>
      <c r="M50" s="7">
        <f t="shared" si="3"/>
        <v>0.64600000000000002</v>
      </c>
      <c r="N50" s="7">
        <f t="shared" si="4"/>
        <v>0.75659954250068973</v>
      </c>
      <c r="O50" s="133">
        <f>B50-Table1[[#This Row],[Total]]</f>
        <v>1</v>
      </c>
    </row>
    <row r="51" spans="1:15" x14ac:dyDescent="0.3">
      <c r="A51" s="2">
        <v>43514</v>
      </c>
      <c r="B51" s="3">
        <v>21717340</v>
      </c>
      <c r="C51" s="3">
        <v>5592215</v>
      </c>
      <c r="D51" s="3">
        <v>2348730</v>
      </c>
      <c r="E51" s="3">
        <v>1800301</v>
      </c>
      <c r="F51" s="3">
        <v>1431960</v>
      </c>
      <c r="G51" s="7">
        <f t="shared" si="0"/>
        <v>6.5936251861415815E-2</v>
      </c>
      <c r="H51" s="7">
        <f t="shared" si="8"/>
        <v>0.10363771309396363</v>
      </c>
      <c r="I51" s="7">
        <f t="shared" si="9"/>
        <v>-2.9126204911649523E-2</v>
      </c>
      <c r="J51" s="7">
        <f t="shared" si="7"/>
        <v>0.13674683432312817</v>
      </c>
      <c r="K51" s="7">
        <f t="shared" si="1"/>
        <v>0.25749999769769227</v>
      </c>
      <c r="L51" s="7">
        <f t="shared" si="2"/>
        <v>0.4199999463539939</v>
      </c>
      <c r="M51" s="7">
        <f t="shared" si="3"/>
        <v>0.76649976795970587</v>
      </c>
      <c r="N51" s="7">
        <f t="shared" si="4"/>
        <v>0.79540032472347677</v>
      </c>
      <c r="O51" s="133">
        <f>B51-Table1[[#This Row],[Total]]</f>
        <v>2</v>
      </c>
    </row>
    <row r="52" spans="1:15" x14ac:dyDescent="0.3">
      <c r="A52" s="11">
        <v>43515</v>
      </c>
      <c r="B52" s="12">
        <v>21934513</v>
      </c>
      <c r="C52" s="12">
        <v>5648137</v>
      </c>
      <c r="D52" s="12">
        <v>948887</v>
      </c>
      <c r="E52" s="12">
        <v>727321</v>
      </c>
      <c r="F52" s="12">
        <v>620260</v>
      </c>
      <c r="G52" s="13">
        <f t="shared" si="0"/>
        <v>2.8277810407735061E-2</v>
      </c>
      <c r="H52" s="13">
        <f t="shared" si="8"/>
        <v>-0.55839299648571217</v>
      </c>
      <c r="I52" s="13">
        <f t="shared" si="9"/>
        <v>-3.809525563663041E-2</v>
      </c>
      <c r="J52" s="13">
        <f t="shared" si="7"/>
        <v>-0.54090360183579034</v>
      </c>
      <c r="K52" s="13">
        <f t="shared" si="1"/>
        <v>0.25749999555495034</v>
      </c>
      <c r="L52" s="13">
        <f t="shared" si="2"/>
        <v>0.16799999716720751</v>
      </c>
      <c r="M52" s="13">
        <f t="shared" si="3"/>
        <v>0.76649906680142099</v>
      </c>
      <c r="N52" s="13">
        <f t="shared" si="4"/>
        <v>0.8528008953405718</v>
      </c>
      <c r="O52" s="133">
        <f>B52-Table1[[#This Row],[Total]]</f>
        <v>2</v>
      </c>
    </row>
    <row r="53" spans="1:15" x14ac:dyDescent="0.3">
      <c r="A53" s="2">
        <v>43516</v>
      </c>
      <c r="B53" s="3">
        <v>22151687</v>
      </c>
      <c r="C53" s="3">
        <v>5427163</v>
      </c>
      <c r="D53" s="3">
        <v>2105739</v>
      </c>
      <c r="E53" s="3">
        <v>1537189</v>
      </c>
      <c r="F53" s="3">
        <v>1222680</v>
      </c>
      <c r="G53" s="7">
        <f t="shared" si="0"/>
        <v>5.5195796148618387E-2</v>
      </c>
      <c r="H53" s="7">
        <f t="shared" si="8"/>
        <v>-0.12241464451003137</v>
      </c>
      <c r="I53" s="7">
        <f t="shared" si="9"/>
        <v>2.0000009209230951E-2</v>
      </c>
      <c r="J53" s="7">
        <f t="shared" si="7"/>
        <v>-0.13962220826808736</v>
      </c>
      <c r="K53" s="7">
        <f t="shared" si="1"/>
        <v>0.24499998577986409</v>
      </c>
      <c r="L53" s="7">
        <f t="shared" si="2"/>
        <v>0.38799995504096707</v>
      </c>
      <c r="M53" s="7">
        <f t="shared" si="3"/>
        <v>0.7299997768004487</v>
      </c>
      <c r="N53" s="7">
        <f t="shared" si="4"/>
        <v>0.79539991503972507</v>
      </c>
      <c r="O53" s="133">
        <f>B53-Table1[[#This Row],[Total]]</f>
        <v>2</v>
      </c>
    </row>
    <row r="54" spans="1:15" x14ac:dyDescent="0.3">
      <c r="A54" s="2">
        <v>43517</v>
      </c>
      <c r="B54" s="3">
        <v>20848646</v>
      </c>
      <c r="C54" s="3">
        <v>5003675</v>
      </c>
      <c r="D54" s="3">
        <v>1921411</v>
      </c>
      <c r="E54" s="3">
        <v>1444709</v>
      </c>
      <c r="F54" s="3">
        <v>1149121</v>
      </c>
      <c r="G54" s="7">
        <f t="shared" si="0"/>
        <v>5.5117296346247138E-2</v>
      </c>
      <c r="H54" s="7">
        <f t="shared" si="8"/>
        <v>-3.019825251518482E-2</v>
      </c>
      <c r="I54" s="7">
        <f t="shared" si="9"/>
        <v>-3.0303066948270674E-2</v>
      </c>
      <c r="J54" s="7">
        <f t="shared" si="7"/>
        <v>1.0808988820465437E-4</v>
      </c>
      <c r="K54" s="7">
        <f t="shared" si="1"/>
        <v>0.23999999808141018</v>
      </c>
      <c r="L54" s="7">
        <f t="shared" si="2"/>
        <v>0.38399996002937842</v>
      </c>
      <c r="M54" s="7">
        <f t="shared" si="3"/>
        <v>0.75190003596315413</v>
      </c>
      <c r="N54" s="7">
        <f t="shared" si="4"/>
        <v>0.79539962719135826</v>
      </c>
      <c r="O54" s="133">
        <f>B54-Table1[[#This Row],[Total]]</f>
        <v>1</v>
      </c>
    </row>
    <row r="55" spans="1:15" x14ac:dyDescent="0.3">
      <c r="A55" s="2">
        <v>43518</v>
      </c>
      <c r="B55" s="3">
        <v>22151687</v>
      </c>
      <c r="C55" s="3">
        <v>5704059</v>
      </c>
      <c r="D55" s="3">
        <v>2304440</v>
      </c>
      <c r="E55" s="3">
        <v>1749530</v>
      </c>
      <c r="F55" s="3">
        <v>1377230</v>
      </c>
      <c r="G55" s="7">
        <f t="shared" si="0"/>
        <v>6.2172691407205237E-2</v>
      </c>
      <c r="H55" s="7">
        <f t="shared" si="8"/>
        <v>7.1306612443905903E-2</v>
      </c>
      <c r="I55" s="7">
        <f t="shared" si="9"/>
        <v>3.0303020437004058E-2</v>
      </c>
      <c r="J55" s="7">
        <f t="shared" si="7"/>
        <v>3.9797604387794561E-2</v>
      </c>
      <c r="K55" s="7">
        <f t="shared" si="1"/>
        <v>0.25749998182982631</v>
      </c>
      <c r="L55" s="7">
        <f t="shared" si="2"/>
        <v>0.40400002875145574</v>
      </c>
      <c r="M55" s="7">
        <f t="shared" si="3"/>
        <v>0.75919963201471941</v>
      </c>
      <c r="N55" s="7">
        <f t="shared" si="4"/>
        <v>0.78719999085468673</v>
      </c>
      <c r="O55" s="133">
        <f>B55-Table1[[#This Row],[Total]]</f>
        <v>2</v>
      </c>
    </row>
    <row r="56" spans="1:15" x14ac:dyDescent="0.3">
      <c r="A56" s="2">
        <v>43519</v>
      </c>
      <c r="B56" s="3">
        <v>43094160</v>
      </c>
      <c r="C56" s="3">
        <v>9049773</v>
      </c>
      <c r="D56" s="3">
        <v>2923076</v>
      </c>
      <c r="E56" s="3">
        <v>1908184</v>
      </c>
      <c r="F56" s="3">
        <v>1443732</v>
      </c>
      <c r="G56" s="7">
        <f t="shared" si="0"/>
        <v>3.3501801636230989E-2</v>
      </c>
      <c r="H56" s="7">
        <f t="shared" si="8"/>
        <v>-0.18364175802924843</v>
      </c>
      <c r="I56" s="7">
        <f t="shared" si="9"/>
        <v>-5.8823529411764719E-2</v>
      </c>
      <c r="J56" s="7">
        <f t="shared" si="7"/>
        <v>-0.13261936790607654</v>
      </c>
      <c r="K56" s="7">
        <f t="shared" si="1"/>
        <v>0.20999998607699977</v>
      </c>
      <c r="L56" s="7">
        <f t="shared" si="2"/>
        <v>0.32299992497049373</v>
      </c>
      <c r="M56" s="7">
        <f t="shared" si="3"/>
        <v>0.65279999562105129</v>
      </c>
      <c r="N56" s="7">
        <f t="shared" si="4"/>
        <v>0.75659999245355791</v>
      </c>
      <c r="O56" s="133">
        <f>B56-Table1[[#This Row],[Total]]</f>
        <v>2</v>
      </c>
    </row>
    <row r="57" spans="1:15" x14ac:dyDescent="0.3">
      <c r="A57" s="2">
        <v>43520</v>
      </c>
      <c r="B57" s="3">
        <v>44440853</v>
      </c>
      <c r="C57" s="3">
        <v>8959276</v>
      </c>
      <c r="D57" s="3">
        <v>3168000</v>
      </c>
      <c r="E57" s="3">
        <v>2046528</v>
      </c>
      <c r="F57" s="3">
        <v>1644180</v>
      </c>
      <c r="G57" s="7">
        <f t="shared" si="0"/>
        <v>3.699703963828057E-2</v>
      </c>
      <c r="H57" s="7">
        <f t="shared" si="8"/>
        <v>4.0829077732684294E-2</v>
      </c>
      <c r="I57" s="7">
        <f t="shared" si="9"/>
        <v>-1.9801979979641171E-2</v>
      </c>
      <c r="J57" s="7">
        <f t="shared" si="7"/>
        <v>6.1855927551318857E-2</v>
      </c>
      <c r="K57" s="7">
        <f t="shared" si="1"/>
        <v>0.201600000792064</v>
      </c>
      <c r="L57" s="7">
        <f t="shared" si="2"/>
        <v>0.35360000071434344</v>
      </c>
      <c r="M57" s="7">
        <f t="shared" si="3"/>
        <v>0.64600000000000002</v>
      </c>
      <c r="N57" s="7">
        <f t="shared" si="4"/>
        <v>0.80339970916596304</v>
      </c>
      <c r="O57" s="133">
        <f>B57-Table1[[#This Row],[Total]]</f>
        <v>2</v>
      </c>
    </row>
    <row r="58" spans="1:15" x14ac:dyDescent="0.3">
      <c r="A58" s="2">
        <v>43521</v>
      </c>
      <c r="B58" s="3">
        <v>21065820</v>
      </c>
      <c r="C58" s="3">
        <v>5055796</v>
      </c>
      <c r="D58" s="3">
        <v>2042541</v>
      </c>
      <c r="E58" s="3">
        <v>1505966</v>
      </c>
      <c r="F58" s="3">
        <v>1271939</v>
      </c>
      <c r="G58" s="7">
        <f t="shared" si="0"/>
        <v>6.0379277901358691E-2</v>
      </c>
      <c r="H58" s="7">
        <f t="shared" si="8"/>
        <v>-0.11174962987792958</v>
      </c>
      <c r="I58" s="7">
        <f t="shared" si="9"/>
        <v>-2.9999990790768982E-2</v>
      </c>
      <c r="J58" s="7">
        <f t="shared" si="7"/>
        <v>-8.427797764023226E-2</v>
      </c>
      <c r="K58" s="7">
        <f t="shared" si="1"/>
        <v>0.2399999620237902</v>
      </c>
      <c r="L58" s="7">
        <f t="shared" si="2"/>
        <v>0.40399988448901025</v>
      </c>
      <c r="M58" s="7">
        <f t="shared" si="3"/>
        <v>0.73730025492756324</v>
      </c>
      <c r="N58" s="7">
        <f t="shared" si="4"/>
        <v>0.84460007729258169</v>
      </c>
      <c r="O58" s="133">
        <f>B58-Table1[[#This Row],[Total]]</f>
        <v>1</v>
      </c>
    </row>
    <row r="59" spans="1:15" x14ac:dyDescent="0.3">
      <c r="A59" s="11">
        <v>43522</v>
      </c>
      <c r="B59" s="12">
        <v>22368860</v>
      </c>
      <c r="C59" s="12">
        <v>5480370</v>
      </c>
      <c r="D59" s="12">
        <v>2257912</v>
      </c>
      <c r="E59" s="12">
        <v>1681241</v>
      </c>
      <c r="F59" s="12">
        <v>1364832</v>
      </c>
      <c r="G59" s="13">
        <f t="shared" si="0"/>
        <v>6.1014821497385206E-2</v>
      </c>
      <c r="H59" s="13">
        <f t="shared" si="8"/>
        <v>1.2004191790539451</v>
      </c>
      <c r="I59" s="13">
        <f t="shared" si="9"/>
        <v>1.9801989677181275E-2</v>
      </c>
      <c r="J59" s="13">
        <f t="shared" si="7"/>
        <v>1.157692572996929</v>
      </c>
      <c r="K59" s="13">
        <f t="shared" si="1"/>
        <v>0.24499996870649643</v>
      </c>
      <c r="L59" s="13">
        <f t="shared" si="2"/>
        <v>0.41199991971345001</v>
      </c>
      <c r="M59" s="13">
        <f t="shared" si="3"/>
        <v>0.74459987811748196</v>
      </c>
      <c r="N59" s="13">
        <f t="shared" si="4"/>
        <v>0.81180033082704983</v>
      </c>
      <c r="O59" s="133">
        <f>B59-Table1[[#This Row],[Total]]</f>
        <v>2</v>
      </c>
    </row>
    <row r="60" spans="1:15" x14ac:dyDescent="0.3">
      <c r="A60" s="2">
        <v>43523</v>
      </c>
      <c r="B60" s="3">
        <v>21500167</v>
      </c>
      <c r="C60" s="3">
        <v>5482542</v>
      </c>
      <c r="D60" s="3">
        <v>2105296</v>
      </c>
      <c r="E60" s="3">
        <v>1613709</v>
      </c>
      <c r="F60" s="3">
        <v>1323241</v>
      </c>
      <c r="G60" s="7">
        <f t="shared" si="0"/>
        <v>6.1545614971269758E-2</v>
      </c>
      <c r="H60" s="7">
        <f t="shared" si="8"/>
        <v>8.2246376811594191E-2</v>
      </c>
      <c r="I60" s="7">
        <f t="shared" si="9"/>
        <v>-2.9411755411675844E-2</v>
      </c>
      <c r="J60" s="7">
        <f t="shared" si="7"/>
        <v>0.11504171088598958</v>
      </c>
      <c r="K60" s="7">
        <f t="shared" si="1"/>
        <v>0.25499997279090902</v>
      </c>
      <c r="L60" s="7">
        <f t="shared" si="2"/>
        <v>0.38399997665316565</v>
      </c>
      <c r="M60" s="7">
        <f t="shared" si="3"/>
        <v>0.76649981760284536</v>
      </c>
      <c r="N60" s="7">
        <f t="shared" si="4"/>
        <v>0.81999976451764223</v>
      </c>
      <c r="O60" s="133">
        <f>B60-Table1[[#This Row],[Total]]</f>
        <v>1</v>
      </c>
    </row>
    <row r="61" spans="1:15" x14ac:dyDescent="0.3">
      <c r="A61" s="11">
        <v>43524</v>
      </c>
      <c r="B61" s="12">
        <v>22586034</v>
      </c>
      <c r="C61" s="12">
        <v>5759438</v>
      </c>
      <c r="D61" s="12">
        <v>2280737</v>
      </c>
      <c r="E61" s="12">
        <v>1648289</v>
      </c>
      <c r="F61" s="12">
        <v>1405660</v>
      </c>
      <c r="G61" s="13">
        <f t="shared" si="0"/>
        <v>6.2235804656984049E-2</v>
      </c>
      <c r="H61" s="13">
        <f t="shared" si="8"/>
        <v>0.22324803045110131</v>
      </c>
      <c r="I61" s="13">
        <f t="shared" si="9"/>
        <v>8.3333373303954517E-2</v>
      </c>
      <c r="J61" s="13">
        <f t="shared" si="7"/>
        <v>0.12915198644756454</v>
      </c>
      <c r="K61" s="13">
        <f t="shared" si="1"/>
        <v>0.25499997033565081</v>
      </c>
      <c r="L61" s="13">
        <f t="shared" si="2"/>
        <v>0.39599992221463276</v>
      </c>
      <c r="M61" s="13">
        <f t="shared" si="3"/>
        <v>0.72270016227210765</v>
      </c>
      <c r="N61" s="13">
        <f t="shared" si="4"/>
        <v>0.85279947873218831</v>
      </c>
      <c r="O61" s="133">
        <f>B61-Table1[[#This Row],[Total]]</f>
        <v>2</v>
      </c>
    </row>
    <row r="62" spans="1:15" x14ac:dyDescent="0.3">
      <c r="A62" s="2">
        <v>43525</v>
      </c>
      <c r="B62" s="3">
        <v>22368860</v>
      </c>
      <c r="C62" s="3">
        <v>5815903</v>
      </c>
      <c r="D62" s="3">
        <v>2442679</v>
      </c>
      <c r="E62" s="3">
        <v>1872313</v>
      </c>
      <c r="F62" s="3">
        <v>1458532</v>
      </c>
      <c r="G62" s="7">
        <f t="shared" si="0"/>
        <v>6.5203680473658474E-2</v>
      </c>
      <c r="H62" s="7">
        <f t="shared" si="8"/>
        <v>5.9032986501891482E-2</v>
      </c>
      <c r="I62" s="7">
        <f t="shared" si="9"/>
        <v>9.80390342279569E-3</v>
      </c>
      <c r="J62" s="7">
        <f t="shared" si="7"/>
        <v>4.8751131692233107E-2</v>
      </c>
      <c r="K62" s="7">
        <f t="shared" si="1"/>
        <v>0.25999997317699697</v>
      </c>
      <c r="L62" s="7">
        <f t="shared" si="2"/>
        <v>0.41999995529499029</v>
      </c>
      <c r="M62" s="7">
        <f t="shared" si="3"/>
        <v>0.76649981434318626</v>
      </c>
      <c r="N62" s="7">
        <f t="shared" si="4"/>
        <v>0.77900009239908075</v>
      </c>
      <c r="O62" s="133">
        <f>B62-Table1[[#This Row],[Total]]</f>
        <v>2</v>
      </c>
    </row>
    <row r="63" spans="1:15" x14ac:dyDescent="0.3">
      <c r="A63" s="11">
        <v>43526</v>
      </c>
      <c r="B63" s="12">
        <v>46685340</v>
      </c>
      <c r="C63" s="12">
        <v>9803921</v>
      </c>
      <c r="D63" s="12">
        <v>3333333</v>
      </c>
      <c r="E63" s="12">
        <v>1110666</v>
      </c>
      <c r="F63" s="12">
        <v>900972</v>
      </c>
      <c r="G63" s="13">
        <f t="shared" si="0"/>
        <v>1.9298820571939712E-2</v>
      </c>
      <c r="H63" s="13">
        <f t="shared" si="8"/>
        <v>-0.37594234941110949</v>
      </c>
      <c r="I63" s="13">
        <f t="shared" si="9"/>
        <v>8.3333333333333259E-2</v>
      </c>
      <c r="J63" s="13">
        <f t="shared" si="7"/>
        <v>-0.42394678407179354</v>
      </c>
      <c r="K63" s="13">
        <f t="shared" si="1"/>
        <v>0.20999999143199985</v>
      </c>
      <c r="L63" s="13">
        <f t="shared" si="2"/>
        <v>0.33999998571999918</v>
      </c>
      <c r="M63" s="13">
        <f t="shared" si="3"/>
        <v>0.33319983331998332</v>
      </c>
      <c r="N63" s="13">
        <f t="shared" si="4"/>
        <v>0.81119976662651061</v>
      </c>
      <c r="O63" s="133">
        <f>B63-Table1[[#This Row],[Total]]</f>
        <v>1</v>
      </c>
    </row>
    <row r="64" spans="1:15" x14ac:dyDescent="0.3">
      <c r="A64" s="2">
        <v>43527</v>
      </c>
      <c r="B64" s="3">
        <v>43991955</v>
      </c>
      <c r="C64" s="3">
        <v>8961161</v>
      </c>
      <c r="D64" s="3">
        <v>2924923</v>
      </c>
      <c r="E64" s="3">
        <v>2088395</v>
      </c>
      <c r="F64" s="3">
        <v>1694106</v>
      </c>
      <c r="G64" s="7">
        <f t="shared" si="0"/>
        <v>3.8509450193791116E-2</v>
      </c>
      <c r="H64" s="7">
        <f t="shared" si="8"/>
        <v>3.03652884720651E-2</v>
      </c>
      <c r="I64" s="7">
        <f t="shared" si="9"/>
        <v>-1.0101021238273722E-2</v>
      </c>
      <c r="J64" s="7">
        <f t="shared" si="7"/>
        <v>4.0879231697923846E-2</v>
      </c>
      <c r="K64" s="7">
        <f t="shared" si="1"/>
        <v>0.20369999469221134</v>
      </c>
      <c r="L64" s="7">
        <f t="shared" si="2"/>
        <v>0.3264000055349971</v>
      </c>
      <c r="M64" s="7">
        <f t="shared" si="3"/>
        <v>0.71399999247843449</v>
      </c>
      <c r="N64" s="7">
        <f t="shared" si="4"/>
        <v>0.81119998850792119</v>
      </c>
      <c r="O64" s="133">
        <f>B64-Table1[[#This Row],[Total]]</f>
        <v>0</v>
      </c>
    </row>
    <row r="65" spans="1:15" x14ac:dyDescent="0.3">
      <c r="A65" s="2">
        <v>43528</v>
      </c>
      <c r="B65" s="3">
        <v>21717340</v>
      </c>
      <c r="C65" s="3">
        <v>5700801</v>
      </c>
      <c r="D65" s="3">
        <v>2371533</v>
      </c>
      <c r="E65" s="3">
        <v>1765843</v>
      </c>
      <c r="F65" s="3">
        <v>1375592</v>
      </c>
      <c r="G65" s="7">
        <f t="shared" si="0"/>
        <v>6.3340722206310721E-2</v>
      </c>
      <c r="H65" s="7">
        <f t="shared" si="8"/>
        <v>8.1492115581014435E-2</v>
      </c>
      <c r="I65" s="7">
        <f t="shared" si="9"/>
        <v>3.0927825263863395E-2</v>
      </c>
      <c r="J65" s="7">
        <f t="shared" si="7"/>
        <v>4.9047362073294742E-2</v>
      </c>
      <c r="K65" s="7">
        <f t="shared" si="1"/>
        <v>0.2624999654653839</v>
      </c>
      <c r="L65" s="7">
        <f t="shared" si="2"/>
        <v>0.4159999621105876</v>
      </c>
      <c r="M65" s="7">
        <f t="shared" si="3"/>
        <v>0.74459980105695345</v>
      </c>
      <c r="N65" s="7">
        <f t="shared" si="4"/>
        <v>0.77900017158943347</v>
      </c>
      <c r="O65" s="133">
        <f>B65-Table1[[#This Row],[Total]]</f>
        <v>2</v>
      </c>
    </row>
    <row r="66" spans="1:15" x14ac:dyDescent="0.3">
      <c r="A66" s="2">
        <v>43529</v>
      </c>
      <c r="B66" s="3">
        <v>21717340</v>
      </c>
      <c r="C66" s="3">
        <v>5266455</v>
      </c>
      <c r="D66" s="3">
        <v>2001252</v>
      </c>
      <c r="E66" s="3">
        <v>1490132</v>
      </c>
      <c r="F66" s="3">
        <v>1258566</v>
      </c>
      <c r="G66" s="7">
        <f t="shared" si="0"/>
        <v>5.7952124891906653E-2</v>
      </c>
      <c r="H66" s="7">
        <f t="shared" si="8"/>
        <v>-7.7860132236055479E-2</v>
      </c>
      <c r="I66" s="7">
        <f t="shared" si="9"/>
        <v>-2.9126204911649523E-2</v>
      </c>
      <c r="J66" s="7">
        <f t="shared" si="7"/>
        <v>-5.019594469533617E-2</v>
      </c>
      <c r="K66" s="7">
        <f t="shared" si="1"/>
        <v>0.24250000230230775</v>
      </c>
      <c r="L66" s="7">
        <f t="shared" si="2"/>
        <v>0.37999982910705588</v>
      </c>
      <c r="M66" s="7">
        <f t="shared" si="3"/>
        <v>0.74459988047482273</v>
      </c>
      <c r="N66" s="7">
        <f t="shared" si="4"/>
        <v>0.84460034413058704</v>
      </c>
      <c r="O66" s="133">
        <f>B66-Table1[[#This Row],[Total]]</f>
        <v>2</v>
      </c>
    </row>
    <row r="67" spans="1:15" x14ac:dyDescent="0.3">
      <c r="A67" s="2">
        <v>43530</v>
      </c>
      <c r="B67" s="3">
        <v>21065820</v>
      </c>
      <c r="C67" s="3">
        <v>5161125</v>
      </c>
      <c r="D67" s="3">
        <v>2002516</v>
      </c>
      <c r="E67" s="3">
        <v>1417982</v>
      </c>
      <c r="F67" s="3">
        <v>1104608</v>
      </c>
      <c r="G67" s="7">
        <f t="shared" si="0"/>
        <v>5.2436031448099336E-2</v>
      </c>
      <c r="H67" s="7">
        <f t="shared" si="8"/>
        <v>-0.16522538222440208</v>
      </c>
      <c r="I67" s="7">
        <f t="shared" si="9"/>
        <v>-2.0202029128424948E-2</v>
      </c>
      <c r="J67" s="7">
        <f t="shared" si="7"/>
        <v>-0.14801352667323064</v>
      </c>
      <c r="K67" s="7">
        <f t="shared" si="1"/>
        <v>0.24499995727676396</v>
      </c>
      <c r="L67" s="7">
        <f t="shared" si="2"/>
        <v>0.38799990312189686</v>
      </c>
      <c r="M67" s="7">
        <f t="shared" si="3"/>
        <v>0.70810020993590062</v>
      </c>
      <c r="N67" s="7">
        <f t="shared" si="4"/>
        <v>0.77900001551500653</v>
      </c>
      <c r="O67" s="133">
        <f>B67-Table1[[#This Row],[Total]]</f>
        <v>1</v>
      </c>
    </row>
    <row r="68" spans="1:15" x14ac:dyDescent="0.3">
      <c r="A68" s="2">
        <v>43531</v>
      </c>
      <c r="B68" s="3">
        <v>21717340</v>
      </c>
      <c r="C68" s="3">
        <v>5157868</v>
      </c>
      <c r="D68" s="3">
        <v>2042515</v>
      </c>
      <c r="E68" s="3">
        <v>1446305</v>
      </c>
      <c r="F68" s="3">
        <v>1221549</v>
      </c>
      <c r="G68" s="7">
        <f t="shared" ref="G68:G131" si="10">F68/B68</f>
        <v>5.624763437879593E-2</v>
      </c>
      <c r="H68" s="7">
        <f t="shared" si="8"/>
        <v>-0.13097833046398133</v>
      </c>
      <c r="I68" s="7">
        <f t="shared" si="9"/>
        <v>-3.8461555490441612E-2</v>
      </c>
      <c r="J68" s="7">
        <f t="shared" si="7"/>
        <v>-9.6217447676498091E-2</v>
      </c>
      <c r="K68" s="7">
        <f t="shared" ref="K68:K131" si="11">C68/B68</f>
        <v>0.23749998848846129</v>
      </c>
      <c r="L68" s="7">
        <f t="shared" ref="L68:L131" si="12">D68/C68</f>
        <v>0.3959998588564112</v>
      </c>
      <c r="M68" s="7">
        <f t="shared" ref="M68:M131" si="13">E68/D68</f>
        <v>0.70810006291263472</v>
      </c>
      <c r="N68" s="7">
        <f t="shared" ref="N68:N131" si="14">F68/E68</f>
        <v>0.84459985964232998</v>
      </c>
      <c r="O68" s="133">
        <f>B68-Table1[[#This Row],[Total]]</f>
        <v>2</v>
      </c>
    </row>
    <row r="69" spans="1:15" x14ac:dyDescent="0.3">
      <c r="A69" s="2">
        <v>43532</v>
      </c>
      <c r="B69" s="3">
        <v>21717340</v>
      </c>
      <c r="C69" s="3">
        <v>5700801</v>
      </c>
      <c r="D69" s="3">
        <v>2394336</v>
      </c>
      <c r="E69" s="3">
        <v>1730387</v>
      </c>
      <c r="F69" s="3">
        <v>1390539</v>
      </c>
      <c r="G69" s="7">
        <f t="shared" si="10"/>
        <v>6.402897408246129E-2</v>
      </c>
      <c r="H69" s="7">
        <f t="shared" si="8"/>
        <v>-4.6617420803931608E-2</v>
      </c>
      <c r="I69" s="7">
        <f t="shared" si="9"/>
        <v>-2.9126204911649523E-2</v>
      </c>
      <c r="J69" s="7">
        <f t="shared" si="7"/>
        <v>-1.8015952207970032E-2</v>
      </c>
      <c r="K69" s="7">
        <f t="shared" si="11"/>
        <v>0.2624999654653839</v>
      </c>
      <c r="L69" s="7">
        <f t="shared" si="12"/>
        <v>0.41999992632614258</v>
      </c>
      <c r="M69" s="7">
        <f t="shared" si="13"/>
        <v>0.72270015570078716</v>
      </c>
      <c r="N69" s="7">
        <f t="shared" si="14"/>
        <v>0.80360000392975672</v>
      </c>
      <c r="O69" s="133">
        <f>B69-Table1[[#This Row],[Total]]</f>
        <v>2</v>
      </c>
    </row>
    <row r="70" spans="1:15" x14ac:dyDescent="0.3">
      <c r="A70" s="11">
        <v>43533</v>
      </c>
      <c r="B70" s="12">
        <v>46685340</v>
      </c>
      <c r="C70" s="12">
        <v>9705882</v>
      </c>
      <c r="D70" s="12">
        <v>3267000</v>
      </c>
      <c r="E70" s="12">
        <v>2310422</v>
      </c>
      <c r="F70" s="12">
        <v>1820150</v>
      </c>
      <c r="G70" s="13">
        <f t="shared" si="10"/>
        <v>3.8987613670586958E-2</v>
      </c>
      <c r="H70" s="13">
        <f t="shared" si="8"/>
        <v>1.0202070652584099</v>
      </c>
      <c r="I70" s="13">
        <f t="shared" si="9"/>
        <v>0</v>
      </c>
      <c r="J70" s="13">
        <f t="shared" si="7"/>
        <v>1.0202070652584103</v>
      </c>
      <c r="K70" s="13">
        <f t="shared" si="11"/>
        <v>0.20789999601587994</v>
      </c>
      <c r="L70" s="13">
        <f t="shared" si="12"/>
        <v>0.33660001224000047</v>
      </c>
      <c r="M70" s="13">
        <f t="shared" si="13"/>
        <v>0.70719987756351388</v>
      </c>
      <c r="N70" s="13">
        <f t="shared" si="14"/>
        <v>0.78779980453787235</v>
      </c>
      <c r="O70" s="133">
        <f>B70-Table1[[#This Row],[Total]]</f>
        <v>1</v>
      </c>
    </row>
    <row r="71" spans="1:15" x14ac:dyDescent="0.3">
      <c r="A71" s="2">
        <v>43534</v>
      </c>
      <c r="B71" s="3">
        <v>46236443</v>
      </c>
      <c r="C71" s="3">
        <v>10098039</v>
      </c>
      <c r="D71" s="3">
        <v>3502000</v>
      </c>
      <c r="E71" s="3">
        <v>2262292</v>
      </c>
      <c r="F71" s="3">
        <v>1711650</v>
      </c>
      <c r="G71" s="7">
        <f t="shared" si="10"/>
        <v>3.7019499964562587E-2</v>
      </c>
      <c r="H71" s="7">
        <f t="shared" si="8"/>
        <v>1.0355904530176874E-2</v>
      </c>
      <c r="I71" s="7">
        <f t="shared" si="9"/>
        <v>5.1020419528979843E-2</v>
      </c>
      <c r="J71" s="7">
        <f t="shared" si="7"/>
        <v>-3.8690508997938244E-2</v>
      </c>
      <c r="K71" s="7">
        <f t="shared" si="11"/>
        <v>0.21839999672985225</v>
      </c>
      <c r="L71" s="7">
        <f t="shared" si="12"/>
        <v>0.34680000740737882</v>
      </c>
      <c r="M71" s="7">
        <f t="shared" si="13"/>
        <v>0.64600000000000002</v>
      </c>
      <c r="N71" s="7">
        <f t="shared" si="14"/>
        <v>0.75659994377383644</v>
      </c>
      <c r="O71" s="133">
        <f>B71-Table1[[#This Row],[Total]]</f>
        <v>2</v>
      </c>
    </row>
    <row r="72" spans="1:15" x14ac:dyDescent="0.3">
      <c r="A72" s="2">
        <v>43535</v>
      </c>
      <c r="B72" s="3">
        <v>21282993</v>
      </c>
      <c r="C72" s="3">
        <v>5107918</v>
      </c>
      <c r="D72" s="3">
        <v>2104462</v>
      </c>
      <c r="E72" s="3">
        <v>1459444</v>
      </c>
      <c r="F72" s="3">
        <v>1220679</v>
      </c>
      <c r="G72" s="7">
        <f t="shared" si="10"/>
        <v>5.735466811458332E-2</v>
      </c>
      <c r="H72" s="7">
        <f t="shared" si="8"/>
        <v>-0.11261551390237801</v>
      </c>
      <c r="I72" s="7">
        <f t="shared" si="9"/>
        <v>-2.0000009209230951E-2</v>
      </c>
      <c r="J72" s="7">
        <f t="shared" si="7"/>
        <v>-9.4505617921909368E-2</v>
      </c>
      <c r="K72" s="7">
        <f t="shared" si="11"/>
        <v>0.23999998496452074</v>
      </c>
      <c r="L72" s="7">
        <f t="shared" si="12"/>
        <v>0.41199995771271192</v>
      </c>
      <c r="M72" s="7">
        <f t="shared" si="13"/>
        <v>0.69349981135321048</v>
      </c>
      <c r="N72" s="7">
        <f t="shared" si="14"/>
        <v>0.83640002631138977</v>
      </c>
      <c r="O72" s="133">
        <f>B72-Table1[[#This Row],[Total]]</f>
        <v>1</v>
      </c>
    </row>
    <row r="73" spans="1:15" x14ac:dyDescent="0.3">
      <c r="A73" s="2">
        <v>43536</v>
      </c>
      <c r="B73" s="3">
        <v>21500167</v>
      </c>
      <c r="C73" s="3">
        <v>5428792</v>
      </c>
      <c r="D73" s="3">
        <v>2149801</v>
      </c>
      <c r="E73" s="3">
        <v>1600742</v>
      </c>
      <c r="F73" s="3">
        <v>1299482</v>
      </c>
      <c r="G73" s="7">
        <f t="shared" si="10"/>
        <v>6.04405537873264E-2</v>
      </c>
      <c r="H73" s="7">
        <f t="shared" si="8"/>
        <v>3.2510015366695066E-2</v>
      </c>
      <c r="I73" s="7">
        <f t="shared" si="9"/>
        <v>-9.9999815815380311E-3</v>
      </c>
      <c r="J73" s="7">
        <f t="shared" si="7"/>
        <v>4.2939390057935123E-2</v>
      </c>
      <c r="K73" s="7">
        <f t="shared" si="11"/>
        <v>0.25249999220936281</v>
      </c>
      <c r="L73" s="7">
        <f t="shared" si="12"/>
        <v>0.39599988358367755</v>
      </c>
      <c r="M73" s="7">
        <f t="shared" si="13"/>
        <v>0.74460008158894708</v>
      </c>
      <c r="N73" s="7">
        <f t="shared" si="14"/>
        <v>0.81179977785302071</v>
      </c>
      <c r="O73" s="133">
        <f>B73-Table1[[#This Row],[Total]]</f>
        <v>1</v>
      </c>
    </row>
    <row r="74" spans="1:15" x14ac:dyDescent="0.3">
      <c r="A74" s="2">
        <v>43537</v>
      </c>
      <c r="B74" s="3">
        <v>21717340</v>
      </c>
      <c r="C74" s="3">
        <v>5700801</v>
      </c>
      <c r="D74" s="3">
        <v>2166304</v>
      </c>
      <c r="E74" s="3">
        <v>1533960</v>
      </c>
      <c r="F74" s="3">
        <v>1232690</v>
      </c>
      <c r="G74" s="7">
        <f t="shared" si="10"/>
        <v>5.6760634589687317E-2</v>
      </c>
      <c r="H74" s="7">
        <f t="shared" si="8"/>
        <v>0.11595244647875091</v>
      </c>
      <c r="I74" s="7">
        <f t="shared" si="9"/>
        <v>3.0927825263863395E-2</v>
      </c>
      <c r="J74" s="7">
        <f t="shared" si="7"/>
        <v>8.2473883361452227E-2</v>
      </c>
      <c r="K74" s="7">
        <f t="shared" si="11"/>
        <v>0.2624999654653839</v>
      </c>
      <c r="L74" s="7">
        <f t="shared" si="12"/>
        <v>0.37999993334270044</v>
      </c>
      <c r="M74" s="7">
        <f t="shared" si="13"/>
        <v>0.70810006351832433</v>
      </c>
      <c r="N74" s="7">
        <f t="shared" si="14"/>
        <v>0.80359983311168481</v>
      </c>
      <c r="O74" s="133">
        <f>B74-Table1[[#This Row],[Total]]</f>
        <v>2</v>
      </c>
    </row>
    <row r="75" spans="1:15" x14ac:dyDescent="0.3">
      <c r="A75" s="2">
        <v>43538</v>
      </c>
      <c r="B75" s="3">
        <v>22803207</v>
      </c>
      <c r="C75" s="3">
        <v>5415761</v>
      </c>
      <c r="D75" s="3">
        <v>2144641</v>
      </c>
      <c r="E75" s="3">
        <v>1628211</v>
      </c>
      <c r="F75" s="3">
        <v>1268377</v>
      </c>
      <c r="G75" s="7">
        <f t="shared" si="10"/>
        <v>5.5622746397030909E-2</v>
      </c>
      <c r="H75" s="7">
        <f t="shared" ref="H75:H138" si="15">(F75/F68)-1</f>
        <v>3.8334933760332257E-2</v>
      </c>
      <c r="I75" s="7">
        <f t="shared" ref="I75:I138" si="16">(B75/B68)-1</f>
        <v>5.0000000000000044E-2</v>
      </c>
      <c r="J75" s="7">
        <f t="shared" ref="J75:J138" si="17">(G75/G68)-1</f>
        <v>-1.1109586894921697E-2</v>
      </c>
      <c r="K75" s="7">
        <f t="shared" si="11"/>
        <v>0.23749997094706898</v>
      </c>
      <c r="L75" s="7">
        <f t="shared" si="12"/>
        <v>0.39599993426593233</v>
      </c>
      <c r="M75" s="7">
        <f t="shared" si="13"/>
        <v>0.75919979148025241</v>
      </c>
      <c r="N75" s="7">
        <f t="shared" si="14"/>
        <v>0.77900038754190948</v>
      </c>
      <c r="O75" s="133">
        <f>B75-Table1[[#This Row],[Total]]</f>
        <v>2</v>
      </c>
    </row>
    <row r="76" spans="1:15" x14ac:dyDescent="0.3">
      <c r="A76" s="2">
        <v>43539</v>
      </c>
      <c r="B76" s="3">
        <v>21500167</v>
      </c>
      <c r="C76" s="3">
        <v>5106289</v>
      </c>
      <c r="D76" s="3">
        <v>2124216</v>
      </c>
      <c r="E76" s="3">
        <v>1519664</v>
      </c>
      <c r="F76" s="3">
        <v>1183818</v>
      </c>
      <c r="G76" s="7">
        <f t="shared" si="10"/>
        <v>5.5060874643438819E-2</v>
      </c>
      <c r="H76" s="7">
        <f t="shared" si="15"/>
        <v>-0.14866249706049239</v>
      </c>
      <c r="I76" s="7">
        <f t="shared" si="16"/>
        <v>-9.9999815815380311E-3</v>
      </c>
      <c r="J76" s="7">
        <f t="shared" si="17"/>
        <v>-0.14006314434263278</v>
      </c>
      <c r="K76" s="7">
        <f t="shared" si="11"/>
        <v>0.23749996918628585</v>
      </c>
      <c r="L76" s="7">
        <f t="shared" si="12"/>
        <v>0.41599995613252599</v>
      </c>
      <c r="M76" s="7">
        <f t="shared" si="13"/>
        <v>0.71539994049569344</v>
      </c>
      <c r="N76" s="7">
        <f t="shared" si="14"/>
        <v>0.77899983154170926</v>
      </c>
      <c r="O76" s="133">
        <f>B76-Table1[[#This Row],[Total]]</f>
        <v>1</v>
      </c>
    </row>
    <row r="77" spans="1:15" x14ac:dyDescent="0.3">
      <c r="A77" s="2">
        <v>43540</v>
      </c>
      <c r="B77" s="3">
        <v>42645263</v>
      </c>
      <c r="C77" s="3">
        <v>9313725</v>
      </c>
      <c r="D77" s="3">
        <v>3293333</v>
      </c>
      <c r="E77" s="3">
        <v>2217072</v>
      </c>
      <c r="F77" s="3">
        <v>1815781</v>
      </c>
      <c r="G77" s="7">
        <f t="shared" si="10"/>
        <v>4.2578726739239479E-2</v>
      </c>
      <c r="H77" s="7">
        <f t="shared" si="15"/>
        <v>-2.4003516193720209E-3</v>
      </c>
      <c r="I77" s="7">
        <f t="shared" si="16"/>
        <v>-8.6538450828461344E-2</v>
      </c>
      <c r="J77" s="7">
        <f t="shared" si="17"/>
        <v>9.2109075948952679E-2</v>
      </c>
      <c r="K77" s="7">
        <f t="shared" si="11"/>
        <v>0.21839998970108357</v>
      </c>
      <c r="L77" s="7">
        <f t="shared" si="12"/>
        <v>0.35359998282105171</v>
      </c>
      <c r="M77" s="7">
        <f t="shared" si="13"/>
        <v>0.67320006813765876</v>
      </c>
      <c r="N77" s="7">
        <f t="shared" si="14"/>
        <v>0.81899956338810831</v>
      </c>
      <c r="O77" s="133">
        <f>B77-Table1[[#This Row],[Total]]</f>
        <v>2</v>
      </c>
    </row>
    <row r="78" spans="1:15" x14ac:dyDescent="0.3">
      <c r="A78" s="2">
        <v>43541</v>
      </c>
      <c r="B78" s="3">
        <v>42645263</v>
      </c>
      <c r="C78" s="3">
        <v>8686840</v>
      </c>
      <c r="D78" s="3">
        <v>2894455</v>
      </c>
      <c r="E78" s="3">
        <v>1968229</v>
      </c>
      <c r="F78" s="3">
        <v>1504514</v>
      </c>
      <c r="G78" s="7">
        <f t="shared" si="10"/>
        <v>3.5279744903906445E-2</v>
      </c>
      <c r="H78" s="7">
        <f t="shared" si="15"/>
        <v>-0.12101539450238075</v>
      </c>
      <c r="I78" s="7">
        <f t="shared" si="16"/>
        <v>-7.7669902072700525E-2</v>
      </c>
      <c r="J78" s="7">
        <f t="shared" si="17"/>
        <v>-4.6995639117804022E-2</v>
      </c>
      <c r="K78" s="7">
        <f t="shared" si="11"/>
        <v>0.20369999828585886</v>
      </c>
      <c r="L78" s="7">
        <f t="shared" si="12"/>
        <v>0.33319998986973398</v>
      </c>
      <c r="M78" s="7">
        <f t="shared" si="13"/>
        <v>0.6799998618047266</v>
      </c>
      <c r="N78" s="7">
        <f t="shared" si="14"/>
        <v>0.76439987420163003</v>
      </c>
      <c r="O78" s="133">
        <f>B78-Table1[[#This Row],[Total]]</f>
        <v>2</v>
      </c>
    </row>
    <row r="79" spans="1:15" x14ac:dyDescent="0.3">
      <c r="A79" s="2">
        <v>43542</v>
      </c>
      <c r="B79" s="3">
        <v>22368860</v>
      </c>
      <c r="C79" s="3">
        <v>5368526</v>
      </c>
      <c r="D79" s="3">
        <v>2233307</v>
      </c>
      <c r="E79" s="3">
        <v>1614011</v>
      </c>
      <c r="F79" s="3">
        <v>1310254</v>
      </c>
      <c r="G79" s="7">
        <f t="shared" si="10"/>
        <v>5.8574911729967462E-2</v>
      </c>
      <c r="H79" s="7">
        <f t="shared" si="15"/>
        <v>7.3381290249115549E-2</v>
      </c>
      <c r="I79" s="7">
        <f t="shared" si="16"/>
        <v>5.1020408642713067E-2</v>
      </c>
      <c r="J79" s="7">
        <f t="shared" si="17"/>
        <v>2.1275401907066005E-2</v>
      </c>
      <c r="K79" s="7">
        <f t="shared" si="11"/>
        <v>0.23999998211799797</v>
      </c>
      <c r="L79" s="7">
        <f t="shared" si="12"/>
        <v>0.4160000342738398</v>
      </c>
      <c r="M79" s="7">
        <f t="shared" si="13"/>
        <v>0.72270001392553729</v>
      </c>
      <c r="N79" s="7">
        <f t="shared" si="14"/>
        <v>0.81179991957923459</v>
      </c>
      <c r="O79" s="133">
        <f>B79-Table1[[#This Row],[Total]]</f>
        <v>2</v>
      </c>
    </row>
    <row r="80" spans="1:15" x14ac:dyDescent="0.3">
      <c r="A80" s="11">
        <v>43543</v>
      </c>
      <c r="B80" s="12">
        <v>21934513</v>
      </c>
      <c r="C80" s="12">
        <v>5757809</v>
      </c>
      <c r="D80" s="12">
        <v>2418280</v>
      </c>
      <c r="E80" s="12">
        <v>1835958</v>
      </c>
      <c r="F80" s="12">
        <v>707578</v>
      </c>
      <c r="G80" s="13">
        <f t="shared" si="10"/>
        <v>3.2258660130726403E-2</v>
      </c>
      <c r="H80" s="13">
        <f t="shared" si="15"/>
        <v>-0.45549226537958976</v>
      </c>
      <c r="I80" s="13">
        <f t="shared" si="16"/>
        <v>2.0201982617158221E-2</v>
      </c>
      <c r="J80" s="13">
        <f t="shared" si="17"/>
        <v>-0.46627457709544307</v>
      </c>
      <c r="K80" s="13">
        <f t="shared" si="11"/>
        <v>0.26249996979645729</v>
      </c>
      <c r="L80" s="13">
        <f t="shared" si="12"/>
        <v>0.42000003820897847</v>
      </c>
      <c r="M80" s="13">
        <f t="shared" si="13"/>
        <v>0.75919992722100005</v>
      </c>
      <c r="N80" s="13">
        <f t="shared" si="14"/>
        <v>0.38539988387533919</v>
      </c>
      <c r="O80" s="133">
        <f>B80-Table1[[#This Row],[Total]]</f>
        <v>2</v>
      </c>
    </row>
    <row r="81" spans="1:15" x14ac:dyDescent="0.3">
      <c r="A81" s="2">
        <v>43544</v>
      </c>
      <c r="B81" s="3">
        <v>21282993</v>
      </c>
      <c r="C81" s="3">
        <v>5427163</v>
      </c>
      <c r="D81" s="3">
        <v>2149156</v>
      </c>
      <c r="E81" s="3">
        <v>1600262</v>
      </c>
      <c r="F81" s="3">
        <v>1377825</v>
      </c>
      <c r="G81" s="7">
        <f t="shared" si="10"/>
        <v>6.4738310067573676E-2</v>
      </c>
      <c r="H81" s="7">
        <f t="shared" si="15"/>
        <v>0.11773844194404104</v>
      </c>
      <c r="I81" s="7">
        <f t="shared" si="16"/>
        <v>-2.0000009209230951E-2</v>
      </c>
      <c r="J81" s="7">
        <f t="shared" si="17"/>
        <v>0.14054944127308611</v>
      </c>
      <c r="K81" s="7">
        <f t="shared" si="11"/>
        <v>0.25499998989803735</v>
      </c>
      <c r="L81" s="7">
        <f t="shared" si="12"/>
        <v>0.39599989902643423</v>
      </c>
      <c r="M81" s="7">
        <f t="shared" si="13"/>
        <v>0.74460020584824926</v>
      </c>
      <c r="N81" s="7">
        <f t="shared" si="14"/>
        <v>0.86099963630955434</v>
      </c>
      <c r="O81" s="133">
        <f>B81-Table1[[#This Row],[Total]]</f>
        <v>1</v>
      </c>
    </row>
    <row r="82" spans="1:15" x14ac:dyDescent="0.3">
      <c r="A82" s="2">
        <v>43545</v>
      </c>
      <c r="B82" s="3">
        <v>21717340</v>
      </c>
      <c r="C82" s="3">
        <v>5429335</v>
      </c>
      <c r="D82" s="3">
        <v>2128299</v>
      </c>
      <c r="E82" s="3">
        <v>1475975</v>
      </c>
      <c r="F82" s="3">
        <v>1234506</v>
      </c>
      <c r="G82" s="7">
        <f t="shared" si="10"/>
        <v>5.6844254406847247E-2</v>
      </c>
      <c r="H82" s="7">
        <f t="shared" si="15"/>
        <v>-2.6704205453110585E-2</v>
      </c>
      <c r="I82" s="7">
        <f t="shared" si="16"/>
        <v>-4.7619047619047672E-2</v>
      </c>
      <c r="J82" s="7">
        <f t="shared" si="17"/>
        <v>2.1960584274233863E-2</v>
      </c>
      <c r="K82" s="7">
        <f t="shared" si="11"/>
        <v>0.25</v>
      </c>
      <c r="L82" s="7">
        <f t="shared" si="12"/>
        <v>0.39199994106092184</v>
      </c>
      <c r="M82" s="7">
        <f t="shared" si="13"/>
        <v>0.6934998324953402</v>
      </c>
      <c r="N82" s="7">
        <f t="shared" si="14"/>
        <v>0.83640034553430787</v>
      </c>
      <c r="O82" s="133">
        <f>B82-Table1[[#This Row],[Total]]</f>
        <v>2</v>
      </c>
    </row>
    <row r="83" spans="1:15" x14ac:dyDescent="0.3">
      <c r="A83" s="2">
        <v>43546</v>
      </c>
      <c r="B83" s="3">
        <v>21065820</v>
      </c>
      <c r="C83" s="3">
        <v>5529777</v>
      </c>
      <c r="D83" s="3">
        <v>2123434</v>
      </c>
      <c r="E83" s="3">
        <v>1612111</v>
      </c>
      <c r="F83" s="3">
        <v>1361589</v>
      </c>
      <c r="G83" s="7">
        <f t="shared" si="10"/>
        <v>6.4634986912448691E-2</v>
      </c>
      <c r="H83" s="7">
        <f t="shared" si="15"/>
        <v>0.15016750885693586</v>
      </c>
      <c r="I83" s="7">
        <f t="shared" si="16"/>
        <v>-2.0202029128424948E-2</v>
      </c>
      <c r="J83" s="7">
        <f t="shared" si="17"/>
        <v>0.17388231354858696</v>
      </c>
      <c r="K83" s="7">
        <f t="shared" si="11"/>
        <v>0.26249996439730333</v>
      </c>
      <c r="L83" s="7">
        <f t="shared" si="12"/>
        <v>0.38399993345120426</v>
      </c>
      <c r="M83" s="7">
        <f t="shared" si="13"/>
        <v>0.75919995629720538</v>
      </c>
      <c r="N83" s="7">
        <f t="shared" si="14"/>
        <v>0.84460003064305122</v>
      </c>
      <c r="O83" s="133">
        <f>B83-Table1[[#This Row],[Total]]</f>
        <v>1</v>
      </c>
    </row>
    <row r="84" spans="1:15" x14ac:dyDescent="0.3">
      <c r="A84" s="2">
        <v>43547</v>
      </c>
      <c r="B84" s="3">
        <v>44440853</v>
      </c>
      <c r="C84" s="3">
        <v>9612556</v>
      </c>
      <c r="D84" s="3">
        <v>3268269</v>
      </c>
      <c r="E84" s="3">
        <v>2289095</v>
      </c>
      <c r="F84" s="3">
        <v>1874769</v>
      </c>
      <c r="G84" s="7">
        <f t="shared" si="10"/>
        <v>4.2185711421875723E-2</v>
      </c>
      <c r="H84" s="7">
        <f t="shared" si="15"/>
        <v>3.2486296530253478E-2</v>
      </c>
      <c r="I84" s="7">
        <f t="shared" si="16"/>
        <v>4.2105262664225984E-2</v>
      </c>
      <c r="J84" s="7">
        <f t="shared" si="17"/>
        <v>-9.2303210420231485E-3</v>
      </c>
      <c r="K84" s="7">
        <f t="shared" si="11"/>
        <v>0.21629998866133376</v>
      </c>
      <c r="L84" s="7">
        <f t="shared" si="12"/>
        <v>0.33999999583877588</v>
      </c>
      <c r="M84" s="7">
        <f t="shared" si="13"/>
        <v>0.70039981409119012</v>
      </c>
      <c r="N84" s="7">
        <f t="shared" si="14"/>
        <v>0.8190000851865038</v>
      </c>
      <c r="O84" s="133">
        <f>B84-Table1[[#This Row],[Total]]</f>
        <v>2</v>
      </c>
    </row>
    <row r="85" spans="1:15" x14ac:dyDescent="0.3">
      <c r="A85" s="11">
        <v>43548</v>
      </c>
      <c r="B85" s="12">
        <v>45338648</v>
      </c>
      <c r="C85" s="12">
        <v>9425904</v>
      </c>
      <c r="D85" s="12">
        <v>3300951</v>
      </c>
      <c r="E85" s="12">
        <v>2289540</v>
      </c>
      <c r="F85" s="12">
        <v>1839416</v>
      </c>
      <c r="G85" s="13">
        <f t="shared" si="10"/>
        <v>4.05705966353474E-2</v>
      </c>
      <c r="H85" s="13">
        <f t="shared" si="15"/>
        <v>0.22259812803337153</v>
      </c>
      <c r="I85" s="13">
        <f t="shared" si="16"/>
        <v>6.3157893996339087E-2</v>
      </c>
      <c r="J85" s="13">
        <f t="shared" si="17"/>
        <v>0.14996853706998059</v>
      </c>
      <c r="K85" s="13">
        <f t="shared" si="11"/>
        <v>0.20789997972590626</v>
      </c>
      <c r="L85" s="13">
        <f t="shared" si="12"/>
        <v>0.35019993838256785</v>
      </c>
      <c r="M85" s="13">
        <f t="shared" si="13"/>
        <v>0.69360011705717539</v>
      </c>
      <c r="N85" s="13">
        <f t="shared" si="14"/>
        <v>0.80339980956873436</v>
      </c>
      <c r="O85" s="133">
        <f>B85-Table1[[#This Row],[Total]]</f>
        <v>1</v>
      </c>
    </row>
    <row r="86" spans="1:15" x14ac:dyDescent="0.3">
      <c r="A86" s="2">
        <v>43549</v>
      </c>
      <c r="B86" s="3">
        <v>22368860</v>
      </c>
      <c r="C86" s="3">
        <v>5536293</v>
      </c>
      <c r="D86" s="3">
        <v>2258807</v>
      </c>
      <c r="E86" s="3">
        <v>1632440</v>
      </c>
      <c r="F86" s="3">
        <v>1351986</v>
      </c>
      <c r="G86" s="7">
        <f t="shared" si="10"/>
        <v>6.044054100208951E-2</v>
      </c>
      <c r="H86" s="7">
        <f t="shared" si="15"/>
        <v>3.1850312992747876E-2</v>
      </c>
      <c r="I86" s="7">
        <f t="shared" si="16"/>
        <v>0</v>
      </c>
      <c r="J86" s="7">
        <f t="shared" si="17"/>
        <v>3.1850312992747876E-2</v>
      </c>
      <c r="K86" s="7">
        <f t="shared" si="11"/>
        <v>0.24750000670575076</v>
      </c>
      <c r="L86" s="7">
        <f t="shared" si="12"/>
        <v>0.40799990173930462</v>
      </c>
      <c r="M86" s="7">
        <f t="shared" si="13"/>
        <v>0.72270008017506582</v>
      </c>
      <c r="N86" s="7">
        <f t="shared" si="14"/>
        <v>0.82819950503540707</v>
      </c>
      <c r="O86" s="133">
        <f>B86-Table1[[#This Row],[Total]]</f>
        <v>2</v>
      </c>
    </row>
    <row r="87" spans="1:15" x14ac:dyDescent="0.3">
      <c r="A87" s="11">
        <v>43550</v>
      </c>
      <c r="B87" s="12">
        <v>20848646</v>
      </c>
      <c r="C87" s="12">
        <v>5107918</v>
      </c>
      <c r="D87" s="12">
        <v>2043167</v>
      </c>
      <c r="E87" s="12">
        <v>1476597</v>
      </c>
      <c r="F87" s="12">
        <v>1259241</v>
      </c>
      <c r="G87" s="13">
        <f t="shared" si="10"/>
        <v>6.0399174123825596E-2</v>
      </c>
      <c r="H87" s="13">
        <f t="shared" si="15"/>
        <v>0.77964973472889199</v>
      </c>
      <c r="I87" s="13">
        <f t="shared" si="16"/>
        <v>-4.9504951397826846E-2</v>
      </c>
      <c r="J87" s="13">
        <f t="shared" si="17"/>
        <v>0.87233982685769784</v>
      </c>
      <c r="K87" s="13">
        <f t="shared" si="11"/>
        <v>0.2449999870495187</v>
      </c>
      <c r="L87" s="13">
        <f t="shared" si="12"/>
        <v>0.39999996084510364</v>
      </c>
      <c r="M87" s="13">
        <f t="shared" si="13"/>
        <v>0.72270010234112048</v>
      </c>
      <c r="N87" s="13">
        <f t="shared" si="14"/>
        <v>0.85279937586220211</v>
      </c>
      <c r="O87" s="133">
        <f>B87-Table1[[#This Row],[Total]]</f>
        <v>1</v>
      </c>
    </row>
    <row r="88" spans="1:15" x14ac:dyDescent="0.3">
      <c r="A88" s="2">
        <v>43551</v>
      </c>
      <c r="B88" s="3">
        <v>20848646</v>
      </c>
      <c r="C88" s="3">
        <v>5212161</v>
      </c>
      <c r="D88" s="3">
        <v>2084864</v>
      </c>
      <c r="E88" s="3">
        <v>1476292</v>
      </c>
      <c r="F88" s="3">
        <v>1150032</v>
      </c>
      <c r="G88" s="7">
        <f t="shared" si="10"/>
        <v>5.5160992229423438E-2</v>
      </c>
      <c r="H88" s="7">
        <f t="shared" si="15"/>
        <v>-0.16532796254967064</v>
      </c>
      <c r="I88" s="7">
        <f t="shared" si="16"/>
        <v>-2.0408172854259776E-2</v>
      </c>
      <c r="J88" s="7">
        <f t="shared" si="17"/>
        <v>-0.14793895342886554</v>
      </c>
      <c r="K88" s="7">
        <f t="shared" si="11"/>
        <v>0.24999997601762725</v>
      </c>
      <c r="L88" s="7">
        <f t="shared" si="12"/>
        <v>0.39999992325639977</v>
      </c>
      <c r="M88" s="7">
        <f t="shared" si="13"/>
        <v>0.70809990483791752</v>
      </c>
      <c r="N88" s="7">
        <f t="shared" si="14"/>
        <v>0.77900036036231313</v>
      </c>
      <c r="O88" s="133">
        <f>B88-Table1[[#This Row],[Total]]</f>
        <v>1</v>
      </c>
    </row>
    <row r="89" spans="1:15" x14ac:dyDescent="0.3">
      <c r="A89" s="2">
        <v>43552</v>
      </c>
      <c r="B89" s="3">
        <v>21500167</v>
      </c>
      <c r="C89" s="3">
        <v>5267540</v>
      </c>
      <c r="D89" s="3">
        <v>2064876</v>
      </c>
      <c r="E89" s="3">
        <v>1552580</v>
      </c>
      <c r="F89" s="3">
        <v>1311309</v>
      </c>
      <c r="G89" s="7">
        <f t="shared" si="10"/>
        <v>6.0990642537799823E-2</v>
      </c>
      <c r="H89" s="7">
        <f t="shared" si="15"/>
        <v>6.221354938736634E-2</v>
      </c>
      <c r="I89" s="7">
        <f t="shared" si="16"/>
        <v>-9.9999815815380311E-3</v>
      </c>
      <c r="J89" s="7">
        <f t="shared" si="17"/>
        <v>7.2942959217582981E-2</v>
      </c>
      <c r="K89" s="7">
        <f t="shared" si="11"/>
        <v>0.24499995744219102</v>
      </c>
      <c r="L89" s="7">
        <f t="shared" si="12"/>
        <v>0.39200006074942001</v>
      </c>
      <c r="M89" s="7">
        <f t="shared" si="13"/>
        <v>0.75189987195357011</v>
      </c>
      <c r="N89" s="7">
        <f t="shared" si="14"/>
        <v>0.84459995620193484</v>
      </c>
      <c r="O89" s="133">
        <f>B89-Table1[[#This Row],[Total]]</f>
        <v>1</v>
      </c>
    </row>
    <row r="90" spans="1:15" x14ac:dyDescent="0.3">
      <c r="A90" s="2">
        <v>43553</v>
      </c>
      <c r="B90" s="3">
        <v>22803207</v>
      </c>
      <c r="C90" s="3">
        <v>5757809</v>
      </c>
      <c r="D90" s="3">
        <v>2234030</v>
      </c>
      <c r="E90" s="3">
        <v>1712384</v>
      </c>
      <c r="F90" s="3">
        <v>1390113</v>
      </c>
      <c r="G90" s="7">
        <f t="shared" si="10"/>
        <v>6.0961293733815598E-2</v>
      </c>
      <c r="H90" s="7">
        <f t="shared" si="15"/>
        <v>2.0949052908036059E-2</v>
      </c>
      <c r="I90" s="7">
        <f t="shared" si="16"/>
        <v>8.2474216527056665E-2</v>
      </c>
      <c r="J90" s="7">
        <f t="shared" si="17"/>
        <v>-5.6837532644808841E-2</v>
      </c>
      <c r="K90" s="7">
        <f t="shared" si="11"/>
        <v>0.25249996634245347</v>
      </c>
      <c r="L90" s="7">
        <f t="shared" si="12"/>
        <v>0.38800001875713486</v>
      </c>
      <c r="M90" s="7">
        <f t="shared" si="13"/>
        <v>0.76650000223810777</v>
      </c>
      <c r="N90" s="7">
        <f t="shared" si="14"/>
        <v>0.81179980658543882</v>
      </c>
      <c r="O90" s="133">
        <f>B90-Table1[[#This Row],[Total]]</f>
        <v>2</v>
      </c>
    </row>
    <row r="91" spans="1:15" x14ac:dyDescent="0.3">
      <c r="A91" s="2">
        <v>43554</v>
      </c>
      <c r="B91" s="3">
        <v>44889750</v>
      </c>
      <c r="C91" s="3">
        <v>9898190</v>
      </c>
      <c r="D91" s="3">
        <v>3399038</v>
      </c>
      <c r="E91" s="3">
        <v>2311346</v>
      </c>
      <c r="F91" s="3">
        <v>1748764</v>
      </c>
      <c r="G91" s="7">
        <f t="shared" si="10"/>
        <v>3.8956866545258102E-2</v>
      </c>
      <c r="H91" s="7">
        <f t="shared" si="15"/>
        <v>-6.7210947055343917E-2</v>
      </c>
      <c r="I91" s="7">
        <f t="shared" si="16"/>
        <v>1.0100998736455313E-2</v>
      </c>
      <c r="J91" s="7">
        <f t="shared" si="17"/>
        <v>-7.6538827195012704E-2</v>
      </c>
      <c r="K91" s="7">
        <f t="shared" si="11"/>
        <v>0.22050000278460005</v>
      </c>
      <c r="L91" s="7">
        <f t="shared" si="12"/>
        <v>0.34339995494125691</v>
      </c>
      <c r="M91" s="7">
        <f t="shared" si="13"/>
        <v>0.68000004707214212</v>
      </c>
      <c r="N91" s="7">
        <f t="shared" si="14"/>
        <v>0.75659983403609843</v>
      </c>
      <c r="O91" s="133">
        <f>B91-Table1[[#This Row],[Total]]</f>
        <v>1</v>
      </c>
    </row>
    <row r="92" spans="1:15" x14ac:dyDescent="0.3">
      <c r="A92" s="2">
        <v>43555</v>
      </c>
      <c r="B92" s="3">
        <v>42645263</v>
      </c>
      <c r="C92" s="3">
        <v>8597285</v>
      </c>
      <c r="D92" s="3">
        <v>2806153</v>
      </c>
      <c r="E92" s="3">
        <v>2003593</v>
      </c>
      <c r="F92" s="3">
        <v>1640943</v>
      </c>
      <c r="G92" s="7">
        <f t="shared" si="10"/>
        <v>3.8478904444791441E-2</v>
      </c>
      <c r="H92" s="7">
        <f t="shared" si="15"/>
        <v>-0.10790000739365102</v>
      </c>
      <c r="I92" s="7">
        <f t="shared" si="16"/>
        <v>-5.9405939938923624E-2</v>
      </c>
      <c r="J92" s="7">
        <f t="shared" si="17"/>
        <v>-5.1556850626484518E-2</v>
      </c>
      <c r="K92" s="7">
        <f t="shared" si="11"/>
        <v>0.20159999951225532</v>
      </c>
      <c r="L92" s="7">
        <f t="shared" si="12"/>
        <v>0.32639990415578873</v>
      </c>
      <c r="M92" s="7">
        <f t="shared" si="13"/>
        <v>0.71399991376093885</v>
      </c>
      <c r="N92" s="7">
        <f t="shared" si="14"/>
        <v>0.81900016620141913</v>
      </c>
      <c r="O92" s="133">
        <f>B92-Table1[[#This Row],[Total]]</f>
        <v>2</v>
      </c>
    </row>
    <row r="93" spans="1:15" x14ac:dyDescent="0.3">
      <c r="A93" s="2">
        <v>43556</v>
      </c>
      <c r="B93" s="3">
        <v>21065820</v>
      </c>
      <c r="C93" s="3">
        <v>5424448</v>
      </c>
      <c r="D93" s="3">
        <v>2278268</v>
      </c>
      <c r="E93" s="3">
        <v>1629873</v>
      </c>
      <c r="F93" s="3">
        <v>1363225</v>
      </c>
      <c r="G93" s="7">
        <f t="shared" si="10"/>
        <v>6.4712648261496586E-2</v>
      </c>
      <c r="H93" s="7">
        <f t="shared" si="15"/>
        <v>8.3129559033894296E-3</v>
      </c>
      <c r="I93" s="7">
        <f t="shared" si="16"/>
        <v>-5.8252409823299045E-2</v>
      </c>
      <c r="J93" s="7">
        <f t="shared" si="17"/>
        <v>7.068280972632901E-2</v>
      </c>
      <c r="K93" s="7">
        <f t="shared" si="11"/>
        <v>0.25749996914432954</v>
      </c>
      <c r="L93" s="7">
        <f t="shared" si="12"/>
        <v>0.41999997050391119</v>
      </c>
      <c r="M93" s="7">
        <f t="shared" si="13"/>
        <v>0.71540003195409851</v>
      </c>
      <c r="N93" s="7">
        <f t="shared" si="14"/>
        <v>0.8363995231530309</v>
      </c>
      <c r="O93" s="133">
        <f>B93-Table1[[#This Row],[Total]]</f>
        <v>1</v>
      </c>
    </row>
    <row r="94" spans="1:15" x14ac:dyDescent="0.3">
      <c r="A94" s="2">
        <v>43557</v>
      </c>
      <c r="B94" s="3">
        <v>22803207</v>
      </c>
      <c r="C94" s="3">
        <v>5700801</v>
      </c>
      <c r="D94" s="3">
        <v>2257517</v>
      </c>
      <c r="E94" s="3">
        <v>1565588</v>
      </c>
      <c r="F94" s="3">
        <v>1309458</v>
      </c>
      <c r="G94" s="7">
        <f t="shared" si="10"/>
        <v>5.7424291241139895E-2</v>
      </c>
      <c r="H94" s="7">
        <f t="shared" si="15"/>
        <v>3.9878784124722788E-2</v>
      </c>
      <c r="I94" s="7">
        <f t="shared" si="16"/>
        <v>9.3750020984576077E-2</v>
      </c>
      <c r="J94" s="7">
        <f t="shared" si="17"/>
        <v>-4.9253701326889554E-2</v>
      </c>
      <c r="K94" s="7">
        <f t="shared" si="11"/>
        <v>0.24999996710988942</v>
      </c>
      <c r="L94" s="7">
        <f t="shared" si="12"/>
        <v>0.39599996561886652</v>
      </c>
      <c r="M94" s="7">
        <f t="shared" si="13"/>
        <v>0.69349998250290035</v>
      </c>
      <c r="N94" s="7">
        <f t="shared" si="14"/>
        <v>0.83640012570356947</v>
      </c>
      <c r="O94" s="133">
        <f>B94-Table1[[#This Row],[Total]]</f>
        <v>2</v>
      </c>
    </row>
    <row r="95" spans="1:15" x14ac:dyDescent="0.3">
      <c r="A95" s="2">
        <v>43558</v>
      </c>
      <c r="B95" s="3">
        <v>22368860</v>
      </c>
      <c r="C95" s="3">
        <v>5536293</v>
      </c>
      <c r="D95" s="3">
        <v>2303097</v>
      </c>
      <c r="E95" s="3">
        <v>1597198</v>
      </c>
      <c r="F95" s="3">
        <v>1335896</v>
      </c>
      <c r="G95" s="7">
        <f t="shared" si="10"/>
        <v>5.9721237470304701E-2</v>
      </c>
      <c r="H95" s="7">
        <f t="shared" si="15"/>
        <v>0.16161637241398497</v>
      </c>
      <c r="I95" s="7">
        <f t="shared" si="16"/>
        <v>7.2916677658587448E-2</v>
      </c>
      <c r="J95" s="7">
        <f t="shared" si="17"/>
        <v>8.267155931340886E-2</v>
      </c>
      <c r="K95" s="7">
        <f t="shared" si="11"/>
        <v>0.24750000670575076</v>
      </c>
      <c r="L95" s="7">
        <f t="shared" si="12"/>
        <v>0.41599983960386488</v>
      </c>
      <c r="M95" s="7">
        <f t="shared" si="13"/>
        <v>0.69350010008262786</v>
      </c>
      <c r="N95" s="7">
        <f t="shared" si="14"/>
        <v>0.83639974505352499</v>
      </c>
      <c r="O95" s="133">
        <f>B95-Table1[[#This Row],[Total]]</f>
        <v>2</v>
      </c>
    </row>
    <row r="96" spans="1:15" x14ac:dyDescent="0.3">
      <c r="A96" s="11">
        <v>43559</v>
      </c>
      <c r="B96" s="12">
        <v>22151687</v>
      </c>
      <c r="C96" s="12">
        <v>5814817</v>
      </c>
      <c r="D96" s="12">
        <v>1162963</v>
      </c>
      <c r="E96" s="12">
        <v>806515</v>
      </c>
      <c r="F96" s="12">
        <v>628275</v>
      </c>
      <c r="G96" s="13">
        <f t="shared" si="10"/>
        <v>2.8362399667348135E-2</v>
      </c>
      <c r="H96" s="13">
        <f t="shared" si="15"/>
        <v>-0.52087951809985289</v>
      </c>
      <c r="I96" s="13">
        <f t="shared" si="16"/>
        <v>3.0303020437004058E-2</v>
      </c>
      <c r="J96" s="13">
        <f t="shared" si="17"/>
        <v>-0.53497129252622422</v>
      </c>
      <c r="K96" s="13">
        <f t="shared" si="11"/>
        <v>0.26249996219249577</v>
      </c>
      <c r="L96" s="13">
        <f t="shared" si="12"/>
        <v>0.19999993121021695</v>
      </c>
      <c r="M96" s="13">
        <f t="shared" si="13"/>
        <v>0.69350013714967718</v>
      </c>
      <c r="N96" s="13">
        <f t="shared" si="14"/>
        <v>0.77899977061802939</v>
      </c>
      <c r="O96" s="133">
        <f>B96-Table1[[#This Row],[Total]]</f>
        <v>2</v>
      </c>
    </row>
    <row r="97" spans="1:15" x14ac:dyDescent="0.3">
      <c r="A97" s="2">
        <v>43560</v>
      </c>
      <c r="B97" s="3">
        <v>22586034</v>
      </c>
      <c r="C97" s="3">
        <v>5928833</v>
      </c>
      <c r="D97" s="3">
        <v>2418964</v>
      </c>
      <c r="E97" s="3">
        <v>1854136</v>
      </c>
      <c r="F97" s="3">
        <v>1566003</v>
      </c>
      <c r="G97" s="7">
        <f t="shared" si="10"/>
        <v>6.9335014726357003E-2</v>
      </c>
      <c r="H97" s="7">
        <f t="shared" si="15"/>
        <v>0.12652928215188264</v>
      </c>
      <c r="I97" s="7">
        <f t="shared" si="16"/>
        <v>-9.5237919824172623E-3</v>
      </c>
      <c r="J97" s="7">
        <f t="shared" si="17"/>
        <v>0.13736127433753009</v>
      </c>
      <c r="K97" s="7">
        <f t="shared" si="11"/>
        <v>0.26249995904548801</v>
      </c>
      <c r="L97" s="7">
        <f t="shared" si="12"/>
        <v>0.40800002293874699</v>
      </c>
      <c r="M97" s="7">
        <f t="shared" si="13"/>
        <v>0.76650003885961093</v>
      </c>
      <c r="N97" s="7">
        <f t="shared" si="14"/>
        <v>0.84459985675268701</v>
      </c>
      <c r="O97" s="133">
        <f>B97-Table1[[#This Row],[Total]]</f>
        <v>2</v>
      </c>
    </row>
    <row r="98" spans="1:15" x14ac:dyDescent="0.3">
      <c r="A98" s="2">
        <v>43561</v>
      </c>
      <c r="B98" s="3">
        <v>46685340</v>
      </c>
      <c r="C98" s="3">
        <v>9999999</v>
      </c>
      <c r="D98" s="3">
        <v>3434000</v>
      </c>
      <c r="E98" s="3">
        <v>2288417</v>
      </c>
      <c r="F98" s="3">
        <v>1856364</v>
      </c>
      <c r="G98" s="7">
        <f t="shared" si="10"/>
        <v>3.9763317563929063E-2</v>
      </c>
      <c r="H98" s="7">
        <f t="shared" si="15"/>
        <v>6.1529171460528609E-2</v>
      </c>
      <c r="I98" s="7">
        <f t="shared" si="16"/>
        <v>4.0000000000000036E-2</v>
      </c>
      <c r="J98" s="7">
        <f t="shared" si="17"/>
        <v>2.0701126404354619E-2</v>
      </c>
      <c r="K98" s="7">
        <f t="shared" si="11"/>
        <v>0.2141999822642397</v>
      </c>
      <c r="L98" s="7">
        <f t="shared" si="12"/>
        <v>0.34340003434000343</v>
      </c>
      <c r="M98" s="7">
        <f t="shared" si="13"/>
        <v>0.66639982527664532</v>
      </c>
      <c r="N98" s="7">
        <f t="shared" si="14"/>
        <v>0.81120005663303496</v>
      </c>
      <c r="O98" s="133">
        <f>B98-Table1[[#This Row],[Total]]</f>
        <v>1</v>
      </c>
    </row>
    <row r="99" spans="1:15" x14ac:dyDescent="0.3">
      <c r="A99" s="2">
        <v>43562</v>
      </c>
      <c r="B99" s="3">
        <v>43094160</v>
      </c>
      <c r="C99" s="3">
        <v>8687782</v>
      </c>
      <c r="D99" s="3">
        <v>2983384</v>
      </c>
      <c r="E99" s="3">
        <v>1947553</v>
      </c>
      <c r="F99" s="3">
        <v>1503900</v>
      </c>
      <c r="G99" s="7">
        <f t="shared" si="10"/>
        <v>3.4898000100245602E-2</v>
      </c>
      <c r="H99" s="7">
        <f t="shared" si="15"/>
        <v>-8.3514783877319365E-2</v>
      </c>
      <c r="I99" s="7">
        <f t="shared" si="16"/>
        <v>1.0526303941424953E-2</v>
      </c>
      <c r="J99" s="7">
        <f t="shared" si="17"/>
        <v>-9.306149424507737E-2</v>
      </c>
      <c r="K99" s="7">
        <f t="shared" si="11"/>
        <v>0.20159998477751973</v>
      </c>
      <c r="L99" s="7">
        <f t="shared" si="12"/>
        <v>0.3433999610027047</v>
      </c>
      <c r="M99" s="7">
        <f t="shared" si="13"/>
        <v>0.6527999747937242</v>
      </c>
      <c r="N99" s="7">
        <f t="shared" si="14"/>
        <v>0.77219978095589692</v>
      </c>
      <c r="O99" s="133">
        <f>B99-Table1[[#This Row],[Total]]</f>
        <v>2</v>
      </c>
    </row>
    <row r="100" spans="1:15" x14ac:dyDescent="0.3">
      <c r="A100" s="2">
        <v>43563</v>
      </c>
      <c r="B100" s="3">
        <v>21500167</v>
      </c>
      <c r="C100" s="3">
        <v>5536293</v>
      </c>
      <c r="D100" s="3">
        <v>2170226</v>
      </c>
      <c r="E100" s="3">
        <v>1520894</v>
      </c>
      <c r="F100" s="3">
        <v>1259605</v>
      </c>
      <c r="G100" s="7">
        <f t="shared" si="10"/>
        <v>5.8585824007785614E-2</v>
      </c>
      <c r="H100" s="7">
        <f t="shared" si="15"/>
        <v>-7.6010929963872487E-2</v>
      </c>
      <c r="I100" s="7">
        <f t="shared" si="16"/>
        <v>2.0618565999329652E-2</v>
      </c>
      <c r="J100" s="7">
        <f t="shared" si="17"/>
        <v>-9.46773840710885E-2</v>
      </c>
      <c r="K100" s="7">
        <f t="shared" si="11"/>
        <v>0.25749999988372185</v>
      </c>
      <c r="L100" s="7">
        <f t="shared" si="12"/>
        <v>0.39199984538390581</v>
      </c>
      <c r="M100" s="7">
        <f t="shared" si="13"/>
        <v>0.70079982453440337</v>
      </c>
      <c r="N100" s="7">
        <f t="shared" si="14"/>
        <v>0.82820038740372437</v>
      </c>
      <c r="O100" s="133">
        <f>B100-Table1[[#This Row],[Total]]</f>
        <v>1</v>
      </c>
    </row>
    <row r="101" spans="1:15" x14ac:dyDescent="0.3">
      <c r="A101" s="2">
        <v>43564</v>
      </c>
      <c r="B101" s="3">
        <v>21717340</v>
      </c>
      <c r="C101" s="3">
        <v>5592215</v>
      </c>
      <c r="D101" s="3">
        <v>2214517</v>
      </c>
      <c r="E101" s="3">
        <v>1535767</v>
      </c>
      <c r="F101" s="3">
        <v>1322295</v>
      </c>
      <c r="G101" s="7">
        <f t="shared" si="10"/>
        <v>6.088660029266936E-2</v>
      </c>
      <c r="H101" s="7">
        <f t="shared" si="15"/>
        <v>9.8032926600166714E-3</v>
      </c>
      <c r="I101" s="7">
        <f t="shared" si="16"/>
        <v>-4.7619047619047672E-2</v>
      </c>
      <c r="J101" s="7">
        <f t="shared" si="17"/>
        <v>6.0293457293017383E-2</v>
      </c>
      <c r="K101" s="7">
        <f t="shared" si="11"/>
        <v>0.25749999769769227</v>
      </c>
      <c r="L101" s="7">
        <f t="shared" si="12"/>
        <v>0.39599997496519718</v>
      </c>
      <c r="M101" s="7">
        <f t="shared" si="13"/>
        <v>0.69349975638028516</v>
      </c>
      <c r="N101" s="7">
        <f t="shared" si="14"/>
        <v>0.86099974800864976</v>
      </c>
      <c r="O101" s="133">
        <f>B101-Table1[[#This Row],[Total]]</f>
        <v>2</v>
      </c>
    </row>
    <row r="102" spans="1:15" x14ac:dyDescent="0.3">
      <c r="A102" s="2">
        <v>43565</v>
      </c>
      <c r="B102" s="3">
        <v>21500167</v>
      </c>
      <c r="C102" s="3">
        <v>5375041</v>
      </c>
      <c r="D102" s="3">
        <v>2064016</v>
      </c>
      <c r="E102" s="3">
        <v>1521799</v>
      </c>
      <c r="F102" s="3">
        <v>1210438</v>
      </c>
      <c r="G102" s="7">
        <f t="shared" si="10"/>
        <v>5.6299004561220382E-2</v>
      </c>
      <c r="H102" s="7">
        <f t="shared" si="15"/>
        <v>-9.3912999215507775E-2</v>
      </c>
      <c r="I102" s="7">
        <f t="shared" si="16"/>
        <v>-3.8834924980530983E-2</v>
      </c>
      <c r="J102" s="7">
        <f t="shared" si="17"/>
        <v>-5.7303449393291017E-2</v>
      </c>
      <c r="K102" s="7">
        <f t="shared" si="11"/>
        <v>0.24999996511655004</v>
      </c>
      <c r="L102" s="7">
        <f t="shared" si="12"/>
        <v>0.38400004762754369</v>
      </c>
      <c r="M102" s="7">
        <f t="shared" si="13"/>
        <v>0.73730000155037556</v>
      </c>
      <c r="N102" s="7">
        <f t="shared" si="14"/>
        <v>0.79539939242961788</v>
      </c>
      <c r="O102" s="133">
        <f>B102-Table1[[#This Row],[Total]]</f>
        <v>1</v>
      </c>
    </row>
    <row r="103" spans="1:15" x14ac:dyDescent="0.3">
      <c r="A103" s="11">
        <v>43566</v>
      </c>
      <c r="B103" s="12">
        <v>20631473</v>
      </c>
      <c r="C103" s="12">
        <v>5106289</v>
      </c>
      <c r="D103" s="12">
        <v>1981240</v>
      </c>
      <c r="E103" s="12">
        <v>1504157</v>
      </c>
      <c r="F103" s="12">
        <v>1208741</v>
      </c>
      <c r="G103" s="13">
        <f t="shared" si="10"/>
        <v>5.8587237081908793E-2</v>
      </c>
      <c r="H103" s="13">
        <f t="shared" si="15"/>
        <v>0.9239043412518404</v>
      </c>
      <c r="I103" s="13">
        <f t="shared" si="16"/>
        <v>-6.8627459389436152E-2</v>
      </c>
      <c r="J103" s="13">
        <f t="shared" si="17"/>
        <v>1.0656657324153227</v>
      </c>
      <c r="K103" s="13">
        <f t="shared" si="11"/>
        <v>0.24749997249348119</v>
      </c>
      <c r="L103" s="13">
        <f t="shared" si="12"/>
        <v>0.38799997414952425</v>
      </c>
      <c r="M103" s="13">
        <f t="shared" si="13"/>
        <v>0.75919979406836124</v>
      </c>
      <c r="N103" s="13">
        <f t="shared" si="14"/>
        <v>0.80360028906556957</v>
      </c>
      <c r="O103" s="133">
        <f>B103-Table1[[#This Row],[Total]]</f>
        <v>1</v>
      </c>
    </row>
    <row r="104" spans="1:15" x14ac:dyDescent="0.3">
      <c r="A104" s="11">
        <v>43567</v>
      </c>
      <c r="B104" s="12">
        <v>20631473</v>
      </c>
      <c r="C104" s="12">
        <v>5054710</v>
      </c>
      <c r="D104" s="12">
        <v>1920790</v>
      </c>
      <c r="E104" s="12">
        <v>1402176</v>
      </c>
      <c r="F104" s="12">
        <v>1138287</v>
      </c>
      <c r="G104" s="13">
        <f t="shared" si="10"/>
        <v>5.5172357300906243E-2</v>
      </c>
      <c r="H104" s="13">
        <f t="shared" si="15"/>
        <v>-0.27312591355188975</v>
      </c>
      <c r="I104" s="13">
        <f t="shared" si="16"/>
        <v>-8.6538477715919493E-2</v>
      </c>
      <c r="J104" s="13">
        <f t="shared" si="17"/>
        <v>-0.20426414390111858</v>
      </c>
      <c r="K104" s="13">
        <f t="shared" si="11"/>
        <v>0.24499995710437156</v>
      </c>
      <c r="L104" s="13">
        <f t="shared" si="12"/>
        <v>0.38000003956705725</v>
      </c>
      <c r="M104" s="13">
        <f t="shared" si="13"/>
        <v>0.72999963556661585</v>
      </c>
      <c r="N104" s="13">
        <f t="shared" si="14"/>
        <v>0.8118003731343284</v>
      </c>
      <c r="O104" s="133">
        <f>B104-Table1[[#This Row],[Total]]</f>
        <v>1</v>
      </c>
    </row>
    <row r="105" spans="1:15" x14ac:dyDescent="0.3">
      <c r="A105" s="2">
        <v>43568</v>
      </c>
      <c r="B105" s="3">
        <v>43094160</v>
      </c>
      <c r="C105" s="3">
        <v>9140271</v>
      </c>
      <c r="D105" s="3">
        <v>3107692</v>
      </c>
      <c r="E105" s="3">
        <v>2113230</v>
      </c>
      <c r="F105" s="3">
        <v>1598870</v>
      </c>
      <c r="G105" s="7">
        <f t="shared" si="10"/>
        <v>3.7101778988150598E-2</v>
      </c>
      <c r="H105" s="7">
        <f t="shared" si="15"/>
        <v>-0.13870878771620221</v>
      </c>
      <c r="I105" s="7">
        <f t="shared" si="16"/>
        <v>-7.6923076923076872E-2</v>
      </c>
      <c r="J105" s="7">
        <f t="shared" si="17"/>
        <v>-6.6934520025885735E-2</v>
      </c>
      <c r="K105" s="7">
        <f t="shared" si="11"/>
        <v>0.21209999220311987</v>
      </c>
      <c r="L105" s="7">
        <f t="shared" si="12"/>
        <v>0.3399999846831675</v>
      </c>
      <c r="M105" s="7">
        <f t="shared" si="13"/>
        <v>0.67999981980196234</v>
      </c>
      <c r="N105" s="7">
        <f t="shared" si="14"/>
        <v>0.75660008612408491</v>
      </c>
      <c r="O105" s="133">
        <f>B105-Table1[[#This Row],[Total]]</f>
        <v>2</v>
      </c>
    </row>
    <row r="106" spans="1:15" x14ac:dyDescent="0.3">
      <c r="A106" s="11">
        <v>43569</v>
      </c>
      <c r="B106" s="12">
        <v>46685340</v>
      </c>
      <c r="C106" s="12">
        <v>9803921</v>
      </c>
      <c r="D106" s="12">
        <v>3466666</v>
      </c>
      <c r="E106" s="12">
        <v>2357333</v>
      </c>
      <c r="F106" s="12">
        <v>1930656</v>
      </c>
      <c r="G106" s="13">
        <f t="shared" si="10"/>
        <v>4.1354652231300019E-2</v>
      </c>
      <c r="H106" s="13">
        <f t="shared" si="15"/>
        <v>0.28376620785956508</v>
      </c>
      <c r="I106" s="13">
        <f t="shared" si="16"/>
        <v>8.3333333333333259E-2</v>
      </c>
      <c r="J106" s="13">
        <f t="shared" si="17"/>
        <v>0.18501496110113713</v>
      </c>
      <c r="K106" s="13">
        <f t="shared" si="11"/>
        <v>0.20999999143199985</v>
      </c>
      <c r="L106" s="13">
        <f t="shared" si="12"/>
        <v>0.35359995250879722</v>
      </c>
      <c r="M106" s="13">
        <f t="shared" si="13"/>
        <v>0.68000003461539127</v>
      </c>
      <c r="N106" s="13">
        <f t="shared" si="14"/>
        <v>0.81900011580883991</v>
      </c>
      <c r="O106" s="133">
        <f>B106-Table1[[#This Row],[Total]]</f>
        <v>1</v>
      </c>
    </row>
    <row r="107" spans="1:15" x14ac:dyDescent="0.3">
      <c r="A107" s="2">
        <v>43570</v>
      </c>
      <c r="B107" s="3">
        <v>21065820</v>
      </c>
      <c r="C107" s="3">
        <v>5477113</v>
      </c>
      <c r="D107" s="3">
        <v>2256570</v>
      </c>
      <c r="E107" s="3">
        <v>1729661</v>
      </c>
      <c r="F107" s="3">
        <v>1418322</v>
      </c>
      <c r="G107" s="7">
        <f t="shared" si="10"/>
        <v>6.732811730091684E-2</v>
      </c>
      <c r="H107" s="7">
        <f t="shared" si="15"/>
        <v>0.12600537470079898</v>
      </c>
      <c r="I107" s="7">
        <f t="shared" si="16"/>
        <v>-2.0202029128424948E-2</v>
      </c>
      <c r="J107" s="7">
        <f t="shared" si="17"/>
        <v>0.14922199083466747</v>
      </c>
      <c r="K107" s="7">
        <f t="shared" si="11"/>
        <v>0.25999999050594758</v>
      </c>
      <c r="L107" s="7">
        <f t="shared" si="12"/>
        <v>0.41199989848666624</v>
      </c>
      <c r="M107" s="7">
        <f t="shared" si="13"/>
        <v>0.76650004209929223</v>
      </c>
      <c r="N107" s="7">
        <f t="shared" si="14"/>
        <v>0.81999998843704058</v>
      </c>
      <c r="O107" s="133">
        <f>B107-Table1[[#This Row],[Total]]</f>
        <v>1</v>
      </c>
    </row>
    <row r="108" spans="1:15" x14ac:dyDescent="0.3">
      <c r="A108" s="2">
        <v>43571</v>
      </c>
      <c r="B108" s="3">
        <v>22586034</v>
      </c>
      <c r="C108" s="3">
        <v>5872368</v>
      </c>
      <c r="D108" s="3">
        <v>2254989</v>
      </c>
      <c r="E108" s="3">
        <v>1596758</v>
      </c>
      <c r="F108" s="3">
        <v>1296248</v>
      </c>
      <c r="G108" s="7">
        <f t="shared" si="10"/>
        <v>5.7391572154721807E-2</v>
      </c>
      <c r="H108" s="7">
        <f t="shared" si="15"/>
        <v>-1.9698327529031001E-2</v>
      </c>
      <c r="I108" s="7">
        <f t="shared" si="16"/>
        <v>4.0000018418461902E-2</v>
      </c>
      <c r="J108" s="7">
        <f t="shared" si="17"/>
        <v>-5.7402254702145883E-2</v>
      </c>
      <c r="K108" s="7">
        <f t="shared" si="11"/>
        <v>0.25999996280887561</v>
      </c>
      <c r="L108" s="7">
        <f t="shared" si="12"/>
        <v>0.3839999468698147</v>
      </c>
      <c r="M108" s="7">
        <f t="shared" si="13"/>
        <v>0.70810012820461654</v>
      </c>
      <c r="N108" s="7">
        <f t="shared" si="14"/>
        <v>0.81179990956675963</v>
      </c>
      <c r="O108" s="133">
        <f>B108-Table1[[#This Row],[Total]]</f>
        <v>2</v>
      </c>
    </row>
    <row r="109" spans="1:15" x14ac:dyDescent="0.3">
      <c r="A109" s="2">
        <v>43572</v>
      </c>
      <c r="B109" s="3">
        <v>21934513</v>
      </c>
      <c r="C109" s="3">
        <v>5319119</v>
      </c>
      <c r="D109" s="3">
        <v>2191477</v>
      </c>
      <c r="E109" s="3">
        <v>1551785</v>
      </c>
      <c r="F109" s="3">
        <v>1336086</v>
      </c>
      <c r="G109" s="7">
        <f t="shared" si="10"/>
        <v>6.0912498946295274E-2</v>
      </c>
      <c r="H109" s="7">
        <f t="shared" si="15"/>
        <v>0.10380374707337348</v>
      </c>
      <c r="I109" s="7">
        <f t="shared" si="16"/>
        <v>2.0201982617158221E-2</v>
      </c>
      <c r="J109" s="7">
        <f t="shared" si="17"/>
        <v>8.1946286990884687E-2</v>
      </c>
      <c r="K109" s="7">
        <f t="shared" si="11"/>
        <v>0.24249998164992312</v>
      </c>
      <c r="L109" s="7">
        <f t="shared" si="12"/>
        <v>0.41199999473597038</v>
      </c>
      <c r="M109" s="7">
        <f t="shared" si="13"/>
        <v>0.70810006219549648</v>
      </c>
      <c r="N109" s="7">
        <f t="shared" si="14"/>
        <v>0.86099942968903553</v>
      </c>
      <c r="O109" s="133">
        <f>B109-Table1[[#This Row],[Total]]</f>
        <v>2</v>
      </c>
    </row>
    <row r="110" spans="1:15" x14ac:dyDescent="0.3">
      <c r="A110" s="11">
        <v>43573</v>
      </c>
      <c r="B110" s="12">
        <v>22803207</v>
      </c>
      <c r="C110" s="12">
        <v>5415761</v>
      </c>
      <c r="D110" s="12">
        <v>3639391</v>
      </c>
      <c r="E110" s="12">
        <v>2656756</v>
      </c>
      <c r="F110" s="12">
        <v>2091398</v>
      </c>
      <c r="G110" s="13">
        <f t="shared" si="10"/>
        <v>9.1715082005789803E-2</v>
      </c>
      <c r="H110" s="13">
        <f t="shared" si="15"/>
        <v>0.7302283946685022</v>
      </c>
      <c r="I110" s="13">
        <f t="shared" si="16"/>
        <v>0.10526315789473695</v>
      </c>
      <c r="J110" s="13">
        <f t="shared" si="17"/>
        <v>0.56544473803340667</v>
      </c>
      <c r="K110" s="13">
        <f t="shared" si="11"/>
        <v>0.23749997094706898</v>
      </c>
      <c r="L110" s="13">
        <f t="shared" si="12"/>
        <v>0.67199992761866711</v>
      </c>
      <c r="M110" s="13">
        <f t="shared" si="13"/>
        <v>0.73000015661961026</v>
      </c>
      <c r="N110" s="13">
        <f t="shared" si="14"/>
        <v>0.78719987834787986</v>
      </c>
      <c r="O110" s="133">
        <f>B110-Table1[[#This Row],[Total]]</f>
        <v>2</v>
      </c>
    </row>
    <row r="111" spans="1:15" x14ac:dyDescent="0.3">
      <c r="A111" s="11">
        <v>43574</v>
      </c>
      <c r="B111" s="12">
        <v>22151687</v>
      </c>
      <c r="C111" s="12">
        <v>5537921</v>
      </c>
      <c r="D111" s="12">
        <v>2281623</v>
      </c>
      <c r="E111" s="12">
        <v>1748864</v>
      </c>
      <c r="F111" s="12">
        <v>1419728</v>
      </c>
      <c r="G111" s="13">
        <f t="shared" si="10"/>
        <v>6.409119088762856E-2</v>
      </c>
      <c r="H111" s="13">
        <f t="shared" si="15"/>
        <v>0.2472495952251057</v>
      </c>
      <c r="I111" s="13">
        <f t="shared" si="16"/>
        <v>7.3684220220243013E-2</v>
      </c>
      <c r="J111" s="13">
        <f t="shared" si="17"/>
        <v>0.16165402428030418</v>
      </c>
      <c r="K111" s="13">
        <f t="shared" si="11"/>
        <v>0.24999996614253353</v>
      </c>
      <c r="L111" s="13">
        <f t="shared" si="12"/>
        <v>0.41199991838092309</v>
      </c>
      <c r="M111" s="13">
        <f t="shared" si="13"/>
        <v>0.76649998707060718</v>
      </c>
      <c r="N111" s="13">
        <f t="shared" si="14"/>
        <v>0.81180011710458899</v>
      </c>
      <c r="O111" s="133">
        <f>B111-Table1[[#This Row],[Total]]</f>
        <v>2</v>
      </c>
    </row>
    <row r="112" spans="1:15" x14ac:dyDescent="0.3">
      <c r="A112" s="2">
        <v>43575</v>
      </c>
      <c r="B112" s="3">
        <v>44440853</v>
      </c>
      <c r="C112" s="3">
        <v>9612556</v>
      </c>
      <c r="D112" s="3">
        <v>3300951</v>
      </c>
      <c r="E112" s="3">
        <v>2132414</v>
      </c>
      <c r="F112" s="3">
        <v>1596752</v>
      </c>
      <c r="G112" s="7">
        <f t="shared" si="10"/>
        <v>3.5929823399204329E-2</v>
      </c>
      <c r="H112" s="7">
        <f t="shared" si="15"/>
        <v>-1.3246855591761975E-3</v>
      </c>
      <c r="I112" s="7">
        <f t="shared" si="16"/>
        <v>3.1250011602500294E-2</v>
      </c>
      <c r="J112" s="7">
        <f t="shared" si="17"/>
        <v>-3.1587584771085031E-2</v>
      </c>
      <c r="K112" s="7">
        <f t="shared" si="11"/>
        <v>0.21629998866133376</v>
      </c>
      <c r="L112" s="7">
        <f t="shared" si="12"/>
        <v>0.34339992401604735</v>
      </c>
      <c r="M112" s="7">
        <f t="shared" si="13"/>
        <v>0.64599989518172185</v>
      </c>
      <c r="N112" s="7">
        <f t="shared" si="14"/>
        <v>0.74880018608018895</v>
      </c>
      <c r="O112" s="133">
        <f>B112-Table1[[#This Row],[Total]]</f>
        <v>2</v>
      </c>
    </row>
    <row r="113" spans="1:15" x14ac:dyDescent="0.3">
      <c r="A113" s="2">
        <v>43576</v>
      </c>
      <c r="B113" s="3">
        <v>46685340</v>
      </c>
      <c r="C113" s="3">
        <v>10098039</v>
      </c>
      <c r="D113" s="3">
        <v>3536333</v>
      </c>
      <c r="E113" s="3">
        <v>2356612</v>
      </c>
      <c r="F113" s="3">
        <v>1930065</v>
      </c>
      <c r="G113" s="7">
        <f t="shared" si="10"/>
        <v>4.1341993011082281E-2</v>
      </c>
      <c r="H113" s="7">
        <f t="shared" si="15"/>
        <v>-3.0611356968823777E-4</v>
      </c>
      <c r="I113" s="7">
        <f t="shared" si="16"/>
        <v>0</v>
      </c>
      <c r="J113" s="7">
        <f t="shared" si="17"/>
        <v>-3.0611356968823777E-4</v>
      </c>
      <c r="K113" s="7">
        <f t="shared" si="11"/>
        <v>0.21629999910035999</v>
      </c>
      <c r="L113" s="7">
        <f t="shared" si="12"/>
        <v>0.35019997447029072</v>
      </c>
      <c r="M113" s="7">
        <f t="shared" si="13"/>
        <v>0.66639991199923765</v>
      </c>
      <c r="N113" s="7">
        <f t="shared" si="14"/>
        <v>0.81899990325093819</v>
      </c>
      <c r="O113" s="133">
        <f>B113-Table1[[#This Row],[Total]]</f>
        <v>1</v>
      </c>
    </row>
    <row r="114" spans="1:15" x14ac:dyDescent="0.3">
      <c r="A114" s="2">
        <v>43577</v>
      </c>
      <c r="B114" s="3">
        <v>20848646</v>
      </c>
      <c r="C114" s="3">
        <v>5368526</v>
      </c>
      <c r="D114" s="3">
        <v>2211832</v>
      </c>
      <c r="E114" s="3">
        <v>1695369</v>
      </c>
      <c r="F114" s="3">
        <v>1459713</v>
      </c>
      <c r="G114" s="7">
        <f t="shared" si="10"/>
        <v>7.0014762589378707E-2</v>
      </c>
      <c r="H114" s="7">
        <f t="shared" si="15"/>
        <v>2.9183076903552152E-2</v>
      </c>
      <c r="I114" s="7">
        <f t="shared" si="16"/>
        <v>-1.030930673479602E-2</v>
      </c>
      <c r="J114" s="7">
        <f t="shared" si="17"/>
        <v>3.9903763779018941E-2</v>
      </c>
      <c r="K114" s="7">
        <f t="shared" si="11"/>
        <v>0.2574999834521628</v>
      </c>
      <c r="L114" s="7">
        <f t="shared" si="12"/>
        <v>0.41199986737514172</v>
      </c>
      <c r="M114" s="7">
        <f t="shared" si="13"/>
        <v>0.76649989691802989</v>
      </c>
      <c r="N114" s="7">
        <f t="shared" si="14"/>
        <v>0.86100017164404918</v>
      </c>
      <c r="O114" s="133">
        <f>B114-Table1[[#This Row],[Total]]</f>
        <v>1</v>
      </c>
    </row>
    <row r="115" spans="1:15" x14ac:dyDescent="0.3">
      <c r="A115" s="2">
        <v>43578</v>
      </c>
      <c r="B115" s="3">
        <v>20631473</v>
      </c>
      <c r="C115" s="3">
        <v>4899974</v>
      </c>
      <c r="D115" s="3">
        <v>1881590</v>
      </c>
      <c r="E115" s="3">
        <v>1414767</v>
      </c>
      <c r="F115" s="3">
        <v>1148508</v>
      </c>
      <c r="G115" s="7">
        <f t="shared" si="10"/>
        <v>5.5667765457173127E-2</v>
      </c>
      <c r="H115" s="7">
        <f t="shared" si="15"/>
        <v>-0.11397510352957152</v>
      </c>
      <c r="I115" s="7">
        <f t="shared" si="16"/>
        <v>-8.6538477715919493E-2</v>
      </c>
      <c r="J115" s="7">
        <f t="shared" si="17"/>
        <v>-3.0035885633198478E-2</v>
      </c>
      <c r="K115" s="7">
        <f t="shared" si="11"/>
        <v>0.23749995940667931</v>
      </c>
      <c r="L115" s="7">
        <f t="shared" si="12"/>
        <v>0.38399999673467655</v>
      </c>
      <c r="M115" s="7">
        <f t="shared" si="13"/>
        <v>0.75189972310652164</v>
      </c>
      <c r="N115" s="7">
        <f t="shared" si="14"/>
        <v>0.81180010560042748</v>
      </c>
      <c r="O115" s="133">
        <f>B115-Table1[[#This Row],[Total]]</f>
        <v>1</v>
      </c>
    </row>
    <row r="116" spans="1:15" x14ac:dyDescent="0.3">
      <c r="A116" s="2">
        <v>43579</v>
      </c>
      <c r="B116" s="3">
        <v>21717340</v>
      </c>
      <c r="C116" s="3">
        <v>5700801</v>
      </c>
      <c r="D116" s="3">
        <v>2325927</v>
      </c>
      <c r="E116" s="3">
        <v>1765843</v>
      </c>
      <c r="F116" s="3">
        <v>1476951</v>
      </c>
      <c r="G116" s="7">
        <f t="shared" si="10"/>
        <v>6.8007914413091106E-2</v>
      </c>
      <c r="H116" s="7">
        <f t="shared" si="15"/>
        <v>0.10543108751981545</v>
      </c>
      <c r="I116" s="7">
        <f t="shared" si="16"/>
        <v>-9.9009720434640736E-3</v>
      </c>
      <c r="J116" s="7">
        <f t="shared" si="17"/>
        <v>0.11648537803467307</v>
      </c>
      <c r="K116" s="7">
        <f t="shared" si="11"/>
        <v>0.2624999654653839</v>
      </c>
      <c r="L116" s="7">
        <f t="shared" si="12"/>
        <v>0.40800003367947768</v>
      </c>
      <c r="M116" s="7">
        <f t="shared" si="13"/>
        <v>0.7591996653377342</v>
      </c>
      <c r="N116" s="7">
        <f t="shared" si="14"/>
        <v>0.83639995175108994</v>
      </c>
      <c r="O116" s="133">
        <f>B116-Table1[[#This Row],[Total]]</f>
        <v>2</v>
      </c>
    </row>
    <row r="117" spans="1:15" x14ac:dyDescent="0.3">
      <c r="A117" s="11">
        <v>43580</v>
      </c>
      <c r="B117" s="12">
        <v>22803207</v>
      </c>
      <c r="C117" s="12">
        <v>5700801</v>
      </c>
      <c r="D117" s="12">
        <v>2189107</v>
      </c>
      <c r="E117" s="12">
        <v>1518146</v>
      </c>
      <c r="F117" s="12">
        <v>1282226</v>
      </c>
      <c r="G117" s="13">
        <f t="shared" si="10"/>
        <v>5.6230073252415767E-2</v>
      </c>
      <c r="H117" s="13">
        <f t="shared" si="15"/>
        <v>-0.38690483590402214</v>
      </c>
      <c r="I117" s="13">
        <f t="shared" si="16"/>
        <v>0</v>
      </c>
      <c r="J117" s="13">
        <f t="shared" si="17"/>
        <v>-0.38690483590402214</v>
      </c>
      <c r="K117" s="13">
        <f t="shared" si="11"/>
        <v>0.24999996710988942</v>
      </c>
      <c r="L117" s="13">
        <f t="shared" si="12"/>
        <v>0.38399989755825542</v>
      </c>
      <c r="M117" s="13">
        <f t="shared" si="13"/>
        <v>0.69350013498654928</v>
      </c>
      <c r="N117" s="13">
        <f t="shared" si="14"/>
        <v>0.84459992648928361</v>
      </c>
      <c r="O117" s="133">
        <f>B117-Table1[[#This Row],[Total]]</f>
        <v>2</v>
      </c>
    </row>
    <row r="118" spans="1:15" x14ac:dyDescent="0.3">
      <c r="A118" s="2">
        <v>43581</v>
      </c>
      <c r="B118" s="3">
        <v>22151687</v>
      </c>
      <c r="C118" s="3">
        <v>5759438</v>
      </c>
      <c r="D118" s="3">
        <v>2188586</v>
      </c>
      <c r="E118" s="3">
        <v>1533761</v>
      </c>
      <c r="F118" s="3">
        <v>1307991</v>
      </c>
      <c r="G118" s="7">
        <f t="shared" si="10"/>
        <v>5.9047015245385151E-2</v>
      </c>
      <c r="H118" s="7">
        <f t="shared" si="15"/>
        <v>-7.8703103693101739E-2</v>
      </c>
      <c r="I118" s="7">
        <f t="shared" si="16"/>
        <v>0</v>
      </c>
      <c r="J118" s="7">
        <f t="shared" si="17"/>
        <v>-7.8703103693101739E-2</v>
      </c>
      <c r="K118" s="7">
        <f t="shared" si="11"/>
        <v>0.25999997201116104</v>
      </c>
      <c r="L118" s="7">
        <f t="shared" si="12"/>
        <v>0.37999992360365714</v>
      </c>
      <c r="M118" s="7">
        <f t="shared" si="13"/>
        <v>0.70079996856417792</v>
      </c>
      <c r="N118" s="7">
        <f t="shared" si="14"/>
        <v>0.85279975172142208</v>
      </c>
      <c r="O118" s="133">
        <f>B118-Table1[[#This Row],[Total]]</f>
        <v>2</v>
      </c>
    </row>
    <row r="119" spans="1:15" x14ac:dyDescent="0.3">
      <c r="A119" s="2">
        <v>43582</v>
      </c>
      <c r="B119" s="3">
        <v>47134238</v>
      </c>
      <c r="C119" s="3">
        <v>9997171</v>
      </c>
      <c r="D119" s="3">
        <v>3297067</v>
      </c>
      <c r="E119" s="3">
        <v>2354106</v>
      </c>
      <c r="F119" s="3">
        <v>1744392</v>
      </c>
      <c r="G119" s="7">
        <f t="shared" si="10"/>
        <v>3.7009020915963468E-2</v>
      </c>
      <c r="H119" s="7">
        <f t="shared" si="15"/>
        <v>9.246269927953743E-2</v>
      </c>
      <c r="I119" s="7">
        <f t="shared" si="16"/>
        <v>6.0606059924187328E-2</v>
      </c>
      <c r="J119" s="7">
        <f t="shared" si="17"/>
        <v>3.0036259982926472E-2</v>
      </c>
      <c r="K119" s="7">
        <f t="shared" si="11"/>
        <v>0.21209998133416308</v>
      </c>
      <c r="L119" s="7">
        <f t="shared" si="12"/>
        <v>0.32980000042011887</v>
      </c>
      <c r="M119" s="7">
        <f t="shared" si="13"/>
        <v>0.71400004913457926</v>
      </c>
      <c r="N119" s="7">
        <f t="shared" si="14"/>
        <v>0.74099976806481949</v>
      </c>
      <c r="O119" s="133">
        <f>B119-Table1[[#This Row],[Total]]</f>
        <v>2</v>
      </c>
    </row>
    <row r="120" spans="1:15" x14ac:dyDescent="0.3">
      <c r="A120" s="2">
        <v>43583</v>
      </c>
      <c r="B120" s="3">
        <v>46236443</v>
      </c>
      <c r="C120" s="3">
        <v>9224170</v>
      </c>
      <c r="D120" s="3">
        <v>3261666</v>
      </c>
      <c r="E120" s="3">
        <v>2151395</v>
      </c>
      <c r="F120" s="3">
        <v>1644526</v>
      </c>
      <c r="G120" s="7">
        <f t="shared" si="10"/>
        <v>3.5567744690048933E-2</v>
      </c>
      <c r="H120" s="7">
        <f t="shared" si="15"/>
        <v>-0.14794268586809256</v>
      </c>
      <c r="I120" s="7">
        <f t="shared" si="16"/>
        <v>-9.6153739053844722E-3</v>
      </c>
      <c r="J120" s="7">
        <f t="shared" si="17"/>
        <v>-0.13967029406360465</v>
      </c>
      <c r="K120" s="7">
        <f t="shared" si="11"/>
        <v>0.19949999181381664</v>
      </c>
      <c r="L120" s="7">
        <f t="shared" si="12"/>
        <v>0.3535999444936509</v>
      </c>
      <c r="M120" s="7">
        <f t="shared" si="13"/>
        <v>0.65960003262136591</v>
      </c>
      <c r="N120" s="7">
        <f t="shared" si="14"/>
        <v>0.76439984289263474</v>
      </c>
      <c r="O120" s="133">
        <f>B120-Table1[[#This Row],[Total]]</f>
        <v>2</v>
      </c>
    </row>
    <row r="121" spans="1:15" x14ac:dyDescent="0.3">
      <c r="A121" s="2">
        <v>43584</v>
      </c>
      <c r="B121" s="3">
        <v>20631473</v>
      </c>
      <c r="C121" s="3">
        <v>5209447</v>
      </c>
      <c r="D121" s="3">
        <v>2062941</v>
      </c>
      <c r="E121" s="3">
        <v>1475828</v>
      </c>
      <c r="F121" s="3">
        <v>1210178</v>
      </c>
      <c r="G121" s="7">
        <f t="shared" si="10"/>
        <v>5.8656887949784291E-2</v>
      </c>
      <c r="H121" s="7">
        <f t="shared" si="15"/>
        <v>-0.17094798772087394</v>
      </c>
      <c r="I121" s="7">
        <f t="shared" si="16"/>
        <v>-1.041664768062156E-2</v>
      </c>
      <c r="J121" s="7">
        <f t="shared" si="17"/>
        <v>-0.16222114050726522</v>
      </c>
      <c r="K121" s="7">
        <f t="shared" si="11"/>
        <v>0.25250000327170047</v>
      </c>
      <c r="L121" s="7">
        <f t="shared" si="12"/>
        <v>0.39599999769649252</v>
      </c>
      <c r="M121" s="7">
        <f t="shared" si="13"/>
        <v>0.71540000416880556</v>
      </c>
      <c r="N121" s="7">
        <f t="shared" si="14"/>
        <v>0.81999934951769449</v>
      </c>
      <c r="O121" s="133">
        <f>B121-Table1[[#This Row],[Total]]</f>
        <v>1</v>
      </c>
    </row>
    <row r="122" spans="1:15" x14ac:dyDescent="0.3">
      <c r="A122" s="2">
        <v>43585</v>
      </c>
      <c r="B122" s="3">
        <v>21065820</v>
      </c>
      <c r="C122" s="3">
        <v>5319119</v>
      </c>
      <c r="D122" s="3">
        <v>2148924</v>
      </c>
      <c r="E122" s="3">
        <v>1490279</v>
      </c>
      <c r="F122" s="3">
        <v>1246469</v>
      </c>
      <c r="G122" s="7">
        <f t="shared" si="10"/>
        <v>5.9170210321743945E-2</v>
      </c>
      <c r="H122" s="7">
        <f t="shared" si="15"/>
        <v>8.5294138133996444E-2</v>
      </c>
      <c r="I122" s="7">
        <f t="shared" si="16"/>
        <v>2.105264127287465E-2</v>
      </c>
      <c r="J122" s="7">
        <f t="shared" si="17"/>
        <v>6.2916929318195036E-2</v>
      </c>
      <c r="K122" s="7">
        <f t="shared" si="11"/>
        <v>0.25249997389135576</v>
      </c>
      <c r="L122" s="7">
        <f t="shared" si="12"/>
        <v>0.40399998571191958</v>
      </c>
      <c r="M122" s="7">
        <f t="shared" si="13"/>
        <v>0.69350009586192907</v>
      </c>
      <c r="N122" s="7">
        <f t="shared" si="14"/>
        <v>0.83639976138696182</v>
      </c>
      <c r="O122" s="133">
        <f>B122-Table1[[#This Row],[Total]]</f>
        <v>1</v>
      </c>
    </row>
    <row r="123" spans="1:15" x14ac:dyDescent="0.3">
      <c r="A123" s="2">
        <v>43586</v>
      </c>
      <c r="B123" s="3">
        <v>22803207</v>
      </c>
      <c r="C123" s="3">
        <v>5529777</v>
      </c>
      <c r="D123" s="3">
        <v>2278268</v>
      </c>
      <c r="E123" s="3">
        <v>1696398</v>
      </c>
      <c r="F123" s="3">
        <v>1460599</v>
      </c>
      <c r="G123" s="7">
        <f t="shared" si="10"/>
        <v>6.4052350180393486E-2</v>
      </c>
      <c r="H123" s="7">
        <f t="shared" si="15"/>
        <v>-1.1071457346926161E-2</v>
      </c>
      <c r="I123" s="7">
        <f t="shared" si="16"/>
        <v>5.0000000000000044E-2</v>
      </c>
      <c r="J123" s="7">
        <f t="shared" si="17"/>
        <v>-5.8163292711358228E-2</v>
      </c>
      <c r="K123" s="7">
        <f t="shared" si="11"/>
        <v>0.24249996941219715</v>
      </c>
      <c r="L123" s="7">
        <f t="shared" si="12"/>
        <v>0.41199997757594925</v>
      </c>
      <c r="M123" s="7">
        <f t="shared" si="13"/>
        <v>0.7445998451455228</v>
      </c>
      <c r="N123" s="7">
        <f t="shared" si="14"/>
        <v>0.86100018981394699</v>
      </c>
      <c r="O123" s="133">
        <f>B123-Table1[[#This Row],[Total]]</f>
        <v>2</v>
      </c>
    </row>
    <row r="124" spans="1:15" x14ac:dyDescent="0.3">
      <c r="A124" s="2">
        <v>43587</v>
      </c>
      <c r="B124" s="3">
        <v>21282993</v>
      </c>
      <c r="C124" s="3">
        <v>5533578</v>
      </c>
      <c r="D124" s="3">
        <v>2169162</v>
      </c>
      <c r="E124" s="3">
        <v>1615158</v>
      </c>
      <c r="F124" s="3">
        <v>1284697</v>
      </c>
      <c r="G124" s="7">
        <f t="shared" si="10"/>
        <v>6.0362609713774752E-2</v>
      </c>
      <c r="H124" s="7">
        <f t="shared" si="15"/>
        <v>1.9271173724444424E-3</v>
      </c>
      <c r="I124" s="7">
        <f t="shared" si="16"/>
        <v>-6.6666675437362821E-2</v>
      </c>
      <c r="J124" s="7">
        <f t="shared" si="17"/>
        <v>7.3493350129709034E-2</v>
      </c>
      <c r="K124" s="7">
        <f t="shared" si="11"/>
        <v>0.25999999154254289</v>
      </c>
      <c r="L124" s="7">
        <f t="shared" si="12"/>
        <v>0.39199989590821704</v>
      </c>
      <c r="M124" s="7">
        <f t="shared" si="13"/>
        <v>0.74459998838261043</v>
      </c>
      <c r="N124" s="7">
        <f t="shared" si="14"/>
        <v>0.79540020233314634</v>
      </c>
      <c r="O124" s="133">
        <f>B124-Table1[[#This Row],[Total]]</f>
        <v>1</v>
      </c>
    </row>
    <row r="125" spans="1:15" x14ac:dyDescent="0.3">
      <c r="A125" s="2">
        <v>43588</v>
      </c>
      <c r="B125" s="3">
        <v>20848646</v>
      </c>
      <c r="C125" s="3">
        <v>5264283</v>
      </c>
      <c r="D125" s="3">
        <v>2147827</v>
      </c>
      <c r="E125" s="3">
        <v>1552235</v>
      </c>
      <c r="F125" s="3">
        <v>1260104</v>
      </c>
      <c r="G125" s="7">
        <f t="shared" si="10"/>
        <v>6.0440567699216532E-2</v>
      </c>
      <c r="H125" s="7">
        <f t="shared" si="15"/>
        <v>-3.6611108180407914E-2</v>
      </c>
      <c r="I125" s="7">
        <f t="shared" si="16"/>
        <v>-5.8823555966640351E-2</v>
      </c>
      <c r="J125" s="7">
        <f t="shared" si="17"/>
        <v>2.3600726438755881E-2</v>
      </c>
      <c r="K125" s="7">
        <f t="shared" si="11"/>
        <v>0.25249999448405425</v>
      </c>
      <c r="L125" s="7">
        <f t="shared" si="12"/>
        <v>0.40799991185884193</v>
      </c>
      <c r="M125" s="7">
        <f t="shared" si="13"/>
        <v>0.72270019885214221</v>
      </c>
      <c r="N125" s="7">
        <f t="shared" si="14"/>
        <v>0.81179975970133389</v>
      </c>
      <c r="O125" s="133">
        <f>B125-Table1[[#This Row],[Total]]</f>
        <v>1</v>
      </c>
    </row>
    <row r="126" spans="1:15" x14ac:dyDescent="0.3">
      <c r="A126" s="2">
        <v>43589</v>
      </c>
      <c r="B126" s="3">
        <v>43094160</v>
      </c>
      <c r="C126" s="3">
        <v>9321266</v>
      </c>
      <c r="D126" s="3">
        <v>3042461</v>
      </c>
      <c r="E126" s="3">
        <v>1986118</v>
      </c>
      <c r="F126" s="3">
        <v>1487205</v>
      </c>
      <c r="G126" s="7">
        <f t="shared" si="10"/>
        <v>3.4510592618582192E-2</v>
      </c>
      <c r="H126" s="7">
        <f t="shared" si="15"/>
        <v>-0.14743647070153953</v>
      </c>
      <c r="I126" s="7">
        <f t="shared" si="16"/>
        <v>-8.5714295413028663E-2</v>
      </c>
      <c r="J126" s="7">
        <f t="shared" si="17"/>
        <v>-6.750862993794049E-2</v>
      </c>
      <c r="K126" s="7">
        <f t="shared" si="11"/>
        <v>0.21629998125035968</v>
      </c>
      <c r="L126" s="7">
        <f t="shared" si="12"/>
        <v>0.32639997614058003</v>
      </c>
      <c r="M126" s="7">
        <f t="shared" si="13"/>
        <v>0.65279982224915944</v>
      </c>
      <c r="N126" s="7">
        <f t="shared" si="14"/>
        <v>0.74879992024643049</v>
      </c>
      <c r="O126" s="133">
        <f>B126-Table1[[#This Row],[Total]]</f>
        <v>2</v>
      </c>
    </row>
    <row r="127" spans="1:15" x14ac:dyDescent="0.3">
      <c r="A127" s="2">
        <v>43590</v>
      </c>
      <c r="B127" s="3">
        <v>43991955</v>
      </c>
      <c r="C127" s="3">
        <v>8868778</v>
      </c>
      <c r="D127" s="3">
        <v>3136000</v>
      </c>
      <c r="E127" s="3">
        <v>2068505</v>
      </c>
      <c r="F127" s="3">
        <v>1532762</v>
      </c>
      <c r="G127" s="7">
        <f t="shared" si="10"/>
        <v>3.4841870519280171E-2</v>
      </c>
      <c r="H127" s="7">
        <f t="shared" si="15"/>
        <v>-6.796122408523797E-2</v>
      </c>
      <c r="I127" s="7">
        <f t="shared" si="16"/>
        <v>-4.8543699609418511E-2</v>
      </c>
      <c r="J127" s="7">
        <f t="shared" si="17"/>
        <v>-2.040821472079013E-2</v>
      </c>
      <c r="K127" s="7">
        <f t="shared" si="11"/>
        <v>0.2015999970903771</v>
      </c>
      <c r="L127" s="7">
        <f t="shared" si="12"/>
        <v>0.35360001118530648</v>
      </c>
      <c r="M127" s="7">
        <f t="shared" si="13"/>
        <v>0.65959980867346935</v>
      </c>
      <c r="N127" s="7">
        <f t="shared" si="14"/>
        <v>0.74099990089460743</v>
      </c>
      <c r="O127" s="133">
        <f>B127-Table1[[#This Row],[Total]]</f>
        <v>0</v>
      </c>
    </row>
    <row r="128" spans="1:15" x14ac:dyDescent="0.3">
      <c r="A128" s="2">
        <v>43591</v>
      </c>
      <c r="B128" s="3">
        <v>21717340</v>
      </c>
      <c r="C128" s="3">
        <v>5157868</v>
      </c>
      <c r="D128" s="3">
        <v>1959989</v>
      </c>
      <c r="E128" s="3">
        <v>1430792</v>
      </c>
      <c r="F128" s="3">
        <v>1161517</v>
      </c>
      <c r="G128" s="7">
        <f t="shared" si="10"/>
        <v>5.3483391612416623E-2</v>
      </c>
      <c r="H128" s="7">
        <f t="shared" si="15"/>
        <v>-4.0209787320542922E-2</v>
      </c>
      <c r="I128" s="7">
        <f t="shared" si="16"/>
        <v>5.2631578947368363E-2</v>
      </c>
      <c r="J128" s="7">
        <f t="shared" si="17"/>
        <v>-8.8199297954515754E-2</v>
      </c>
      <c r="K128" s="7">
        <f t="shared" si="11"/>
        <v>0.23749998848846129</v>
      </c>
      <c r="L128" s="7">
        <f t="shared" si="12"/>
        <v>0.37999983714201296</v>
      </c>
      <c r="M128" s="7">
        <f t="shared" si="13"/>
        <v>0.73000001530620839</v>
      </c>
      <c r="N128" s="7">
        <f t="shared" si="14"/>
        <v>0.81180003802090028</v>
      </c>
      <c r="O128" s="133">
        <f>B128-Table1[[#This Row],[Total]]</f>
        <v>2</v>
      </c>
    </row>
    <row r="129" spans="1:15" x14ac:dyDescent="0.3">
      <c r="A129" s="2">
        <v>43592</v>
      </c>
      <c r="B129" s="3">
        <v>22151687</v>
      </c>
      <c r="C129" s="3">
        <v>5814817</v>
      </c>
      <c r="D129" s="3">
        <v>2372445</v>
      </c>
      <c r="E129" s="3">
        <v>1679928</v>
      </c>
      <c r="F129" s="3">
        <v>1308664</v>
      </c>
      <c r="G129" s="7">
        <f t="shared" si="10"/>
        <v>5.9077396678636714E-2</v>
      </c>
      <c r="H129" s="7">
        <f t="shared" si="15"/>
        <v>4.9896948901256177E-2</v>
      </c>
      <c r="I129" s="7">
        <f t="shared" si="16"/>
        <v>5.154639126319327E-2</v>
      </c>
      <c r="J129" s="7">
        <f t="shared" si="17"/>
        <v>-1.5685873449249321E-3</v>
      </c>
      <c r="K129" s="7">
        <f t="shared" si="11"/>
        <v>0.26249996219249577</v>
      </c>
      <c r="L129" s="7">
        <f t="shared" si="12"/>
        <v>0.4079999422165822</v>
      </c>
      <c r="M129" s="7">
        <f t="shared" si="13"/>
        <v>0.70809987165139765</v>
      </c>
      <c r="N129" s="7">
        <f t="shared" si="14"/>
        <v>0.77900005238319736</v>
      </c>
      <c r="O129" s="133">
        <f>B129-Table1[[#This Row],[Total]]</f>
        <v>2</v>
      </c>
    </row>
    <row r="130" spans="1:15" x14ac:dyDescent="0.3">
      <c r="A130" s="2">
        <v>43593</v>
      </c>
      <c r="B130" s="3">
        <v>22803207</v>
      </c>
      <c r="C130" s="3">
        <v>5757809</v>
      </c>
      <c r="D130" s="3">
        <v>2187967</v>
      </c>
      <c r="E130" s="3">
        <v>1565272</v>
      </c>
      <c r="F130" s="3">
        <v>1334864</v>
      </c>
      <c r="G130" s="7">
        <f t="shared" si="10"/>
        <v>5.8538432773951488E-2</v>
      </c>
      <c r="H130" s="7">
        <f t="shared" si="15"/>
        <v>-8.6084544765537951E-2</v>
      </c>
      <c r="I130" s="7">
        <f t="shared" si="16"/>
        <v>0</v>
      </c>
      <c r="J130" s="7">
        <f t="shared" si="17"/>
        <v>-8.6084544765537951E-2</v>
      </c>
      <c r="K130" s="7">
        <f t="shared" si="11"/>
        <v>0.25249996634245347</v>
      </c>
      <c r="L130" s="7">
        <f t="shared" si="12"/>
        <v>0.37999992705558661</v>
      </c>
      <c r="M130" s="7">
        <f t="shared" si="13"/>
        <v>0.71540018656588511</v>
      </c>
      <c r="N130" s="7">
        <f t="shared" si="14"/>
        <v>0.85280002453247739</v>
      </c>
      <c r="O130" s="133">
        <f>B130-Table1[[#This Row],[Total]]</f>
        <v>2</v>
      </c>
    </row>
    <row r="131" spans="1:15" x14ac:dyDescent="0.3">
      <c r="A131" s="2">
        <v>43594</v>
      </c>
      <c r="B131" s="3">
        <v>21065820</v>
      </c>
      <c r="C131" s="3">
        <v>5108461</v>
      </c>
      <c r="D131" s="3">
        <v>2063818</v>
      </c>
      <c r="E131" s="3">
        <v>1506587</v>
      </c>
      <c r="F131" s="3">
        <v>1210693</v>
      </c>
      <c r="G131" s="7">
        <f t="shared" si="10"/>
        <v>5.7471914219337297E-2</v>
      </c>
      <c r="H131" s="7">
        <f t="shared" si="15"/>
        <v>-5.7604244424950046E-2</v>
      </c>
      <c r="I131" s="7">
        <f t="shared" si="16"/>
        <v>-1.0204062934193514E-2</v>
      </c>
      <c r="J131" s="7">
        <f t="shared" si="17"/>
        <v>-4.7888842250930708E-2</v>
      </c>
      <c r="K131" s="7">
        <f t="shared" si="11"/>
        <v>0.24249998338540821</v>
      </c>
      <c r="L131" s="7">
        <f t="shared" si="12"/>
        <v>0.40399995223610397</v>
      </c>
      <c r="M131" s="7">
        <f t="shared" si="13"/>
        <v>0.72999993216456105</v>
      </c>
      <c r="N131" s="7">
        <f t="shared" si="14"/>
        <v>0.80359979211290156</v>
      </c>
      <c r="O131" s="133">
        <f>B131-Table1[[#This Row],[Total]]</f>
        <v>1</v>
      </c>
    </row>
    <row r="132" spans="1:15" x14ac:dyDescent="0.3">
      <c r="A132" s="2">
        <v>43595</v>
      </c>
      <c r="B132" s="3">
        <v>21065820</v>
      </c>
      <c r="C132" s="3">
        <v>5213790</v>
      </c>
      <c r="D132" s="3">
        <v>2168936</v>
      </c>
      <c r="E132" s="3">
        <v>1583323</v>
      </c>
      <c r="F132" s="3">
        <v>1337275</v>
      </c>
      <c r="G132" s="7">
        <f t="shared" ref="G132:G195" si="18">F132/B132</f>
        <v>6.3480794955999814E-2</v>
      </c>
      <c r="H132" s="7">
        <f t="shared" si="15"/>
        <v>6.1241770520528371E-2</v>
      </c>
      <c r="I132" s="7">
        <f t="shared" si="16"/>
        <v>1.0416695645367069E-2</v>
      </c>
      <c r="J132" s="7">
        <f t="shared" si="17"/>
        <v>5.030110358845441E-2</v>
      </c>
      <c r="K132" s="7">
        <f t="shared" ref="K132:K195" si="19">C132/B132</f>
        <v>0.247499978638382</v>
      </c>
      <c r="L132" s="7">
        <f t="shared" ref="L132:L195" si="20">D132/C132</f>
        <v>0.41599987724860416</v>
      </c>
      <c r="M132" s="7">
        <f t="shared" ref="M132:M195" si="21">E132/D132</f>
        <v>0.72999987090444352</v>
      </c>
      <c r="N132" s="7">
        <f t="shared" ref="N132:N195" si="22">F132/E132</f>
        <v>0.84460024897004593</v>
      </c>
      <c r="O132" s="133">
        <f>B132-Table1[[#This Row],[Total]]</f>
        <v>1</v>
      </c>
    </row>
    <row r="133" spans="1:15" x14ac:dyDescent="0.3">
      <c r="A133" s="2">
        <v>43596</v>
      </c>
      <c r="B133" s="3">
        <v>45787545</v>
      </c>
      <c r="C133" s="3">
        <v>10096153</v>
      </c>
      <c r="D133" s="3">
        <v>3398365</v>
      </c>
      <c r="E133" s="3">
        <v>2218452</v>
      </c>
      <c r="F133" s="3">
        <v>1678481</v>
      </c>
      <c r="G133" s="7">
        <f t="shared" si="18"/>
        <v>3.6658025670518041E-2</v>
      </c>
      <c r="H133" s="7">
        <f t="shared" si="15"/>
        <v>0.12861441428720322</v>
      </c>
      <c r="I133" s="7">
        <f t="shared" si="16"/>
        <v>6.25E-2</v>
      </c>
      <c r="J133" s="7">
        <f t="shared" si="17"/>
        <v>6.2225331093838321E-2</v>
      </c>
      <c r="K133" s="7">
        <f t="shared" si="19"/>
        <v>0.22049998531259976</v>
      </c>
      <c r="L133" s="7">
        <f t="shared" si="20"/>
        <v>0.33659999011504677</v>
      </c>
      <c r="M133" s="7">
        <f t="shared" si="21"/>
        <v>0.6527998022578505</v>
      </c>
      <c r="N133" s="7">
        <f t="shared" si="22"/>
        <v>0.75660009772580161</v>
      </c>
      <c r="O133" s="133">
        <f>B133-Table1[[#This Row],[Total]]</f>
        <v>1</v>
      </c>
    </row>
    <row r="134" spans="1:15" x14ac:dyDescent="0.3">
      <c r="A134" s="2">
        <v>43597</v>
      </c>
      <c r="B134" s="3">
        <v>42645263</v>
      </c>
      <c r="C134" s="3">
        <v>8955505</v>
      </c>
      <c r="D134" s="3">
        <v>3166666</v>
      </c>
      <c r="E134" s="3">
        <v>2088733</v>
      </c>
      <c r="F134" s="3">
        <v>1564043</v>
      </c>
      <c r="G134" s="7">
        <f t="shared" si="18"/>
        <v>3.6675656098075889E-2</v>
      </c>
      <c r="H134" s="7">
        <f t="shared" si="15"/>
        <v>2.0408256467735919E-2</v>
      </c>
      <c r="I134" s="7">
        <f t="shared" si="16"/>
        <v>-3.0612233532244737E-2</v>
      </c>
      <c r="J134" s="7">
        <f t="shared" si="17"/>
        <v>5.2631662751314368E-2</v>
      </c>
      <c r="K134" s="7">
        <f t="shared" si="19"/>
        <v>0.20999999460666943</v>
      </c>
      <c r="L134" s="7">
        <f t="shared" si="20"/>
        <v>0.35359993657532435</v>
      </c>
      <c r="M134" s="7">
        <f t="shared" si="21"/>
        <v>0.65960003360000707</v>
      </c>
      <c r="N134" s="7">
        <f t="shared" si="22"/>
        <v>0.74879987054353048</v>
      </c>
      <c r="O134" s="133">
        <f>B134-Table1[[#This Row],[Total]]</f>
        <v>2</v>
      </c>
    </row>
    <row r="135" spans="1:15" x14ac:dyDescent="0.3">
      <c r="A135" s="2">
        <v>43598</v>
      </c>
      <c r="B135" s="3">
        <v>20848646</v>
      </c>
      <c r="C135" s="3">
        <v>5420648</v>
      </c>
      <c r="D135" s="3">
        <v>2059846</v>
      </c>
      <c r="E135" s="3">
        <v>1428503</v>
      </c>
      <c r="F135" s="3">
        <v>1229941</v>
      </c>
      <c r="G135" s="7">
        <f t="shared" si="18"/>
        <v>5.8993807079845854E-2</v>
      </c>
      <c r="H135" s="7">
        <f t="shared" si="15"/>
        <v>5.8909167924360961E-2</v>
      </c>
      <c r="I135" s="7">
        <f t="shared" si="16"/>
        <v>-4.0000018418461902E-2</v>
      </c>
      <c r="J135" s="7">
        <f t="shared" si="17"/>
        <v>0.10303040441717126</v>
      </c>
      <c r="K135" s="7">
        <f t="shared" si="19"/>
        <v>0.2600000019185898</v>
      </c>
      <c r="L135" s="7">
        <f t="shared" si="20"/>
        <v>0.37999995572485062</v>
      </c>
      <c r="M135" s="7">
        <f t="shared" si="21"/>
        <v>0.69349990241988968</v>
      </c>
      <c r="N135" s="7">
        <f t="shared" si="22"/>
        <v>0.86099994189721685</v>
      </c>
      <c r="O135" s="133">
        <f>B135-Table1[[#This Row],[Total]]</f>
        <v>1</v>
      </c>
    </row>
    <row r="136" spans="1:15" x14ac:dyDescent="0.3">
      <c r="A136" s="2">
        <v>43599</v>
      </c>
      <c r="B136" s="3">
        <v>22803207</v>
      </c>
      <c r="C136" s="3">
        <v>5700801</v>
      </c>
      <c r="D136" s="3">
        <v>2280320</v>
      </c>
      <c r="E136" s="3">
        <v>1731219</v>
      </c>
      <c r="F136" s="3">
        <v>1433796</v>
      </c>
      <c r="G136" s="7">
        <f t="shared" si="18"/>
        <v>6.287694533492591E-2</v>
      </c>
      <c r="H136" s="7">
        <f t="shared" si="15"/>
        <v>9.5618126577945217E-2</v>
      </c>
      <c r="I136" s="7">
        <f t="shared" si="16"/>
        <v>2.9411755411675955E-2</v>
      </c>
      <c r="J136" s="7">
        <f t="shared" si="17"/>
        <v>6.4314761142194588E-2</v>
      </c>
      <c r="K136" s="7">
        <f t="shared" si="19"/>
        <v>0.24999996710988942</v>
      </c>
      <c r="L136" s="7">
        <f t="shared" si="20"/>
        <v>0.39999992983442151</v>
      </c>
      <c r="M136" s="7">
        <f t="shared" si="21"/>
        <v>0.75920002455795677</v>
      </c>
      <c r="N136" s="7">
        <f t="shared" si="22"/>
        <v>0.82820024502965828</v>
      </c>
      <c r="O136" s="133">
        <f>B136-Table1[[#This Row],[Total]]</f>
        <v>2</v>
      </c>
    </row>
    <row r="137" spans="1:15" x14ac:dyDescent="0.3">
      <c r="A137" s="2">
        <v>43600</v>
      </c>
      <c r="B137" s="3">
        <v>21934513</v>
      </c>
      <c r="C137" s="3">
        <v>5483628</v>
      </c>
      <c r="D137" s="3">
        <v>2303123</v>
      </c>
      <c r="E137" s="3">
        <v>1647654</v>
      </c>
      <c r="F137" s="3">
        <v>1283523</v>
      </c>
      <c r="G137" s="7">
        <f t="shared" si="18"/>
        <v>5.8516138470911118E-2</v>
      </c>
      <c r="H137" s="7">
        <f t="shared" si="15"/>
        <v>-3.8461596087691285E-2</v>
      </c>
      <c r="I137" s="7">
        <f t="shared" si="16"/>
        <v>-3.809525563663041E-2</v>
      </c>
      <c r="J137" s="7">
        <f t="shared" si="17"/>
        <v>-3.808489907213275E-4</v>
      </c>
      <c r="K137" s="7">
        <f t="shared" si="19"/>
        <v>0.24999998860243672</v>
      </c>
      <c r="L137" s="7">
        <f t="shared" si="20"/>
        <v>0.41999986140562418</v>
      </c>
      <c r="M137" s="7">
        <f t="shared" si="21"/>
        <v>0.71539991567970973</v>
      </c>
      <c r="N137" s="7">
        <f t="shared" si="22"/>
        <v>0.7790003240971709</v>
      </c>
      <c r="O137" s="133">
        <f>B137-Table1[[#This Row],[Total]]</f>
        <v>2</v>
      </c>
    </row>
    <row r="138" spans="1:15" x14ac:dyDescent="0.3">
      <c r="A138" s="2">
        <v>43601</v>
      </c>
      <c r="B138" s="3">
        <v>21065820</v>
      </c>
      <c r="C138" s="3">
        <v>5424448</v>
      </c>
      <c r="D138" s="3">
        <v>2256570</v>
      </c>
      <c r="E138" s="3">
        <v>1680242</v>
      </c>
      <c r="F138" s="3">
        <v>1377798</v>
      </c>
      <c r="G138" s="7">
        <f t="shared" si="18"/>
        <v>6.5404432393327203E-2</v>
      </c>
      <c r="H138" s="7">
        <f t="shared" si="15"/>
        <v>0.13802425552968423</v>
      </c>
      <c r="I138" s="7">
        <f t="shared" si="16"/>
        <v>0</v>
      </c>
      <c r="J138" s="7">
        <f t="shared" si="17"/>
        <v>0.13802425552968423</v>
      </c>
      <c r="K138" s="7">
        <f t="shared" si="19"/>
        <v>0.25749996914432954</v>
      </c>
      <c r="L138" s="7">
        <f t="shared" si="20"/>
        <v>0.41599993215899572</v>
      </c>
      <c r="M138" s="7">
        <f t="shared" si="21"/>
        <v>0.74459999025069024</v>
      </c>
      <c r="N138" s="7">
        <f t="shared" si="22"/>
        <v>0.81999973813295945</v>
      </c>
      <c r="O138" s="133">
        <f>B138-Table1[[#This Row],[Total]]</f>
        <v>1</v>
      </c>
    </row>
    <row r="139" spans="1:15" x14ac:dyDescent="0.3">
      <c r="A139" s="2">
        <v>43602</v>
      </c>
      <c r="B139" s="3">
        <v>20631473</v>
      </c>
      <c r="C139" s="3">
        <v>5312604</v>
      </c>
      <c r="D139" s="3">
        <v>2082540</v>
      </c>
      <c r="E139" s="3">
        <v>1489849</v>
      </c>
      <c r="F139" s="3">
        <v>1185026</v>
      </c>
      <c r="G139" s="7">
        <f t="shared" si="18"/>
        <v>5.7437779648598045E-2</v>
      </c>
      <c r="H139" s="7">
        <f t="shared" ref="H139:H202" si="23">(F139/F132)-1</f>
        <v>-0.11385018040418016</v>
      </c>
      <c r="I139" s="7">
        <f t="shared" ref="I139:I202" si="24">(B139/B132)-1</f>
        <v>-2.0618565999329763E-2</v>
      </c>
      <c r="J139" s="7">
        <f t="shared" ref="J139:J202" si="25">(G139/G132)-1</f>
        <v>-9.5194386138206633E-2</v>
      </c>
      <c r="K139" s="7">
        <f t="shared" si="19"/>
        <v>0.25749998558028309</v>
      </c>
      <c r="L139" s="7">
        <f t="shared" si="20"/>
        <v>0.39199985543812416</v>
      </c>
      <c r="M139" s="7">
        <f t="shared" si="21"/>
        <v>0.71539994429878895</v>
      </c>
      <c r="N139" s="7">
        <f t="shared" si="22"/>
        <v>0.79540007074542451</v>
      </c>
      <c r="O139" s="133">
        <f>B139-Table1[[#This Row],[Total]]</f>
        <v>1</v>
      </c>
    </row>
    <row r="140" spans="1:15" x14ac:dyDescent="0.3">
      <c r="A140" s="2">
        <v>43603</v>
      </c>
      <c r="B140" s="3">
        <v>44889750</v>
      </c>
      <c r="C140" s="3">
        <v>9332579</v>
      </c>
      <c r="D140" s="3">
        <v>3331730</v>
      </c>
      <c r="E140" s="3">
        <v>2152298</v>
      </c>
      <c r="F140" s="3">
        <v>1745944</v>
      </c>
      <c r="G140" s="7">
        <f t="shared" si="18"/>
        <v>3.8894045968177589E-2</v>
      </c>
      <c r="H140" s="7">
        <f t="shared" si="23"/>
        <v>4.0192888689237538E-2</v>
      </c>
      <c r="I140" s="7">
        <f t="shared" si="24"/>
        <v>-1.9607843137254943E-2</v>
      </c>
      <c r="J140" s="7">
        <f t="shared" si="25"/>
        <v>6.0996746463022111E-2</v>
      </c>
      <c r="K140" s="7">
        <f t="shared" si="19"/>
        <v>0.20789999944307999</v>
      </c>
      <c r="L140" s="7">
        <f t="shared" si="20"/>
        <v>0.35699992467248337</v>
      </c>
      <c r="M140" s="7">
        <f t="shared" si="21"/>
        <v>0.64600012606063517</v>
      </c>
      <c r="N140" s="7">
        <f t="shared" si="22"/>
        <v>0.81119993606833252</v>
      </c>
      <c r="O140" s="133">
        <f>B140-Table1[[#This Row],[Total]]</f>
        <v>1</v>
      </c>
    </row>
    <row r="141" spans="1:15" x14ac:dyDescent="0.3">
      <c r="A141" s="2">
        <v>43604</v>
      </c>
      <c r="B141" s="3">
        <v>47134238</v>
      </c>
      <c r="C141" s="3">
        <v>9403280</v>
      </c>
      <c r="D141" s="3">
        <v>3069230</v>
      </c>
      <c r="E141" s="3">
        <v>2066206</v>
      </c>
      <c r="F141" s="3">
        <v>1547175</v>
      </c>
      <c r="G141" s="7">
        <f t="shared" si="18"/>
        <v>3.2824865016381509E-2</v>
      </c>
      <c r="H141" s="7">
        <f t="shared" si="23"/>
        <v>-1.0784869725448676E-2</v>
      </c>
      <c r="I141" s="7">
        <f t="shared" si="24"/>
        <v>0.10526315666056507</v>
      </c>
      <c r="J141" s="7">
        <f t="shared" si="25"/>
        <v>-0.10499583351411135</v>
      </c>
      <c r="K141" s="7">
        <f t="shared" si="19"/>
        <v>0.19949998979510394</v>
      </c>
      <c r="L141" s="7">
        <f t="shared" si="20"/>
        <v>0.32639993704324449</v>
      </c>
      <c r="M141" s="7">
        <f t="shared" si="21"/>
        <v>0.67320011859652096</v>
      </c>
      <c r="N141" s="7">
        <f t="shared" si="22"/>
        <v>0.74879997444591684</v>
      </c>
      <c r="O141" s="133">
        <f>B141-Table1[[#This Row],[Total]]</f>
        <v>2</v>
      </c>
    </row>
    <row r="142" spans="1:15" x14ac:dyDescent="0.3">
      <c r="A142" s="2">
        <v>43605</v>
      </c>
      <c r="B142" s="3">
        <v>22368860</v>
      </c>
      <c r="C142" s="3">
        <v>5480370</v>
      </c>
      <c r="D142" s="3">
        <v>2148305</v>
      </c>
      <c r="E142" s="3">
        <v>1536897</v>
      </c>
      <c r="F142" s="3">
        <v>1310666</v>
      </c>
      <c r="G142" s="7">
        <f t="shared" si="18"/>
        <v>5.8593330192061643E-2</v>
      </c>
      <c r="H142" s="7">
        <f t="shared" si="23"/>
        <v>6.5633229561417927E-2</v>
      </c>
      <c r="I142" s="7">
        <f t="shared" si="24"/>
        <v>7.2916677658587448E-2</v>
      </c>
      <c r="J142" s="7">
        <f t="shared" si="25"/>
        <v>-6.7884564093682043E-3</v>
      </c>
      <c r="K142" s="7">
        <f t="shared" si="19"/>
        <v>0.24499996870649643</v>
      </c>
      <c r="L142" s="7">
        <f t="shared" si="20"/>
        <v>0.39199999270122271</v>
      </c>
      <c r="M142" s="7">
        <f t="shared" si="21"/>
        <v>0.71539981520314855</v>
      </c>
      <c r="N142" s="7">
        <f t="shared" si="22"/>
        <v>0.85280015511774698</v>
      </c>
      <c r="O142" s="133">
        <f>B142-Table1[[#This Row],[Total]]</f>
        <v>2</v>
      </c>
    </row>
    <row r="143" spans="1:15" x14ac:dyDescent="0.3">
      <c r="A143" s="2">
        <v>43606</v>
      </c>
      <c r="B143" s="3">
        <v>22368860</v>
      </c>
      <c r="C143" s="3">
        <v>5424448</v>
      </c>
      <c r="D143" s="3">
        <v>2148081</v>
      </c>
      <c r="E143" s="3">
        <v>1521056</v>
      </c>
      <c r="F143" s="3">
        <v>1234793</v>
      </c>
      <c r="G143" s="7">
        <f t="shared" si="18"/>
        <v>5.5201427341402286E-2</v>
      </c>
      <c r="H143" s="7">
        <f t="shared" si="23"/>
        <v>-0.13879450075185029</v>
      </c>
      <c r="I143" s="7">
        <f t="shared" si="24"/>
        <v>-1.9047627818315149E-2</v>
      </c>
      <c r="J143" s="7">
        <f t="shared" si="25"/>
        <v>-0.12207205602369087</v>
      </c>
      <c r="K143" s="7">
        <f t="shared" si="19"/>
        <v>0.24249997541224722</v>
      </c>
      <c r="L143" s="7">
        <f t="shared" si="20"/>
        <v>0.39599992478497353</v>
      </c>
      <c r="M143" s="7">
        <f t="shared" si="21"/>
        <v>0.7080999273304871</v>
      </c>
      <c r="N143" s="7">
        <f t="shared" si="22"/>
        <v>0.81179982854017207</v>
      </c>
      <c r="O143" s="133">
        <f>B143-Table1[[#This Row],[Total]]</f>
        <v>2</v>
      </c>
    </row>
    <row r="144" spans="1:15" x14ac:dyDescent="0.3">
      <c r="A144" s="2">
        <v>43607</v>
      </c>
      <c r="B144" s="3">
        <v>21934513</v>
      </c>
      <c r="C144" s="3">
        <v>5648137</v>
      </c>
      <c r="D144" s="3">
        <v>2372217</v>
      </c>
      <c r="E144" s="3">
        <v>1818304</v>
      </c>
      <c r="F144" s="3">
        <v>1476099</v>
      </c>
      <c r="G144" s="7">
        <f t="shared" si="18"/>
        <v>6.7295727058084218E-2</v>
      </c>
      <c r="H144" s="7">
        <f t="shared" si="23"/>
        <v>0.15003704647287197</v>
      </c>
      <c r="I144" s="7">
        <f t="shared" si="24"/>
        <v>0</v>
      </c>
      <c r="J144" s="7">
        <f t="shared" si="25"/>
        <v>0.15003704647287197</v>
      </c>
      <c r="K144" s="7">
        <f t="shared" si="19"/>
        <v>0.25749999555495034</v>
      </c>
      <c r="L144" s="7">
        <f t="shared" si="20"/>
        <v>0.41999990439325391</v>
      </c>
      <c r="M144" s="7">
        <f t="shared" si="21"/>
        <v>0.76649986067885023</v>
      </c>
      <c r="N144" s="7">
        <f t="shared" si="22"/>
        <v>0.81179989704691846</v>
      </c>
      <c r="O144" s="133">
        <f>B144-Table1[[#This Row],[Total]]</f>
        <v>2</v>
      </c>
    </row>
    <row r="145" spans="1:15" x14ac:dyDescent="0.3">
      <c r="A145" s="2">
        <v>43608</v>
      </c>
      <c r="B145" s="3">
        <v>21065820</v>
      </c>
      <c r="C145" s="3">
        <v>5319119</v>
      </c>
      <c r="D145" s="3">
        <v>2234030</v>
      </c>
      <c r="E145" s="3">
        <v>1614533</v>
      </c>
      <c r="F145" s="3">
        <v>1310678</v>
      </c>
      <c r="G145" s="7">
        <f t="shared" si="18"/>
        <v>6.2218228390824568E-2</v>
      </c>
      <c r="H145" s="7">
        <f t="shared" si="23"/>
        <v>-4.8715414015697567E-2</v>
      </c>
      <c r="I145" s="7">
        <f t="shared" si="24"/>
        <v>0</v>
      </c>
      <c r="J145" s="7">
        <f t="shared" si="25"/>
        <v>-4.8715414015697567E-2</v>
      </c>
      <c r="K145" s="7">
        <f t="shared" si="19"/>
        <v>0.25249997389135576</v>
      </c>
      <c r="L145" s="7">
        <f t="shared" si="20"/>
        <v>0.42000000376002117</v>
      </c>
      <c r="M145" s="7">
        <f t="shared" si="21"/>
        <v>0.72269978469402829</v>
      </c>
      <c r="N145" s="7">
        <f t="shared" si="22"/>
        <v>0.81180006850278064</v>
      </c>
      <c r="O145" s="133">
        <f>B145-Table1[[#This Row],[Total]]</f>
        <v>1</v>
      </c>
    </row>
    <row r="146" spans="1:15" x14ac:dyDescent="0.3">
      <c r="A146" s="2">
        <v>43609</v>
      </c>
      <c r="B146" s="3">
        <v>22368860</v>
      </c>
      <c r="C146" s="3">
        <v>5312604</v>
      </c>
      <c r="D146" s="3">
        <v>2082540</v>
      </c>
      <c r="E146" s="3">
        <v>1505052</v>
      </c>
      <c r="F146" s="3">
        <v>1295850</v>
      </c>
      <c r="G146" s="7">
        <f t="shared" si="18"/>
        <v>5.7930980836752521E-2</v>
      </c>
      <c r="H146" s="7">
        <f t="shared" si="23"/>
        <v>9.352031094676394E-2</v>
      </c>
      <c r="I146" s="7">
        <f t="shared" si="24"/>
        <v>8.4210516621862075E-2</v>
      </c>
      <c r="J146" s="7">
        <f t="shared" si="25"/>
        <v>8.5867035803239844E-3</v>
      </c>
      <c r="K146" s="7">
        <f t="shared" si="19"/>
        <v>0.23749998882374873</v>
      </c>
      <c r="L146" s="7">
        <f t="shared" si="20"/>
        <v>0.39199985543812416</v>
      </c>
      <c r="M146" s="7">
        <f t="shared" si="21"/>
        <v>0.72270016422253591</v>
      </c>
      <c r="N146" s="7">
        <f t="shared" si="22"/>
        <v>0.86100015148978237</v>
      </c>
      <c r="O146" s="133">
        <f>B146-Table1[[#This Row],[Total]]</f>
        <v>2</v>
      </c>
    </row>
    <row r="147" spans="1:15" x14ac:dyDescent="0.3">
      <c r="A147" s="2">
        <v>43610</v>
      </c>
      <c r="B147" s="3">
        <v>47134238</v>
      </c>
      <c r="C147" s="3">
        <v>9898190</v>
      </c>
      <c r="D147" s="3">
        <v>3500000</v>
      </c>
      <c r="E147" s="3">
        <v>2475200</v>
      </c>
      <c r="F147" s="3">
        <v>1853429</v>
      </c>
      <c r="G147" s="7">
        <f t="shared" si="18"/>
        <v>3.9322349923212929E-2</v>
      </c>
      <c r="H147" s="7">
        <f t="shared" si="23"/>
        <v>6.1562684713828197E-2</v>
      </c>
      <c r="I147" s="7">
        <f t="shared" si="24"/>
        <v>5.0000011138400247E-2</v>
      </c>
      <c r="J147" s="7">
        <f t="shared" si="25"/>
        <v>1.1012069955020243E-2</v>
      </c>
      <c r="K147" s="7">
        <f t="shared" si="19"/>
        <v>0.21000000042432002</v>
      </c>
      <c r="L147" s="7">
        <f t="shared" si="20"/>
        <v>0.35360000161645716</v>
      </c>
      <c r="M147" s="7">
        <f t="shared" si="21"/>
        <v>0.70720000000000005</v>
      </c>
      <c r="N147" s="7">
        <f t="shared" si="22"/>
        <v>0.74879969295410476</v>
      </c>
      <c r="O147" s="133">
        <f>B147-Table1[[#This Row],[Total]]</f>
        <v>2</v>
      </c>
    </row>
    <row r="148" spans="1:15" x14ac:dyDescent="0.3">
      <c r="A148" s="2">
        <v>43611</v>
      </c>
      <c r="B148" s="3">
        <v>47134238</v>
      </c>
      <c r="C148" s="3">
        <v>9799208</v>
      </c>
      <c r="D148" s="3">
        <v>3365048</v>
      </c>
      <c r="E148" s="3">
        <v>2288232</v>
      </c>
      <c r="F148" s="3">
        <v>1695580</v>
      </c>
      <c r="G148" s="7">
        <f t="shared" si="18"/>
        <v>3.5973425517136823E-2</v>
      </c>
      <c r="H148" s="7">
        <f t="shared" si="23"/>
        <v>9.5919983195178249E-2</v>
      </c>
      <c r="I148" s="7">
        <f t="shared" si="24"/>
        <v>0</v>
      </c>
      <c r="J148" s="7">
        <f t="shared" si="25"/>
        <v>9.5919983195178471E-2</v>
      </c>
      <c r="K148" s="7">
        <f t="shared" si="19"/>
        <v>0.2078999982984768</v>
      </c>
      <c r="L148" s="7">
        <f t="shared" si="20"/>
        <v>0.34339999722426545</v>
      </c>
      <c r="M148" s="7">
        <f t="shared" si="21"/>
        <v>0.67999980980954799</v>
      </c>
      <c r="N148" s="7">
        <f t="shared" si="22"/>
        <v>0.74100003845763895</v>
      </c>
      <c r="O148" s="133">
        <f>B148-Table1[[#This Row],[Total]]</f>
        <v>2</v>
      </c>
    </row>
    <row r="149" spans="1:15" x14ac:dyDescent="0.3">
      <c r="A149" s="2">
        <v>43612</v>
      </c>
      <c r="B149" s="3">
        <v>21065820</v>
      </c>
      <c r="C149" s="3">
        <v>5055796</v>
      </c>
      <c r="D149" s="3">
        <v>1941425</v>
      </c>
      <c r="E149" s="3">
        <v>1445585</v>
      </c>
      <c r="F149" s="3">
        <v>1126111</v>
      </c>
      <c r="G149" s="7">
        <f t="shared" si="18"/>
        <v>5.3456784497351632E-2</v>
      </c>
      <c r="H149" s="7">
        <f t="shared" si="23"/>
        <v>-0.14081009196851069</v>
      </c>
      <c r="I149" s="7">
        <f t="shared" si="24"/>
        <v>-5.8252409823299045E-2</v>
      </c>
      <c r="J149" s="7">
        <f t="shared" si="25"/>
        <v>-8.7664341280365043E-2</v>
      </c>
      <c r="K149" s="7">
        <f t="shared" si="19"/>
        <v>0.2399999620237902</v>
      </c>
      <c r="L149" s="7">
        <f t="shared" si="20"/>
        <v>0.383999868665587</v>
      </c>
      <c r="M149" s="7">
        <f t="shared" si="21"/>
        <v>0.74459997167029368</v>
      </c>
      <c r="N149" s="7">
        <f t="shared" si="22"/>
        <v>0.77900019715201807</v>
      </c>
      <c r="O149" s="133">
        <f>B149-Table1[[#This Row],[Total]]</f>
        <v>1</v>
      </c>
    </row>
    <row r="150" spans="1:15" x14ac:dyDescent="0.3">
      <c r="A150" s="2">
        <v>43613</v>
      </c>
      <c r="B150" s="3">
        <v>22586034</v>
      </c>
      <c r="C150" s="3">
        <v>5477113</v>
      </c>
      <c r="D150" s="3">
        <v>2125119</v>
      </c>
      <c r="E150" s="3">
        <v>1582364</v>
      </c>
      <c r="F150" s="3">
        <v>1232661</v>
      </c>
      <c r="G150" s="7">
        <f t="shared" si="18"/>
        <v>5.457624831344892E-2</v>
      </c>
      <c r="H150" s="7">
        <f t="shared" si="23"/>
        <v>-1.7266051880761024E-3</v>
      </c>
      <c r="I150" s="7">
        <f t="shared" si="24"/>
        <v>9.7087647738864913E-3</v>
      </c>
      <c r="J150" s="7">
        <f t="shared" si="25"/>
        <v>-1.1325414179724769E-2</v>
      </c>
      <c r="K150" s="7">
        <f t="shared" si="19"/>
        <v>0.24249998915258872</v>
      </c>
      <c r="L150" s="7">
        <f t="shared" si="20"/>
        <v>0.38799984590421999</v>
      </c>
      <c r="M150" s="7">
        <f t="shared" si="21"/>
        <v>0.74460018474259559</v>
      </c>
      <c r="N150" s="7">
        <f t="shared" si="22"/>
        <v>0.778999648626991</v>
      </c>
      <c r="O150" s="133">
        <f>B150-Table1[[#This Row],[Total]]</f>
        <v>2</v>
      </c>
    </row>
    <row r="151" spans="1:15" x14ac:dyDescent="0.3">
      <c r="A151" s="2">
        <v>43614</v>
      </c>
      <c r="B151" s="3">
        <v>20631473</v>
      </c>
      <c r="C151" s="3">
        <v>5261025</v>
      </c>
      <c r="D151" s="3">
        <v>2146498</v>
      </c>
      <c r="E151" s="3">
        <v>1535605</v>
      </c>
      <c r="F151" s="3">
        <v>1271788</v>
      </c>
      <c r="G151" s="7">
        <f t="shared" si="18"/>
        <v>6.1643102264196066E-2</v>
      </c>
      <c r="H151" s="7">
        <f t="shared" si="23"/>
        <v>-0.13841280293530445</v>
      </c>
      <c r="I151" s="7">
        <f t="shared" si="24"/>
        <v>-5.940592344129092E-2</v>
      </c>
      <c r="J151" s="7">
        <f t="shared" si="25"/>
        <v>-8.3996786140808966E-2</v>
      </c>
      <c r="K151" s="7">
        <f t="shared" si="19"/>
        <v>0.25499997019117343</v>
      </c>
      <c r="L151" s="7">
        <f t="shared" si="20"/>
        <v>0.40799996198459426</v>
      </c>
      <c r="M151" s="7">
        <f t="shared" si="21"/>
        <v>0.71540015411148761</v>
      </c>
      <c r="N151" s="7">
        <f t="shared" si="22"/>
        <v>0.82819996027624287</v>
      </c>
      <c r="O151" s="133">
        <f>B151-Table1[[#This Row],[Total]]</f>
        <v>1</v>
      </c>
    </row>
    <row r="152" spans="1:15" x14ac:dyDescent="0.3">
      <c r="A152" s="2">
        <v>43615</v>
      </c>
      <c r="B152" s="3">
        <v>21500167</v>
      </c>
      <c r="C152" s="3">
        <v>5428792</v>
      </c>
      <c r="D152" s="3">
        <v>2128086</v>
      </c>
      <c r="E152" s="3">
        <v>1569038</v>
      </c>
      <c r="F152" s="3">
        <v>1260879</v>
      </c>
      <c r="G152" s="7">
        <f t="shared" si="18"/>
        <v>5.8645079361476588E-2</v>
      </c>
      <c r="H152" s="7">
        <f t="shared" si="23"/>
        <v>-3.7994839312172735E-2</v>
      </c>
      <c r="I152" s="7">
        <f t="shared" si="24"/>
        <v>2.0618565999329652E-2</v>
      </c>
      <c r="J152" s="7">
        <f t="shared" si="25"/>
        <v>-5.7429295590083362E-2</v>
      </c>
      <c r="K152" s="7">
        <f t="shared" si="19"/>
        <v>0.25249999220936281</v>
      </c>
      <c r="L152" s="7">
        <f t="shared" si="20"/>
        <v>0.39199991452978861</v>
      </c>
      <c r="M152" s="7">
        <f t="shared" si="21"/>
        <v>0.73730009031589894</v>
      </c>
      <c r="N152" s="7">
        <f t="shared" si="22"/>
        <v>0.80360004027945786</v>
      </c>
      <c r="O152" s="133">
        <f>B152-Table1[[#This Row],[Total]]</f>
        <v>1</v>
      </c>
    </row>
    <row r="153" spans="1:15" x14ac:dyDescent="0.3">
      <c r="A153" s="2">
        <v>43616</v>
      </c>
      <c r="B153" s="3">
        <v>22368860</v>
      </c>
      <c r="C153" s="3">
        <v>5368526</v>
      </c>
      <c r="D153" s="3">
        <v>2211832</v>
      </c>
      <c r="E153" s="3">
        <v>1598491</v>
      </c>
      <c r="F153" s="3">
        <v>1297655</v>
      </c>
      <c r="G153" s="7">
        <f t="shared" si="18"/>
        <v>5.8011673370927261E-2</v>
      </c>
      <c r="H153" s="7">
        <f t="shared" si="23"/>
        <v>1.3929081297989754E-3</v>
      </c>
      <c r="I153" s="7">
        <f t="shared" si="24"/>
        <v>0</v>
      </c>
      <c r="J153" s="7">
        <f t="shared" si="25"/>
        <v>1.3929081297989754E-3</v>
      </c>
      <c r="K153" s="7">
        <f t="shared" si="19"/>
        <v>0.23999998211799797</v>
      </c>
      <c r="L153" s="7">
        <f t="shared" si="20"/>
        <v>0.41199986737514172</v>
      </c>
      <c r="M153" s="7">
        <f t="shared" si="21"/>
        <v>0.72270000614874907</v>
      </c>
      <c r="N153" s="7">
        <f t="shared" si="22"/>
        <v>0.81180000387865803</v>
      </c>
      <c r="O153" s="133">
        <f>B153-Table1[[#This Row],[Total]]</f>
        <v>2</v>
      </c>
    </row>
    <row r="154" spans="1:15" x14ac:dyDescent="0.3">
      <c r="A154" s="2">
        <v>43617</v>
      </c>
      <c r="B154" s="3">
        <v>46685340</v>
      </c>
      <c r="C154" s="3">
        <v>10196078</v>
      </c>
      <c r="D154" s="3">
        <v>3570666</v>
      </c>
      <c r="E154" s="3">
        <v>2355211</v>
      </c>
      <c r="F154" s="3">
        <v>1781953</v>
      </c>
      <c r="G154" s="7">
        <f t="shared" si="18"/>
        <v>3.8169433916514263E-2</v>
      </c>
      <c r="H154" s="7">
        <f t="shared" si="23"/>
        <v>-3.8564196416479901E-2</v>
      </c>
      <c r="I154" s="7">
        <f t="shared" si="24"/>
        <v>-9.523820030781005E-3</v>
      </c>
      <c r="J154" s="7">
        <f t="shared" si="25"/>
        <v>-2.9319611085045327E-2</v>
      </c>
      <c r="K154" s="7">
        <f t="shared" si="19"/>
        <v>0.2183999945164799</v>
      </c>
      <c r="L154" s="7">
        <f t="shared" si="20"/>
        <v>0.35019994943153632</v>
      </c>
      <c r="M154" s="7">
        <f t="shared" si="21"/>
        <v>0.65959991777444316</v>
      </c>
      <c r="N154" s="7">
        <f t="shared" si="22"/>
        <v>0.75660015174861195</v>
      </c>
      <c r="O154" s="133">
        <f>B154-Table1[[#This Row],[Total]]</f>
        <v>1</v>
      </c>
    </row>
    <row r="155" spans="1:15" x14ac:dyDescent="0.3">
      <c r="A155" s="2">
        <v>43618</v>
      </c>
      <c r="B155" s="3">
        <v>43543058</v>
      </c>
      <c r="C155" s="3">
        <v>9144042</v>
      </c>
      <c r="D155" s="3">
        <v>3046794</v>
      </c>
      <c r="E155" s="3">
        <v>2175411</v>
      </c>
      <c r="F155" s="3">
        <v>1713789</v>
      </c>
      <c r="G155" s="7">
        <f t="shared" si="18"/>
        <v>3.935848970460458E-2</v>
      </c>
      <c r="H155" s="7">
        <f t="shared" si="23"/>
        <v>1.0739098125715163E-2</v>
      </c>
      <c r="I155" s="7">
        <f t="shared" si="24"/>
        <v>-7.6190475382247658E-2</v>
      </c>
      <c r="J155" s="7">
        <f t="shared" si="25"/>
        <v>9.4099022787118125E-2</v>
      </c>
      <c r="K155" s="7">
        <f t="shared" si="19"/>
        <v>0.2099999958661608</v>
      </c>
      <c r="L155" s="7">
        <f t="shared" si="20"/>
        <v>0.33319991312375863</v>
      </c>
      <c r="M155" s="7">
        <f t="shared" si="21"/>
        <v>0.71400002756996372</v>
      </c>
      <c r="N155" s="7">
        <f t="shared" si="22"/>
        <v>0.78780009846415233</v>
      </c>
      <c r="O155" s="133">
        <f>B155-Table1[[#This Row],[Total]]</f>
        <v>2</v>
      </c>
    </row>
    <row r="156" spans="1:15" x14ac:dyDescent="0.3">
      <c r="A156" s="2">
        <v>43619</v>
      </c>
      <c r="B156" s="3">
        <v>21500167</v>
      </c>
      <c r="C156" s="3">
        <v>5375041</v>
      </c>
      <c r="D156" s="3">
        <v>2150016</v>
      </c>
      <c r="E156" s="3">
        <v>1506731</v>
      </c>
      <c r="F156" s="3">
        <v>1186099</v>
      </c>
      <c r="G156" s="7">
        <f t="shared" si="18"/>
        <v>5.5166966842629638E-2</v>
      </c>
      <c r="H156" s="7">
        <f t="shared" si="23"/>
        <v>5.3270059523439439E-2</v>
      </c>
      <c r="I156" s="7">
        <f t="shared" si="24"/>
        <v>2.0618565999329652E-2</v>
      </c>
      <c r="J156" s="7">
        <f t="shared" si="25"/>
        <v>3.1991867100849225E-2</v>
      </c>
      <c r="K156" s="7">
        <f t="shared" si="19"/>
        <v>0.24999996511655004</v>
      </c>
      <c r="L156" s="7">
        <f t="shared" si="20"/>
        <v>0.39999992558196301</v>
      </c>
      <c r="M156" s="7">
        <f t="shared" si="21"/>
        <v>0.70079990102399237</v>
      </c>
      <c r="N156" s="7">
        <f t="shared" si="22"/>
        <v>0.78720023680404794</v>
      </c>
      <c r="O156" s="133">
        <f>B156-Table1[[#This Row],[Total]]</f>
        <v>1</v>
      </c>
    </row>
    <row r="157" spans="1:15" x14ac:dyDescent="0.3">
      <c r="A157" s="2">
        <v>43620</v>
      </c>
      <c r="B157" s="3">
        <v>22368860</v>
      </c>
      <c r="C157" s="3">
        <v>5759981</v>
      </c>
      <c r="D157" s="3">
        <v>2280952</v>
      </c>
      <c r="E157" s="3">
        <v>1715048</v>
      </c>
      <c r="F157" s="3">
        <v>1392276</v>
      </c>
      <c r="G157" s="7">
        <f t="shared" si="18"/>
        <v>6.2241705656881932E-2</v>
      </c>
      <c r="H157" s="7">
        <f t="shared" si="23"/>
        <v>0.12948815611104747</v>
      </c>
      <c r="I157" s="7">
        <f t="shared" si="24"/>
        <v>-9.6154110101844825E-3</v>
      </c>
      <c r="J157" s="7">
        <f t="shared" si="25"/>
        <v>0.14045409093362049</v>
      </c>
      <c r="K157" s="7">
        <f t="shared" si="19"/>
        <v>0.2574999798827477</v>
      </c>
      <c r="L157" s="7">
        <f t="shared" si="20"/>
        <v>0.3959999173608385</v>
      </c>
      <c r="M157" s="7">
        <f t="shared" si="21"/>
        <v>0.75190008382464868</v>
      </c>
      <c r="N157" s="7">
        <f t="shared" si="22"/>
        <v>0.81180001959128845</v>
      </c>
      <c r="O157" s="133">
        <f>B157-Table1[[#This Row],[Total]]</f>
        <v>2</v>
      </c>
    </row>
    <row r="158" spans="1:15" x14ac:dyDescent="0.3">
      <c r="A158" s="2">
        <v>43621</v>
      </c>
      <c r="B158" s="3">
        <v>22368860</v>
      </c>
      <c r="C158" s="3">
        <v>5536293</v>
      </c>
      <c r="D158" s="3">
        <v>2170226</v>
      </c>
      <c r="E158" s="3">
        <v>1536737</v>
      </c>
      <c r="F158" s="3">
        <v>1247523</v>
      </c>
      <c r="G158" s="7">
        <f t="shared" si="18"/>
        <v>5.5770522056108357E-2</v>
      </c>
      <c r="H158" s="7">
        <f t="shared" si="23"/>
        <v>-1.9079437767929863E-2</v>
      </c>
      <c r="I158" s="7">
        <f t="shared" si="24"/>
        <v>8.4210516621862075E-2</v>
      </c>
      <c r="J158" s="7">
        <f t="shared" si="25"/>
        <v>-9.5267434512274041E-2</v>
      </c>
      <c r="K158" s="7">
        <f t="shared" si="19"/>
        <v>0.24750000670575076</v>
      </c>
      <c r="L158" s="7">
        <f t="shared" si="20"/>
        <v>0.39199984538390581</v>
      </c>
      <c r="M158" s="7">
        <f t="shared" si="21"/>
        <v>0.70809998590008594</v>
      </c>
      <c r="N158" s="7">
        <f t="shared" si="22"/>
        <v>0.81179993713953658</v>
      </c>
      <c r="O158" s="133">
        <f>B158-Table1[[#This Row],[Total]]</f>
        <v>2</v>
      </c>
    </row>
    <row r="159" spans="1:15" x14ac:dyDescent="0.3">
      <c r="A159" s="2">
        <v>43622</v>
      </c>
      <c r="B159" s="3">
        <v>22368860</v>
      </c>
      <c r="C159" s="3">
        <v>5815903</v>
      </c>
      <c r="D159" s="3">
        <v>2326361</v>
      </c>
      <c r="E159" s="3">
        <v>1766173</v>
      </c>
      <c r="F159" s="3">
        <v>1477227</v>
      </c>
      <c r="G159" s="7">
        <f t="shared" si="18"/>
        <v>6.6039440543684394E-2</v>
      </c>
      <c r="H159" s="7">
        <f t="shared" si="23"/>
        <v>0.17158506089799253</v>
      </c>
      <c r="I159" s="7">
        <f t="shared" si="24"/>
        <v>4.0404011745583279E-2</v>
      </c>
      <c r="J159" s="7">
        <f t="shared" si="25"/>
        <v>0.12608664294970828</v>
      </c>
      <c r="K159" s="7">
        <f t="shared" si="19"/>
        <v>0.25999997317699697</v>
      </c>
      <c r="L159" s="7">
        <f t="shared" si="20"/>
        <v>0.39999996561153101</v>
      </c>
      <c r="M159" s="7">
        <f t="shared" si="21"/>
        <v>0.75919988342308009</v>
      </c>
      <c r="N159" s="7">
        <f t="shared" si="22"/>
        <v>0.83639994496575365</v>
      </c>
      <c r="O159" s="133">
        <f>B159-Table1[[#This Row],[Total]]</f>
        <v>2</v>
      </c>
    </row>
    <row r="160" spans="1:15" x14ac:dyDescent="0.3">
      <c r="A160" s="2">
        <v>43623</v>
      </c>
      <c r="B160" s="3">
        <v>21065820</v>
      </c>
      <c r="C160" s="3">
        <v>5477113</v>
      </c>
      <c r="D160" s="3">
        <v>2278479</v>
      </c>
      <c r="E160" s="3">
        <v>1596758</v>
      </c>
      <c r="F160" s="3">
        <v>1348621</v>
      </c>
      <c r="G160" s="7">
        <f t="shared" si="18"/>
        <v>6.4019392551536089E-2</v>
      </c>
      <c r="H160" s="7">
        <f t="shared" si="23"/>
        <v>3.9275462276182838E-2</v>
      </c>
      <c r="I160" s="7">
        <f t="shared" si="24"/>
        <v>-5.8252409823299045E-2</v>
      </c>
      <c r="J160" s="7">
        <f t="shared" si="25"/>
        <v>0.10356052207278021</v>
      </c>
      <c r="K160" s="7">
        <f t="shared" si="19"/>
        <v>0.25999999050594758</v>
      </c>
      <c r="L160" s="7">
        <f t="shared" si="20"/>
        <v>0.41599999853937647</v>
      </c>
      <c r="M160" s="7">
        <f t="shared" si="21"/>
        <v>0.7007999634844122</v>
      </c>
      <c r="N160" s="7">
        <f t="shared" si="22"/>
        <v>0.84459949472618889</v>
      </c>
      <c r="O160" s="133">
        <f>B160-Table1[[#This Row],[Total]]</f>
        <v>1</v>
      </c>
    </row>
    <row r="161" spans="1:15" x14ac:dyDescent="0.3">
      <c r="A161" s="2">
        <v>43624</v>
      </c>
      <c r="B161" s="3">
        <v>42645263</v>
      </c>
      <c r="C161" s="3">
        <v>8597285</v>
      </c>
      <c r="D161" s="3">
        <v>2776923</v>
      </c>
      <c r="E161" s="3">
        <v>1926073</v>
      </c>
      <c r="F161" s="3">
        <v>1427220</v>
      </c>
      <c r="G161" s="7">
        <f t="shared" si="18"/>
        <v>3.3467257547456095E-2</v>
      </c>
      <c r="H161" s="7">
        <f t="shared" si="23"/>
        <v>-0.19906978466884373</v>
      </c>
      <c r="I161" s="7">
        <f t="shared" si="24"/>
        <v>-8.6538450828461344E-2</v>
      </c>
      <c r="J161" s="7">
        <f t="shared" si="25"/>
        <v>-0.12319219560193007</v>
      </c>
      <c r="K161" s="7">
        <f t="shared" si="19"/>
        <v>0.20159999951225532</v>
      </c>
      <c r="L161" s="7">
        <f t="shared" si="20"/>
        <v>0.32299999360263154</v>
      </c>
      <c r="M161" s="7">
        <f t="shared" si="21"/>
        <v>0.69359971450414726</v>
      </c>
      <c r="N161" s="7">
        <f t="shared" si="22"/>
        <v>0.7409999517152257</v>
      </c>
      <c r="O161" s="133">
        <f>B161-Table1[[#This Row],[Total]]</f>
        <v>2</v>
      </c>
    </row>
    <row r="162" spans="1:15" x14ac:dyDescent="0.3">
      <c r="A162" s="2">
        <v>43625</v>
      </c>
      <c r="B162" s="3">
        <v>44889750</v>
      </c>
      <c r="C162" s="3">
        <v>9803921</v>
      </c>
      <c r="D162" s="3">
        <v>3333333</v>
      </c>
      <c r="E162" s="3">
        <v>2153333</v>
      </c>
      <c r="F162" s="3">
        <v>1646008</v>
      </c>
      <c r="G162" s="7">
        <f t="shared" si="18"/>
        <v>3.6667791645086018E-2</v>
      </c>
      <c r="H162" s="7">
        <f t="shared" si="23"/>
        <v>-3.9550376388225117E-2</v>
      </c>
      <c r="I162" s="7">
        <f t="shared" si="24"/>
        <v>3.0927823213518835E-2</v>
      </c>
      <c r="J162" s="7">
        <f t="shared" si="25"/>
        <v>-6.8363854398706181E-2</v>
      </c>
      <c r="K162" s="7">
        <f t="shared" si="19"/>
        <v>0.21839999108927985</v>
      </c>
      <c r="L162" s="7">
        <f t="shared" si="20"/>
        <v>0.33999998571999918</v>
      </c>
      <c r="M162" s="7">
        <f t="shared" si="21"/>
        <v>0.64599996459999642</v>
      </c>
      <c r="N162" s="7">
        <f t="shared" si="22"/>
        <v>0.76440011832819166</v>
      </c>
      <c r="O162" s="133">
        <f>B162-Table1[[#This Row],[Total]]</f>
        <v>1</v>
      </c>
    </row>
    <row r="163" spans="1:15" x14ac:dyDescent="0.3">
      <c r="A163" s="2">
        <v>43626</v>
      </c>
      <c r="B163" s="3">
        <v>21934513</v>
      </c>
      <c r="C163" s="3">
        <v>5319119</v>
      </c>
      <c r="D163" s="3">
        <v>2212753</v>
      </c>
      <c r="E163" s="3">
        <v>1647616</v>
      </c>
      <c r="F163" s="3">
        <v>1310514</v>
      </c>
      <c r="G163" s="7">
        <f t="shared" si="18"/>
        <v>5.9746664993200443E-2</v>
      </c>
      <c r="H163" s="7">
        <f t="shared" si="23"/>
        <v>0.10489427948257268</v>
      </c>
      <c r="I163" s="7">
        <f t="shared" si="24"/>
        <v>2.0201982617158221E-2</v>
      </c>
      <c r="J163" s="7">
        <f t="shared" si="25"/>
        <v>8.3015224738292037E-2</v>
      </c>
      <c r="K163" s="7">
        <f t="shared" si="19"/>
        <v>0.24249998164992312</v>
      </c>
      <c r="L163" s="7">
        <f t="shared" si="20"/>
        <v>0.41599990524746672</v>
      </c>
      <c r="M163" s="7">
        <f t="shared" si="21"/>
        <v>0.74460005251376904</v>
      </c>
      <c r="N163" s="7">
        <f t="shared" si="22"/>
        <v>0.79540014178060903</v>
      </c>
      <c r="O163" s="133">
        <f>B163-Table1[[#This Row],[Total]]</f>
        <v>2</v>
      </c>
    </row>
    <row r="164" spans="1:15" x14ac:dyDescent="0.3">
      <c r="A164" s="2">
        <v>43627</v>
      </c>
      <c r="B164" s="3">
        <v>22368860</v>
      </c>
      <c r="C164" s="3">
        <v>5759981</v>
      </c>
      <c r="D164" s="3">
        <v>2350072</v>
      </c>
      <c r="E164" s="3">
        <v>1681241</v>
      </c>
      <c r="F164" s="3">
        <v>1309687</v>
      </c>
      <c r="G164" s="7">
        <f t="shared" si="18"/>
        <v>5.8549563992085427E-2</v>
      </c>
      <c r="H164" s="7">
        <f t="shared" si="23"/>
        <v>-5.9319416552465198E-2</v>
      </c>
      <c r="I164" s="7">
        <f t="shared" si="24"/>
        <v>0</v>
      </c>
      <c r="J164" s="7">
        <f t="shared" si="25"/>
        <v>-5.9319416552465198E-2</v>
      </c>
      <c r="K164" s="7">
        <f t="shared" si="19"/>
        <v>0.2574999798827477</v>
      </c>
      <c r="L164" s="7">
        <f t="shared" si="20"/>
        <v>0.40799995694430241</v>
      </c>
      <c r="M164" s="7">
        <f t="shared" si="21"/>
        <v>0.71539978349599498</v>
      </c>
      <c r="N164" s="7">
        <f t="shared" si="22"/>
        <v>0.77900015524246669</v>
      </c>
      <c r="O164" s="133">
        <f>B164-Table1[[#This Row],[Total]]</f>
        <v>2</v>
      </c>
    </row>
    <row r="165" spans="1:15" x14ac:dyDescent="0.3">
      <c r="A165" s="2">
        <v>43628</v>
      </c>
      <c r="B165" s="3">
        <v>21934513</v>
      </c>
      <c r="C165" s="3">
        <v>5757809</v>
      </c>
      <c r="D165" s="3">
        <v>2418280</v>
      </c>
      <c r="E165" s="3">
        <v>1853611</v>
      </c>
      <c r="F165" s="3">
        <v>1443963</v>
      </c>
      <c r="G165" s="7">
        <f t="shared" si="18"/>
        <v>6.5830638683430087E-2</v>
      </c>
      <c r="H165" s="7">
        <f t="shared" si="23"/>
        <v>0.1574640307232813</v>
      </c>
      <c r="I165" s="7">
        <f t="shared" si="24"/>
        <v>-1.9417484842768062E-2</v>
      </c>
      <c r="J165" s="7">
        <f t="shared" si="25"/>
        <v>0.1803841215113724</v>
      </c>
      <c r="K165" s="7">
        <f t="shared" si="19"/>
        <v>0.26249996979645729</v>
      </c>
      <c r="L165" s="7">
        <f t="shared" si="20"/>
        <v>0.42000003820897847</v>
      </c>
      <c r="M165" s="7">
        <f t="shared" si="21"/>
        <v>0.76649974361943196</v>
      </c>
      <c r="N165" s="7">
        <f t="shared" si="22"/>
        <v>0.77900001672411312</v>
      </c>
      <c r="O165" s="133">
        <f>B165-Table1[[#This Row],[Total]]</f>
        <v>2</v>
      </c>
    </row>
    <row r="166" spans="1:15" x14ac:dyDescent="0.3">
      <c r="A166" s="2">
        <v>43629</v>
      </c>
      <c r="B166" s="3">
        <v>21717340</v>
      </c>
      <c r="C166" s="3">
        <v>5483628</v>
      </c>
      <c r="D166" s="3">
        <v>2105713</v>
      </c>
      <c r="E166" s="3">
        <v>1583285</v>
      </c>
      <c r="F166" s="3">
        <v>1350226</v>
      </c>
      <c r="G166" s="7">
        <f t="shared" si="18"/>
        <v>6.2172715443051495E-2</v>
      </c>
      <c r="H166" s="7">
        <f t="shared" si="23"/>
        <v>-8.5972568873978084E-2</v>
      </c>
      <c r="I166" s="7">
        <f t="shared" si="24"/>
        <v>-2.9126204911649523E-2</v>
      </c>
      <c r="J166" s="7">
        <f t="shared" si="25"/>
        <v>-5.8551754357687225E-2</v>
      </c>
      <c r="K166" s="7">
        <f t="shared" si="19"/>
        <v>0.25249998388384581</v>
      </c>
      <c r="L166" s="7">
        <f t="shared" si="20"/>
        <v>0.38399997228112481</v>
      </c>
      <c r="M166" s="7">
        <f t="shared" si="21"/>
        <v>0.75189971282886126</v>
      </c>
      <c r="N166" s="7">
        <f t="shared" si="22"/>
        <v>0.85280034864222176</v>
      </c>
      <c r="O166" s="133">
        <f>B166-Table1[[#This Row],[Total]]</f>
        <v>2</v>
      </c>
    </row>
    <row r="167" spans="1:15" x14ac:dyDescent="0.3">
      <c r="A167" s="2">
        <v>43630</v>
      </c>
      <c r="B167" s="3">
        <v>22368860</v>
      </c>
      <c r="C167" s="3">
        <v>5815903</v>
      </c>
      <c r="D167" s="3">
        <v>2279834</v>
      </c>
      <c r="E167" s="3">
        <v>1647636</v>
      </c>
      <c r="F167" s="3">
        <v>1283508</v>
      </c>
      <c r="G167" s="7">
        <f t="shared" si="18"/>
        <v>5.7379231664018641E-2</v>
      </c>
      <c r="H167" s="7">
        <f t="shared" si="23"/>
        <v>-4.8281170173087862E-2</v>
      </c>
      <c r="I167" s="7">
        <f t="shared" si="24"/>
        <v>6.1855650527727013E-2</v>
      </c>
      <c r="J167" s="7">
        <f t="shared" si="25"/>
        <v>-0.1037210854847157</v>
      </c>
      <c r="K167" s="7">
        <f t="shared" si="19"/>
        <v>0.25999997317699697</v>
      </c>
      <c r="L167" s="7">
        <f t="shared" si="20"/>
        <v>0.39200000412661629</v>
      </c>
      <c r="M167" s="7">
        <f t="shared" si="21"/>
        <v>0.72269998605161601</v>
      </c>
      <c r="N167" s="7">
        <f t="shared" si="22"/>
        <v>0.77899973052300386</v>
      </c>
      <c r="O167" s="133">
        <f>B167-Table1[[#This Row],[Total]]</f>
        <v>2</v>
      </c>
    </row>
    <row r="168" spans="1:15" x14ac:dyDescent="0.3">
      <c r="A168" s="2">
        <v>43631</v>
      </c>
      <c r="B168" s="3">
        <v>44440853</v>
      </c>
      <c r="C168" s="3">
        <v>8865950</v>
      </c>
      <c r="D168" s="3">
        <v>3135000</v>
      </c>
      <c r="E168" s="3">
        <v>2110482</v>
      </c>
      <c r="F168" s="3">
        <v>1613252</v>
      </c>
      <c r="G168" s="7">
        <f t="shared" si="18"/>
        <v>3.6301103401413112E-2</v>
      </c>
      <c r="H168" s="7">
        <f t="shared" si="23"/>
        <v>0.13034570703885873</v>
      </c>
      <c r="I168" s="7">
        <f t="shared" si="24"/>
        <v>4.2105262664225984E-2</v>
      </c>
      <c r="J168" s="7">
        <f t="shared" si="25"/>
        <v>8.4675173934962045E-2</v>
      </c>
      <c r="K168" s="7">
        <f t="shared" si="19"/>
        <v>0.19949999609593452</v>
      </c>
      <c r="L168" s="7">
        <f t="shared" si="20"/>
        <v>0.3536000090232857</v>
      </c>
      <c r="M168" s="7">
        <f t="shared" si="21"/>
        <v>0.67320000000000002</v>
      </c>
      <c r="N168" s="7">
        <f t="shared" si="22"/>
        <v>0.76439979113775902</v>
      </c>
      <c r="O168" s="133">
        <f>B168-Table1[[#This Row],[Total]]</f>
        <v>2</v>
      </c>
    </row>
    <row r="169" spans="1:15" x14ac:dyDescent="0.3">
      <c r="A169" s="2">
        <v>43632</v>
      </c>
      <c r="B169" s="3">
        <v>45787545</v>
      </c>
      <c r="C169" s="3">
        <v>9230769</v>
      </c>
      <c r="D169" s="3">
        <v>3201230</v>
      </c>
      <c r="E169" s="3">
        <v>2133300</v>
      </c>
      <c r="F169" s="3">
        <v>1697253</v>
      </c>
      <c r="G169" s="7">
        <f t="shared" si="18"/>
        <v>3.7068006157569708E-2</v>
      </c>
      <c r="H169" s="7">
        <f t="shared" si="23"/>
        <v>3.113289850353107E-2</v>
      </c>
      <c r="I169" s="7">
        <f t="shared" si="24"/>
        <v>2.0000000000000018E-2</v>
      </c>
      <c r="J169" s="7">
        <f t="shared" si="25"/>
        <v>1.0914606376010827E-2</v>
      </c>
      <c r="K169" s="7">
        <f t="shared" si="19"/>
        <v>0.20159999842751997</v>
      </c>
      <c r="L169" s="7">
        <f t="shared" si="20"/>
        <v>0.34679992533666482</v>
      </c>
      <c r="M169" s="7">
        <f t="shared" si="21"/>
        <v>0.66640010246061665</v>
      </c>
      <c r="N169" s="7">
        <f t="shared" si="22"/>
        <v>0.79559977499648427</v>
      </c>
      <c r="O169" s="133">
        <f>B169-Table1[[#This Row],[Total]]</f>
        <v>1</v>
      </c>
    </row>
    <row r="170" spans="1:15" x14ac:dyDescent="0.3">
      <c r="A170" s="2">
        <v>43633</v>
      </c>
      <c r="B170" s="3">
        <v>22586034</v>
      </c>
      <c r="C170" s="3">
        <v>5928833</v>
      </c>
      <c r="D170" s="3">
        <v>2252956</v>
      </c>
      <c r="E170" s="3">
        <v>1611765</v>
      </c>
      <c r="F170" s="3">
        <v>1361297</v>
      </c>
      <c r="G170" s="7">
        <f t="shared" si="18"/>
        <v>6.0271626262494778E-2</v>
      </c>
      <c r="H170" s="7">
        <f t="shared" si="23"/>
        <v>3.8750444482088753E-2</v>
      </c>
      <c r="I170" s="7">
        <f t="shared" si="24"/>
        <v>2.9703007310898588E-2</v>
      </c>
      <c r="J170" s="7">
        <f t="shared" si="25"/>
        <v>8.786453090797286E-3</v>
      </c>
      <c r="K170" s="7">
        <f t="shared" si="19"/>
        <v>0.26249995904548801</v>
      </c>
      <c r="L170" s="7">
        <f t="shared" si="20"/>
        <v>0.37999990891968116</v>
      </c>
      <c r="M170" s="7">
        <f t="shared" si="21"/>
        <v>0.71540012321589952</v>
      </c>
      <c r="N170" s="7">
        <f t="shared" si="22"/>
        <v>0.84460017434303392</v>
      </c>
      <c r="O170" s="133">
        <f>B170-Table1[[#This Row],[Total]]</f>
        <v>2</v>
      </c>
    </row>
    <row r="171" spans="1:15" x14ac:dyDescent="0.3">
      <c r="A171" s="2">
        <v>43634</v>
      </c>
      <c r="B171" s="3">
        <v>21065820</v>
      </c>
      <c r="C171" s="3">
        <v>5529777</v>
      </c>
      <c r="D171" s="3">
        <v>2101315</v>
      </c>
      <c r="E171" s="3">
        <v>1579979</v>
      </c>
      <c r="F171" s="3">
        <v>1256715</v>
      </c>
      <c r="G171" s="7">
        <f t="shared" si="18"/>
        <v>5.965659062880059E-2</v>
      </c>
      <c r="H171" s="7">
        <f t="shared" si="23"/>
        <v>-4.0446305109541392E-2</v>
      </c>
      <c r="I171" s="7">
        <f t="shared" si="24"/>
        <v>-5.8252409823299045E-2</v>
      </c>
      <c r="J171" s="7">
        <f t="shared" si="25"/>
        <v>1.8907512904191792E-2</v>
      </c>
      <c r="K171" s="7">
        <f t="shared" si="19"/>
        <v>0.26249996439730333</v>
      </c>
      <c r="L171" s="7">
        <f t="shared" si="20"/>
        <v>0.37999995298182909</v>
      </c>
      <c r="M171" s="7">
        <f t="shared" si="21"/>
        <v>0.75190011968695791</v>
      </c>
      <c r="N171" s="7">
        <f t="shared" si="22"/>
        <v>0.795399812275986</v>
      </c>
      <c r="O171" s="133">
        <f>B171-Table1[[#This Row],[Total]]</f>
        <v>1</v>
      </c>
    </row>
    <row r="172" spans="1:15" x14ac:dyDescent="0.3">
      <c r="A172" s="2">
        <v>43635</v>
      </c>
      <c r="B172" s="3">
        <v>22151687</v>
      </c>
      <c r="C172" s="3">
        <v>5261025</v>
      </c>
      <c r="D172" s="3">
        <v>2146498</v>
      </c>
      <c r="E172" s="3">
        <v>1519935</v>
      </c>
      <c r="F172" s="3">
        <v>1296201</v>
      </c>
      <c r="G172" s="7">
        <f t="shared" si="18"/>
        <v>5.8514775872374865E-2</v>
      </c>
      <c r="H172" s="7">
        <f t="shared" si="23"/>
        <v>-0.10233087689920028</v>
      </c>
      <c r="I172" s="7">
        <f t="shared" si="24"/>
        <v>9.9010176337173128E-3</v>
      </c>
      <c r="J172" s="7">
        <f t="shared" si="25"/>
        <v>-0.11113157881144275</v>
      </c>
      <c r="K172" s="7">
        <f t="shared" si="19"/>
        <v>0.23749997009257129</v>
      </c>
      <c r="L172" s="7">
        <f t="shared" si="20"/>
        <v>0.40799996198459426</v>
      </c>
      <c r="M172" s="7">
        <f t="shared" si="21"/>
        <v>0.70809989107839844</v>
      </c>
      <c r="N172" s="7">
        <f t="shared" si="22"/>
        <v>0.85280028422268062</v>
      </c>
      <c r="O172" s="133">
        <f>B172-Table1[[#This Row],[Total]]</f>
        <v>2</v>
      </c>
    </row>
    <row r="173" spans="1:15" x14ac:dyDescent="0.3">
      <c r="A173" s="11">
        <v>43636</v>
      </c>
      <c r="B173" s="12">
        <v>10207150</v>
      </c>
      <c r="C173" s="12">
        <v>2526269</v>
      </c>
      <c r="D173" s="12">
        <v>1040823</v>
      </c>
      <c r="E173" s="12">
        <v>729408</v>
      </c>
      <c r="F173" s="12">
        <v>616058</v>
      </c>
      <c r="G173" s="13">
        <f t="shared" si="18"/>
        <v>6.035553509059826E-2</v>
      </c>
      <c r="H173" s="13">
        <f t="shared" si="23"/>
        <v>-0.54373712252615491</v>
      </c>
      <c r="I173" s="13">
        <f t="shared" si="24"/>
        <v>-0.52999999079076909</v>
      </c>
      <c r="J173" s="13">
        <f t="shared" si="25"/>
        <v>-2.9227939289827587E-2</v>
      </c>
      <c r="K173" s="13">
        <f t="shared" si="19"/>
        <v>0.24749993876841234</v>
      </c>
      <c r="L173" s="13">
        <f t="shared" si="20"/>
        <v>0.41200006808459433</v>
      </c>
      <c r="M173" s="13">
        <f t="shared" si="21"/>
        <v>0.70079927134584841</v>
      </c>
      <c r="N173" s="13">
        <f t="shared" si="22"/>
        <v>0.84460000438711946</v>
      </c>
      <c r="O173" s="133">
        <f>B173-Table1[[#This Row],[Total]]</f>
        <v>1</v>
      </c>
    </row>
    <row r="174" spans="1:15" x14ac:dyDescent="0.3">
      <c r="A174" s="2">
        <v>43637</v>
      </c>
      <c r="B174" s="3">
        <v>21065820</v>
      </c>
      <c r="C174" s="3">
        <v>5108461</v>
      </c>
      <c r="D174" s="3">
        <v>2104686</v>
      </c>
      <c r="E174" s="3">
        <v>1613241</v>
      </c>
      <c r="F174" s="3">
        <v>1336086</v>
      </c>
      <c r="G174" s="7">
        <f t="shared" si="18"/>
        <v>6.342435281417956E-2</v>
      </c>
      <c r="H174" s="7">
        <f t="shared" si="23"/>
        <v>4.0964294729756157E-2</v>
      </c>
      <c r="I174" s="7">
        <f t="shared" si="24"/>
        <v>-5.8252409823299045E-2</v>
      </c>
      <c r="J174" s="7">
        <f t="shared" si="25"/>
        <v>0.10535381835640178</v>
      </c>
      <c r="K174" s="7">
        <f t="shared" si="19"/>
        <v>0.24249998338540821</v>
      </c>
      <c r="L174" s="7">
        <f t="shared" si="20"/>
        <v>0.41200001331124969</v>
      </c>
      <c r="M174" s="7">
        <f t="shared" si="21"/>
        <v>0.76649961086831953</v>
      </c>
      <c r="N174" s="7">
        <f t="shared" si="22"/>
        <v>0.82819987838146936</v>
      </c>
      <c r="O174" s="133">
        <f>B174-Table1[[#This Row],[Total]]</f>
        <v>1</v>
      </c>
    </row>
    <row r="175" spans="1:15" x14ac:dyDescent="0.3">
      <c r="A175" s="2">
        <v>43638</v>
      </c>
      <c r="B175" s="3">
        <v>44889750</v>
      </c>
      <c r="C175" s="3">
        <v>9332579</v>
      </c>
      <c r="D175" s="3">
        <v>3014423</v>
      </c>
      <c r="E175" s="3">
        <v>2131800</v>
      </c>
      <c r="F175" s="3">
        <v>1579663</v>
      </c>
      <c r="G175" s="7">
        <f t="shared" si="18"/>
        <v>3.51898373236652E-2</v>
      </c>
      <c r="H175" s="7">
        <f t="shared" si="23"/>
        <v>-2.0820677736646198E-2</v>
      </c>
      <c r="I175" s="7">
        <f t="shared" si="24"/>
        <v>1.0100998736455313E-2</v>
      </c>
      <c r="J175" s="7">
        <f t="shared" si="25"/>
        <v>-3.0612460052788726E-2</v>
      </c>
      <c r="K175" s="7">
        <f t="shared" si="19"/>
        <v>0.20789999944307999</v>
      </c>
      <c r="L175" s="7">
        <f t="shared" si="20"/>
        <v>0.32299999817842423</v>
      </c>
      <c r="M175" s="7">
        <f t="shared" si="21"/>
        <v>0.7072000180465714</v>
      </c>
      <c r="N175" s="7">
        <f t="shared" si="22"/>
        <v>0.74099962473027492</v>
      </c>
      <c r="O175" s="133">
        <f>B175-Table1[[#This Row],[Total]]</f>
        <v>1</v>
      </c>
    </row>
    <row r="176" spans="1:15" x14ac:dyDescent="0.3">
      <c r="A176" s="2">
        <v>43639</v>
      </c>
      <c r="B176" s="3">
        <v>43543058</v>
      </c>
      <c r="C176" s="3">
        <v>8869720</v>
      </c>
      <c r="D176" s="3">
        <v>3136333</v>
      </c>
      <c r="E176" s="3">
        <v>2068725</v>
      </c>
      <c r="F176" s="3">
        <v>1662014</v>
      </c>
      <c r="G176" s="7">
        <f t="shared" si="18"/>
        <v>3.8169436790590136E-2</v>
      </c>
      <c r="H176" s="7">
        <f t="shared" si="23"/>
        <v>-2.0762373081679608E-2</v>
      </c>
      <c r="I176" s="7">
        <f t="shared" si="24"/>
        <v>-4.9019596923137065E-2</v>
      </c>
      <c r="J176" s="7">
        <f t="shared" si="25"/>
        <v>2.9713781430229513E-2</v>
      </c>
      <c r="K176" s="7">
        <f t="shared" si="19"/>
        <v>0.20369997899550371</v>
      </c>
      <c r="L176" s="7">
        <f t="shared" si="20"/>
        <v>0.35360000090194504</v>
      </c>
      <c r="M176" s="7">
        <f t="shared" si="21"/>
        <v>0.65959992130937628</v>
      </c>
      <c r="N176" s="7">
        <f t="shared" si="22"/>
        <v>0.80340016193549169</v>
      </c>
      <c r="O176" s="133">
        <f>B176-Table1[[#This Row],[Total]]</f>
        <v>2</v>
      </c>
    </row>
    <row r="177" spans="1:15" x14ac:dyDescent="0.3">
      <c r="A177" s="2">
        <v>43640</v>
      </c>
      <c r="B177" s="3">
        <v>21282993</v>
      </c>
      <c r="C177" s="3">
        <v>5054710</v>
      </c>
      <c r="D177" s="3">
        <v>2042103</v>
      </c>
      <c r="E177" s="3">
        <v>1460920</v>
      </c>
      <c r="F177" s="3">
        <v>1233893</v>
      </c>
      <c r="G177" s="7">
        <f t="shared" si="18"/>
        <v>5.7975539436582062E-2</v>
      </c>
      <c r="H177" s="7">
        <f t="shared" si="23"/>
        <v>-9.3590157034063814E-2</v>
      </c>
      <c r="I177" s="7">
        <f t="shared" si="24"/>
        <v>-5.7692333235662363E-2</v>
      </c>
      <c r="J177" s="7">
        <f t="shared" si="25"/>
        <v>-3.8095650777910106E-2</v>
      </c>
      <c r="K177" s="7">
        <f t="shared" si="19"/>
        <v>0.2374999606493316</v>
      </c>
      <c r="L177" s="7">
        <f t="shared" si="20"/>
        <v>0.40400003165364579</v>
      </c>
      <c r="M177" s="7">
        <f t="shared" si="21"/>
        <v>0.7153997619121073</v>
      </c>
      <c r="N177" s="7">
        <f t="shared" si="22"/>
        <v>0.8445999780959943</v>
      </c>
      <c r="O177" s="133">
        <f>B177-Table1[[#This Row],[Total]]</f>
        <v>1</v>
      </c>
    </row>
    <row r="178" spans="1:15" x14ac:dyDescent="0.3">
      <c r="A178" s="2">
        <v>43641</v>
      </c>
      <c r="B178" s="3">
        <v>22586034</v>
      </c>
      <c r="C178" s="3">
        <v>5646508</v>
      </c>
      <c r="D178" s="3">
        <v>2236017</v>
      </c>
      <c r="E178" s="3">
        <v>1632292</v>
      </c>
      <c r="F178" s="3">
        <v>1271556</v>
      </c>
      <c r="G178" s="7">
        <f t="shared" si="18"/>
        <v>5.6298330198210095E-2</v>
      </c>
      <c r="H178" s="7">
        <f t="shared" si="23"/>
        <v>1.1809360117449152E-2</v>
      </c>
      <c r="I178" s="7">
        <f t="shared" si="24"/>
        <v>7.2164957262522922E-2</v>
      </c>
      <c r="J178" s="7">
        <f t="shared" si="25"/>
        <v>-5.6293200720880954E-2</v>
      </c>
      <c r="K178" s="7">
        <f t="shared" si="19"/>
        <v>0.24999997786242595</v>
      </c>
      <c r="L178" s="7">
        <f t="shared" si="20"/>
        <v>0.39599997024709788</v>
      </c>
      <c r="M178" s="7">
        <f t="shared" si="21"/>
        <v>0.72999981663824565</v>
      </c>
      <c r="N178" s="7">
        <f t="shared" si="22"/>
        <v>0.77900032592207769</v>
      </c>
      <c r="O178" s="133">
        <f>B178-Table1[[#This Row],[Total]]</f>
        <v>2</v>
      </c>
    </row>
    <row r="179" spans="1:15" x14ac:dyDescent="0.3">
      <c r="A179" s="2">
        <v>43642</v>
      </c>
      <c r="B179" s="3">
        <v>22368860</v>
      </c>
      <c r="C179" s="3">
        <v>5759981</v>
      </c>
      <c r="D179" s="3">
        <v>2234872</v>
      </c>
      <c r="E179" s="3">
        <v>1615142</v>
      </c>
      <c r="F179" s="3">
        <v>1324416</v>
      </c>
      <c r="G179" s="7">
        <f t="shared" si="18"/>
        <v>5.9208024011952333E-2</v>
      </c>
      <c r="H179" s="7">
        <f t="shared" si="23"/>
        <v>2.1767457361936859E-2</v>
      </c>
      <c r="I179" s="7">
        <f t="shared" si="24"/>
        <v>9.80390342279569E-3</v>
      </c>
      <c r="J179" s="7">
        <f t="shared" si="25"/>
        <v>1.1847403142917212E-2</v>
      </c>
      <c r="K179" s="7">
        <f t="shared" si="19"/>
        <v>0.2574999798827477</v>
      </c>
      <c r="L179" s="7">
        <f t="shared" si="20"/>
        <v>0.3879998909718626</v>
      </c>
      <c r="M179" s="7">
        <f t="shared" si="21"/>
        <v>0.72270000250573629</v>
      </c>
      <c r="N179" s="7">
        <f t="shared" si="22"/>
        <v>0.81999972757813244</v>
      </c>
      <c r="O179" s="133">
        <f>B179-Table1[[#This Row],[Total]]</f>
        <v>2</v>
      </c>
    </row>
    <row r="180" spans="1:15" x14ac:dyDescent="0.3">
      <c r="A180" s="11">
        <v>43643</v>
      </c>
      <c r="B180" s="12">
        <v>22368860</v>
      </c>
      <c r="C180" s="12">
        <v>5759981</v>
      </c>
      <c r="D180" s="12">
        <v>2234872</v>
      </c>
      <c r="E180" s="12">
        <v>1680400</v>
      </c>
      <c r="F180" s="12">
        <v>1322811</v>
      </c>
      <c r="G180" s="13">
        <f t="shared" si="18"/>
        <v>5.9136272478794182E-2</v>
      </c>
      <c r="H180" s="13">
        <f t="shared" si="23"/>
        <v>1.1472182813955829</v>
      </c>
      <c r="I180" s="13">
        <f t="shared" si="24"/>
        <v>1.1914892991677402</v>
      </c>
      <c r="J180" s="13">
        <f t="shared" si="25"/>
        <v>-2.0201338783159994E-2</v>
      </c>
      <c r="K180" s="13">
        <f t="shared" si="19"/>
        <v>0.2574999798827477</v>
      </c>
      <c r="L180" s="13">
        <f t="shared" si="20"/>
        <v>0.3879998909718626</v>
      </c>
      <c r="M180" s="13">
        <f t="shared" si="21"/>
        <v>0.75189988509409045</v>
      </c>
      <c r="N180" s="13">
        <f t="shared" si="22"/>
        <v>0.78720007141156867</v>
      </c>
      <c r="O180" s="133">
        <f>B180-Table1[[#This Row],[Total]]</f>
        <v>2</v>
      </c>
    </row>
    <row r="181" spans="1:15" x14ac:dyDescent="0.3">
      <c r="A181" s="2">
        <v>43644</v>
      </c>
      <c r="B181" s="3">
        <v>21282993</v>
      </c>
      <c r="C181" s="3">
        <v>5373955</v>
      </c>
      <c r="D181" s="3">
        <v>2063599</v>
      </c>
      <c r="E181" s="3">
        <v>1461234</v>
      </c>
      <c r="F181" s="3">
        <v>1234158</v>
      </c>
      <c r="G181" s="7">
        <f t="shared" si="18"/>
        <v>5.7987990692850391E-2</v>
      </c>
      <c r="H181" s="7">
        <f t="shared" si="23"/>
        <v>-7.6288502386822388E-2</v>
      </c>
      <c r="I181" s="7">
        <f t="shared" si="24"/>
        <v>1.0309259264533743E-2</v>
      </c>
      <c r="J181" s="7">
        <f t="shared" si="25"/>
        <v>-8.5714112641505413E-2</v>
      </c>
      <c r="K181" s="7">
        <f t="shared" si="19"/>
        <v>0.25249996558284826</v>
      </c>
      <c r="L181" s="7">
        <f t="shared" si="20"/>
        <v>0.38400005210315308</v>
      </c>
      <c r="M181" s="7">
        <f t="shared" si="21"/>
        <v>0.70809978101365623</v>
      </c>
      <c r="N181" s="7">
        <f t="shared" si="22"/>
        <v>0.84459983821893003</v>
      </c>
      <c r="O181" s="133">
        <f>B181-Table1[[#This Row],[Total]]</f>
        <v>1</v>
      </c>
    </row>
    <row r="182" spans="1:15" x14ac:dyDescent="0.3">
      <c r="A182" s="2">
        <v>43645</v>
      </c>
      <c r="B182" s="3">
        <v>46685340</v>
      </c>
      <c r="C182" s="3">
        <v>9999999</v>
      </c>
      <c r="D182" s="3">
        <v>3502000</v>
      </c>
      <c r="E182" s="3">
        <v>2286105</v>
      </c>
      <c r="F182" s="3">
        <v>1729667</v>
      </c>
      <c r="G182" s="7">
        <f t="shared" si="18"/>
        <v>3.7049467777250843E-2</v>
      </c>
      <c r="H182" s="7">
        <f t="shared" si="23"/>
        <v>9.4959494525097998E-2</v>
      </c>
      <c r="I182" s="7">
        <f t="shared" si="24"/>
        <v>4.0000000000000036E-2</v>
      </c>
      <c r="J182" s="7">
        <f t="shared" si="25"/>
        <v>5.2845667812594366E-2</v>
      </c>
      <c r="K182" s="7">
        <f t="shared" si="19"/>
        <v>0.2141999822642397</v>
      </c>
      <c r="L182" s="7">
        <f t="shared" si="20"/>
        <v>0.35020003502000352</v>
      </c>
      <c r="M182" s="7">
        <f t="shared" si="21"/>
        <v>0.65279982866933184</v>
      </c>
      <c r="N182" s="7">
        <f t="shared" si="22"/>
        <v>0.75659998119071525</v>
      </c>
      <c r="O182" s="133">
        <f>B182-Table1[[#This Row],[Total]]</f>
        <v>1</v>
      </c>
    </row>
    <row r="183" spans="1:15" x14ac:dyDescent="0.3">
      <c r="A183" s="2">
        <v>43646</v>
      </c>
      <c r="B183" s="3">
        <v>43991955</v>
      </c>
      <c r="C183" s="3">
        <v>8776395</v>
      </c>
      <c r="D183" s="3">
        <v>3133173</v>
      </c>
      <c r="E183" s="3">
        <v>2066640</v>
      </c>
      <c r="F183" s="3">
        <v>1692578</v>
      </c>
      <c r="G183" s="7">
        <f t="shared" si="18"/>
        <v>3.8474716570336555E-2</v>
      </c>
      <c r="H183" s="7">
        <f t="shared" si="23"/>
        <v>1.8389736789220734E-2</v>
      </c>
      <c r="I183" s="7">
        <f t="shared" si="24"/>
        <v>1.0309266749248591E-2</v>
      </c>
      <c r="J183" s="7">
        <f t="shared" si="25"/>
        <v>7.9980163558943662E-3</v>
      </c>
      <c r="K183" s="7">
        <f t="shared" si="19"/>
        <v>0.19949999948854286</v>
      </c>
      <c r="L183" s="7">
        <f t="shared" si="20"/>
        <v>0.35699999829086998</v>
      </c>
      <c r="M183" s="7">
        <f t="shared" si="21"/>
        <v>0.65959970930427403</v>
      </c>
      <c r="N183" s="7">
        <f t="shared" si="22"/>
        <v>0.81899992257964616</v>
      </c>
      <c r="O183" s="133">
        <f>B183-Table1[[#This Row],[Total]]</f>
        <v>0</v>
      </c>
    </row>
    <row r="184" spans="1:15" x14ac:dyDescent="0.3">
      <c r="A184" s="2">
        <v>43647</v>
      </c>
      <c r="B184" s="3">
        <v>21500167</v>
      </c>
      <c r="C184" s="3">
        <v>5213790</v>
      </c>
      <c r="D184" s="3">
        <v>2189792</v>
      </c>
      <c r="E184" s="3">
        <v>1582562</v>
      </c>
      <c r="F184" s="3">
        <v>1297701</v>
      </c>
      <c r="G184" s="7">
        <f t="shared" si="18"/>
        <v>6.0357717221452278E-2</v>
      </c>
      <c r="H184" s="7">
        <f t="shared" si="23"/>
        <v>5.171274980893803E-2</v>
      </c>
      <c r="I184" s="7">
        <f t="shared" si="24"/>
        <v>1.0204109920066262E-2</v>
      </c>
      <c r="J184" s="7">
        <f t="shared" si="25"/>
        <v>4.1089359547503923E-2</v>
      </c>
      <c r="K184" s="7">
        <f t="shared" si="19"/>
        <v>0.24249997686064484</v>
      </c>
      <c r="L184" s="7">
        <f t="shared" si="20"/>
        <v>0.4200000383598112</v>
      </c>
      <c r="M184" s="7">
        <f t="shared" si="21"/>
        <v>0.72269969019888647</v>
      </c>
      <c r="N184" s="7">
        <f t="shared" si="22"/>
        <v>0.82000010110188415</v>
      </c>
      <c r="O184" s="133">
        <f>B184-Table1[[#This Row],[Total]]</f>
        <v>1</v>
      </c>
    </row>
    <row r="185" spans="1:15" x14ac:dyDescent="0.3">
      <c r="A185" s="2">
        <v>43648</v>
      </c>
      <c r="B185" s="3">
        <v>21934513</v>
      </c>
      <c r="C185" s="3">
        <v>5264283</v>
      </c>
      <c r="D185" s="3">
        <v>2105713</v>
      </c>
      <c r="E185" s="3">
        <v>1583285</v>
      </c>
      <c r="F185" s="3">
        <v>1311277</v>
      </c>
      <c r="G185" s="7">
        <f t="shared" si="18"/>
        <v>5.9781450356340256E-2</v>
      </c>
      <c r="H185" s="7">
        <f t="shared" si="23"/>
        <v>3.1238105124744786E-2</v>
      </c>
      <c r="I185" s="7">
        <f t="shared" si="24"/>
        <v>-2.8846188755405233E-2</v>
      </c>
      <c r="J185" s="7">
        <f t="shared" si="25"/>
        <v>6.1868978100542371E-2</v>
      </c>
      <c r="K185" s="7">
        <f t="shared" si="19"/>
        <v>0.23999999452916962</v>
      </c>
      <c r="L185" s="7">
        <f t="shared" si="20"/>
        <v>0.39999996200812155</v>
      </c>
      <c r="M185" s="7">
        <f t="shared" si="21"/>
        <v>0.75189971282886126</v>
      </c>
      <c r="N185" s="7">
        <f t="shared" si="22"/>
        <v>0.82820022927015668</v>
      </c>
      <c r="O185" s="133">
        <f>B185-Table1[[#This Row],[Total]]</f>
        <v>2</v>
      </c>
    </row>
    <row r="186" spans="1:15" x14ac:dyDescent="0.3">
      <c r="A186" s="2">
        <v>43649</v>
      </c>
      <c r="B186" s="3">
        <v>22151687</v>
      </c>
      <c r="C186" s="3">
        <v>5814817</v>
      </c>
      <c r="D186" s="3">
        <v>2302667</v>
      </c>
      <c r="E186" s="3">
        <v>1731375</v>
      </c>
      <c r="F186" s="3">
        <v>1462320</v>
      </c>
      <c r="G186" s="7">
        <f t="shared" si="18"/>
        <v>6.6013933837183597E-2</v>
      </c>
      <c r="H186" s="7">
        <f t="shared" si="23"/>
        <v>0.10412438387938527</v>
      </c>
      <c r="I186" s="7">
        <f t="shared" si="24"/>
        <v>-9.7087200688814601E-3</v>
      </c>
      <c r="J186" s="7">
        <f t="shared" si="25"/>
        <v>0.11494911270569252</v>
      </c>
      <c r="K186" s="7">
        <f t="shared" si="19"/>
        <v>0.26249996219249577</v>
      </c>
      <c r="L186" s="7">
        <f t="shared" si="20"/>
        <v>0.39599990850958855</v>
      </c>
      <c r="M186" s="7">
        <f t="shared" si="21"/>
        <v>0.75189986220326255</v>
      </c>
      <c r="N186" s="7">
        <f t="shared" si="22"/>
        <v>0.8446003898635478</v>
      </c>
      <c r="O186" s="133">
        <f>B186-Table1[[#This Row],[Total]]</f>
        <v>2</v>
      </c>
    </row>
    <row r="187" spans="1:15" x14ac:dyDescent="0.3">
      <c r="A187" s="2">
        <v>43650</v>
      </c>
      <c r="B187" s="3">
        <v>22368860</v>
      </c>
      <c r="C187" s="3">
        <v>5759981</v>
      </c>
      <c r="D187" s="3">
        <v>2373112</v>
      </c>
      <c r="E187" s="3">
        <v>1645753</v>
      </c>
      <c r="F187" s="3">
        <v>1349517</v>
      </c>
      <c r="G187" s="7">
        <f t="shared" si="18"/>
        <v>6.0330164344539687E-2</v>
      </c>
      <c r="H187" s="7">
        <f t="shared" si="23"/>
        <v>2.0188825160964097E-2</v>
      </c>
      <c r="I187" s="7">
        <f t="shared" si="24"/>
        <v>0</v>
      </c>
      <c r="J187" s="7">
        <f t="shared" si="25"/>
        <v>2.0188825160964097E-2</v>
      </c>
      <c r="K187" s="7">
        <f t="shared" si="19"/>
        <v>0.2574999798827477</v>
      </c>
      <c r="L187" s="7">
        <f t="shared" si="20"/>
        <v>0.41199997013879036</v>
      </c>
      <c r="M187" s="7">
        <f t="shared" si="21"/>
        <v>0.69349992752133061</v>
      </c>
      <c r="N187" s="7">
        <f t="shared" si="22"/>
        <v>0.81999972049268632</v>
      </c>
      <c r="O187" s="133">
        <f>B187-Table1[[#This Row],[Total]]</f>
        <v>2</v>
      </c>
    </row>
    <row r="188" spans="1:15" x14ac:dyDescent="0.3">
      <c r="A188" s="2">
        <v>43651</v>
      </c>
      <c r="B188" s="3">
        <v>20631473</v>
      </c>
      <c r="C188" s="3">
        <v>4899974</v>
      </c>
      <c r="D188" s="3">
        <v>2038389</v>
      </c>
      <c r="E188" s="3">
        <v>1562425</v>
      </c>
      <c r="F188" s="3">
        <v>1255565</v>
      </c>
      <c r="G188" s="7">
        <f t="shared" si="18"/>
        <v>6.0856779348716403E-2</v>
      </c>
      <c r="H188" s="7">
        <f t="shared" si="23"/>
        <v>1.7345429029346215E-2</v>
      </c>
      <c r="I188" s="7">
        <f t="shared" si="24"/>
        <v>-3.061223578845329E-2</v>
      </c>
      <c r="J188" s="7">
        <f t="shared" si="25"/>
        <v>4.9472116926095211E-2</v>
      </c>
      <c r="K188" s="7">
        <f t="shared" si="19"/>
        <v>0.23749995940667931</v>
      </c>
      <c r="L188" s="7">
        <f t="shared" si="20"/>
        <v>0.41599996244878035</v>
      </c>
      <c r="M188" s="7">
        <f t="shared" si="21"/>
        <v>0.7664999173366811</v>
      </c>
      <c r="N188" s="7">
        <f t="shared" si="22"/>
        <v>0.80360017280829477</v>
      </c>
      <c r="O188" s="133">
        <f>B188-Table1[[#This Row],[Total]]</f>
        <v>1</v>
      </c>
    </row>
    <row r="189" spans="1:15" x14ac:dyDescent="0.3">
      <c r="A189" s="2">
        <v>43652</v>
      </c>
      <c r="B189" s="3">
        <v>44889750</v>
      </c>
      <c r="C189" s="3">
        <v>9332579</v>
      </c>
      <c r="D189" s="3">
        <v>3204807</v>
      </c>
      <c r="E189" s="3">
        <v>2179269</v>
      </c>
      <c r="F189" s="3">
        <v>1750824</v>
      </c>
      <c r="G189" s="7">
        <f t="shared" si="18"/>
        <v>3.9002756754047414E-2</v>
      </c>
      <c r="H189" s="7">
        <f t="shared" si="23"/>
        <v>1.2231834220112869E-2</v>
      </c>
      <c r="I189" s="7">
        <f t="shared" si="24"/>
        <v>-3.8461538461538436E-2</v>
      </c>
      <c r="J189" s="7">
        <f t="shared" si="25"/>
        <v>5.2721107588917349E-2</v>
      </c>
      <c r="K189" s="7">
        <f t="shared" si="19"/>
        <v>0.20789999944307999</v>
      </c>
      <c r="L189" s="7">
        <f t="shared" si="20"/>
        <v>0.34339993264455626</v>
      </c>
      <c r="M189" s="7">
        <f t="shared" si="21"/>
        <v>0.68000007488750491</v>
      </c>
      <c r="N189" s="7">
        <f t="shared" si="22"/>
        <v>0.80339967209188035</v>
      </c>
      <c r="O189" s="133">
        <f>B189-Table1[[#This Row],[Total]]</f>
        <v>1</v>
      </c>
    </row>
    <row r="190" spans="1:15" x14ac:dyDescent="0.3">
      <c r="A190" s="2">
        <v>43653</v>
      </c>
      <c r="B190" s="3">
        <v>43543058</v>
      </c>
      <c r="C190" s="3">
        <v>9144042</v>
      </c>
      <c r="D190" s="3">
        <v>3140064</v>
      </c>
      <c r="E190" s="3">
        <v>2135243</v>
      </c>
      <c r="F190" s="3">
        <v>1632180</v>
      </c>
      <c r="G190" s="7">
        <f t="shared" si="18"/>
        <v>3.748427590914722E-2</v>
      </c>
      <c r="H190" s="7">
        <f t="shared" si="23"/>
        <v>-3.5684027560325182E-2</v>
      </c>
      <c r="I190" s="7">
        <f t="shared" si="24"/>
        <v>-1.0204070266938592E-2</v>
      </c>
      <c r="J190" s="7">
        <f t="shared" si="25"/>
        <v>-2.5742636969883437E-2</v>
      </c>
      <c r="K190" s="7">
        <f t="shared" si="19"/>
        <v>0.2099999958661608</v>
      </c>
      <c r="L190" s="7">
        <f t="shared" si="20"/>
        <v>0.34339999750657313</v>
      </c>
      <c r="M190" s="7">
        <f t="shared" si="21"/>
        <v>0.67999983439827982</v>
      </c>
      <c r="N190" s="7">
        <f t="shared" si="22"/>
        <v>0.76440011745735736</v>
      </c>
      <c r="O190" s="133">
        <f>B190-Table1[[#This Row],[Total]]</f>
        <v>2</v>
      </c>
    </row>
    <row r="191" spans="1:15" x14ac:dyDescent="0.3">
      <c r="A191" s="2">
        <v>43654</v>
      </c>
      <c r="B191" s="3">
        <v>21282993</v>
      </c>
      <c r="C191" s="3">
        <v>5267540</v>
      </c>
      <c r="D191" s="3">
        <v>2022735</v>
      </c>
      <c r="E191" s="3">
        <v>1535660</v>
      </c>
      <c r="F191" s="3">
        <v>1284426</v>
      </c>
      <c r="G191" s="7">
        <f t="shared" si="18"/>
        <v>6.0349876542270156E-2</v>
      </c>
      <c r="H191" s="7">
        <f t="shared" si="23"/>
        <v>-1.0229629167273546E-2</v>
      </c>
      <c r="I191" s="7">
        <f t="shared" si="24"/>
        <v>-1.0101037819845726E-2</v>
      </c>
      <c r="J191" s="7">
        <f t="shared" si="25"/>
        <v>-1.2990350767172476E-4</v>
      </c>
      <c r="K191" s="7">
        <f t="shared" si="19"/>
        <v>0.2474999639383427</v>
      </c>
      <c r="L191" s="7">
        <f t="shared" si="20"/>
        <v>0.38399993165690244</v>
      </c>
      <c r="M191" s="7">
        <f t="shared" si="21"/>
        <v>0.75919979631538481</v>
      </c>
      <c r="N191" s="7">
        <f t="shared" si="22"/>
        <v>0.83639998437154062</v>
      </c>
      <c r="O191" s="133">
        <f>B191-Table1[[#This Row],[Total]]</f>
        <v>1</v>
      </c>
    </row>
    <row r="192" spans="1:15" x14ac:dyDescent="0.3">
      <c r="A192" s="2">
        <v>43655</v>
      </c>
      <c r="B192" s="3">
        <v>22803207</v>
      </c>
      <c r="C192" s="3">
        <v>5643793</v>
      </c>
      <c r="D192" s="3">
        <v>2234942</v>
      </c>
      <c r="E192" s="3">
        <v>1647823</v>
      </c>
      <c r="F192" s="3">
        <v>1351214</v>
      </c>
      <c r="G192" s="7">
        <f t="shared" si="18"/>
        <v>5.9255437184778437E-2</v>
      </c>
      <c r="H192" s="7">
        <f t="shared" si="23"/>
        <v>3.0456570198363897E-2</v>
      </c>
      <c r="I192" s="7">
        <f t="shared" si="24"/>
        <v>3.9603979354362773E-2</v>
      </c>
      <c r="J192" s="7">
        <f t="shared" si="25"/>
        <v>-8.7989362657882042E-3</v>
      </c>
      <c r="K192" s="7">
        <f t="shared" si="19"/>
        <v>0.24749996787732534</v>
      </c>
      <c r="L192" s="7">
        <f t="shared" si="20"/>
        <v>0.39599999503879751</v>
      </c>
      <c r="M192" s="7">
        <f t="shared" si="21"/>
        <v>0.73730011785540739</v>
      </c>
      <c r="N192" s="7">
        <f t="shared" si="22"/>
        <v>0.81999947809928619</v>
      </c>
      <c r="O192" s="133">
        <f>B192-Table1[[#This Row],[Total]]</f>
        <v>2</v>
      </c>
    </row>
    <row r="193" spans="1:15" x14ac:dyDescent="0.3">
      <c r="A193" s="2">
        <v>43656</v>
      </c>
      <c r="B193" s="3">
        <v>22803207</v>
      </c>
      <c r="C193" s="3">
        <v>5814817</v>
      </c>
      <c r="D193" s="3">
        <v>2395704</v>
      </c>
      <c r="E193" s="3">
        <v>1818819</v>
      </c>
      <c r="F193" s="3">
        <v>1506346</v>
      </c>
      <c r="G193" s="7">
        <f t="shared" si="18"/>
        <v>6.6058515365843062E-2</v>
      </c>
      <c r="H193" s="7">
        <f t="shared" si="23"/>
        <v>3.0106953334427589E-2</v>
      </c>
      <c r="I193" s="7">
        <f t="shared" si="24"/>
        <v>2.9411755411675955E-2</v>
      </c>
      <c r="J193" s="7">
        <f t="shared" si="25"/>
        <v>6.7533513105622056E-4</v>
      </c>
      <c r="K193" s="7">
        <f t="shared" si="19"/>
        <v>0.25499996557501758</v>
      </c>
      <c r="L193" s="7">
        <f t="shared" si="20"/>
        <v>0.41199989612742755</v>
      </c>
      <c r="M193" s="7">
        <f t="shared" si="21"/>
        <v>0.75920021839091978</v>
      </c>
      <c r="N193" s="7">
        <f t="shared" si="22"/>
        <v>0.82820005728992274</v>
      </c>
      <c r="O193" s="133">
        <f>B193-Table1[[#This Row],[Total]]</f>
        <v>2</v>
      </c>
    </row>
    <row r="194" spans="1:15" x14ac:dyDescent="0.3">
      <c r="A194" s="2">
        <v>43657</v>
      </c>
      <c r="B194" s="3">
        <v>21500167</v>
      </c>
      <c r="C194" s="3">
        <v>5321291</v>
      </c>
      <c r="D194" s="3">
        <v>2149801</v>
      </c>
      <c r="E194" s="3">
        <v>1600742</v>
      </c>
      <c r="F194" s="3">
        <v>1338860</v>
      </c>
      <c r="G194" s="7">
        <f t="shared" si="18"/>
        <v>6.2272074444817103E-2</v>
      </c>
      <c r="H194" s="7">
        <f t="shared" si="23"/>
        <v>-7.8968994091960232E-3</v>
      </c>
      <c r="I194" s="7">
        <f t="shared" si="24"/>
        <v>-3.8834924980530983E-2</v>
      </c>
      <c r="J194" s="7">
        <f t="shared" si="25"/>
        <v>3.2188045919904207E-2</v>
      </c>
      <c r="K194" s="7">
        <f t="shared" si="19"/>
        <v>0.24749998453500385</v>
      </c>
      <c r="L194" s="7">
        <f t="shared" si="20"/>
        <v>0.40399989401068276</v>
      </c>
      <c r="M194" s="7">
        <f t="shared" si="21"/>
        <v>0.74460008158894708</v>
      </c>
      <c r="N194" s="7">
        <f t="shared" si="22"/>
        <v>0.83639961967637511</v>
      </c>
      <c r="O194" s="133">
        <f>B194-Table1[[#This Row],[Total]]</f>
        <v>1</v>
      </c>
    </row>
    <row r="195" spans="1:15" x14ac:dyDescent="0.3">
      <c r="A195" s="2">
        <v>43658</v>
      </c>
      <c r="B195" s="3">
        <v>20848646</v>
      </c>
      <c r="C195" s="3">
        <v>5160040</v>
      </c>
      <c r="D195" s="3">
        <v>2125936</v>
      </c>
      <c r="E195" s="3">
        <v>1598491</v>
      </c>
      <c r="F195" s="3">
        <v>1376301</v>
      </c>
      <c r="G195" s="7">
        <f t="shared" si="18"/>
        <v>6.6013927235370584E-2</v>
      </c>
      <c r="H195" s="7">
        <f t="shared" si="23"/>
        <v>9.6160692596560127E-2</v>
      </c>
      <c r="I195" s="7">
        <f t="shared" si="24"/>
        <v>1.0526296401619062E-2</v>
      </c>
      <c r="J195" s="7">
        <f t="shared" si="25"/>
        <v>8.4742372860435511E-2</v>
      </c>
      <c r="K195" s="7">
        <f t="shared" si="19"/>
        <v>0.24750000551594573</v>
      </c>
      <c r="L195" s="7">
        <f t="shared" si="20"/>
        <v>0.4119999069774653</v>
      </c>
      <c r="M195" s="7">
        <f t="shared" si="21"/>
        <v>0.75189986904591677</v>
      </c>
      <c r="N195" s="7">
        <f t="shared" si="22"/>
        <v>0.86100015577191236</v>
      </c>
      <c r="O195" s="133">
        <f>B195-Table1[[#This Row],[Total]]</f>
        <v>1</v>
      </c>
    </row>
    <row r="196" spans="1:15" x14ac:dyDescent="0.3">
      <c r="A196" s="2">
        <v>43659</v>
      </c>
      <c r="B196" s="3">
        <v>44889750</v>
      </c>
      <c r="C196" s="3">
        <v>9898190</v>
      </c>
      <c r="D196" s="3">
        <v>3466346</v>
      </c>
      <c r="E196" s="3">
        <v>2404257</v>
      </c>
      <c r="F196" s="3">
        <v>1912827</v>
      </c>
      <c r="G196" s="7">
        <f t="shared" ref="G196:G259" si="26">F196/B196</f>
        <v>4.2611665246520644E-2</v>
      </c>
      <c r="H196" s="7">
        <f t="shared" si="23"/>
        <v>9.2529574645995316E-2</v>
      </c>
      <c r="I196" s="7">
        <f t="shared" si="24"/>
        <v>0</v>
      </c>
      <c r="J196" s="7">
        <f t="shared" si="25"/>
        <v>9.2529574645995316E-2</v>
      </c>
      <c r="K196" s="7">
        <f t="shared" ref="K196:K259" si="27">C196/B196</f>
        <v>0.22050000278460005</v>
      </c>
      <c r="L196" s="7">
        <f t="shared" ref="L196:L259" si="28">D196/C196</f>
        <v>0.35019998605805708</v>
      </c>
      <c r="M196" s="7">
        <f t="shared" ref="M196:M259" si="29">E196/D196</f>
        <v>0.6935998310612963</v>
      </c>
      <c r="N196" s="7">
        <f t="shared" ref="N196:N259" si="30">F196/E196</f>
        <v>0.79560005440350179</v>
      </c>
      <c r="O196" s="133">
        <f>B196-Table1[[#This Row],[Total]]</f>
        <v>1</v>
      </c>
    </row>
    <row r="197" spans="1:15" x14ac:dyDescent="0.3">
      <c r="A197" s="2">
        <v>43660</v>
      </c>
      <c r="B197" s="3">
        <v>43094160</v>
      </c>
      <c r="C197" s="3">
        <v>9230769</v>
      </c>
      <c r="D197" s="3">
        <v>3232615</v>
      </c>
      <c r="E197" s="3">
        <v>2264123</v>
      </c>
      <c r="F197" s="3">
        <v>1801336</v>
      </c>
      <c r="G197" s="7">
        <f t="shared" si="26"/>
        <v>4.1800002598960044E-2</v>
      </c>
      <c r="H197" s="7">
        <f t="shared" si="23"/>
        <v>0.10363807913342882</v>
      </c>
      <c r="I197" s="7">
        <f t="shared" si="24"/>
        <v>-1.0309289715021874E-2</v>
      </c>
      <c r="J197" s="7">
        <f t="shared" si="25"/>
        <v>0.11513432192936301</v>
      </c>
      <c r="K197" s="7">
        <f t="shared" si="27"/>
        <v>0.21419999832923997</v>
      </c>
      <c r="L197" s="7">
        <f t="shared" si="28"/>
        <v>0.35019996708833251</v>
      </c>
      <c r="M197" s="7">
        <f t="shared" si="29"/>
        <v>0.70039983109649617</v>
      </c>
      <c r="N197" s="7">
        <f t="shared" si="30"/>
        <v>0.79559988569525597</v>
      </c>
      <c r="O197" s="133">
        <f>B197-Table1[[#This Row],[Total]]</f>
        <v>2</v>
      </c>
    </row>
    <row r="198" spans="1:15" x14ac:dyDescent="0.3">
      <c r="A198" s="2">
        <v>43661</v>
      </c>
      <c r="B198" s="3">
        <v>21500167</v>
      </c>
      <c r="C198" s="3">
        <v>5590043</v>
      </c>
      <c r="D198" s="3">
        <v>2236017</v>
      </c>
      <c r="E198" s="3">
        <v>1599646</v>
      </c>
      <c r="F198" s="3">
        <v>1298593</v>
      </c>
      <c r="G198" s="7">
        <f t="shared" si="26"/>
        <v>6.0399205271289287E-2</v>
      </c>
      <c r="H198" s="7">
        <f t="shared" si="23"/>
        <v>1.1029829667104307E-2</v>
      </c>
      <c r="I198" s="7">
        <f t="shared" si="24"/>
        <v>1.0204109920066262E-2</v>
      </c>
      <c r="J198" s="7">
        <f t="shared" si="25"/>
        <v>8.1737912064450136E-4</v>
      </c>
      <c r="K198" s="7">
        <f t="shared" si="27"/>
        <v>0.25999998046526801</v>
      </c>
      <c r="L198" s="7">
        <f t="shared" si="28"/>
        <v>0.39999996422209988</v>
      </c>
      <c r="M198" s="7">
        <f t="shared" si="29"/>
        <v>0.71539974874967405</v>
      </c>
      <c r="N198" s="7">
        <f t="shared" si="30"/>
        <v>0.8118002358021712</v>
      </c>
      <c r="O198" s="133">
        <f>B198-Table1[[#This Row],[Total]]</f>
        <v>1</v>
      </c>
    </row>
    <row r="199" spans="1:15" x14ac:dyDescent="0.3">
      <c r="A199" s="11">
        <v>43662</v>
      </c>
      <c r="B199" s="12">
        <v>20631473</v>
      </c>
      <c r="C199" s="12">
        <v>2063147</v>
      </c>
      <c r="D199" s="12">
        <v>817006</v>
      </c>
      <c r="E199" s="12">
        <v>596414</v>
      </c>
      <c r="F199" s="12">
        <v>498841</v>
      </c>
      <c r="G199" s="13">
        <f t="shared" si="26"/>
        <v>2.4178642019404045E-2</v>
      </c>
      <c r="H199" s="13">
        <f t="shared" si="23"/>
        <v>-0.63082013655867986</v>
      </c>
      <c r="I199" s="13">
        <f t="shared" si="24"/>
        <v>-9.5238095238095233E-2</v>
      </c>
      <c r="J199" s="13">
        <f t="shared" si="25"/>
        <v>-0.59195909830169868</v>
      </c>
      <c r="K199" s="13">
        <f t="shared" si="27"/>
        <v>9.9999985459109E-2</v>
      </c>
      <c r="L199" s="13">
        <f t="shared" si="28"/>
        <v>0.39599989724435536</v>
      </c>
      <c r="M199" s="13">
        <f t="shared" si="29"/>
        <v>0.72999953488713665</v>
      </c>
      <c r="N199" s="13">
        <f t="shared" si="30"/>
        <v>0.83640055397760615</v>
      </c>
      <c r="O199" s="133">
        <f>B199-Table1[[#This Row],[Total]]</f>
        <v>1</v>
      </c>
    </row>
    <row r="200" spans="1:15" x14ac:dyDescent="0.3">
      <c r="A200" s="2">
        <v>43663</v>
      </c>
      <c r="B200" s="3">
        <v>21500167</v>
      </c>
      <c r="C200" s="3">
        <v>5267540</v>
      </c>
      <c r="D200" s="3">
        <v>2064876</v>
      </c>
      <c r="E200" s="3">
        <v>1552580</v>
      </c>
      <c r="F200" s="3">
        <v>1285847</v>
      </c>
      <c r="G200" s="7">
        <f t="shared" si="26"/>
        <v>5.9806372666779753E-2</v>
      </c>
      <c r="H200" s="7">
        <f t="shared" si="23"/>
        <v>-0.14638004814298977</v>
      </c>
      <c r="I200" s="7">
        <f t="shared" si="24"/>
        <v>-5.7142839601464823E-2</v>
      </c>
      <c r="J200" s="7">
        <f t="shared" si="25"/>
        <v>-9.4645522449875008E-2</v>
      </c>
      <c r="K200" s="7">
        <f t="shared" si="27"/>
        <v>0.24499995744219102</v>
      </c>
      <c r="L200" s="7">
        <f t="shared" si="28"/>
        <v>0.39200006074942001</v>
      </c>
      <c r="M200" s="7">
        <f t="shared" si="29"/>
        <v>0.75189987195357011</v>
      </c>
      <c r="N200" s="7">
        <f t="shared" si="30"/>
        <v>0.82820015715776318</v>
      </c>
      <c r="O200" s="133">
        <f>B200-Table1[[#This Row],[Total]]</f>
        <v>1</v>
      </c>
    </row>
    <row r="201" spans="1:15" x14ac:dyDescent="0.3">
      <c r="A201" s="2">
        <v>43664</v>
      </c>
      <c r="B201" s="3">
        <v>22151687</v>
      </c>
      <c r="C201" s="3">
        <v>5759438</v>
      </c>
      <c r="D201" s="3">
        <v>2211624</v>
      </c>
      <c r="E201" s="3">
        <v>1695210</v>
      </c>
      <c r="F201" s="3">
        <v>1445675</v>
      </c>
      <c r="G201" s="7">
        <f t="shared" si="26"/>
        <v>6.5262523797848901E-2</v>
      </c>
      <c r="H201" s="7">
        <f t="shared" si="23"/>
        <v>7.9780559580538757E-2</v>
      </c>
      <c r="I201" s="7">
        <f t="shared" si="24"/>
        <v>3.0303020437004058E-2</v>
      </c>
      <c r="J201" s="7">
        <f t="shared" si="25"/>
        <v>4.8022317863873454E-2</v>
      </c>
      <c r="K201" s="7">
        <f t="shared" si="27"/>
        <v>0.25999997201116104</v>
      </c>
      <c r="L201" s="7">
        <f t="shared" si="28"/>
        <v>0.38399996666341402</v>
      </c>
      <c r="M201" s="7">
        <f t="shared" si="29"/>
        <v>0.76650009223991056</v>
      </c>
      <c r="N201" s="7">
        <f t="shared" si="30"/>
        <v>0.85279994808902737</v>
      </c>
      <c r="O201" s="133">
        <f>B201-Table1[[#This Row],[Total]]</f>
        <v>2</v>
      </c>
    </row>
    <row r="202" spans="1:15" x14ac:dyDescent="0.3">
      <c r="A202" s="2">
        <v>43665</v>
      </c>
      <c r="B202" s="3">
        <v>22586034</v>
      </c>
      <c r="C202" s="3">
        <v>5872368</v>
      </c>
      <c r="D202" s="3">
        <v>2442905</v>
      </c>
      <c r="E202" s="3">
        <v>1783320</v>
      </c>
      <c r="F202" s="3">
        <v>1491569</v>
      </c>
      <c r="G202" s="7">
        <f t="shared" si="26"/>
        <v>6.6039438353807489E-2</v>
      </c>
      <c r="H202" s="7">
        <f t="shared" si="23"/>
        <v>8.3752028081066632E-2</v>
      </c>
      <c r="I202" s="7">
        <f t="shared" si="24"/>
        <v>8.3333373303954517E-2</v>
      </c>
      <c r="J202" s="7">
        <f t="shared" si="25"/>
        <v>3.8645054922947786E-4</v>
      </c>
      <c r="K202" s="7">
        <f t="shared" si="27"/>
        <v>0.25999996280887561</v>
      </c>
      <c r="L202" s="7">
        <f t="shared" si="28"/>
        <v>0.41599998501456315</v>
      </c>
      <c r="M202" s="7">
        <f t="shared" si="29"/>
        <v>0.72999973392334128</v>
      </c>
      <c r="N202" s="7">
        <f t="shared" si="30"/>
        <v>0.83640008523428211</v>
      </c>
      <c r="O202" s="133">
        <f>B202-Table1[[#This Row],[Total]]</f>
        <v>2</v>
      </c>
    </row>
    <row r="203" spans="1:15" x14ac:dyDescent="0.3">
      <c r="A203" s="2">
        <v>43666</v>
      </c>
      <c r="B203" s="3">
        <v>44440853</v>
      </c>
      <c r="C203" s="3">
        <v>9332579</v>
      </c>
      <c r="D203" s="3">
        <v>3331730</v>
      </c>
      <c r="E203" s="3">
        <v>2152298</v>
      </c>
      <c r="F203" s="3">
        <v>1729156</v>
      </c>
      <c r="G203" s="7">
        <f t="shared" si="26"/>
        <v>3.8909154151474099E-2</v>
      </c>
      <c r="H203" s="7">
        <f t="shared" ref="H203:H266" si="31">(F203/F196)-1</f>
        <v>-9.6020706524949762E-2</v>
      </c>
      <c r="I203" s="7">
        <f t="shared" ref="I203:I266" si="32">(B203/B196)-1</f>
        <v>-9.9999888615998067E-3</v>
      </c>
      <c r="J203" s="7">
        <f t="shared" ref="J203:J266" si="33">(G203/G196)-1</f>
        <v>-8.6889612823776385E-2</v>
      </c>
      <c r="K203" s="7">
        <f t="shared" si="27"/>
        <v>0.20999999707476361</v>
      </c>
      <c r="L203" s="7">
        <f t="shared" si="28"/>
        <v>0.35699992467248337</v>
      </c>
      <c r="M203" s="7">
        <f t="shared" si="29"/>
        <v>0.64600012606063517</v>
      </c>
      <c r="N203" s="7">
        <f t="shared" si="30"/>
        <v>0.803399900943085</v>
      </c>
      <c r="O203" s="133">
        <f>B203-Table1[[#This Row],[Total]]</f>
        <v>2</v>
      </c>
    </row>
    <row r="204" spans="1:15" x14ac:dyDescent="0.3">
      <c r="A204" s="2">
        <v>43667</v>
      </c>
      <c r="B204" s="3">
        <v>42645263</v>
      </c>
      <c r="C204" s="3">
        <v>9134615</v>
      </c>
      <c r="D204" s="3">
        <v>2950480</v>
      </c>
      <c r="E204" s="3">
        <v>1926073</v>
      </c>
      <c r="F204" s="3">
        <v>1547407</v>
      </c>
      <c r="G204" s="7">
        <f t="shared" si="26"/>
        <v>3.6285554154045198E-2</v>
      </c>
      <c r="H204" s="7">
        <f t="shared" si="31"/>
        <v>-0.14096703779861175</v>
      </c>
      <c r="I204" s="7">
        <f t="shared" si="32"/>
        <v>-1.0416655064166447E-2</v>
      </c>
      <c r="J204" s="7">
        <f t="shared" si="33"/>
        <v>-0.13192459574277737</v>
      </c>
      <c r="K204" s="7">
        <f t="shared" si="27"/>
        <v>0.2141999921538765</v>
      </c>
      <c r="L204" s="7">
        <f t="shared" si="28"/>
        <v>0.3229999293894707</v>
      </c>
      <c r="M204" s="7">
        <f t="shared" si="29"/>
        <v>0.65279988340880124</v>
      </c>
      <c r="N204" s="7">
        <f t="shared" si="30"/>
        <v>0.80339997497498794</v>
      </c>
      <c r="O204" s="133">
        <f>B204-Table1[[#This Row],[Total]]</f>
        <v>2</v>
      </c>
    </row>
    <row r="205" spans="1:15" x14ac:dyDescent="0.3">
      <c r="A205" s="2">
        <v>43668</v>
      </c>
      <c r="B205" s="3">
        <v>21500167</v>
      </c>
      <c r="C205" s="3">
        <v>5321291</v>
      </c>
      <c r="D205" s="3">
        <v>2128516</v>
      </c>
      <c r="E205" s="3">
        <v>1553817</v>
      </c>
      <c r="F205" s="3">
        <v>1286871</v>
      </c>
      <c r="G205" s="7">
        <f t="shared" si="26"/>
        <v>5.9854000203812367E-2</v>
      </c>
      <c r="H205" s="7">
        <f t="shared" si="31"/>
        <v>-9.0266927359072824E-3</v>
      </c>
      <c r="I205" s="7">
        <f t="shared" si="32"/>
        <v>0</v>
      </c>
      <c r="J205" s="7">
        <f t="shared" si="33"/>
        <v>-9.0266927359072824E-3</v>
      </c>
      <c r="K205" s="7">
        <f t="shared" si="27"/>
        <v>0.24749998453500385</v>
      </c>
      <c r="L205" s="7">
        <f t="shared" si="28"/>
        <v>0.39999992483027147</v>
      </c>
      <c r="M205" s="7">
        <f t="shared" si="29"/>
        <v>0.7300001503394854</v>
      </c>
      <c r="N205" s="7">
        <f t="shared" si="30"/>
        <v>0.82819984592780227</v>
      </c>
      <c r="O205" s="133">
        <f>B205-Table1[[#This Row],[Total]]</f>
        <v>1</v>
      </c>
    </row>
    <row r="206" spans="1:15" x14ac:dyDescent="0.3">
      <c r="A206" s="11">
        <v>43669</v>
      </c>
      <c r="B206" s="12">
        <v>21282993</v>
      </c>
      <c r="C206" s="12">
        <v>5054710</v>
      </c>
      <c r="D206" s="12">
        <v>2001665</v>
      </c>
      <c r="E206" s="12">
        <v>1505052</v>
      </c>
      <c r="F206" s="12">
        <v>1172435</v>
      </c>
      <c r="G206" s="13">
        <f t="shared" si="26"/>
        <v>5.5087881671529941E-2</v>
      </c>
      <c r="H206" s="13">
        <f t="shared" si="31"/>
        <v>1.3503180372102532</v>
      </c>
      <c r="I206" s="13">
        <f t="shared" si="32"/>
        <v>3.1578937674493712E-2</v>
      </c>
      <c r="J206" s="13">
        <f t="shared" si="33"/>
        <v>1.2783695472773182</v>
      </c>
      <c r="K206" s="13">
        <f t="shared" si="27"/>
        <v>0.2374999606493316</v>
      </c>
      <c r="L206" s="13">
        <f t="shared" si="28"/>
        <v>0.3959999683463542</v>
      </c>
      <c r="M206" s="13">
        <f t="shared" si="29"/>
        <v>0.75190004321402437</v>
      </c>
      <c r="N206" s="13">
        <f t="shared" si="30"/>
        <v>0.77899966247013397</v>
      </c>
      <c r="O206" s="133">
        <f>B206-Table1[[#This Row],[Total]]</f>
        <v>1</v>
      </c>
    </row>
    <row r="207" spans="1:15" x14ac:dyDescent="0.3">
      <c r="A207" s="2">
        <v>43670</v>
      </c>
      <c r="B207" s="3">
        <v>21934513</v>
      </c>
      <c r="C207" s="3">
        <v>5593301</v>
      </c>
      <c r="D207" s="3">
        <v>2192574</v>
      </c>
      <c r="E207" s="3">
        <v>1536555</v>
      </c>
      <c r="F207" s="3">
        <v>1297775</v>
      </c>
      <c r="G207" s="7">
        <f t="shared" si="26"/>
        <v>5.9165890758550235E-2</v>
      </c>
      <c r="H207" s="7">
        <f t="shared" si="31"/>
        <v>9.2763758052085699E-3</v>
      </c>
      <c r="I207" s="7">
        <f t="shared" si="32"/>
        <v>2.0201982617158221E-2</v>
      </c>
      <c r="J207" s="7">
        <f t="shared" si="33"/>
        <v>-1.0709258556743761E-2</v>
      </c>
      <c r="K207" s="7">
        <f t="shared" si="27"/>
        <v>0.25500000843419685</v>
      </c>
      <c r="L207" s="7">
        <f t="shared" si="28"/>
        <v>0.39200000143028241</v>
      </c>
      <c r="M207" s="7">
        <f t="shared" si="29"/>
        <v>0.70079960813181219</v>
      </c>
      <c r="N207" s="7">
        <f t="shared" si="30"/>
        <v>0.84460042107181321</v>
      </c>
      <c r="O207" s="133">
        <f>B207-Table1[[#This Row],[Total]]</f>
        <v>2</v>
      </c>
    </row>
    <row r="208" spans="1:15" x14ac:dyDescent="0.3">
      <c r="A208" s="2">
        <v>43671</v>
      </c>
      <c r="B208" s="3">
        <v>20631473</v>
      </c>
      <c r="C208" s="3">
        <v>5415761</v>
      </c>
      <c r="D208" s="3">
        <v>2122978</v>
      </c>
      <c r="E208" s="3">
        <v>1580769</v>
      </c>
      <c r="F208" s="3">
        <v>1296231</v>
      </c>
      <c r="G208" s="7">
        <f t="shared" si="26"/>
        <v>6.2827845592992801E-2</v>
      </c>
      <c r="H208" s="7">
        <f t="shared" si="31"/>
        <v>-0.10337316478461622</v>
      </c>
      <c r="I208" s="7">
        <f t="shared" si="32"/>
        <v>-6.8627459389436152E-2</v>
      </c>
      <c r="J208" s="7">
        <f t="shared" si="33"/>
        <v>-3.730591560322627E-2</v>
      </c>
      <c r="K208" s="7">
        <f t="shared" si="27"/>
        <v>0.2624999678888657</v>
      </c>
      <c r="L208" s="7">
        <f t="shared" si="28"/>
        <v>0.39199994239036767</v>
      </c>
      <c r="M208" s="7">
        <f t="shared" si="29"/>
        <v>0.74459980272993875</v>
      </c>
      <c r="N208" s="7">
        <f t="shared" si="30"/>
        <v>0.8200002656934694</v>
      </c>
      <c r="O208" s="133">
        <f>B208-Table1[[#This Row],[Total]]</f>
        <v>1</v>
      </c>
    </row>
    <row r="209" spans="1:15" x14ac:dyDescent="0.3">
      <c r="A209" s="2">
        <v>43672</v>
      </c>
      <c r="B209" s="3">
        <v>21065820</v>
      </c>
      <c r="C209" s="3">
        <v>5319119</v>
      </c>
      <c r="D209" s="3">
        <v>2063818</v>
      </c>
      <c r="E209" s="3">
        <v>1566850</v>
      </c>
      <c r="F209" s="3">
        <v>1246273</v>
      </c>
      <c r="G209" s="7">
        <f t="shared" si="26"/>
        <v>5.916090615034212E-2</v>
      </c>
      <c r="H209" s="7">
        <f t="shared" si="31"/>
        <v>-0.16445501347909486</v>
      </c>
      <c r="I209" s="7">
        <f t="shared" si="32"/>
        <v>-6.7307699970698742E-2</v>
      </c>
      <c r="J209" s="7">
        <f t="shared" si="33"/>
        <v>-0.10415794523589839</v>
      </c>
      <c r="K209" s="7">
        <f t="shared" si="27"/>
        <v>0.25249997389135576</v>
      </c>
      <c r="L209" s="7">
        <f t="shared" si="28"/>
        <v>0.387999967663818</v>
      </c>
      <c r="M209" s="7">
        <f t="shared" si="29"/>
        <v>0.75919969687249556</v>
      </c>
      <c r="N209" s="7">
        <f t="shared" si="30"/>
        <v>0.79540032549382522</v>
      </c>
      <c r="O209" s="133">
        <f>B209-Table1[[#This Row],[Total]]</f>
        <v>1</v>
      </c>
    </row>
    <row r="210" spans="1:15" x14ac:dyDescent="0.3">
      <c r="A210" s="2">
        <v>43673</v>
      </c>
      <c r="B210" s="3">
        <v>44889750</v>
      </c>
      <c r="C210" s="3">
        <v>9615384</v>
      </c>
      <c r="D210" s="3">
        <v>3171153</v>
      </c>
      <c r="E210" s="3">
        <v>2156384</v>
      </c>
      <c r="F210" s="3">
        <v>1698799</v>
      </c>
      <c r="G210" s="7">
        <f t="shared" si="26"/>
        <v>3.7843806214113464E-2</v>
      </c>
      <c r="H210" s="7">
        <f t="shared" si="31"/>
        <v>-1.7555963718715928E-2</v>
      </c>
      <c r="I210" s="7">
        <f t="shared" si="32"/>
        <v>1.0100998736455313E-2</v>
      </c>
      <c r="J210" s="7">
        <f t="shared" si="33"/>
        <v>-2.7380393138674131E-2</v>
      </c>
      <c r="K210" s="7">
        <f t="shared" si="27"/>
        <v>0.21419998997543982</v>
      </c>
      <c r="L210" s="7">
        <f t="shared" si="28"/>
        <v>0.32979993310719574</v>
      </c>
      <c r="M210" s="7">
        <f t="shared" si="29"/>
        <v>0.6799999873862913</v>
      </c>
      <c r="N210" s="7">
        <f t="shared" si="30"/>
        <v>0.78779985382937356</v>
      </c>
      <c r="O210" s="133">
        <f>B210-Table1[[#This Row],[Total]]</f>
        <v>1</v>
      </c>
    </row>
    <row r="211" spans="1:15" x14ac:dyDescent="0.3">
      <c r="A211" s="2">
        <v>43674</v>
      </c>
      <c r="B211" s="3">
        <v>43543058</v>
      </c>
      <c r="C211" s="3">
        <v>8778280</v>
      </c>
      <c r="D211" s="3">
        <v>3074153</v>
      </c>
      <c r="E211" s="3">
        <v>2027711</v>
      </c>
      <c r="F211" s="3">
        <v>1660696</v>
      </c>
      <c r="G211" s="7">
        <f t="shared" si="26"/>
        <v>3.8139167901344917E-2</v>
      </c>
      <c r="H211" s="7">
        <f t="shared" si="31"/>
        <v>7.3212154268398777E-2</v>
      </c>
      <c r="I211" s="7">
        <f t="shared" si="32"/>
        <v>2.1052631332113103E-2</v>
      </c>
      <c r="J211" s="7">
        <f t="shared" si="33"/>
        <v>5.1084068867474519E-2</v>
      </c>
      <c r="K211" s="7">
        <f t="shared" si="27"/>
        <v>0.2015999886824669</v>
      </c>
      <c r="L211" s="7">
        <f t="shared" si="28"/>
        <v>0.35019992527009847</v>
      </c>
      <c r="M211" s="7">
        <f t="shared" si="29"/>
        <v>0.65959989629663851</v>
      </c>
      <c r="N211" s="7">
        <f t="shared" si="30"/>
        <v>0.8190003407783456</v>
      </c>
      <c r="O211" s="133">
        <f>B211-Table1[[#This Row],[Total]]</f>
        <v>2</v>
      </c>
    </row>
    <row r="212" spans="1:15" x14ac:dyDescent="0.3">
      <c r="A212" s="2">
        <v>43675</v>
      </c>
      <c r="B212" s="3">
        <v>21500167</v>
      </c>
      <c r="C212" s="3">
        <v>5536293</v>
      </c>
      <c r="D212" s="3">
        <v>2214517</v>
      </c>
      <c r="E212" s="3">
        <v>1551933</v>
      </c>
      <c r="F212" s="3">
        <v>1298037</v>
      </c>
      <c r="G212" s="7">
        <f t="shared" si="26"/>
        <v>6.0373345007041106E-2</v>
      </c>
      <c r="H212" s="7">
        <f t="shared" si="31"/>
        <v>8.6768603846072434E-3</v>
      </c>
      <c r="I212" s="7">
        <f t="shared" si="32"/>
        <v>0</v>
      </c>
      <c r="J212" s="7">
        <f t="shared" si="33"/>
        <v>8.6768603846072434E-3</v>
      </c>
      <c r="K212" s="7">
        <f t="shared" si="27"/>
        <v>0.25749999988372185</v>
      </c>
      <c r="L212" s="7">
        <f t="shared" si="28"/>
        <v>0.39999996387474435</v>
      </c>
      <c r="M212" s="7">
        <f t="shared" si="29"/>
        <v>0.70079976807583777</v>
      </c>
      <c r="N212" s="7">
        <f t="shared" si="30"/>
        <v>0.83640015387262212</v>
      </c>
      <c r="O212" s="133">
        <f>B212-Table1[[#This Row],[Total]]</f>
        <v>1</v>
      </c>
    </row>
    <row r="213" spans="1:15" x14ac:dyDescent="0.3">
      <c r="A213" s="2">
        <v>43676</v>
      </c>
      <c r="B213" s="3">
        <v>20848646</v>
      </c>
      <c r="C213" s="3">
        <v>5212161</v>
      </c>
      <c r="D213" s="3">
        <v>2043167</v>
      </c>
      <c r="E213" s="3">
        <v>1416936</v>
      </c>
      <c r="F213" s="3">
        <v>1208363</v>
      </c>
      <c r="G213" s="7">
        <f t="shared" si="26"/>
        <v>5.7958823800835793E-2</v>
      </c>
      <c r="H213" s="7">
        <f t="shared" si="31"/>
        <v>3.064391629386698E-2</v>
      </c>
      <c r="I213" s="7">
        <f t="shared" si="32"/>
        <v>-2.0408172854259776E-2</v>
      </c>
      <c r="J213" s="7">
        <f t="shared" si="33"/>
        <v>5.2115674848858706E-2</v>
      </c>
      <c r="K213" s="7">
        <f t="shared" si="27"/>
        <v>0.24999997601762725</v>
      </c>
      <c r="L213" s="7">
        <f t="shared" si="28"/>
        <v>0.39199997851179197</v>
      </c>
      <c r="M213" s="7">
        <f t="shared" si="29"/>
        <v>0.69349984607229853</v>
      </c>
      <c r="N213" s="7">
        <f t="shared" si="30"/>
        <v>0.85279998532043788</v>
      </c>
      <c r="O213" s="133">
        <f>B213-Table1[[#This Row],[Total]]</f>
        <v>1</v>
      </c>
    </row>
    <row r="214" spans="1:15" x14ac:dyDescent="0.3">
      <c r="A214" s="2">
        <v>43677</v>
      </c>
      <c r="B214" s="3">
        <v>22368860</v>
      </c>
      <c r="C214" s="3">
        <v>5592215</v>
      </c>
      <c r="D214" s="3">
        <v>2214517</v>
      </c>
      <c r="E214" s="3">
        <v>1535767</v>
      </c>
      <c r="F214" s="3">
        <v>1322295</v>
      </c>
      <c r="G214" s="7">
        <f t="shared" si="26"/>
        <v>5.9113204696171373E-2</v>
      </c>
      <c r="H214" s="7">
        <f t="shared" si="31"/>
        <v>1.8893876057097803E-2</v>
      </c>
      <c r="I214" s="7">
        <f t="shared" si="32"/>
        <v>1.9801989677181275E-2</v>
      </c>
      <c r="J214" s="7">
        <f t="shared" si="33"/>
        <v>-8.9048033763017287E-4</v>
      </c>
      <c r="K214" s="7">
        <f t="shared" si="27"/>
        <v>0.25</v>
      </c>
      <c r="L214" s="7">
        <f t="shared" si="28"/>
        <v>0.39599997496519718</v>
      </c>
      <c r="M214" s="7">
        <f t="shared" si="29"/>
        <v>0.69349975638028516</v>
      </c>
      <c r="N214" s="7">
        <f t="shared" si="30"/>
        <v>0.86099974800864976</v>
      </c>
      <c r="O214" s="133">
        <f>B214-Table1[[#This Row],[Total]]</f>
        <v>2</v>
      </c>
    </row>
    <row r="215" spans="1:15" x14ac:dyDescent="0.3">
      <c r="A215" s="2">
        <v>43678</v>
      </c>
      <c r="B215" s="3">
        <v>22151687</v>
      </c>
      <c r="C215" s="3">
        <v>5704059</v>
      </c>
      <c r="D215" s="3">
        <v>2327256</v>
      </c>
      <c r="E215" s="3">
        <v>1749863</v>
      </c>
      <c r="F215" s="3">
        <v>1506632</v>
      </c>
      <c r="G215" s="7">
        <f t="shared" si="26"/>
        <v>6.8014323243191371E-2</v>
      </c>
      <c r="H215" s="7">
        <f t="shared" si="31"/>
        <v>0.16231751902245817</v>
      </c>
      <c r="I215" s="7">
        <f t="shared" si="32"/>
        <v>7.3684220220243013E-2</v>
      </c>
      <c r="J215" s="7">
        <f t="shared" si="33"/>
        <v>8.2550620688114362E-2</v>
      </c>
      <c r="K215" s="7">
        <f t="shared" si="27"/>
        <v>0.25749998182982631</v>
      </c>
      <c r="L215" s="7">
        <f t="shared" si="28"/>
        <v>0.40799998737740967</v>
      </c>
      <c r="M215" s="7">
        <f t="shared" si="29"/>
        <v>0.75189966209132131</v>
      </c>
      <c r="N215" s="7">
        <f t="shared" si="30"/>
        <v>0.86099997542664763</v>
      </c>
      <c r="O215" s="133">
        <f>B215-Table1[[#This Row],[Total]]</f>
        <v>2</v>
      </c>
    </row>
    <row r="216" spans="1:15" x14ac:dyDescent="0.3">
      <c r="A216" s="2">
        <v>43679</v>
      </c>
      <c r="B216" s="3">
        <v>22803207</v>
      </c>
      <c r="C216" s="3">
        <v>5814817</v>
      </c>
      <c r="D216" s="3">
        <v>2256149</v>
      </c>
      <c r="E216" s="3">
        <v>1581109</v>
      </c>
      <c r="F216" s="3">
        <v>1322439</v>
      </c>
      <c r="G216" s="7">
        <f t="shared" si="26"/>
        <v>5.7993553275203794E-2</v>
      </c>
      <c r="H216" s="7">
        <f t="shared" si="31"/>
        <v>6.1115020545257748E-2</v>
      </c>
      <c r="I216" s="7">
        <f t="shared" si="32"/>
        <v>8.2474216527056665E-2</v>
      </c>
      <c r="J216" s="7">
        <f t="shared" si="33"/>
        <v>-1.9731828856234923E-2</v>
      </c>
      <c r="K216" s="7">
        <f t="shared" si="27"/>
        <v>0.25499996557501758</v>
      </c>
      <c r="L216" s="7">
        <f t="shared" si="28"/>
        <v>0.38800000068789781</v>
      </c>
      <c r="M216" s="7">
        <f t="shared" si="29"/>
        <v>0.7007999028432963</v>
      </c>
      <c r="N216" s="7">
        <f t="shared" si="30"/>
        <v>0.83639964101146724</v>
      </c>
      <c r="O216" s="133">
        <f>B216-Table1[[#This Row],[Total]]</f>
        <v>2</v>
      </c>
    </row>
    <row r="217" spans="1:15" x14ac:dyDescent="0.3">
      <c r="A217" s="2">
        <v>43680</v>
      </c>
      <c r="B217" s="3">
        <v>45338648</v>
      </c>
      <c r="C217" s="3">
        <v>9045060</v>
      </c>
      <c r="D217" s="3">
        <v>3167580</v>
      </c>
      <c r="E217" s="3">
        <v>2240112</v>
      </c>
      <c r="F217" s="3">
        <v>1782233</v>
      </c>
      <c r="G217" s="7">
        <f t="shared" si="26"/>
        <v>3.930935479152356E-2</v>
      </c>
      <c r="H217" s="7">
        <f t="shared" si="31"/>
        <v>4.9113520787332776E-2</v>
      </c>
      <c r="I217" s="7">
        <f t="shared" si="32"/>
        <v>1.0000011138400211E-2</v>
      </c>
      <c r="J217" s="7">
        <f t="shared" si="33"/>
        <v>3.8726246750083293E-2</v>
      </c>
      <c r="K217" s="7">
        <f t="shared" si="27"/>
        <v>0.19949999391247838</v>
      </c>
      <c r="L217" s="7">
        <f t="shared" si="28"/>
        <v>0.35019999867330898</v>
      </c>
      <c r="M217" s="7">
        <f t="shared" si="29"/>
        <v>0.70719981815771027</v>
      </c>
      <c r="N217" s="7">
        <f t="shared" si="30"/>
        <v>0.79559995214524992</v>
      </c>
      <c r="O217" s="133">
        <f>B217-Table1[[#This Row],[Total]]</f>
        <v>1</v>
      </c>
    </row>
    <row r="218" spans="1:15" x14ac:dyDescent="0.3">
      <c r="A218" s="2">
        <v>43681</v>
      </c>
      <c r="B218" s="3">
        <v>43991955</v>
      </c>
      <c r="C218" s="3">
        <v>9053544</v>
      </c>
      <c r="D218" s="3">
        <v>2924294</v>
      </c>
      <c r="E218" s="3">
        <v>2068061</v>
      </c>
      <c r="F218" s="3">
        <v>1677611</v>
      </c>
      <c r="G218" s="7">
        <f t="shared" si="26"/>
        <v>3.8134495273056179E-2</v>
      </c>
      <c r="H218" s="7">
        <f t="shared" si="31"/>
        <v>1.0185488493980932E-2</v>
      </c>
      <c r="I218" s="7">
        <f t="shared" si="32"/>
        <v>1.0309266749248591E-2</v>
      </c>
      <c r="J218" s="7">
        <f t="shared" si="33"/>
        <v>-1.2251521325334913E-4</v>
      </c>
      <c r="K218" s="7">
        <f t="shared" si="27"/>
        <v>0.20579999229404558</v>
      </c>
      <c r="L218" s="7">
        <f t="shared" si="28"/>
        <v>0.3229999213567637</v>
      </c>
      <c r="M218" s="7">
        <f t="shared" si="29"/>
        <v>0.70720009684388774</v>
      </c>
      <c r="N218" s="7">
        <f t="shared" si="30"/>
        <v>0.81119995976907833</v>
      </c>
      <c r="O218" s="133">
        <f>B218-Table1[[#This Row],[Total]]</f>
        <v>0</v>
      </c>
    </row>
    <row r="219" spans="1:15" x14ac:dyDescent="0.3">
      <c r="A219" s="2">
        <v>43682</v>
      </c>
      <c r="B219" s="3">
        <v>22368860</v>
      </c>
      <c r="C219" s="3">
        <v>5592215</v>
      </c>
      <c r="D219" s="3">
        <v>2214517</v>
      </c>
      <c r="E219" s="3">
        <v>1551933</v>
      </c>
      <c r="F219" s="3">
        <v>1208956</v>
      </c>
      <c r="G219" s="7">
        <f t="shared" si="26"/>
        <v>5.4046384125073878E-2</v>
      </c>
      <c r="H219" s="7">
        <f t="shared" si="31"/>
        <v>-6.8627473639041092E-2</v>
      </c>
      <c r="I219" s="7">
        <f t="shared" si="32"/>
        <v>4.0404011745583279E-2</v>
      </c>
      <c r="J219" s="7">
        <f t="shared" si="33"/>
        <v>-0.10479725582919641</v>
      </c>
      <c r="K219" s="7">
        <f t="shared" si="27"/>
        <v>0.25</v>
      </c>
      <c r="L219" s="7">
        <f t="shared" si="28"/>
        <v>0.39599997496519718</v>
      </c>
      <c r="M219" s="7">
        <f t="shared" si="29"/>
        <v>0.70079976807583777</v>
      </c>
      <c r="N219" s="7">
        <f t="shared" si="30"/>
        <v>0.77900012436103883</v>
      </c>
      <c r="O219" s="133">
        <f>B219-Table1[[#This Row],[Total]]</f>
        <v>2</v>
      </c>
    </row>
    <row r="220" spans="1:15" x14ac:dyDescent="0.3">
      <c r="A220" s="2">
        <v>43683</v>
      </c>
      <c r="B220" s="3">
        <v>22586034</v>
      </c>
      <c r="C220" s="3">
        <v>5420648</v>
      </c>
      <c r="D220" s="3">
        <v>2124894</v>
      </c>
      <c r="E220" s="3">
        <v>1535660</v>
      </c>
      <c r="F220" s="3">
        <v>1221464</v>
      </c>
      <c r="G220" s="7">
        <f t="shared" si="26"/>
        <v>5.4080499480342589E-2</v>
      </c>
      <c r="H220" s="7">
        <f t="shared" si="31"/>
        <v>1.0841940708214315E-2</v>
      </c>
      <c r="I220" s="7">
        <f t="shared" si="32"/>
        <v>8.3333373303954517E-2</v>
      </c>
      <c r="J220" s="7">
        <f t="shared" si="33"/>
        <v>-6.6915166081014887E-2</v>
      </c>
      <c r="K220" s="7">
        <f t="shared" si="27"/>
        <v>0.23999999291597632</v>
      </c>
      <c r="L220" s="7">
        <f t="shared" si="28"/>
        <v>0.39199999704832339</v>
      </c>
      <c r="M220" s="7">
        <f t="shared" si="29"/>
        <v>0.72269957936725315</v>
      </c>
      <c r="N220" s="7">
        <f t="shared" si="30"/>
        <v>0.79540002344268912</v>
      </c>
      <c r="O220" s="133">
        <f>B220-Table1[[#This Row],[Total]]</f>
        <v>2</v>
      </c>
    </row>
    <row r="221" spans="1:15" x14ac:dyDescent="0.3">
      <c r="A221" s="2">
        <v>43684</v>
      </c>
      <c r="B221" s="3">
        <v>22586034</v>
      </c>
      <c r="C221" s="3">
        <v>5364183</v>
      </c>
      <c r="D221" s="3">
        <v>2124216</v>
      </c>
      <c r="E221" s="3">
        <v>1488650</v>
      </c>
      <c r="F221" s="3">
        <v>1184072</v>
      </c>
      <c r="G221" s="7">
        <f t="shared" si="26"/>
        <v>5.2424963143152974E-2</v>
      </c>
      <c r="H221" s="7">
        <f t="shared" si="31"/>
        <v>-0.10453264967348441</v>
      </c>
      <c r="I221" s="7">
        <f t="shared" si="32"/>
        <v>9.7087647738864913E-3</v>
      </c>
      <c r="J221" s="7">
        <f t="shared" si="33"/>
        <v>-0.1131429362930747</v>
      </c>
      <c r="K221" s="7">
        <f t="shared" si="27"/>
        <v>0.23749999667936389</v>
      </c>
      <c r="L221" s="7">
        <f t="shared" si="28"/>
        <v>0.39599991275465435</v>
      </c>
      <c r="M221" s="7">
        <f t="shared" si="29"/>
        <v>0.70079973034757292</v>
      </c>
      <c r="N221" s="7">
        <f t="shared" si="30"/>
        <v>0.79539985893258991</v>
      </c>
      <c r="O221" s="133">
        <f>B221-Table1[[#This Row],[Total]]</f>
        <v>2</v>
      </c>
    </row>
    <row r="222" spans="1:15" x14ac:dyDescent="0.3">
      <c r="A222" s="2">
        <v>43685</v>
      </c>
      <c r="B222" s="3">
        <v>20848646</v>
      </c>
      <c r="C222" s="3">
        <v>5264283</v>
      </c>
      <c r="D222" s="3">
        <v>2168884</v>
      </c>
      <c r="E222" s="3">
        <v>1519954</v>
      </c>
      <c r="F222" s="3">
        <v>1233898</v>
      </c>
      <c r="G222" s="7">
        <f t="shared" si="26"/>
        <v>5.9183603577901416E-2</v>
      </c>
      <c r="H222" s="7">
        <f t="shared" si="31"/>
        <v>-0.18102230670794195</v>
      </c>
      <c r="I222" s="7">
        <f t="shared" si="32"/>
        <v>-5.8823555966640351E-2</v>
      </c>
      <c r="J222" s="7">
        <f t="shared" si="33"/>
        <v>-0.12983617632590294</v>
      </c>
      <c r="K222" s="7">
        <f t="shared" si="27"/>
        <v>0.25249999448405425</v>
      </c>
      <c r="L222" s="7">
        <f t="shared" si="28"/>
        <v>0.41199988678420213</v>
      </c>
      <c r="M222" s="7">
        <f t="shared" si="29"/>
        <v>0.70080004278698171</v>
      </c>
      <c r="N222" s="7">
        <f t="shared" si="30"/>
        <v>0.8117995676184937</v>
      </c>
      <c r="O222" s="133">
        <f>B222-Table1[[#This Row],[Total]]</f>
        <v>1</v>
      </c>
    </row>
    <row r="223" spans="1:15" x14ac:dyDescent="0.3">
      <c r="A223" s="2">
        <v>43686</v>
      </c>
      <c r="B223" s="3">
        <v>22586034</v>
      </c>
      <c r="C223" s="3">
        <v>5590043</v>
      </c>
      <c r="D223" s="3">
        <v>2124216</v>
      </c>
      <c r="E223" s="3">
        <v>1566184</v>
      </c>
      <c r="F223" s="3">
        <v>1322799</v>
      </c>
      <c r="G223" s="7">
        <f t="shared" si="26"/>
        <v>5.8567121611523297E-2</v>
      </c>
      <c r="H223" s="7">
        <f t="shared" si="31"/>
        <v>2.7222427650719361E-4</v>
      </c>
      <c r="I223" s="7">
        <f t="shared" si="32"/>
        <v>-9.5237919824172623E-3</v>
      </c>
      <c r="J223" s="7">
        <f t="shared" si="33"/>
        <v>9.8902085477963197E-3</v>
      </c>
      <c r="K223" s="7">
        <f t="shared" si="27"/>
        <v>0.24749998162581355</v>
      </c>
      <c r="L223" s="7">
        <f t="shared" si="28"/>
        <v>0.37999993917756986</v>
      </c>
      <c r="M223" s="7">
        <f t="shared" si="29"/>
        <v>0.7372997849559555</v>
      </c>
      <c r="N223" s="7">
        <f t="shared" si="30"/>
        <v>0.84459999591363466</v>
      </c>
      <c r="O223" s="133">
        <f>B223-Table1[[#This Row],[Total]]</f>
        <v>2</v>
      </c>
    </row>
    <row r="224" spans="1:15" x14ac:dyDescent="0.3">
      <c r="A224" s="2">
        <v>43687</v>
      </c>
      <c r="B224" s="3">
        <v>46685340</v>
      </c>
      <c r="C224" s="3">
        <v>9411764</v>
      </c>
      <c r="D224" s="3">
        <v>3328000</v>
      </c>
      <c r="E224" s="3">
        <v>2330931</v>
      </c>
      <c r="F224" s="3">
        <v>1890851</v>
      </c>
      <c r="G224" s="7">
        <f t="shared" si="26"/>
        <v>4.0502029116634898E-2</v>
      </c>
      <c r="H224" s="7">
        <f t="shared" si="31"/>
        <v>6.0944893288363611E-2</v>
      </c>
      <c r="I224" s="7">
        <f t="shared" si="32"/>
        <v>2.9702958941342894E-2</v>
      </c>
      <c r="J224" s="7">
        <f t="shared" si="33"/>
        <v>3.034072503699603E-2</v>
      </c>
      <c r="K224" s="7">
        <f t="shared" si="27"/>
        <v>0.2015999883475198</v>
      </c>
      <c r="L224" s="7">
        <f t="shared" si="28"/>
        <v>0.353600026520002</v>
      </c>
      <c r="M224" s="7">
        <f t="shared" si="29"/>
        <v>0.70039993990384619</v>
      </c>
      <c r="N224" s="7">
        <f t="shared" si="30"/>
        <v>0.81119990252821728</v>
      </c>
      <c r="O224" s="133">
        <f>B224-Table1[[#This Row],[Total]]</f>
        <v>1</v>
      </c>
    </row>
    <row r="225" spans="1:15" x14ac:dyDescent="0.3">
      <c r="A225" s="11">
        <v>43688</v>
      </c>
      <c r="B225" s="12">
        <v>43991955</v>
      </c>
      <c r="C225" s="12">
        <v>9700226</v>
      </c>
      <c r="D225" s="12">
        <v>3166153</v>
      </c>
      <c r="E225" s="12">
        <v>1033432</v>
      </c>
      <c r="F225" s="12">
        <v>765773</v>
      </c>
      <c r="G225" s="13">
        <f t="shared" si="26"/>
        <v>1.7407114550830941E-2</v>
      </c>
      <c r="H225" s="13">
        <f t="shared" si="31"/>
        <v>-0.54353363205176886</v>
      </c>
      <c r="I225" s="13">
        <f t="shared" si="32"/>
        <v>0</v>
      </c>
      <c r="J225" s="13">
        <f t="shared" si="33"/>
        <v>-0.54353363205176897</v>
      </c>
      <c r="K225" s="13">
        <f t="shared" si="27"/>
        <v>0.22049999823831426</v>
      </c>
      <c r="L225" s="13">
        <f t="shared" si="28"/>
        <v>0.32639992099153153</v>
      </c>
      <c r="M225" s="13">
        <f t="shared" si="29"/>
        <v>0.32639989286683241</v>
      </c>
      <c r="N225" s="13">
        <f t="shared" si="30"/>
        <v>0.74099989162325142</v>
      </c>
      <c r="O225" s="133">
        <f>B225-Table1[[#This Row],[Total]]</f>
        <v>0</v>
      </c>
    </row>
    <row r="226" spans="1:15" x14ac:dyDescent="0.3">
      <c r="A226" s="2">
        <v>43689</v>
      </c>
      <c r="B226" s="3">
        <v>20631473</v>
      </c>
      <c r="C226" s="3">
        <v>5157868</v>
      </c>
      <c r="D226" s="3">
        <v>2063147</v>
      </c>
      <c r="E226" s="3">
        <v>1445853</v>
      </c>
      <c r="F226" s="3">
        <v>1244880</v>
      </c>
      <c r="G226" s="7">
        <f t="shared" si="26"/>
        <v>6.0338881281040861E-2</v>
      </c>
      <c r="H226" s="7">
        <f t="shared" si="31"/>
        <v>2.971489450401843E-2</v>
      </c>
      <c r="I226" s="7">
        <f t="shared" si="32"/>
        <v>-7.7669894666066996E-2</v>
      </c>
      <c r="J226" s="7">
        <f t="shared" si="33"/>
        <v>0.11642771774342786</v>
      </c>
      <c r="K226" s="7">
        <f t="shared" si="27"/>
        <v>0.24999998788259084</v>
      </c>
      <c r="L226" s="7">
        <f t="shared" si="28"/>
        <v>0.39999996122428877</v>
      </c>
      <c r="M226" s="7">
        <f t="shared" si="29"/>
        <v>0.70079979759076794</v>
      </c>
      <c r="N226" s="7">
        <f t="shared" si="30"/>
        <v>0.86100039215604907</v>
      </c>
      <c r="O226" s="133">
        <f>B226-Table1[[#This Row],[Total]]</f>
        <v>1</v>
      </c>
    </row>
    <row r="227" spans="1:15" x14ac:dyDescent="0.3">
      <c r="A227" s="2">
        <v>43690</v>
      </c>
      <c r="B227" s="3">
        <v>20848646</v>
      </c>
      <c r="C227" s="3">
        <v>5316404</v>
      </c>
      <c r="D227" s="3">
        <v>2211624</v>
      </c>
      <c r="E227" s="3">
        <v>1549906</v>
      </c>
      <c r="F227" s="3">
        <v>1334469</v>
      </c>
      <c r="G227" s="7">
        <f t="shared" si="26"/>
        <v>6.4007466000429961E-2</v>
      </c>
      <c r="H227" s="7">
        <f t="shared" si="31"/>
        <v>9.2516029944394562E-2</v>
      </c>
      <c r="I227" s="7">
        <f t="shared" si="32"/>
        <v>-7.6923110980883114E-2</v>
      </c>
      <c r="J227" s="7">
        <f t="shared" si="33"/>
        <v>0.18355907610830524</v>
      </c>
      <c r="K227" s="7">
        <f t="shared" si="27"/>
        <v>0.25499996498573574</v>
      </c>
      <c r="L227" s="7">
        <f t="shared" si="28"/>
        <v>0.41599998796178772</v>
      </c>
      <c r="M227" s="7">
        <f t="shared" si="29"/>
        <v>0.70079995514608273</v>
      </c>
      <c r="N227" s="7">
        <f t="shared" si="30"/>
        <v>0.86099995741677238</v>
      </c>
      <c r="O227" s="133">
        <f>B227-Table1[[#This Row],[Total]]</f>
        <v>1</v>
      </c>
    </row>
    <row r="228" spans="1:15" x14ac:dyDescent="0.3">
      <c r="A228" s="2">
        <v>43691</v>
      </c>
      <c r="B228" s="3">
        <v>22586034</v>
      </c>
      <c r="C228" s="3">
        <v>5477113</v>
      </c>
      <c r="D228" s="3">
        <v>2147028</v>
      </c>
      <c r="E228" s="3">
        <v>1551657</v>
      </c>
      <c r="F228" s="3">
        <v>1335977</v>
      </c>
      <c r="G228" s="7">
        <f t="shared" si="26"/>
        <v>5.9150579512985767E-2</v>
      </c>
      <c r="H228" s="7">
        <f t="shared" si="31"/>
        <v>0.12829034045226972</v>
      </c>
      <c r="I228" s="7">
        <f t="shared" si="32"/>
        <v>0</v>
      </c>
      <c r="J228" s="7">
        <f t="shared" si="33"/>
        <v>0.12829034045226972</v>
      </c>
      <c r="K228" s="7">
        <f t="shared" si="27"/>
        <v>0.24249998915258872</v>
      </c>
      <c r="L228" s="7">
        <f t="shared" si="28"/>
        <v>0.39199994595693022</v>
      </c>
      <c r="M228" s="7">
        <f t="shared" si="29"/>
        <v>0.72269993684292888</v>
      </c>
      <c r="N228" s="7">
        <f t="shared" si="30"/>
        <v>0.86100020816456213</v>
      </c>
      <c r="O228" s="133">
        <f>B228-Table1[[#This Row],[Total]]</f>
        <v>2</v>
      </c>
    </row>
    <row r="229" spans="1:15" x14ac:dyDescent="0.3">
      <c r="A229" s="2">
        <v>43692</v>
      </c>
      <c r="B229" s="3">
        <v>21934513</v>
      </c>
      <c r="C229" s="3">
        <v>5702973</v>
      </c>
      <c r="D229" s="3">
        <v>2235565</v>
      </c>
      <c r="E229" s="3">
        <v>1615643</v>
      </c>
      <c r="F229" s="3">
        <v>1298330</v>
      </c>
      <c r="G229" s="7">
        <f t="shared" si="26"/>
        <v>5.9191193349038565E-2</v>
      </c>
      <c r="H229" s="7">
        <f t="shared" si="31"/>
        <v>5.2218254669348596E-2</v>
      </c>
      <c r="I229" s="7">
        <f t="shared" si="32"/>
        <v>5.2083334332598819E-2</v>
      </c>
      <c r="J229" s="7">
        <f t="shared" si="33"/>
        <v>1.282411120364646E-4</v>
      </c>
      <c r="K229" s="7">
        <f t="shared" si="27"/>
        <v>0.25999998267570379</v>
      </c>
      <c r="L229" s="7">
        <f t="shared" si="28"/>
        <v>0.39199992705559011</v>
      </c>
      <c r="M229" s="7">
        <f t="shared" si="29"/>
        <v>0.7227000780563303</v>
      </c>
      <c r="N229" s="7">
        <f t="shared" si="30"/>
        <v>0.8035995575755287</v>
      </c>
      <c r="O229" s="133">
        <f>B229-Table1[[#This Row],[Total]]</f>
        <v>2</v>
      </c>
    </row>
    <row r="230" spans="1:15" x14ac:dyDescent="0.3">
      <c r="A230" s="2">
        <v>43693</v>
      </c>
      <c r="B230" s="3">
        <v>21282993</v>
      </c>
      <c r="C230" s="3">
        <v>5480370</v>
      </c>
      <c r="D230" s="3">
        <v>2279834</v>
      </c>
      <c r="E230" s="3">
        <v>1581065</v>
      </c>
      <c r="F230" s="3">
        <v>1257579</v>
      </c>
      <c r="G230" s="7">
        <f t="shared" si="26"/>
        <v>5.9088446817606902E-2</v>
      </c>
      <c r="H230" s="7">
        <f t="shared" si="31"/>
        <v>-4.9304542867056877E-2</v>
      </c>
      <c r="I230" s="7">
        <f t="shared" si="32"/>
        <v>-5.7692333235662363E-2</v>
      </c>
      <c r="J230" s="7">
        <f t="shared" si="33"/>
        <v>8.9013287957289133E-3</v>
      </c>
      <c r="K230" s="7">
        <f t="shared" si="27"/>
        <v>0.2574999672273538</v>
      </c>
      <c r="L230" s="7">
        <f t="shared" si="28"/>
        <v>0.41600001459755453</v>
      </c>
      <c r="M230" s="7">
        <f t="shared" si="29"/>
        <v>0.69350005307403961</v>
      </c>
      <c r="N230" s="7">
        <f t="shared" si="30"/>
        <v>0.79539993611900839</v>
      </c>
      <c r="O230" s="133">
        <f>B230-Table1[[#This Row],[Total]]</f>
        <v>1</v>
      </c>
    </row>
    <row r="231" spans="1:15" x14ac:dyDescent="0.3">
      <c r="A231" s="2">
        <v>43694</v>
      </c>
      <c r="B231" s="3">
        <v>46685340</v>
      </c>
      <c r="C231" s="3">
        <v>10098039</v>
      </c>
      <c r="D231" s="3">
        <v>3399000</v>
      </c>
      <c r="E231" s="3">
        <v>2357546</v>
      </c>
      <c r="F231" s="3">
        <v>1857275</v>
      </c>
      <c r="G231" s="7">
        <f t="shared" si="26"/>
        <v>3.9782831184264698E-2</v>
      </c>
      <c r="H231" s="7">
        <f t="shared" si="31"/>
        <v>-1.7757083979647259E-2</v>
      </c>
      <c r="I231" s="7">
        <f t="shared" si="32"/>
        <v>0</v>
      </c>
      <c r="J231" s="7">
        <f t="shared" si="33"/>
        <v>-1.7757083979647148E-2</v>
      </c>
      <c r="K231" s="7">
        <f t="shared" si="27"/>
        <v>0.21629999910035999</v>
      </c>
      <c r="L231" s="7">
        <f t="shared" si="28"/>
        <v>0.33660000718951472</v>
      </c>
      <c r="M231" s="7">
        <f t="shared" si="29"/>
        <v>0.69359988231832892</v>
      </c>
      <c r="N231" s="7">
        <f t="shared" si="30"/>
        <v>0.78780011079317225</v>
      </c>
      <c r="O231" s="133">
        <f>B231-Table1[[#This Row],[Total]]</f>
        <v>1</v>
      </c>
    </row>
    <row r="232" spans="1:15" x14ac:dyDescent="0.3">
      <c r="A232" s="11">
        <v>43695</v>
      </c>
      <c r="B232" s="12">
        <v>45338648</v>
      </c>
      <c r="C232" s="12">
        <v>9521116</v>
      </c>
      <c r="D232" s="12">
        <v>3140064</v>
      </c>
      <c r="E232" s="12">
        <v>2028481</v>
      </c>
      <c r="F232" s="12">
        <v>1582215</v>
      </c>
      <c r="G232" s="13">
        <f t="shared" si="26"/>
        <v>3.4897710227265712E-2</v>
      </c>
      <c r="H232" s="13">
        <f t="shared" si="31"/>
        <v>1.0661671278564273</v>
      </c>
      <c r="I232" s="13">
        <f t="shared" si="32"/>
        <v>3.0612256263673698E-2</v>
      </c>
      <c r="J232" s="13">
        <f t="shared" si="33"/>
        <v>1.0047958049198824</v>
      </c>
      <c r="K232" s="13">
        <f t="shared" si="27"/>
        <v>0.20999999823550097</v>
      </c>
      <c r="L232" s="13">
        <f t="shared" si="28"/>
        <v>0.32979999403431276</v>
      </c>
      <c r="M232" s="13">
        <f t="shared" si="29"/>
        <v>0.64599989044809281</v>
      </c>
      <c r="N232" s="13">
        <f t="shared" si="30"/>
        <v>0.77999991126364998</v>
      </c>
      <c r="O232" s="133">
        <f>B232-Table1[[#This Row],[Total]]</f>
        <v>1</v>
      </c>
    </row>
    <row r="233" spans="1:15" x14ac:dyDescent="0.3">
      <c r="A233" s="2">
        <v>43696</v>
      </c>
      <c r="B233" s="3">
        <v>21065820</v>
      </c>
      <c r="C233" s="3">
        <v>5003132</v>
      </c>
      <c r="D233" s="3">
        <v>2041277</v>
      </c>
      <c r="E233" s="3">
        <v>1534836</v>
      </c>
      <c r="F233" s="3">
        <v>1233394</v>
      </c>
      <c r="G233" s="7">
        <f t="shared" si="26"/>
        <v>5.8549536642770135E-2</v>
      </c>
      <c r="H233" s="7">
        <f t="shared" si="31"/>
        <v>-9.2265921213289248E-3</v>
      </c>
      <c r="I233" s="7">
        <f t="shared" si="32"/>
        <v>2.105264127287465E-2</v>
      </c>
      <c r="J233" s="7">
        <f t="shared" si="33"/>
        <v>-2.9654919022056192E-2</v>
      </c>
      <c r="K233" s="7">
        <f t="shared" si="27"/>
        <v>0.23749998813243445</v>
      </c>
      <c r="L233" s="7">
        <f t="shared" si="28"/>
        <v>0.40799982890717257</v>
      </c>
      <c r="M233" s="7">
        <f t="shared" si="29"/>
        <v>0.75189991363249575</v>
      </c>
      <c r="N233" s="7">
        <f t="shared" si="30"/>
        <v>0.80359986343817846</v>
      </c>
      <c r="O233" s="133">
        <f>B233-Table1[[#This Row],[Total]]</f>
        <v>1</v>
      </c>
    </row>
    <row r="234" spans="1:15" x14ac:dyDescent="0.3">
      <c r="A234" s="2">
        <v>43697</v>
      </c>
      <c r="B234" s="3">
        <v>21934513</v>
      </c>
      <c r="C234" s="3">
        <v>5757809</v>
      </c>
      <c r="D234" s="3">
        <v>2303123</v>
      </c>
      <c r="E234" s="3">
        <v>1714906</v>
      </c>
      <c r="F234" s="3">
        <v>1392160</v>
      </c>
      <c r="G234" s="7">
        <f t="shared" si="26"/>
        <v>6.3468926800426345E-2</v>
      </c>
      <c r="H234" s="7">
        <f t="shared" si="31"/>
        <v>4.3231427631514885E-2</v>
      </c>
      <c r="I234" s="7">
        <f t="shared" si="32"/>
        <v>5.2083334332598819E-2</v>
      </c>
      <c r="J234" s="7">
        <f t="shared" si="33"/>
        <v>-8.4136934900688187E-3</v>
      </c>
      <c r="K234" s="7">
        <f t="shared" si="27"/>
        <v>0.26249996979645729</v>
      </c>
      <c r="L234" s="7">
        <f t="shared" si="28"/>
        <v>0.39999989579369516</v>
      </c>
      <c r="M234" s="7">
        <f t="shared" si="29"/>
        <v>0.74460026668137136</v>
      </c>
      <c r="N234" s="7">
        <f t="shared" si="30"/>
        <v>0.81179959717908734</v>
      </c>
      <c r="O234" s="133">
        <f>B234-Table1[[#This Row],[Total]]</f>
        <v>2</v>
      </c>
    </row>
    <row r="235" spans="1:15" x14ac:dyDescent="0.3">
      <c r="A235" s="2">
        <v>43698</v>
      </c>
      <c r="B235" s="3">
        <v>22368860</v>
      </c>
      <c r="C235" s="3">
        <v>5592215</v>
      </c>
      <c r="D235" s="3">
        <v>2259254</v>
      </c>
      <c r="E235" s="3">
        <v>1599778</v>
      </c>
      <c r="F235" s="3">
        <v>1351172</v>
      </c>
      <c r="G235" s="7">
        <f t="shared" si="26"/>
        <v>6.0404151127951985E-2</v>
      </c>
      <c r="H235" s="7">
        <f t="shared" si="31"/>
        <v>1.1373698798706755E-2</v>
      </c>
      <c r="I235" s="7">
        <f t="shared" si="32"/>
        <v>-9.6154110101844825E-3</v>
      </c>
      <c r="J235" s="7">
        <f t="shared" si="33"/>
        <v>2.1192888138839239E-2</v>
      </c>
      <c r="K235" s="7">
        <f t="shared" si="27"/>
        <v>0.25</v>
      </c>
      <c r="L235" s="7">
        <f t="shared" si="28"/>
        <v>0.40399984621478252</v>
      </c>
      <c r="M235" s="7">
        <f t="shared" si="29"/>
        <v>0.70810010738057783</v>
      </c>
      <c r="N235" s="7">
        <f t="shared" si="30"/>
        <v>0.8445996882067387</v>
      </c>
      <c r="O235" s="133">
        <f>B235-Table1[[#This Row],[Total]]</f>
        <v>2</v>
      </c>
    </row>
    <row r="236" spans="1:15" x14ac:dyDescent="0.3">
      <c r="A236" s="2">
        <v>43699</v>
      </c>
      <c r="B236" s="3">
        <v>21934513</v>
      </c>
      <c r="C236" s="3">
        <v>5483628</v>
      </c>
      <c r="D236" s="3">
        <v>2193451</v>
      </c>
      <c r="E236" s="3">
        <v>1617231</v>
      </c>
      <c r="F236" s="3">
        <v>1392436</v>
      </c>
      <c r="G236" s="7">
        <f t="shared" si="26"/>
        <v>6.3481509710290804E-2</v>
      </c>
      <c r="H236" s="7">
        <f t="shared" si="31"/>
        <v>7.2482342701778446E-2</v>
      </c>
      <c r="I236" s="7">
        <f t="shared" si="32"/>
        <v>0</v>
      </c>
      <c r="J236" s="7">
        <f t="shared" si="33"/>
        <v>7.2482342701778446E-2</v>
      </c>
      <c r="K236" s="7">
        <f t="shared" si="27"/>
        <v>0.24999998860243672</v>
      </c>
      <c r="L236" s="7">
        <f t="shared" si="28"/>
        <v>0.39999996352779582</v>
      </c>
      <c r="M236" s="7">
        <f t="shared" si="29"/>
        <v>0.7372998074723347</v>
      </c>
      <c r="N236" s="7">
        <f t="shared" si="30"/>
        <v>0.86100006739915325</v>
      </c>
      <c r="O236" s="133">
        <f>B236-Table1[[#This Row],[Total]]</f>
        <v>2</v>
      </c>
    </row>
    <row r="237" spans="1:15" x14ac:dyDescent="0.3">
      <c r="A237" s="2">
        <v>43700</v>
      </c>
      <c r="B237" s="3">
        <v>20848646</v>
      </c>
      <c r="C237" s="3">
        <v>5420648</v>
      </c>
      <c r="D237" s="3">
        <v>2146576</v>
      </c>
      <c r="E237" s="3">
        <v>1519990</v>
      </c>
      <c r="F237" s="3">
        <v>1296248</v>
      </c>
      <c r="G237" s="7">
        <f t="shared" si="26"/>
        <v>6.2174205461592087E-2</v>
      </c>
      <c r="H237" s="7">
        <f t="shared" si="31"/>
        <v>3.0748764093547987E-2</v>
      </c>
      <c r="I237" s="7">
        <f t="shared" si="32"/>
        <v>-2.0408172854259776E-2</v>
      </c>
      <c r="J237" s="7">
        <f t="shared" si="33"/>
        <v>5.2222706978747313E-2</v>
      </c>
      <c r="K237" s="7">
        <f t="shared" si="27"/>
        <v>0.2600000019185898</v>
      </c>
      <c r="L237" s="7">
        <f t="shared" si="28"/>
        <v>0.3959998878362882</v>
      </c>
      <c r="M237" s="7">
        <f t="shared" si="29"/>
        <v>0.70809978309642896</v>
      </c>
      <c r="N237" s="7">
        <f t="shared" si="30"/>
        <v>0.85280034737070642</v>
      </c>
      <c r="O237" s="133">
        <f>B237-Table1[[#This Row],[Total]]</f>
        <v>1</v>
      </c>
    </row>
    <row r="238" spans="1:15" x14ac:dyDescent="0.3">
      <c r="A238" s="2">
        <v>43701</v>
      </c>
      <c r="B238" s="3">
        <v>43094160</v>
      </c>
      <c r="C238" s="3">
        <v>9321266</v>
      </c>
      <c r="D238" s="3">
        <v>3264307</v>
      </c>
      <c r="E238" s="3">
        <v>2108742</v>
      </c>
      <c r="F238" s="3">
        <v>1628371</v>
      </c>
      <c r="G238" s="7">
        <f t="shared" si="26"/>
        <v>3.7786349704925212E-2</v>
      </c>
      <c r="H238" s="7">
        <f t="shared" si="31"/>
        <v>-0.12324723048552311</v>
      </c>
      <c r="I238" s="7">
        <f t="shared" si="32"/>
        <v>-7.6923076923076872E-2</v>
      </c>
      <c r="J238" s="7">
        <f t="shared" si="33"/>
        <v>-5.0184499692650153E-2</v>
      </c>
      <c r="K238" s="7">
        <f t="shared" si="27"/>
        <v>0.21629998125035968</v>
      </c>
      <c r="L238" s="7">
        <f t="shared" si="28"/>
        <v>0.35019996210815141</v>
      </c>
      <c r="M238" s="7">
        <f t="shared" si="29"/>
        <v>0.64599990135731722</v>
      </c>
      <c r="N238" s="7">
        <f t="shared" si="30"/>
        <v>0.77220020277492463</v>
      </c>
      <c r="O238" s="133">
        <f>B238-Table1[[#This Row],[Total]]</f>
        <v>2</v>
      </c>
    </row>
    <row r="239" spans="1:15" x14ac:dyDescent="0.3">
      <c r="A239" s="2">
        <v>43702</v>
      </c>
      <c r="B239" s="3">
        <v>44440853</v>
      </c>
      <c r="C239" s="3">
        <v>9332579</v>
      </c>
      <c r="D239" s="3">
        <v>3331730</v>
      </c>
      <c r="E239" s="3">
        <v>2288232</v>
      </c>
      <c r="F239" s="3">
        <v>1784821</v>
      </c>
      <c r="G239" s="7">
        <f t="shared" si="26"/>
        <v>4.0161717868016616E-2</v>
      </c>
      <c r="H239" s="7">
        <f t="shared" si="31"/>
        <v>0.12805212945143363</v>
      </c>
      <c r="I239" s="7">
        <f t="shared" si="32"/>
        <v>-1.9801979979641171E-2</v>
      </c>
      <c r="J239" s="7">
        <f t="shared" si="33"/>
        <v>0.15084106110314699</v>
      </c>
      <c r="K239" s="7">
        <f t="shared" si="27"/>
        <v>0.20999999707476361</v>
      </c>
      <c r="L239" s="7">
        <f t="shared" si="28"/>
        <v>0.35699992467248337</v>
      </c>
      <c r="M239" s="7">
        <f t="shared" si="29"/>
        <v>0.68679995077632339</v>
      </c>
      <c r="N239" s="7">
        <f t="shared" si="30"/>
        <v>0.78000001748074499</v>
      </c>
      <c r="O239" s="133">
        <f>B239-Table1[[#This Row],[Total]]</f>
        <v>2</v>
      </c>
    </row>
    <row r="240" spans="1:15" x14ac:dyDescent="0.3">
      <c r="A240" s="2">
        <v>43703</v>
      </c>
      <c r="B240" s="3">
        <v>22368860</v>
      </c>
      <c r="C240" s="3">
        <v>5424448</v>
      </c>
      <c r="D240" s="3">
        <v>2169779</v>
      </c>
      <c r="E240" s="3">
        <v>1568099</v>
      </c>
      <c r="F240" s="3">
        <v>1260124</v>
      </c>
      <c r="G240" s="7">
        <f t="shared" si="26"/>
        <v>5.6333849825158724E-2</v>
      </c>
      <c r="H240" s="7">
        <f t="shared" si="31"/>
        <v>2.1671906949441988E-2</v>
      </c>
      <c r="I240" s="7">
        <f t="shared" si="32"/>
        <v>6.1855650527727013E-2</v>
      </c>
      <c r="J240" s="7">
        <f t="shared" si="33"/>
        <v>-3.7842943679128327E-2</v>
      </c>
      <c r="K240" s="7">
        <f t="shared" si="27"/>
        <v>0.24249997541224722</v>
      </c>
      <c r="L240" s="7">
        <f t="shared" si="28"/>
        <v>0.399999963129889</v>
      </c>
      <c r="M240" s="7">
        <f t="shared" si="29"/>
        <v>0.72269986943370734</v>
      </c>
      <c r="N240" s="7">
        <f t="shared" si="30"/>
        <v>0.80359977271843164</v>
      </c>
      <c r="O240" s="133">
        <f>B240-Table1[[#This Row],[Total]]</f>
        <v>2</v>
      </c>
    </row>
    <row r="241" spans="1:15" x14ac:dyDescent="0.3">
      <c r="A241" s="2">
        <v>43704</v>
      </c>
      <c r="B241" s="3">
        <v>20848646</v>
      </c>
      <c r="C241" s="3">
        <v>5003675</v>
      </c>
      <c r="D241" s="3">
        <v>1961440</v>
      </c>
      <c r="E241" s="3">
        <v>1446170</v>
      </c>
      <c r="F241" s="3">
        <v>1150283</v>
      </c>
      <c r="G241" s="7">
        <f t="shared" si="26"/>
        <v>5.5173031380551046E-2</v>
      </c>
      <c r="H241" s="7">
        <f t="shared" si="31"/>
        <v>-0.17374224227100332</v>
      </c>
      <c r="I241" s="7">
        <f t="shared" si="32"/>
        <v>-4.9504951397826846E-2</v>
      </c>
      <c r="J241" s="7">
        <f t="shared" si="33"/>
        <v>-0.13070798323030053</v>
      </c>
      <c r="K241" s="7">
        <f t="shared" si="27"/>
        <v>0.23999999808141018</v>
      </c>
      <c r="L241" s="7">
        <f t="shared" si="28"/>
        <v>0.39199988008813524</v>
      </c>
      <c r="M241" s="7">
        <f t="shared" si="29"/>
        <v>0.73730014683089973</v>
      </c>
      <c r="N241" s="7">
        <f t="shared" si="30"/>
        <v>0.79539957266434791</v>
      </c>
      <c r="O241" s="133">
        <f>B241-Table1[[#This Row],[Total]]</f>
        <v>1</v>
      </c>
    </row>
    <row r="242" spans="1:15" x14ac:dyDescent="0.3">
      <c r="A242" s="2">
        <v>43705</v>
      </c>
      <c r="B242" s="3">
        <v>21934513</v>
      </c>
      <c r="C242" s="3">
        <v>5593301</v>
      </c>
      <c r="D242" s="3">
        <v>2304440</v>
      </c>
      <c r="E242" s="3">
        <v>1699063</v>
      </c>
      <c r="F242" s="3">
        <v>1421096</v>
      </c>
      <c r="G242" s="7">
        <f t="shared" si="26"/>
        <v>6.4788126365057666E-2</v>
      </c>
      <c r="H242" s="7">
        <f t="shared" si="31"/>
        <v>5.1750628343393723E-2</v>
      </c>
      <c r="I242" s="7">
        <f t="shared" si="32"/>
        <v>-1.9417484842768062E-2</v>
      </c>
      <c r="J242" s="7">
        <f t="shared" si="33"/>
        <v>7.2577383428818587E-2</v>
      </c>
      <c r="K242" s="7">
        <f t="shared" si="27"/>
        <v>0.25500000843419685</v>
      </c>
      <c r="L242" s="7">
        <f t="shared" si="28"/>
        <v>0.41199999785457642</v>
      </c>
      <c r="M242" s="7">
        <f t="shared" si="29"/>
        <v>0.73729973442571728</v>
      </c>
      <c r="N242" s="7">
        <f t="shared" si="30"/>
        <v>0.83639982743429764</v>
      </c>
      <c r="O242" s="133">
        <f>B242-Table1[[#This Row],[Total]]</f>
        <v>2</v>
      </c>
    </row>
    <row r="243" spans="1:15" x14ac:dyDescent="0.3">
      <c r="A243" s="2">
        <v>43706</v>
      </c>
      <c r="B243" s="3">
        <v>21282993</v>
      </c>
      <c r="C243" s="3">
        <v>5214333</v>
      </c>
      <c r="D243" s="3">
        <v>2044018</v>
      </c>
      <c r="E243" s="3">
        <v>1566740</v>
      </c>
      <c r="F243" s="3">
        <v>1310421</v>
      </c>
      <c r="G243" s="7">
        <f t="shared" si="26"/>
        <v>6.1571274303383924E-2</v>
      </c>
      <c r="H243" s="7">
        <f t="shared" si="31"/>
        <v>-5.8900373158981778E-2</v>
      </c>
      <c r="I243" s="7">
        <f t="shared" si="32"/>
        <v>-2.970296172064546E-2</v>
      </c>
      <c r="J243" s="7">
        <f t="shared" si="33"/>
        <v>-3.0091209481699188E-2</v>
      </c>
      <c r="K243" s="7">
        <f t="shared" si="27"/>
        <v>0.24499998660902628</v>
      </c>
      <c r="L243" s="7">
        <f t="shared" si="28"/>
        <v>0.39199989720641165</v>
      </c>
      <c r="M243" s="7">
        <f t="shared" si="29"/>
        <v>0.76650009931419394</v>
      </c>
      <c r="N243" s="7">
        <f t="shared" si="30"/>
        <v>0.83639978554195338</v>
      </c>
      <c r="O243" s="133">
        <f>B243-Table1[[#This Row],[Total]]</f>
        <v>1</v>
      </c>
    </row>
    <row r="244" spans="1:15" x14ac:dyDescent="0.3">
      <c r="A244" s="2">
        <v>43707</v>
      </c>
      <c r="B244" s="3">
        <v>21934513</v>
      </c>
      <c r="C244" s="3">
        <v>5319119</v>
      </c>
      <c r="D244" s="3">
        <v>2127647</v>
      </c>
      <c r="E244" s="3">
        <v>1522119</v>
      </c>
      <c r="F244" s="3">
        <v>1210693</v>
      </c>
      <c r="G244" s="7">
        <f t="shared" si="26"/>
        <v>5.5195800335298077E-2</v>
      </c>
      <c r="H244" s="7">
        <f t="shared" si="31"/>
        <v>-6.6002030475649676E-2</v>
      </c>
      <c r="I244" s="7">
        <f t="shared" si="32"/>
        <v>5.2083334332598819E-2</v>
      </c>
      <c r="J244" s="7">
        <f t="shared" si="33"/>
        <v>-0.11223955456262158</v>
      </c>
      <c r="K244" s="7">
        <f t="shared" si="27"/>
        <v>0.24249998164992312</v>
      </c>
      <c r="L244" s="7">
        <f t="shared" si="28"/>
        <v>0.39999988719936513</v>
      </c>
      <c r="M244" s="7">
        <f t="shared" si="29"/>
        <v>0.71540015801493384</v>
      </c>
      <c r="N244" s="7">
        <f t="shared" si="30"/>
        <v>0.79539970265136961</v>
      </c>
      <c r="O244" s="133">
        <f>B244-Table1[[#This Row],[Total]]</f>
        <v>2</v>
      </c>
    </row>
    <row r="245" spans="1:15" x14ac:dyDescent="0.3">
      <c r="A245" s="2">
        <v>43708</v>
      </c>
      <c r="B245" s="3">
        <v>45338648</v>
      </c>
      <c r="C245" s="3">
        <v>9235482</v>
      </c>
      <c r="D245" s="3">
        <v>3265666</v>
      </c>
      <c r="E245" s="3">
        <v>2176240</v>
      </c>
      <c r="F245" s="3">
        <v>1663518</v>
      </c>
      <c r="G245" s="7">
        <f t="shared" si="26"/>
        <v>3.6690948525858115E-2</v>
      </c>
      <c r="H245" s="7">
        <f t="shared" si="31"/>
        <v>2.158414759290106E-2</v>
      </c>
      <c r="I245" s="7">
        <f t="shared" si="32"/>
        <v>5.2083344935833553E-2</v>
      </c>
      <c r="J245" s="7">
        <f t="shared" si="33"/>
        <v>-2.8989335768633939E-2</v>
      </c>
      <c r="K245" s="7">
        <f t="shared" si="27"/>
        <v>0.20369998681919232</v>
      </c>
      <c r="L245" s="7">
        <f t="shared" si="28"/>
        <v>0.35359995287739177</v>
      </c>
      <c r="M245" s="7">
        <f t="shared" si="29"/>
        <v>0.66640005438400618</v>
      </c>
      <c r="N245" s="7">
        <f t="shared" si="30"/>
        <v>0.76440006616917255</v>
      </c>
      <c r="O245" s="133">
        <f>B245-Table1[[#This Row],[Total]]</f>
        <v>1</v>
      </c>
    </row>
    <row r="246" spans="1:15" x14ac:dyDescent="0.3">
      <c r="A246" s="2">
        <v>43709</v>
      </c>
      <c r="B246" s="3">
        <v>42645263</v>
      </c>
      <c r="C246" s="3">
        <v>9224170</v>
      </c>
      <c r="D246" s="3">
        <v>3261666</v>
      </c>
      <c r="E246" s="3">
        <v>2217933</v>
      </c>
      <c r="F246" s="3">
        <v>1660788</v>
      </c>
      <c r="G246" s="7">
        <f t="shared" si="26"/>
        <v>3.8944255074707827E-2</v>
      </c>
      <c r="H246" s="7">
        <f t="shared" si="31"/>
        <v>-6.9493243300028373E-2</v>
      </c>
      <c r="I246" s="7">
        <f t="shared" si="32"/>
        <v>-4.0404039949458181E-2</v>
      </c>
      <c r="J246" s="7">
        <f t="shared" si="33"/>
        <v>-3.0314011898338933E-2</v>
      </c>
      <c r="K246" s="7">
        <f t="shared" si="27"/>
        <v>0.21629999092748003</v>
      </c>
      <c r="L246" s="7">
        <f t="shared" si="28"/>
        <v>0.3535999444936509</v>
      </c>
      <c r="M246" s="7">
        <f t="shared" si="29"/>
        <v>0.68000003679101417</v>
      </c>
      <c r="N246" s="7">
        <f t="shared" si="30"/>
        <v>0.74879989611949505</v>
      </c>
      <c r="O246" s="133">
        <f>B246-Table1[[#This Row],[Total]]</f>
        <v>2</v>
      </c>
    </row>
    <row r="247" spans="1:15" x14ac:dyDescent="0.3">
      <c r="A247" s="2">
        <v>43710</v>
      </c>
      <c r="B247" s="3">
        <v>22803207</v>
      </c>
      <c r="C247" s="3">
        <v>5529777</v>
      </c>
      <c r="D247" s="3">
        <v>2278268</v>
      </c>
      <c r="E247" s="3">
        <v>1696398</v>
      </c>
      <c r="F247" s="3">
        <v>1335405</v>
      </c>
      <c r="G247" s="7">
        <f t="shared" si="26"/>
        <v>5.8562157507055915E-2</v>
      </c>
      <c r="H247" s="7">
        <f t="shared" si="31"/>
        <v>5.9740946129111183E-2</v>
      </c>
      <c r="I247" s="7">
        <f t="shared" si="32"/>
        <v>1.9417484842767951E-2</v>
      </c>
      <c r="J247" s="7">
        <f t="shared" si="33"/>
        <v>3.9555395003414651E-2</v>
      </c>
      <c r="K247" s="7">
        <f t="shared" si="27"/>
        <v>0.24249996941219715</v>
      </c>
      <c r="L247" s="7">
        <f t="shared" si="28"/>
        <v>0.41199997757594925</v>
      </c>
      <c r="M247" s="7">
        <f t="shared" si="29"/>
        <v>0.7445998451455228</v>
      </c>
      <c r="N247" s="7">
        <f t="shared" si="30"/>
        <v>0.78720029144104153</v>
      </c>
      <c r="O247" s="133">
        <f>B247-Table1[[#This Row],[Total]]</f>
        <v>2</v>
      </c>
    </row>
    <row r="248" spans="1:15" x14ac:dyDescent="0.3">
      <c r="A248" s="2">
        <v>43711</v>
      </c>
      <c r="B248" s="3">
        <v>22586034</v>
      </c>
      <c r="C248" s="3">
        <v>5702973</v>
      </c>
      <c r="D248" s="3">
        <v>2167129</v>
      </c>
      <c r="E248" s="3">
        <v>1502904</v>
      </c>
      <c r="F248" s="3">
        <v>1170762</v>
      </c>
      <c r="G248" s="7">
        <f t="shared" si="26"/>
        <v>5.1835660922143305E-2</v>
      </c>
      <c r="H248" s="7">
        <f t="shared" si="31"/>
        <v>1.7803444891387521E-2</v>
      </c>
      <c r="I248" s="7">
        <f t="shared" si="32"/>
        <v>8.3333373303954517E-2</v>
      </c>
      <c r="J248" s="7">
        <f t="shared" si="33"/>
        <v>-6.048916245671776E-2</v>
      </c>
      <c r="K248" s="7">
        <f t="shared" si="27"/>
        <v>0.25249997409903835</v>
      </c>
      <c r="L248" s="7">
        <f t="shared" si="28"/>
        <v>0.37999987024311704</v>
      </c>
      <c r="M248" s="7">
        <f t="shared" si="29"/>
        <v>0.6935000177654399</v>
      </c>
      <c r="N248" s="7">
        <f t="shared" si="30"/>
        <v>0.77899985627824531</v>
      </c>
      <c r="O248" s="133">
        <f>B248-Table1[[#This Row],[Total]]</f>
        <v>2</v>
      </c>
    </row>
    <row r="249" spans="1:15" x14ac:dyDescent="0.3">
      <c r="A249" s="2">
        <v>43712</v>
      </c>
      <c r="B249" s="3">
        <v>22368860</v>
      </c>
      <c r="C249" s="3">
        <v>5592215</v>
      </c>
      <c r="D249" s="3">
        <v>2259254</v>
      </c>
      <c r="E249" s="3">
        <v>1566793</v>
      </c>
      <c r="F249" s="3">
        <v>1310465</v>
      </c>
      <c r="G249" s="7">
        <f t="shared" si="26"/>
        <v>5.8584344486039969E-2</v>
      </c>
      <c r="H249" s="7">
        <f t="shared" si="31"/>
        <v>-7.7849068606202554E-2</v>
      </c>
      <c r="I249" s="7">
        <f t="shared" si="32"/>
        <v>1.9801989677181275E-2</v>
      </c>
      <c r="J249" s="7">
        <f t="shared" si="33"/>
        <v>-9.575492033928612E-2</v>
      </c>
      <c r="K249" s="7">
        <f t="shared" si="27"/>
        <v>0.25</v>
      </c>
      <c r="L249" s="7">
        <f t="shared" si="28"/>
        <v>0.40399984621478252</v>
      </c>
      <c r="M249" s="7">
        <f t="shared" si="29"/>
        <v>0.69350015536101739</v>
      </c>
      <c r="N249" s="7">
        <f t="shared" si="30"/>
        <v>0.83639957543849119</v>
      </c>
      <c r="O249" s="133">
        <f>B249-Table1[[#This Row],[Total]]</f>
        <v>2</v>
      </c>
    </row>
    <row r="250" spans="1:15" x14ac:dyDescent="0.3">
      <c r="A250" s="2">
        <v>43713</v>
      </c>
      <c r="B250" s="3">
        <v>20631473</v>
      </c>
      <c r="C250" s="3">
        <v>5261025</v>
      </c>
      <c r="D250" s="3">
        <v>2146498</v>
      </c>
      <c r="E250" s="3">
        <v>1598282</v>
      </c>
      <c r="F250" s="3">
        <v>1284380</v>
      </c>
      <c r="G250" s="7">
        <f t="shared" si="26"/>
        <v>6.22534319289757E-2</v>
      </c>
      <c r="H250" s="7">
        <f t="shared" si="31"/>
        <v>-1.9872239532180869E-2</v>
      </c>
      <c r="I250" s="7">
        <f t="shared" si="32"/>
        <v>-3.061223578845329E-2</v>
      </c>
      <c r="J250" s="7">
        <f t="shared" si="33"/>
        <v>1.1079153928673646E-2</v>
      </c>
      <c r="K250" s="7">
        <f t="shared" si="27"/>
        <v>0.25499997019117343</v>
      </c>
      <c r="L250" s="7">
        <f t="shared" si="28"/>
        <v>0.40799996198459426</v>
      </c>
      <c r="M250" s="7">
        <f t="shared" si="29"/>
        <v>0.74459980861850328</v>
      </c>
      <c r="N250" s="7">
        <f t="shared" si="30"/>
        <v>0.80360036589287742</v>
      </c>
      <c r="O250" s="133">
        <f>B250-Table1[[#This Row],[Total]]</f>
        <v>1</v>
      </c>
    </row>
    <row r="251" spans="1:15" x14ac:dyDescent="0.3">
      <c r="A251" s="2">
        <v>43714</v>
      </c>
      <c r="B251" s="3">
        <v>20848646</v>
      </c>
      <c r="C251" s="3">
        <v>5264283</v>
      </c>
      <c r="D251" s="3">
        <v>2084656</v>
      </c>
      <c r="E251" s="3">
        <v>1460927</v>
      </c>
      <c r="F251" s="3">
        <v>1233898</v>
      </c>
      <c r="G251" s="7">
        <f t="shared" si="26"/>
        <v>5.9183603577901416E-2</v>
      </c>
      <c r="H251" s="7">
        <f t="shared" si="31"/>
        <v>1.9166708653638898E-2</v>
      </c>
      <c r="I251" s="7">
        <f t="shared" si="32"/>
        <v>-4.9504951397826846E-2</v>
      </c>
      <c r="J251" s="7">
        <f t="shared" si="33"/>
        <v>7.2248309081100803E-2</v>
      </c>
      <c r="K251" s="7">
        <f t="shared" si="27"/>
        <v>0.25249999448405425</v>
      </c>
      <c r="L251" s="7">
        <f t="shared" si="28"/>
        <v>0.3959999870827613</v>
      </c>
      <c r="M251" s="7">
        <f t="shared" si="29"/>
        <v>0.70080003607309793</v>
      </c>
      <c r="N251" s="7">
        <f t="shared" si="30"/>
        <v>0.84459935369802874</v>
      </c>
      <c r="O251" s="133">
        <f>B251-Table1[[#This Row],[Total]]</f>
        <v>1</v>
      </c>
    </row>
    <row r="252" spans="1:15" x14ac:dyDescent="0.3">
      <c r="A252" s="2">
        <v>43715</v>
      </c>
      <c r="B252" s="3">
        <v>46685340</v>
      </c>
      <c r="C252" s="3">
        <v>9313725</v>
      </c>
      <c r="D252" s="3">
        <v>3135000</v>
      </c>
      <c r="E252" s="3">
        <v>2025210</v>
      </c>
      <c r="F252" s="3">
        <v>1500680</v>
      </c>
      <c r="G252" s="7">
        <f t="shared" si="26"/>
        <v>3.2144566152886536E-2</v>
      </c>
      <c r="H252" s="7">
        <f t="shared" si="31"/>
        <v>-9.7887729498568721E-2</v>
      </c>
      <c r="I252" s="7">
        <f t="shared" si="32"/>
        <v>2.9702958941342894E-2</v>
      </c>
      <c r="J252" s="7">
        <f t="shared" si="33"/>
        <v>-0.12391018917833363</v>
      </c>
      <c r="K252" s="7">
        <f t="shared" si="27"/>
        <v>0.19949999293139989</v>
      </c>
      <c r="L252" s="7">
        <f t="shared" si="28"/>
        <v>0.3366000177157904</v>
      </c>
      <c r="M252" s="7">
        <f t="shared" si="29"/>
        <v>0.64600000000000002</v>
      </c>
      <c r="N252" s="7">
        <f t="shared" si="30"/>
        <v>0.74099969879666805</v>
      </c>
      <c r="O252" s="133">
        <f>B252-Table1[[#This Row],[Total]]</f>
        <v>1</v>
      </c>
    </row>
    <row r="253" spans="1:15" x14ac:dyDescent="0.3">
      <c r="A253" s="2">
        <v>43716</v>
      </c>
      <c r="B253" s="3">
        <v>43094160</v>
      </c>
      <c r="C253" s="3">
        <v>9230769</v>
      </c>
      <c r="D253" s="3">
        <v>3169846</v>
      </c>
      <c r="E253" s="3">
        <v>2133940</v>
      </c>
      <c r="F253" s="3">
        <v>1697763</v>
      </c>
      <c r="G253" s="7">
        <f t="shared" si="26"/>
        <v>3.9396591092621364E-2</v>
      </c>
      <c r="H253" s="7">
        <f t="shared" si="31"/>
        <v>2.2263527915664216E-2</v>
      </c>
      <c r="I253" s="7">
        <f t="shared" si="32"/>
        <v>1.0526303941424953E-2</v>
      </c>
      <c r="J253" s="7">
        <f t="shared" si="33"/>
        <v>1.1614961360688625E-2</v>
      </c>
      <c r="K253" s="7">
        <f t="shared" si="27"/>
        <v>0.21419999832923997</v>
      </c>
      <c r="L253" s="7">
        <f t="shared" si="28"/>
        <v>0.34339999191833315</v>
      </c>
      <c r="M253" s="7">
        <f t="shared" si="29"/>
        <v>0.67319989677731973</v>
      </c>
      <c r="N253" s="7">
        <f t="shared" si="30"/>
        <v>0.79560015745522372</v>
      </c>
      <c r="O253" s="133">
        <f>B253-Table1[[#This Row],[Total]]</f>
        <v>2</v>
      </c>
    </row>
    <row r="254" spans="1:15" x14ac:dyDescent="0.3">
      <c r="A254" s="2">
        <v>43717</v>
      </c>
      <c r="B254" s="3">
        <v>21717340</v>
      </c>
      <c r="C254" s="3">
        <v>5375041</v>
      </c>
      <c r="D254" s="3">
        <v>2257517</v>
      </c>
      <c r="E254" s="3">
        <v>1697427</v>
      </c>
      <c r="F254" s="3">
        <v>1419728</v>
      </c>
      <c r="G254" s="7">
        <f t="shared" si="26"/>
        <v>6.5373015295611708E-2</v>
      </c>
      <c r="H254" s="7">
        <f t="shared" si="31"/>
        <v>6.3144139792796983E-2</v>
      </c>
      <c r="I254" s="7">
        <f t="shared" si="32"/>
        <v>-4.7619047619047672E-2</v>
      </c>
      <c r="J254" s="7">
        <f t="shared" si="33"/>
        <v>0.11630134678243675</v>
      </c>
      <c r="K254" s="7">
        <f t="shared" si="27"/>
        <v>0.24749997006999935</v>
      </c>
      <c r="L254" s="7">
        <f t="shared" si="28"/>
        <v>0.41999995907007964</v>
      </c>
      <c r="M254" s="7">
        <f t="shared" si="29"/>
        <v>0.75189998569224503</v>
      </c>
      <c r="N254" s="7">
        <f t="shared" si="30"/>
        <v>0.83640003369806182</v>
      </c>
      <c r="O254" s="133">
        <f>B254-Table1[[#This Row],[Total]]</f>
        <v>2</v>
      </c>
    </row>
    <row r="255" spans="1:15" x14ac:dyDescent="0.3">
      <c r="A255" s="2">
        <v>43718</v>
      </c>
      <c r="B255" s="3">
        <v>22368860</v>
      </c>
      <c r="C255" s="3">
        <v>5480370</v>
      </c>
      <c r="D255" s="3">
        <v>2126383</v>
      </c>
      <c r="E255" s="3">
        <v>1505692</v>
      </c>
      <c r="F255" s="3">
        <v>1185281</v>
      </c>
      <c r="G255" s="7">
        <f t="shared" si="26"/>
        <v>5.2987993129734817E-2</v>
      </c>
      <c r="H255" s="7">
        <f t="shared" si="31"/>
        <v>1.2401324949050219E-2</v>
      </c>
      <c r="I255" s="7">
        <f t="shared" si="32"/>
        <v>-9.6154110101844825E-3</v>
      </c>
      <c r="J255" s="7">
        <f t="shared" si="33"/>
        <v>2.2230491269751518E-2</v>
      </c>
      <c r="K255" s="7">
        <f t="shared" si="27"/>
        <v>0.24499996870649643</v>
      </c>
      <c r="L255" s="7">
        <f t="shared" si="28"/>
        <v>0.38799989781711819</v>
      </c>
      <c r="M255" s="7">
        <f t="shared" si="29"/>
        <v>0.70810009297478393</v>
      </c>
      <c r="N255" s="7">
        <f t="shared" si="30"/>
        <v>0.7872001710841261</v>
      </c>
      <c r="O255" s="133">
        <f>B255-Table1[[#This Row],[Total]]</f>
        <v>2</v>
      </c>
    </row>
    <row r="256" spans="1:15" x14ac:dyDescent="0.3">
      <c r="A256" s="2">
        <v>43719</v>
      </c>
      <c r="B256" s="3">
        <v>21065820</v>
      </c>
      <c r="C256" s="3">
        <v>5055796</v>
      </c>
      <c r="D256" s="3">
        <v>1981872</v>
      </c>
      <c r="E256" s="3">
        <v>1504637</v>
      </c>
      <c r="F256" s="3">
        <v>1246140</v>
      </c>
      <c r="G256" s="7">
        <f t="shared" si="26"/>
        <v>5.9154592605462311E-2</v>
      </c>
      <c r="H256" s="7">
        <f t="shared" si="31"/>
        <v>-4.9085629909993767E-2</v>
      </c>
      <c r="I256" s="7">
        <f t="shared" si="32"/>
        <v>-5.8252409823299045E-2</v>
      </c>
      <c r="J256" s="7">
        <f t="shared" si="33"/>
        <v>9.7337970480873004E-3</v>
      </c>
      <c r="K256" s="7">
        <f t="shared" si="27"/>
        <v>0.2399999620237902</v>
      </c>
      <c r="L256" s="7">
        <f t="shared" si="28"/>
        <v>0.39199999367063071</v>
      </c>
      <c r="M256" s="7">
        <f t="shared" si="29"/>
        <v>0.75919988778286385</v>
      </c>
      <c r="N256" s="7">
        <f t="shared" si="30"/>
        <v>0.82819975847995231</v>
      </c>
      <c r="O256" s="133">
        <f>B256-Table1[[#This Row],[Total]]</f>
        <v>1</v>
      </c>
    </row>
    <row r="257" spans="1:15" x14ac:dyDescent="0.3">
      <c r="A257" s="2">
        <v>43720</v>
      </c>
      <c r="B257" s="3">
        <v>20848646</v>
      </c>
      <c r="C257" s="3">
        <v>5160040</v>
      </c>
      <c r="D257" s="3">
        <v>2022735</v>
      </c>
      <c r="E257" s="3">
        <v>1535660</v>
      </c>
      <c r="F257" s="3">
        <v>1309611</v>
      </c>
      <c r="G257" s="7">
        <f t="shared" si="26"/>
        <v>6.2815158356087003E-2</v>
      </c>
      <c r="H257" s="7">
        <f t="shared" si="31"/>
        <v>1.9644497734315314E-2</v>
      </c>
      <c r="I257" s="7">
        <f t="shared" si="32"/>
        <v>1.0526296401619062E-2</v>
      </c>
      <c r="J257" s="7">
        <f t="shared" si="33"/>
        <v>9.0232202419324725E-3</v>
      </c>
      <c r="K257" s="7">
        <f t="shared" si="27"/>
        <v>0.24750000551594573</v>
      </c>
      <c r="L257" s="7">
        <f t="shared" si="28"/>
        <v>0.39199986821807581</v>
      </c>
      <c r="M257" s="7">
        <f t="shared" si="29"/>
        <v>0.75919979631538481</v>
      </c>
      <c r="N257" s="7">
        <f t="shared" si="30"/>
        <v>0.852800098980243</v>
      </c>
      <c r="O257" s="133">
        <f>B257-Table1[[#This Row],[Total]]</f>
        <v>1</v>
      </c>
    </row>
    <row r="258" spans="1:15" x14ac:dyDescent="0.3">
      <c r="A258" s="2">
        <v>43721</v>
      </c>
      <c r="B258" s="3">
        <v>22803207</v>
      </c>
      <c r="C258" s="3">
        <v>5985841</v>
      </c>
      <c r="D258" s="3">
        <v>2322506</v>
      </c>
      <c r="E258" s="3">
        <v>1610658</v>
      </c>
      <c r="F258" s="3">
        <v>1360362</v>
      </c>
      <c r="G258" s="7">
        <f t="shared" si="26"/>
        <v>5.9656608826995257E-2</v>
      </c>
      <c r="H258" s="7">
        <f t="shared" si="31"/>
        <v>0.10249145391272219</v>
      </c>
      <c r="I258" s="7">
        <f t="shared" si="32"/>
        <v>9.3750020984576077E-2</v>
      </c>
      <c r="J258" s="7">
        <f t="shared" si="33"/>
        <v>7.9921670952536328E-3</v>
      </c>
      <c r="K258" s="7">
        <f t="shared" si="27"/>
        <v>0.26249996327270986</v>
      </c>
      <c r="L258" s="7">
        <f t="shared" si="28"/>
        <v>0.387999948545242</v>
      </c>
      <c r="M258" s="7">
        <f t="shared" si="29"/>
        <v>0.69350003832067608</v>
      </c>
      <c r="N258" s="7">
        <f t="shared" si="30"/>
        <v>0.84460015720283266</v>
      </c>
      <c r="O258" s="133">
        <f>B258-Table1[[#This Row],[Total]]</f>
        <v>2</v>
      </c>
    </row>
    <row r="259" spans="1:15" x14ac:dyDescent="0.3">
      <c r="A259" s="11">
        <v>43722</v>
      </c>
      <c r="B259" s="12">
        <v>44440853</v>
      </c>
      <c r="C259" s="12">
        <v>9332579</v>
      </c>
      <c r="D259" s="12">
        <v>1396153</v>
      </c>
      <c r="E259" s="12">
        <v>939890</v>
      </c>
      <c r="F259" s="12">
        <v>696459</v>
      </c>
      <c r="G259" s="13">
        <f t="shared" si="26"/>
        <v>1.5671593882322647E-2</v>
      </c>
      <c r="H259" s="13">
        <f t="shared" si="31"/>
        <v>-0.53590439000986212</v>
      </c>
      <c r="I259" s="13">
        <f t="shared" si="32"/>
        <v>-4.8076912366922908E-2</v>
      </c>
      <c r="J259" s="13">
        <f t="shared" si="33"/>
        <v>-0.51246522327334754</v>
      </c>
      <c r="K259" s="13">
        <f t="shared" si="27"/>
        <v>0.20999999707476361</v>
      </c>
      <c r="L259" s="13">
        <f t="shared" si="28"/>
        <v>0.14959991230719827</v>
      </c>
      <c r="M259" s="13">
        <f t="shared" si="29"/>
        <v>0.67319985703572605</v>
      </c>
      <c r="N259" s="13">
        <f t="shared" si="30"/>
        <v>0.74100054261668924</v>
      </c>
      <c r="O259" s="133">
        <f>B259-Table1[[#This Row],[Total]]</f>
        <v>2</v>
      </c>
    </row>
    <row r="260" spans="1:15" x14ac:dyDescent="0.3">
      <c r="A260" s="2">
        <v>43723</v>
      </c>
      <c r="B260" s="3">
        <v>46236443</v>
      </c>
      <c r="C260" s="3">
        <v>9515460</v>
      </c>
      <c r="D260" s="3">
        <v>3364666</v>
      </c>
      <c r="E260" s="3">
        <v>2333732</v>
      </c>
      <c r="F260" s="3">
        <v>1856717</v>
      </c>
      <c r="G260" s="7">
        <f t="shared" ref="G260:G323" si="34">F260/B260</f>
        <v>4.0157003426928843E-2</v>
      </c>
      <c r="H260" s="7">
        <f t="shared" si="31"/>
        <v>9.3625553154356611E-2</v>
      </c>
      <c r="I260" s="7">
        <f t="shared" si="32"/>
        <v>7.2916678269166812E-2</v>
      </c>
      <c r="J260" s="7">
        <f t="shared" si="33"/>
        <v>1.9301475412422109E-2</v>
      </c>
      <c r="K260" s="7">
        <f t="shared" ref="K260:K323" si="35">C260/B260</f>
        <v>0.20580000066181561</v>
      </c>
      <c r="L260" s="7">
        <f t="shared" ref="L260:L323" si="36">D260/C260</f>
        <v>0.35359993105955989</v>
      </c>
      <c r="M260" s="7">
        <f t="shared" ref="M260:M323" si="37">E260/D260</f>
        <v>0.69359989966314639</v>
      </c>
      <c r="N260" s="7">
        <f t="shared" ref="N260:N323" si="38">F260/E260</f>
        <v>0.79559992321311956</v>
      </c>
      <c r="O260" s="133">
        <f>B260-Table1[[#This Row],[Total]]</f>
        <v>2</v>
      </c>
    </row>
    <row r="261" spans="1:15" x14ac:dyDescent="0.3">
      <c r="A261" s="2">
        <v>43724</v>
      </c>
      <c r="B261" s="3">
        <v>20631473</v>
      </c>
      <c r="C261" s="3">
        <v>5106289</v>
      </c>
      <c r="D261" s="3">
        <v>1960815</v>
      </c>
      <c r="E261" s="3">
        <v>1445709</v>
      </c>
      <c r="F261" s="3">
        <v>1161771</v>
      </c>
      <c r="G261" s="7">
        <f t="shared" si="34"/>
        <v>5.631061824814932E-2</v>
      </c>
      <c r="H261" s="7">
        <f t="shared" si="31"/>
        <v>-0.18169466263960421</v>
      </c>
      <c r="I261" s="7">
        <f t="shared" si="32"/>
        <v>-5.0000000000000044E-2</v>
      </c>
      <c r="J261" s="7">
        <f t="shared" si="33"/>
        <v>-0.1386259606732676</v>
      </c>
      <c r="K261" s="7">
        <f t="shared" si="35"/>
        <v>0.24749997249348119</v>
      </c>
      <c r="L261" s="7">
        <f t="shared" si="36"/>
        <v>0.38400000470008649</v>
      </c>
      <c r="M261" s="7">
        <f t="shared" si="37"/>
        <v>0.73730005125419784</v>
      </c>
      <c r="N261" s="7">
        <f t="shared" si="38"/>
        <v>0.80359947956331457</v>
      </c>
      <c r="O261" s="133">
        <f>B261-Table1[[#This Row],[Total]]</f>
        <v>1</v>
      </c>
    </row>
    <row r="262" spans="1:15" x14ac:dyDescent="0.3">
      <c r="A262" s="2">
        <v>43725</v>
      </c>
      <c r="B262" s="3">
        <v>22368860</v>
      </c>
      <c r="C262" s="3">
        <v>5312604</v>
      </c>
      <c r="D262" s="3">
        <v>2188793</v>
      </c>
      <c r="E262" s="3">
        <v>1581840</v>
      </c>
      <c r="F262" s="3">
        <v>1361964</v>
      </c>
      <c r="G262" s="7">
        <f t="shared" si="34"/>
        <v>6.0886607542807281E-2</v>
      </c>
      <c r="H262" s="7">
        <f t="shared" si="31"/>
        <v>0.14906423033862848</v>
      </c>
      <c r="I262" s="7">
        <f t="shared" si="32"/>
        <v>0</v>
      </c>
      <c r="J262" s="7">
        <f t="shared" si="33"/>
        <v>0.1490642303386287</v>
      </c>
      <c r="K262" s="7">
        <f t="shared" si="35"/>
        <v>0.23749998882374873</v>
      </c>
      <c r="L262" s="7">
        <f t="shared" si="36"/>
        <v>0.41200002861120461</v>
      </c>
      <c r="M262" s="7">
        <f t="shared" si="37"/>
        <v>0.72269967968647564</v>
      </c>
      <c r="N262" s="7">
        <f t="shared" si="38"/>
        <v>0.86099984827795484</v>
      </c>
      <c r="O262" s="133">
        <f>B262-Table1[[#This Row],[Total]]</f>
        <v>2</v>
      </c>
    </row>
    <row r="263" spans="1:15" x14ac:dyDescent="0.3">
      <c r="A263" s="2">
        <v>43726</v>
      </c>
      <c r="B263" s="3">
        <v>21500167</v>
      </c>
      <c r="C263" s="3">
        <v>5643793</v>
      </c>
      <c r="D263" s="3">
        <v>2144641</v>
      </c>
      <c r="E263" s="3">
        <v>1502964</v>
      </c>
      <c r="F263" s="3">
        <v>1195458</v>
      </c>
      <c r="G263" s="7">
        <f t="shared" si="34"/>
        <v>5.5602265787051797E-2</v>
      </c>
      <c r="H263" s="7">
        <f t="shared" si="31"/>
        <v>-4.0671192642881215E-2</v>
      </c>
      <c r="I263" s="7">
        <f t="shared" si="32"/>
        <v>2.0618565999329652E-2</v>
      </c>
      <c r="J263" s="7">
        <f t="shared" si="33"/>
        <v>-6.0051581152846811E-2</v>
      </c>
      <c r="K263" s="7">
        <f t="shared" si="35"/>
        <v>0.26249996104681417</v>
      </c>
      <c r="L263" s="7">
        <f t="shared" si="36"/>
        <v>0.37999993975682667</v>
      </c>
      <c r="M263" s="7">
        <f t="shared" si="37"/>
        <v>0.70079980752023296</v>
      </c>
      <c r="N263" s="7">
        <f t="shared" si="38"/>
        <v>0.79540028902887894</v>
      </c>
      <c r="O263" s="133">
        <f>B263-Table1[[#This Row],[Total]]</f>
        <v>1</v>
      </c>
    </row>
    <row r="264" spans="1:15" x14ac:dyDescent="0.3">
      <c r="A264" s="2">
        <v>43727</v>
      </c>
      <c r="B264" s="3">
        <v>21282993</v>
      </c>
      <c r="C264" s="3">
        <v>5054710</v>
      </c>
      <c r="D264" s="3">
        <v>2062322</v>
      </c>
      <c r="E264" s="3">
        <v>1535605</v>
      </c>
      <c r="F264" s="3">
        <v>1259196</v>
      </c>
      <c r="G264" s="7">
        <f t="shared" si="34"/>
        <v>5.9164422973780051E-2</v>
      </c>
      <c r="H264" s="7">
        <f t="shared" si="31"/>
        <v>-3.849616412812662E-2</v>
      </c>
      <c r="I264" s="7">
        <f t="shared" si="32"/>
        <v>2.0833343325988629E-2</v>
      </c>
      <c r="J264" s="7">
        <f t="shared" si="33"/>
        <v>-5.8118700610633511E-2</v>
      </c>
      <c r="K264" s="7">
        <f t="shared" si="35"/>
        <v>0.2374999606493316</v>
      </c>
      <c r="L264" s="7">
        <f t="shared" si="36"/>
        <v>0.4080000633072916</v>
      </c>
      <c r="M264" s="7">
        <f t="shared" si="37"/>
        <v>0.74460001881374493</v>
      </c>
      <c r="N264" s="7">
        <f t="shared" si="38"/>
        <v>0.81999993487908673</v>
      </c>
      <c r="O264" s="133">
        <f>B264-Table1[[#This Row],[Total]]</f>
        <v>1</v>
      </c>
    </row>
    <row r="265" spans="1:15" x14ac:dyDescent="0.3">
      <c r="A265" s="2">
        <v>43728</v>
      </c>
      <c r="B265" s="3">
        <v>21282993</v>
      </c>
      <c r="C265" s="3">
        <v>5107918</v>
      </c>
      <c r="D265" s="3">
        <v>2043167</v>
      </c>
      <c r="E265" s="3">
        <v>1506427</v>
      </c>
      <c r="F265" s="3">
        <v>1235270</v>
      </c>
      <c r="G265" s="7">
        <f t="shared" si="34"/>
        <v>5.8040238983304654E-2</v>
      </c>
      <c r="H265" s="7">
        <f t="shared" si="31"/>
        <v>-9.1954935524514836E-2</v>
      </c>
      <c r="I265" s="7">
        <f t="shared" si="32"/>
        <v>-6.6666675437362821E-2</v>
      </c>
      <c r="J265" s="7">
        <f t="shared" si="33"/>
        <v>-2.7094564633703744E-2</v>
      </c>
      <c r="K265" s="7">
        <f t="shared" si="35"/>
        <v>0.23999998496452074</v>
      </c>
      <c r="L265" s="7">
        <f t="shared" si="36"/>
        <v>0.39999996084510364</v>
      </c>
      <c r="M265" s="7">
        <f t="shared" si="37"/>
        <v>0.73729998575740507</v>
      </c>
      <c r="N265" s="7">
        <f t="shared" si="38"/>
        <v>0.8199999070648627</v>
      </c>
      <c r="O265" s="133">
        <f>B265-Table1[[#This Row],[Total]]</f>
        <v>1</v>
      </c>
    </row>
    <row r="266" spans="1:15" x14ac:dyDescent="0.3">
      <c r="A266" s="11">
        <v>43729</v>
      </c>
      <c r="B266" s="12">
        <v>43991955</v>
      </c>
      <c r="C266" s="12">
        <v>8868778</v>
      </c>
      <c r="D266" s="12">
        <v>3045538</v>
      </c>
      <c r="E266" s="12">
        <v>1967417</v>
      </c>
      <c r="F266" s="12">
        <v>1473202</v>
      </c>
      <c r="G266" s="13">
        <f t="shared" si="34"/>
        <v>3.3487986610279082E-2</v>
      </c>
      <c r="H266" s="13">
        <f t="shared" si="31"/>
        <v>1.1152745531323451</v>
      </c>
      <c r="I266" s="13">
        <f t="shared" si="32"/>
        <v>-1.0101021238273722E-2</v>
      </c>
      <c r="J266" s="13">
        <f t="shared" si="33"/>
        <v>1.1368590113895878</v>
      </c>
      <c r="K266" s="13">
        <f t="shared" si="35"/>
        <v>0.2015999970903771</v>
      </c>
      <c r="L266" s="13">
        <f t="shared" si="36"/>
        <v>0.34339995882183544</v>
      </c>
      <c r="M266" s="13">
        <f t="shared" si="37"/>
        <v>0.6459998200646323</v>
      </c>
      <c r="N266" s="13">
        <f t="shared" si="38"/>
        <v>0.74880007644541036</v>
      </c>
      <c r="O266" s="133">
        <f>B266-Table1[[#This Row],[Total]]</f>
        <v>0</v>
      </c>
    </row>
    <row r="267" spans="1:15" x14ac:dyDescent="0.3">
      <c r="A267" s="2">
        <v>43730</v>
      </c>
      <c r="B267" s="3">
        <v>45787545</v>
      </c>
      <c r="C267" s="3">
        <v>9423076</v>
      </c>
      <c r="D267" s="3">
        <v>3364038</v>
      </c>
      <c r="E267" s="3">
        <v>2401923</v>
      </c>
      <c r="F267" s="3">
        <v>1892235</v>
      </c>
      <c r="G267" s="7">
        <f t="shared" si="34"/>
        <v>4.1326413110814308E-2</v>
      </c>
      <c r="H267" s="7">
        <f t="shared" ref="H267:H330" si="39">(F267/F260)-1</f>
        <v>1.9129463456197149E-2</v>
      </c>
      <c r="I267" s="7">
        <f t="shared" ref="I267:I330" si="40">(B267/B260)-1</f>
        <v>-9.7087485730682488E-3</v>
      </c>
      <c r="J267" s="7">
        <f t="shared" ref="J267:J330" si="41">(G267/G260)-1</f>
        <v>2.9120939913092947E-2</v>
      </c>
      <c r="K267" s="7">
        <f t="shared" si="35"/>
        <v>0.20579998337975972</v>
      </c>
      <c r="L267" s="7">
        <f t="shared" si="36"/>
        <v>0.35699998599183536</v>
      </c>
      <c r="M267" s="7">
        <f t="shared" si="37"/>
        <v>0.71399996076144201</v>
      </c>
      <c r="N267" s="7">
        <f t="shared" si="38"/>
        <v>0.78780002522978465</v>
      </c>
      <c r="O267" s="133">
        <f>B267-Table1[[#This Row],[Total]]</f>
        <v>1</v>
      </c>
    </row>
    <row r="268" spans="1:15" x14ac:dyDescent="0.3">
      <c r="A268" s="2">
        <v>43731</v>
      </c>
      <c r="B268" s="3">
        <v>20848646</v>
      </c>
      <c r="C268" s="3">
        <v>5264283</v>
      </c>
      <c r="D268" s="3">
        <v>2189941</v>
      </c>
      <c r="E268" s="3">
        <v>1518724</v>
      </c>
      <c r="F268" s="3">
        <v>1220447</v>
      </c>
      <c r="G268" s="7">
        <f t="shared" si="34"/>
        <v>5.8538429785799997E-2</v>
      </c>
      <c r="H268" s="7">
        <f t="shared" si="39"/>
        <v>5.0505650425083815E-2</v>
      </c>
      <c r="I268" s="7">
        <f t="shared" si="40"/>
        <v>1.0526296401619062E-2</v>
      </c>
      <c r="J268" s="7">
        <f t="shared" si="41"/>
        <v>3.9562903178103515E-2</v>
      </c>
      <c r="K268" s="7">
        <f t="shared" si="35"/>
        <v>0.25249999448405425</v>
      </c>
      <c r="L268" s="7">
        <f t="shared" si="36"/>
        <v>0.41599986170956232</v>
      </c>
      <c r="M268" s="7">
        <f t="shared" si="37"/>
        <v>0.69349996187111895</v>
      </c>
      <c r="N268" s="7">
        <f t="shared" si="38"/>
        <v>0.80360025916493061</v>
      </c>
      <c r="O268" s="133">
        <f>B268-Table1[[#This Row],[Total]]</f>
        <v>1</v>
      </c>
    </row>
    <row r="269" spans="1:15" x14ac:dyDescent="0.3">
      <c r="A269" s="2">
        <v>43732</v>
      </c>
      <c r="B269" s="3">
        <v>21934513</v>
      </c>
      <c r="C269" s="3">
        <v>5702973</v>
      </c>
      <c r="D269" s="3">
        <v>2235565</v>
      </c>
      <c r="E269" s="3">
        <v>1615643</v>
      </c>
      <c r="F269" s="3">
        <v>1338075</v>
      </c>
      <c r="G269" s="7">
        <f t="shared" si="34"/>
        <v>6.1003177959775085E-2</v>
      </c>
      <c r="H269" s="7">
        <f t="shared" si="39"/>
        <v>-1.7540111192366314E-2</v>
      </c>
      <c r="I269" s="7">
        <f t="shared" si="40"/>
        <v>-1.9417484842768062E-2</v>
      </c>
      <c r="J269" s="7">
        <f t="shared" si="41"/>
        <v>1.9145493840471151E-3</v>
      </c>
      <c r="K269" s="7">
        <f t="shared" si="35"/>
        <v>0.25999998267570379</v>
      </c>
      <c r="L269" s="7">
        <f t="shared" si="36"/>
        <v>0.39199992705559011</v>
      </c>
      <c r="M269" s="7">
        <f t="shared" si="37"/>
        <v>0.7227000780563303</v>
      </c>
      <c r="N269" s="7">
        <f t="shared" si="38"/>
        <v>0.82819967034796671</v>
      </c>
      <c r="O269" s="133">
        <f>B269-Table1[[#This Row],[Total]]</f>
        <v>2</v>
      </c>
    </row>
    <row r="270" spans="1:15" x14ac:dyDescent="0.3">
      <c r="A270" s="2">
        <v>43733</v>
      </c>
      <c r="B270" s="3">
        <v>21282993</v>
      </c>
      <c r="C270" s="3">
        <v>5586785</v>
      </c>
      <c r="D270" s="3">
        <v>2279408</v>
      </c>
      <c r="E270" s="3">
        <v>1747166</v>
      </c>
      <c r="F270" s="3">
        <v>1404023</v>
      </c>
      <c r="G270" s="7">
        <f t="shared" si="34"/>
        <v>6.5969245960847703E-2</v>
      </c>
      <c r="H270" s="7">
        <f t="shared" si="39"/>
        <v>0.17446451485539427</v>
      </c>
      <c r="I270" s="7">
        <f t="shared" si="40"/>
        <v>-1.0101037819845726E-2</v>
      </c>
      <c r="J270" s="7">
        <f t="shared" si="41"/>
        <v>0.18644887986219594</v>
      </c>
      <c r="K270" s="7">
        <f t="shared" si="35"/>
        <v>0.26249996887185933</v>
      </c>
      <c r="L270" s="7">
        <f t="shared" si="36"/>
        <v>0.40799994988172983</v>
      </c>
      <c r="M270" s="7">
        <f t="shared" si="37"/>
        <v>0.76649989821918674</v>
      </c>
      <c r="N270" s="7">
        <f t="shared" si="38"/>
        <v>0.80360023031583716</v>
      </c>
      <c r="O270" s="133">
        <f>B270-Table1[[#This Row],[Total]]</f>
        <v>1</v>
      </c>
    </row>
    <row r="271" spans="1:15" x14ac:dyDescent="0.3">
      <c r="A271" s="2">
        <v>43734</v>
      </c>
      <c r="B271" s="3">
        <v>22368860</v>
      </c>
      <c r="C271" s="3">
        <v>5424448</v>
      </c>
      <c r="D271" s="3">
        <v>2213175</v>
      </c>
      <c r="E271" s="3">
        <v>1647930</v>
      </c>
      <c r="F271" s="3">
        <v>1337789</v>
      </c>
      <c r="G271" s="7">
        <f t="shared" si="34"/>
        <v>5.9805864044926743E-2</v>
      </c>
      <c r="H271" s="7">
        <f t="shared" si="39"/>
        <v>6.2415223682413146E-2</v>
      </c>
      <c r="I271" s="7">
        <f t="shared" si="40"/>
        <v>5.1020408642713067E-2</v>
      </c>
      <c r="J271" s="7">
        <f t="shared" si="41"/>
        <v>1.0841668673604143E-2</v>
      </c>
      <c r="K271" s="7">
        <f t="shared" si="35"/>
        <v>0.24249997541224722</v>
      </c>
      <c r="L271" s="7">
        <f t="shared" si="36"/>
        <v>0.40800003981971988</v>
      </c>
      <c r="M271" s="7">
        <f t="shared" si="37"/>
        <v>0.74459995255684708</v>
      </c>
      <c r="N271" s="7">
        <f t="shared" si="38"/>
        <v>0.81179965168423418</v>
      </c>
      <c r="O271" s="133">
        <f>B271-Table1[[#This Row],[Total]]</f>
        <v>2</v>
      </c>
    </row>
    <row r="272" spans="1:15" x14ac:dyDescent="0.3">
      <c r="A272" s="2">
        <v>43735</v>
      </c>
      <c r="B272" s="3">
        <v>20848646</v>
      </c>
      <c r="C272" s="3">
        <v>5055796</v>
      </c>
      <c r="D272" s="3">
        <v>1961649</v>
      </c>
      <c r="E272" s="3">
        <v>1474964</v>
      </c>
      <c r="F272" s="3">
        <v>1197375</v>
      </c>
      <c r="G272" s="7">
        <f t="shared" si="34"/>
        <v>5.7431787176970631E-2</v>
      </c>
      <c r="H272" s="7">
        <f t="shared" si="39"/>
        <v>-3.0677503703643749E-2</v>
      </c>
      <c r="I272" s="7">
        <f t="shared" si="40"/>
        <v>-2.0408172854259776E-2</v>
      </c>
      <c r="J272" s="7">
        <f t="shared" si="41"/>
        <v>-1.0483275344697396E-2</v>
      </c>
      <c r="K272" s="7">
        <f t="shared" si="35"/>
        <v>0.24249996858309167</v>
      </c>
      <c r="L272" s="7">
        <f t="shared" si="36"/>
        <v>0.38800003006450418</v>
      </c>
      <c r="M272" s="7">
        <f t="shared" si="37"/>
        <v>0.75190005959272022</v>
      </c>
      <c r="N272" s="7">
        <f t="shared" si="38"/>
        <v>0.81179947442785039</v>
      </c>
      <c r="O272" s="133">
        <f>B272-Table1[[#This Row],[Total]]</f>
        <v>1</v>
      </c>
    </row>
    <row r="273" spans="1:15" x14ac:dyDescent="0.3">
      <c r="A273" s="2">
        <v>43736</v>
      </c>
      <c r="B273" s="3">
        <v>43991955</v>
      </c>
      <c r="C273" s="3">
        <v>9238310</v>
      </c>
      <c r="D273" s="3">
        <v>3141025</v>
      </c>
      <c r="E273" s="3">
        <v>2135897</v>
      </c>
      <c r="F273" s="3">
        <v>1582700</v>
      </c>
      <c r="G273" s="7">
        <f t="shared" si="34"/>
        <v>3.5977032618804958E-2</v>
      </c>
      <c r="H273" s="7">
        <f t="shared" si="39"/>
        <v>7.4326534989770598E-2</v>
      </c>
      <c r="I273" s="7">
        <f t="shared" si="40"/>
        <v>0</v>
      </c>
      <c r="J273" s="7">
        <f t="shared" si="41"/>
        <v>7.4326534989770598E-2</v>
      </c>
      <c r="K273" s="7">
        <f t="shared" si="35"/>
        <v>0.20999998749771406</v>
      </c>
      <c r="L273" s="7">
        <f t="shared" si="36"/>
        <v>0.33999995670203748</v>
      </c>
      <c r="M273" s="7">
        <f t="shared" si="37"/>
        <v>0.68</v>
      </c>
      <c r="N273" s="7">
        <f t="shared" si="38"/>
        <v>0.74100015122452068</v>
      </c>
      <c r="O273" s="133">
        <f>B273-Table1[[#This Row],[Total]]</f>
        <v>0</v>
      </c>
    </row>
    <row r="274" spans="1:15" x14ac:dyDescent="0.3">
      <c r="A274" s="2">
        <v>43737</v>
      </c>
      <c r="B274" s="3">
        <v>42645263</v>
      </c>
      <c r="C274" s="3">
        <v>8865950</v>
      </c>
      <c r="D274" s="3">
        <v>2984278</v>
      </c>
      <c r="E274" s="3">
        <v>1948137</v>
      </c>
      <c r="F274" s="3">
        <v>1565133</v>
      </c>
      <c r="G274" s="7">
        <f t="shared" si="34"/>
        <v>3.6701215795057938E-2</v>
      </c>
      <c r="H274" s="7">
        <f t="shared" si="39"/>
        <v>-0.17286542104971103</v>
      </c>
      <c r="I274" s="7">
        <f t="shared" si="40"/>
        <v>-6.8627440060392009E-2</v>
      </c>
      <c r="J274" s="7">
        <f t="shared" si="41"/>
        <v>-0.11191867301316905</v>
      </c>
      <c r="K274" s="7">
        <f t="shared" si="35"/>
        <v>0.20789999583306593</v>
      </c>
      <c r="L274" s="7">
        <f t="shared" si="36"/>
        <v>0.33659991315087495</v>
      </c>
      <c r="M274" s="7">
        <f t="shared" si="37"/>
        <v>0.65280010776475916</v>
      </c>
      <c r="N274" s="7">
        <f t="shared" si="38"/>
        <v>0.80339986356195692</v>
      </c>
      <c r="O274" s="133">
        <f>B274-Table1[[#This Row],[Total]]</f>
        <v>2</v>
      </c>
    </row>
    <row r="275" spans="1:15" x14ac:dyDescent="0.3">
      <c r="A275" s="2">
        <v>43738</v>
      </c>
      <c r="B275" s="3">
        <v>21717340</v>
      </c>
      <c r="C275" s="3">
        <v>5375041</v>
      </c>
      <c r="D275" s="3">
        <v>2150016</v>
      </c>
      <c r="E275" s="3">
        <v>1553817</v>
      </c>
      <c r="F275" s="3">
        <v>1235906</v>
      </c>
      <c r="G275" s="7">
        <f t="shared" si="34"/>
        <v>5.6908719023600493E-2</v>
      </c>
      <c r="H275" s="7">
        <f t="shared" si="39"/>
        <v>1.2666670490402376E-2</v>
      </c>
      <c r="I275" s="7">
        <f t="shared" si="40"/>
        <v>4.1666686651977258E-2</v>
      </c>
      <c r="J275" s="7">
        <f t="shared" si="41"/>
        <v>-2.7840014980976324E-2</v>
      </c>
      <c r="K275" s="7">
        <f t="shared" si="35"/>
        <v>0.24749997006999935</v>
      </c>
      <c r="L275" s="7">
        <f t="shared" si="36"/>
        <v>0.39999992558196301</v>
      </c>
      <c r="M275" s="7">
        <f t="shared" si="37"/>
        <v>0.72270020316127881</v>
      </c>
      <c r="N275" s="7">
        <f t="shared" si="38"/>
        <v>0.79539997309850519</v>
      </c>
      <c r="O275" s="133">
        <f>B275-Table1[[#This Row],[Total]]</f>
        <v>2</v>
      </c>
    </row>
    <row r="276" spans="1:15" x14ac:dyDescent="0.3">
      <c r="A276" s="2">
        <v>43739</v>
      </c>
      <c r="B276" s="3">
        <v>21934513</v>
      </c>
      <c r="C276" s="3">
        <v>5319119</v>
      </c>
      <c r="D276" s="3">
        <v>2085094</v>
      </c>
      <c r="E276" s="3">
        <v>1476455</v>
      </c>
      <c r="F276" s="3">
        <v>1174372</v>
      </c>
      <c r="G276" s="7">
        <f t="shared" si="34"/>
        <v>5.3539916751285978E-2</v>
      </c>
      <c r="H276" s="7">
        <f t="shared" si="39"/>
        <v>-0.12234217065560604</v>
      </c>
      <c r="I276" s="7">
        <f t="shared" si="40"/>
        <v>0</v>
      </c>
      <c r="J276" s="7">
        <f t="shared" si="41"/>
        <v>-0.12234217065560604</v>
      </c>
      <c r="K276" s="7">
        <f t="shared" si="35"/>
        <v>0.24249998164992312</v>
      </c>
      <c r="L276" s="7">
        <f t="shared" si="36"/>
        <v>0.3919998781753144</v>
      </c>
      <c r="M276" s="7">
        <f t="shared" si="37"/>
        <v>0.70809997055288632</v>
      </c>
      <c r="N276" s="7">
        <f t="shared" si="38"/>
        <v>0.79539979206951783</v>
      </c>
      <c r="O276" s="133">
        <f>B276-Table1[[#This Row],[Total]]</f>
        <v>2</v>
      </c>
    </row>
    <row r="277" spans="1:15" x14ac:dyDescent="0.3">
      <c r="A277" s="2">
        <v>43740</v>
      </c>
      <c r="B277" s="3">
        <v>21500167</v>
      </c>
      <c r="C277" s="3">
        <v>5267540</v>
      </c>
      <c r="D277" s="3">
        <v>2085946</v>
      </c>
      <c r="E277" s="3">
        <v>1461831</v>
      </c>
      <c r="F277" s="3">
        <v>1150753</v>
      </c>
      <c r="G277" s="7">
        <f t="shared" si="34"/>
        <v>5.3522979612204875E-2</v>
      </c>
      <c r="H277" s="7">
        <f t="shared" si="39"/>
        <v>-0.18038878280484005</v>
      </c>
      <c r="I277" s="7">
        <f t="shared" si="40"/>
        <v>1.0204109920066262E-2</v>
      </c>
      <c r="J277" s="7">
        <f t="shared" si="41"/>
        <v>-0.18866770670729816</v>
      </c>
      <c r="K277" s="7">
        <f t="shared" si="35"/>
        <v>0.24499995744219102</v>
      </c>
      <c r="L277" s="7">
        <f t="shared" si="36"/>
        <v>0.39600003037471004</v>
      </c>
      <c r="M277" s="7">
        <f t="shared" si="37"/>
        <v>0.700800020710028</v>
      </c>
      <c r="N277" s="7">
        <f t="shared" si="38"/>
        <v>0.7871997515444672</v>
      </c>
      <c r="O277" s="133">
        <f>B277-Table1[[#This Row],[Total]]</f>
        <v>1</v>
      </c>
    </row>
    <row r="278" spans="1:15" x14ac:dyDescent="0.3">
      <c r="A278" s="2">
        <v>43741</v>
      </c>
      <c r="B278" s="3">
        <v>21282993</v>
      </c>
      <c r="C278" s="3">
        <v>5480370</v>
      </c>
      <c r="D278" s="3">
        <v>2126383</v>
      </c>
      <c r="E278" s="3">
        <v>1567782</v>
      </c>
      <c r="F278" s="3">
        <v>1311293</v>
      </c>
      <c r="G278" s="7">
        <f t="shared" si="34"/>
        <v>6.161224598438763E-2</v>
      </c>
      <c r="H278" s="7">
        <f t="shared" si="39"/>
        <v>-1.9805813921328408E-2</v>
      </c>
      <c r="I278" s="7">
        <f t="shared" si="40"/>
        <v>-4.8543689754417474E-2</v>
      </c>
      <c r="J278" s="7">
        <f t="shared" si="41"/>
        <v>3.0204094001616832E-2</v>
      </c>
      <c r="K278" s="7">
        <f t="shared" si="35"/>
        <v>0.2574999672273538</v>
      </c>
      <c r="L278" s="7">
        <f t="shared" si="36"/>
        <v>0.38799989781711819</v>
      </c>
      <c r="M278" s="7">
        <f t="shared" si="37"/>
        <v>0.73729991257454564</v>
      </c>
      <c r="N278" s="7">
        <f t="shared" si="38"/>
        <v>0.83640008623647932</v>
      </c>
      <c r="O278" s="133">
        <f>B278-Table1[[#This Row],[Total]]</f>
        <v>1</v>
      </c>
    </row>
    <row r="279" spans="1:15" x14ac:dyDescent="0.3">
      <c r="A279" s="2">
        <v>43742</v>
      </c>
      <c r="B279" s="3">
        <v>21065820</v>
      </c>
      <c r="C279" s="3">
        <v>5213790</v>
      </c>
      <c r="D279" s="3">
        <v>2064661</v>
      </c>
      <c r="E279" s="3">
        <v>1431842</v>
      </c>
      <c r="F279" s="3">
        <v>1127146</v>
      </c>
      <c r="G279" s="7">
        <f t="shared" si="34"/>
        <v>5.3505916218784741E-2</v>
      </c>
      <c r="H279" s="7">
        <f t="shared" si="39"/>
        <v>-5.8652468942478331E-2</v>
      </c>
      <c r="I279" s="7">
        <f t="shared" si="40"/>
        <v>1.0416695645367069E-2</v>
      </c>
      <c r="J279" s="7">
        <f t="shared" si="41"/>
        <v>-6.835710938419326E-2</v>
      </c>
      <c r="K279" s="7">
        <f t="shared" si="35"/>
        <v>0.247499978638382</v>
      </c>
      <c r="L279" s="7">
        <f t="shared" si="36"/>
        <v>0.39600003068784895</v>
      </c>
      <c r="M279" s="7">
        <f t="shared" si="37"/>
        <v>0.69349980456840132</v>
      </c>
      <c r="N279" s="7">
        <f t="shared" si="38"/>
        <v>0.78719998435581584</v>
      </c>
      <c r="O279" s="133">
        <f>B279-Table1[[#This Row],[Total]]</f>
        <v>1</v>
      </c>
    </row>
    <row r="280" spans="1:15" x14ac:dyDescent="0.3">
      <c r="A280" s="2">
        <v>43743</v>
      </c>
      <c r="B280" s="3">
        <v>46236443</v>
      </c>
      <c r="C280" s="3">
        <v>9612556</v>
      </c>
      <c r="D280" s="3">
        <v>3235586</v>
      </c>
      <c r="E280" s="3">
        <v>2178196</v>
      </c>
      <c r="F280" s="3">
        <v>1648023</v>
      </c>
      <c r="G280" s="7">
        <f t="shared" si="34"/>
        <v>3.5643377670726097E-2</v>
      </c>
      <c r="H280" s="7">
        <f t="shared" si="39"/>
        <v>4.1273140835281552E-2</v>
      </c>
      <c r="I280" s="7">
        <f t="shared" si="40"/>
        <v>5.1020419528979843E-2</v>
      </c>
      <c r="J280" s="7">
        <f t="shared" si="41"/>
        <v>-9.2741097247820425E-3</v>
      </c>
      <c r="K280" s="7">
        <f t="shared" si="35"/>
        <v>0.20789998919250774</v>
      </c>
      <c r="L280" s="7">
        <f t="shared" si="36"/>
        <v>0.33659996363090111</v>
      </c>
      <c r="M280" s="7">
        <f t="shared" si="37"/>
        <v>0.67319984695198953</v>
      </c>
      <c r="N280" s="7">
        <f t="shared" si="38"/>
        <v>0.75659995702866045</v>
      </c>
      <c r="O280" s="133">
        <f>B280-Table1[[#This Row],[Total]]</f>
        <v>2</v>
      </c>
    </row>
    <row r="281" spans="1:15" x14ac:dyDescent="0.3">
      <c r="A281" s="2">
        <v>43744</v>
      </c>
      <c r="B281" s="3">
        <v>43543058</v>
      </c>
      <c r="C281" s="3">
        <v>9144042</v>
      </c>
      <c r="D281" s="3">
        <v>3140064</v>
      </c>
      <c r="E281" s="3">
        <v>2135243</v>
      </c>
      <c r="F281" s="3">
        <v>1698799</v>
      </c>
      <c r="G281" s="7">
        <f t="shared" si="34"/>
        <v>3.9014232762430233E-2</v>
      </c>
      <c r="H281" s="7">
        <f t="shared" si="39"/>
        <v>8.5402326831010456E-2</v>
      </c>
      <c r="I281" s="7">
        <f t="shared" si="40"/>
        <v>2.1052631332113103E-2</v>
      </c>
      <c r="J281" s="7">
        <f t="shared" si="41"/>
        <v>6.3022897668794764E-2</v>
      </c>
      <c r="K281" s="7">
        <f t="shared" si="35"/>
        <v>0.2099999958661608</v>
      </c>
      <c r="L281" s="7">
        <f t="shared" si="36"/>
        <v>0.34339999750657313</v>
      </c>
      <c r="M281" s="7">
        <f t="shared" si="37"/>
        <v>0.67999983439827982</v>
      </c>
      <c r="N281" s="7">
        <f t="shared" si="38"/>
        <v>0.79559984507618098</v>
      </c>
      <c r="O281" s="133">
        <f>B281-Table1[[#This Row],[Total]]</f>
        <v>2</v>
      </c>
    </row>
    <row r="282" spans="1:15" x14ac:dyDescent="0.3">
      <c r="A282" s="2">
        <v>43745</v>
      </c>
      <c r="B282" s="3">
        <v>21500167</v>
      </c>
      <c r="C282" s="3">
        <v>5643793</v>
      </c>
      <c r="D282" s="3">
        <v>2234942</v>
      </c>
      <c r="E282" s="3">
        <v>1631507</v>
      </c>
      <c r="F282" s="3">
        <v>1377971</v>
      </c>
      <c r="G282" s="7">
        <f t="shared" si="34"/>
        <v>6.4091176594116686E-2</v>
      </c>
      <c r="H282" s="7">
        <f t="shared" si="39"/>
        <v>0.11494806239309452</v>
      </c>
      <c r="I282" s="7">
        <f t="shared" si="40"/>
        <v>-9.9999815815380311E-3</v>
      </c>
      <c r="J282" s="7">
        <f t="shared" si="41"/>
        <v>0.12621014308084444</v>
      </c>
      <c r="K282" s="7">
        <f t="shared" si="35"/>
        <v>0.26249996104681417</v>
      </c>
      <c r="L282" s="7">
        <f t="shared" si="36"/>
        <v>0.39599999503879751</v>
      </c>
      <c r="M282" s="7">
        <f t="shared" si="37"/>
        <v>0.72999970469032305</v>
      </c>
      <c r="N282" s="7">
        <f t="shared" si="38"/>
        <v>0.84460011510830169</v>
      </c>
      <c r="O282" s="133">
        <f>B282-Table1[[#This Row],[Total]]</f>
        <v>1</v>
      </c>
    </row>
    <row r="283" spans="1:15" x14ac:dyDescent="0.3">
      <c r="A283" s="2">
        <v>43746</v>
      </c>
      <c r="B283" s="3">
        <v>22368860</v>
      </c>
      <c r="C283" s="3">
        <v>5536293</v>
      </c>
      <c r="D283" s="3">
        <v>2303097</v>
      </c>
      <c r="E283" s="3">
        <v>1630823</v>
      </c>
      <c r="F283" s="3">
        <v>1270411</v>
      </c>
      <c r="G283" s="7">
        <f t="shared" si="34"/>
        <v>5.6793730212447123E-2</v>
      </c>
      <c r="H283" s="7">
        <f t="shared" si="39"/>
        <v>8.1779027429128126E-2</v>
      </c>
      <c r="I283" s="7">
        <f t="shared" si="40"/>
        <v>1.9801989677181275E-2</v>
      </c>
      <c r="J283" s="7">
        <f t="shared" si="41"/>
        <v>6.077359956079853E-2</v>
      </c>
      <c r="K283" s="7">
        <f t="shared" si="35"/>
        <v>0.24750000670575076</v>
      </c>
      <c r="L283" s="7">
        <f t="shared" si="36"/>
        <v>0.41599983960386488</v>
      </c>
      <c r="M283" s="7">
        <f t="shared" si="37"/>
        <v>0.70810000620903069</v>
      </c>
      <c r="N283" s="7">
        <f t="shared" si="38"/>
        <v>0.77899992825708242</v>
      </c>
      <c r="O283" s="133">
        <f>B283-Table1[[#This Row],[Total]]</f>
        <v>2</v>
      </c>
    </row>
    <row r="284" spans="1:15" x14ac:dyDescent="0.3">
      <c r="A284" s="11">
        <v>43747</v>
      </c>
      <c r="B284" s="12">
        <v>20631473</v>
      </c>
      <c r="C284" s="12">
        <v>5415761</v>
      </c>
      <c r="D284" s="12">
        <v>2166304</v>
      </c>
      <c r="E284" s="12">
        <v>1660472</v>
      </c>
      <c r="F284" s="12">
        <v>1402435</v>
      </c>
      <c r="G284" s="13">
        <f t="shared" si="34"/>
        <v>6.7975514884468013E-2</v>
      </c>
      <c r="H284" s="13">
        <f t="shared" si="39"/>
        <v>0.21871070507745793</v>
      </c>
      <c r="I284" s="13">
        <f t="shared" si="40"/>
        <v>-4.0404058256849784E-2</v>
      </c>
      <c r="J284" s="13">
        <f t="shared" si="41"/>
        <v>0.27002486365627365</v>
      </c>
      <c r="K284" s="13">
        <f t="shared" si="35"/>
        <v>0.2624999678888657</v>
      </c>
      <c r="L284" s="13">
        <f t="shared" si="36"/>
        <v>0.39999992614149699</v>
      </c>
      <c r="M284" s="13">
        <f t="shared" si="37"/>
        <v>0.76649999261414836</v>
      </c>
      <c r="N284" s="13">
        <f t="shared" si="38"/>
        <v>0.84460021006075381</v>
      </c>
      <c r="O284" s="133">
        <f>B284-Table1[[#This Row],[Total]]</f>
        <v>1</v>
      </c>
    </row>
    <row r="285" spans="1:15" x14ac:dyDescent="0.3">
      <c r="A285" s="2">
        <v>43748</v>
      </c>
      <c r="B285" s="3">
        <v>21282993</v>
      </c>
      <c r="C285" s="3">
        <v>5267540</v>
      </c>
      <c r="D285" s="3">
        <v>2022735</v>
      </c>
      <c r="E285" s="3">
        <v>1402767</v>
      </c>
      <c r="F285" s="3">
        <v>1127263</v>
      </c>
      <c r="G285" s="7">
        <f t="shared" si="34"/>
        <v>5.2965435829443727E-2</v>
      </c>
      <c r="H285" s="7">
        <f t="shared" si="39"/>
        <v>-0.14034239487284683</v>
      </c>
      <c r="I285" s="7">
        <f t="shared" si="40"/>
        <v>0</v>
      </c>
      <c r="J285" s="7">
        <f t="shared" si="41"/>
        <v>-0.14034239487284683</v>
      </c>
      <c r="K285" s="7">
        <f t="shared" si="35"/>
        <v>0.2474999639383427</v>
      </c>
      <c r="L285" s="7">
        <f t="shared" si="36"/>
        <v>0.38399993165690244</v>
      </c>
      <c r="M285" s="7">
        <f t="shared" si="37"/>
        <v>0.69350013719048709</v>
      </c>
      <c r="N285" s="7">
        <f t="shared" si="38"/>
        <v>0.80359959993355989</v>
      </c>
      <c r="O285" s="133">
        <f>B285-Table1[[#This Row],[Total]]</f>
        <v>1</v>
      </c>
    </row>
    <row r="286" spans="1:15" x14ac:dyDescent="0.3">
      <c r="A286" s="2">
        <v>43749</v>
      </c>
      <c r="B286" s="3">
        <v>21282993</v>
      </c>
      <c r="C286" s="3">
        <v>5267540</v>
      </c>
      <c r="D286" s="3">
        <v>2043805</v>
      </c>
      <c r="E286" s="3">
        <v>1536737</v>
      </c>
      <c r="F286" s="3">
        <v>1234922</v>
      </c>
      <c r="G286" s="7">
        <f t="shared" si="34"/>
        <v>5.8023887899601341E-2</v>
      </c>
      <c r="H286" s="7">
        <f t="shared" si="39"/>
        <v>9.5618491304586994E-2</v>
      </c>
      <c r="I286" s="7">
        <f t="shared" si="40"/>
        <v>1.0309259264533743E-2</v>
      </c>
      <c r="J286" s="7">
        <f t="shared" si="41"/>
        <v>8.443873126744883E-2</v>
      </c>
      <c r="K286" s="7">
        <f t="shared" si="35"/>
        <v>0.2474999639383427</v>
      </c>
      <c r="L286" s="7">
        <f t="shared" si="36"/>
        <v>0.38799990128219247</v>
      </c>
      <c r="M286" s="7">
        <f t="shared" si="37"/>
        <v>0.75190001003031115</v>
      </c>
      <c r="N286" s="7">
        <f t="shared" si="38"/>
        <v>0.80360009552708112</v>
      </c>
      <c r="O286" s="133">
        <f>B286-Table1[[#This Row],[Total]]</f>
        <v>1</v>
      </c>
    </row>
    <row r="287" spans="1:15" x14ac:dyDescent="0.3">
      <c r="A287" s="2">
        <v>43750</v>
      </c>
      <c r="B287" s="3">
        <v>45338648</v>
      </c>
      <c r="C287" s="3">
        <v>9045060</v>
      </c>
      <c r="D287" s="3">
        <v>2983060</v>
      </c>
      <c r="E287" s="3">
        <v>2028481</v>
      </c>
      <c r="F287" s="3">
        <v>1645504</v>
      </c>
      <c r="G287" s="7">
        <f t="shared" si="34"/>
        <v>3.6293627458851445E-2</v>
      </c>
      <c r="H287" s="7">
        <f t="shared" si="39"/>
        <v>-1.5284980852815488E-3</v>
      </c>
      <c r="I287" s="7">
        <f t="shared" si="40"/>
        <v>-1.9417475518175187E-2</v>
      </c>
      <c r="J287" s="7">
        <f t="shared" si="41"/>
        <v>1.824321460587619E-2</v>
      </c>
      <c r="K287" s="7">
        <f t="shared" si="35"/>
        <v>0.19949999391247838</v>
      </c>
      <c r="L287" s="7">
        <f t="shared" si="36"/>
        <v>0.3297999128806221</v>
      </c>
      <c r="M287" s="7">
        <f t="shared" si="37"/>
        <v>0.68000006704524885</v>
      </c>
      <c r="N287" s="7">
        <f t="shared" si="38"/>
        <v>0.81120010490608485</v>
      </c>
      <c r="O287" s="133">
        <f>B287-Table1[[#This Row],[Total]]</f>
        <v>1</v>
      </c>
    </row>
    <row r="288" spans="1:15" x14ac:dyDescent="0.3">
      <c r="A288" s="2">
        <v>43751</v>
      </c>
      <c r="B288" s="3">
        <v>43543058</v>
      </c>
      <c r="C288" s="3">
        <v>9509803</v>
      </c>
      <c r="D288" s="3">
        <v>3104000</v>
      </c>
      <c r="E288" s="3">
        <v>2089612</v>
      </c>
      <c r="F288" s="3">
        <v>1678794</v>
      </c>
      <c r="G288" s="7">
        <f t="shared" si="34"/>
        <v>3.8554802467020116E-2</v>
      </c>
      <c r="H288" s="7">
        <f t="shared" si="39"/>
        <v>-1.1775966432756357E-2</v>
      </c>
      <c r="I288" s="7">
        <f t="shared" si="40"/>
        <v>0</v>
      </c>
      <c r="J288" s="7">
        <f t="shared" si="41"/>
        <v>-1.1775966432756246E-2</v>
      </c>
      <c r="K288" s="7">
        <f t="shared" si="35"/>
        <v>0.21839998008408137</v>
      </c>
      <c r="L288" s="7">
        <f t="shared" si="36"/>
        <v>0.32640003163051851</v>
      </c>
      <c r="M288" s="7">
        <f t="shared" si="37"/>
        <v>0.67319974226804125</v>
      </c>
      <c r="N288" s="7">
        <f t="shared" si="38"/>
        <v>0.80339986562098609</v>
      </c>
      <c r="O288" s="133">
        <f>B288-Table1[[#This Row],[Total]]</f>
        <v>2</v>
      </c>
    </row>
    <row r="289" spans="1:15" x14ac:dyDescent="0.3">
      <c r="A289" s="2">
        <v>43752</v>
      </c>
      <c r="B289" s="3">
        <v>20848646</v>
      </c>
      <c r="C289" s="3">
        <v>5107918</v>
      </c>
      <c r="D289" s="3">
        <v>1981872</v>
      </c>
      <c r="E289" s="3">
        <v>1403363</v>
      </c>
      <c r="F289" s="3">
        <v>1104728</v>
      </c>
      <c r="G289" s="7">
        <f t="shared" si="34"/>
        <v>5.2987997398008482E-2</v>
      </c>
      <c r="H289" s="7">
        <f t="shared" si="39"/>
        <v>-0.19829372316253391</v>
      </c>
      <c r="I289" s="7">
        <f t="shared" si="40"/>
        <v>-3.0303066948270674E-2</v>
      </c>
      <c r="J289" s="7">
        <f t="shared" si="41"/>
        <v>-0.17324037076778254</v>
      </c>
      <c r="K289" s="7">
        <f t="shared" si="35"/>
        <v>0.2449999870495187</v>
      </c>
      <c r="L289" s="7">
        <f t="shared" si="36"/>
        <v>0.38799996397749531</v>
      </c>
      <c r="M289" s="7">
        <f t="shared" si="37"/>
        <v>0.70809971582423081</v>
      </c>
      <c r="N289" s="7">
        <f t="shared" si="38"/>
        <v>0.78720046060783988</v>
      </c>
      <c r="O289" s="133">
        <f>B289-Table1[[#This Row],[Total]]</f>
        <v>1</v>
      </c>
    </row>
    <row r="290" spans="1:15" x14ac:dyDescent="0.3">
      <c r="A290" s="2">
        <v>43753</v>
      </c>
      <c r="B290" s="3">
        <v>21934513</v>
      </c>
      <c r="C290" s="3">
        <v>5209447</v>
      </c>
      <c r="D290" s="3">
        <v>2000427</v>
      </c>
      <c r="E290" s="3">
        <v>1416502</v>
      </c>
      <c r="F290" s="3">
        <v>1126686</v>
      </c>
      <c r="G290" s="7">
        <f t="shared" si="34"/>
        <v>5.1365899940427215E-2</v>
      </c>
      <c r="H290" s="7">
        <f t="shared" si="39"/>
        <v>-0.11313267910935909</v>
      </c>
      <c r="I290" s="7">
        <f t="shared" si="40"/>
        <v>-1.9417484842768062E-2</v>
      </c>
      <c r="J290" s="7">
        <f t="shared" si="41"/>
        <v>-9.557094157605317E-2</v>
      </c>
      <c r="K290" s="7">
        <f t="shared" si="35"/>
        <v>0.23750000740841615</v>
      </c>
      <c r="L290" s="7">
        <f t="shared" si="36"/>
        <v>0.38399987561059745</v>
      </c>
      <c r="M290" s="7">
        <f t="shared" si="37"/>
        <v>0.70809982068828303</v>
      </c>
      <c r="N290" s="7">
        <f t="shared" si="38"/>
        <v>0.79540021828419583</v>
      </c>
      <c r="O290" s="133">
        <f>B290-Table1[[#This Row],[Total]]</f>
        <v>2</v>
      </c>
    </row>
    <row r="291" spans="1:15" x14ac:dyDescent="0.3">
      <c r="A291" s="2">
        <v>43754</v>
      </c>
      <c r="B291" s="3">
        <v>20631473</v>
      </c>
      <c r="C291" s="3">
        <v>5364183</v>
      </c>
      <c r="D291" s="3">
        <v>2252956</v>
      </c>
      <c r="E291" s="3">
        <v>1644658</v>
      </c>
      <c r="F291" s="3">
        <v>1308161</v>
      </c>
      <c r="G291" s="7">
        <f t="shared" si="34"/>
        <v>6.3406088358305773E-2</v>
      </c>
      <c r="H291" s="7">
        <f t="shared" si="39"/>
        <v>-6.7221653766484701E-2</v>
      </c>
      <c r="I291" s="7">
        <f t="shared" si="40"/>
        <v>0</v>
      </c>
      <c r="J291" s="7">
        <f t="shared" si="41"/>
        <v>-6.7221653766484812E-2</v>
      </c>
      <c r="K291" s="7">
        <f t="shared" si="35"/>
        <v>0.26000000096939274</v>
      </c>
      <c r="L291" s="7">
        <f t="shared" si="36"/>
        <v>0.41999983967735627</v>
      </c>
      <c r="M291" s="7">
        <f t="shared" si="37"/>
        <v>0.73000005326335715</v>
      </c>
      <c r="N291" s="7">
        <f t="shared" si="38"/>
        <v>0.79540001629518109</v>
      </c>
      <c r="O291" s="133">
        <f>B291-Table1[[#This Row],[Total]]</f>
        <v>1</v>
      </c>
    </row>
    <row r="292" spans="1:15" x14ac:dyDescent="0.3">
      <c r="A292" s="2">
        <v>43755</v>
      </c>
      <c r="B292" s="3">
        <v>22151687</v>
      </c>
      <c r="C292" s="3">
        <v>5648680</v>
      </c>
      <c r="D292" s="3">
        <v>2146498</v>
      </c>
      <c r="E292" s="3">
        <v>1504266</v>
      </c>
      <c r="F292" s="3">
        <v>1196493</v>
      </c>
      <c r="G292" s="7">
        <f t="shared" si="34"/>
        <v>5.4013628849125576E-2</v>
      </c>
      <c r="H292" s="7">
        <f t="shared" si="39"/>
        <v>6.1414239622874067E-2</v>
      </c>
      <c r="I292" s="7">
        <f t="shared" si="40"/>
        <v>4.0816345708519552E-2</v>
      </c>
      <c r="J292" s="7">
        <f t="shared" si="41"/>
        <v>1.9790133004043975E-2</v>
      </c>
      <c r="K292" s="7">
        <f t="shared" si="35"/>
        <v>0.25499999164849158</v>
      </c>
      <c r="L292" s="7">
        <f t="shared" si="36"/>
        <v>0.37999992918699588</v>
      </c>
      <c r="M292" s="7">
        <f t="shared" si="37"/>
        <v>0.70080009392042297</v>
      </c>
      <c r="N292" s="7">
        <f t="shared" si="38"/>
        <v>0.79539988273350593</v>
      </c>
      <c r="O292" s="133">
        <f>B292-Table1[[#This Row],[Total]]</f>
        <v>2</v>
      </c>
    </row>
    <row r="293" spans="1:15" x14ac:dyDescent="0.3">
      <c r="A293" s="2">
        <v>43756</v>
      </c>
      <c r="B293" s="3">
        <v>20848646</v>
      </c>
      <c r="C293" s="3">
        <v>5316404</v>
      </c>
      <c r="D293" s="3">
        <v>2190358</v>
      </c>
      <c r="E293" s="3">
        <v>1566982</v>
      </c>
      <c r="F293" s="3">
        <v>1323473</v>
      </c>
      <c r="G293" s="7">
        <f t="shared" si="34"/>
        <v>6.3480045658600562E-2</v>
      </c>
      <c r="H293" s="7">
        <f t="shared" si="39"/>
        <v>7.1705743358689844E-2</v>
      </c>
      <c r="I293" s="7">
        <f t="shared" si="40"/>
        <v>-2.0408172854259776E-2</v>
      </c>
      <c r="J293" s="7">
        <f t="shared" si="41"/>
        <v>9.4032957054515309E-2</v>
      </c>
      <c r="K293" s="7">
        <f t="shared" si="35"/>
        <v>0.25499996498573574</v>
      </c>
      <c r="L293" s="7">
        <f t="shared" si="36"/>
        <v>0.41199991573251393</v>
      </c>
      <c r="M293" s="7">
        <f t="shared" si="37"/>
        <v>0.7153999483189506</v>
      </c>
      <c r="N293" s="7">
        <f t="shared" si="38"/>
        <v>0.84460000178687433</v>
      </c>
      <c r="O293" s="133">
        <f>B293-Table1[[#This Row],[Total]]</f>
        <v>1</v>
      </c>
    </row>
    <row r="294" spans="1:15" x14ac:dyDescent="0.3">
      <c r="A294" s="2">
        <v>43757</v>
      </c>
      <c r="B294" s="3">
        <v>46236443</v>
      </c>
      <c r="C294" s="3">
        <v>9418363</v>
      </c>
      <c r="D294" s="3">
        <v>3202243</v>
      </c>
      <c r="E294" s="3">
        <v>2221076</v>
      </c>
      <c r="F294" s="3">
        <v>1697790</v>
      </c>
      <c r="G294" s="7">
        <f t="shared" si="34"/>
        <v>3.671973642090072E-2</v>
      </c>
      <c r="H294" s="7">
        <f t="shared" si="39"/>
        <v>3.177506709190614E-2</v>
      </c>
      <c r="I294" s="7">
        <f t="shared" si="40"/>
        <v>1.9801979979641171E-2</v>
      </c>
      <c r="J294" s="7">
        <f t="shared" si="41"/>
        <v>1.1740599986385547E-2</v>
      </c>
      <c r="K294" s="7">
        <f t="shared" si="35"/>
        <v>0.2036999905031622</v>
      </c>
      <c r="L294" s="7">
        <f t="shared" si="36"/>
        <v>0.33999995540626327</v>
      </c>
      <c r="M294" s="7">
        <f t="shared" si="37"/>
        <v>0.69360007969413939</v>
      </c>
      <c r="N294" s="7">
        <f t="shared" si="38"/>
        <v>0.76439977740518561</v>
      </c>
      <c r="O294" s="133">
        <f>B294-Table1[[#This Row],[Total]]</f>
        <v>2</v>
      </c>
    </row>
    <row r="295" spans="1:15" x14ac:dyDescent="0.3">
      <c r="A295" s="2">
        <v>43758</v>
      </c>
      <c r="B295" s="3">
        <v>43094160</v>
      </c>
      <c r="C295" s="3">
        <v>9140271</v>
      </c>
      <c r="D295" s="3">
        <v>3169846</v>
      </c>
      <c r="E295" s="3">
        <v>2069275</v>
      </c>
      <c r="F295" s="3">
        <v>1694736</v>
      </c>
      <c r="G295" s="7">
        <f t="shared" si="34"/>
        <v>3.9326349556413211E-2</v>
      </c>
      <c r="H295" s="7">
        <f t="shared" si="39"/>
        <v>9.4961025593371939E-3</v>
      </c>
      <c r="I295" s="7">
        <f t="shared" si="40"/>
        <v>-1.0309289715021874E-2</v>
      </c>
      <c r="J295" s="7">
        <f t="shared" si="41"/>
        <v>2.0011698673675582E-2</v>
      </c>
      <c r="K295" s="7">
        <f t="shared" si="35"/>
        <v>0.21209999220311987</v>
      </c>
      <c r="L295" s="7">
        <f t="shared" si="36"/>
        <v>0.34680000188178228</v>
      </c>
      <c r="M295" s="7">
        <f t="shared" si="37"/>
        <v>0.65279985210637992</v>
      </c>
      <c r="N295" s="7">
        <f t="shared" si="38"/>
        <v>0.81899989126626471</v>
      </c>
      <c r="O295" s="133">
        <f>B295-Table1[[#This Row],[Total]]</f>
        <v>2</v>
      </c>
    </row>
    <row r="296" spans="1:15" x14ac:dyDescent="0.3">
      <c r="A296" s="11">
        <v>43759</v>
      </c>
      <c r="B296" s="12">
        <v>22803207</v>
      </c>
      <c r="C296" s="12">
        <v>5700801</v>
      </c>
      <c r="D296" s="12">
        <v>2371533</v>
      </c>
      <c r="E296" s="12">
        <v>1748531</v>
      </c>
      <c r="F296" s="12">
        <v>1462471</v>
      </c>
      <c r="G296" s="13">
        <f t="shared" si="34"/>
        <v>6.4134443896422116E-2</v>
      </c>
      <c r="H296" s="13">
        <f t="shared" si="39"/>
        <v>0.32382903302894461</v>
      </c>
      <c r="I296" s="13">
        <f t="shared" si="40"/>
        <v>9.3750020984576077E-2</v>
      </c>
      <c r="J296" s="13">
        <f t="shared" si="41"/>
        <v>0.21035794983323086</v>
      </c>
      <c r="K296" s="13">
        <f t="shared" si="35"/>
        <v>0.24999996710988942</v>
      </c>
      <c r="L296" s="13">
        <f t="shared" si="36"/>
        <v>0.4159999621105876</v>
      </c>
      <c r="M296" s="13">
        <f t="shared" si="37"/>
        <v>0.73729988155340875</v>
      </c>
      <c r="N296" s="13">
        <f t="shared" si="38"/>
        <v>0.83639981218519999</v>
      </c>
      <c r="O296" s="133">
        <f>B296-Table1[[#This Row],[Total]]</f>
        <v>2</v>
      </c>
    </row>
    <row r="297" spans="1:15" x14ac:dyDescent="0.3">
      <c r="A297" s="2">
        <v>43760</v>
      </c>
      <c r="B297" s="3">
        <v>21717340</v>
      </c>
      <c r="C297" s="3">
        <v>5429335</v>
      </c>
      <c r="D297" s="3">
        <v>2106582</v>
      </c>
      <c r="E297" s="3">
        <v>1568560</v>
      </c>
      <c r="F297" s="3">
        <v>1350531</v>
      </c>
      <c r="G297" s="7">
        <f t="shared" si="34"/>
        <v>6.2186759520272743E-2</v>
      </c>
      <c r="H297" s="7">
        <f t="shared" si="39"/>
        <v>0.19867558485682779</v>
      </c>
      <c r="I297" s="7">
        <f t="shared" si="40"/>
        <v>-9.9009720434640736E-3</v>
      </c>
      <c r="J297" s="7">
        <f t="shared" si="41"/>
        <v>0.21066231862763574</v>
      </c>
      <c r="K297" s="7">
        <f t="shared" si="35"/>
        <v>0.25</v>
      </c>
      <c r="L297" s="7">
        <f t="shared" si="36"/>
        <v>0.38800000368369236</v>
      </c>
      <c r="M297" s="7">
        <f t="shared" si="37"/>
        <v>0.74459954561464969</v>
      </c>
      <c r="N297" s="7">
        <f t="shared" si="38"/>
        <v>0.86100053552302747</v>
      </c>
      <c r="O297" s="133">
        <f>B297-Table1[[#This Row],[Total]]</f>
        <v>2</v>
      </c>
    </row>
    <row r="298" spans="1:15" x14ac:dyDescent="0.3">
      <c r="A298" s="2">
        <v>43761</v>
      </c>
      <c r="B298" s="3">
        <v>21717340</v>
      </c>
      <c r="C298" s="3">
        <v>5320748</v>
      </c>
      <c r="D298" s="3">
        <v>2085733</v>
      </c>
      <c r="E298" s="3">
        <v>1568262</v>
      </c>
      <c r="F298" s="3">
        <v>1324554</v>
      </c>
      <c r="G298" s="7">
        <f t="shared" si="34"/>
        <v>6.0990618556416208E-2</v>
      </c>
      <c r="H298" s="7">
        <f t="shared" si="39"/>
        <v>1.2531332152540875E-2</v>
      </c>
      <c r="I298" s="7">
        <f t="shared" si="40"/>
        <v>5.2631578947368363E-2</v>
      </c>
      <c r="J298" s="7">
        <f t="shared" si="41"/>
        <v>-3.8095234455086113E-2</v>
      </c>
      <c r="K298" s="7">
        <f t="shared" si="35"/>
        <v>0.24499998618615354</v>
      </c>
      <c r="L298" s="7">
        <f t="shared" si="36"/>
        <v>0.39199995940420407</v>
      </c>
      <c r="M298" s="7">
        <f t="shared" si="37"/>
        <v>0.75189969185892924</v>
      </c>
      <c r="N298" s="7">
        <f t="shared" si="38"/>
        <v>0.84459994567234298</v>
      </c>
      <c r="O298" s="133">
        <f>B298-Table1[[#This Row],[Total]]</f>
        <v>2</v>
      </c>
    </row>
    <row r="299" spans="1:15" x14ac:dyDescent="0.3">
      <c r="A299" s="2">
        <v>43762</v>
      </c>
      <c r="B299" s="3">
        <v>21065820</v>
      </c>
      <c r="C299" s="3">
        <v>5319119</v>
      </c>
      <c r="D299" s="3">
        <v>2234030</v>
      </c>
      <c r="E299" s="3">
        <v>1663458</v>
      </c>
      <c r="F299" s="3">
        <v>1309474</v>
      </c>
      <c r="G299" s="7">
        <f t="shared" si="34"/>
        <v>6.2161074195070498E-2</v>
      </c>
      <c r="H299" s="7">
        <f t="shared" si="39"/>
        <v>9.4426795643601791E-2</v>
      </c>
      <c r="I299" s="7">
        <f t="shared" si="40"/>
        <v>-4.9019607400555998E-2</v>
      </c>
      <c r="J299" s="7">
        <f t="shared" si="41"/>
        <v>0.15084054746076969</v>
      </c>
      <c r="K299" s="7">
        <f t="shared" si="35"/>
        <v>0.25249997389135576</v>
      </c>
      <c r="L299" s="7">
        <f t="shared" si="36"/>
        <v>0.42000000376002117</v>
      </c>
      <c r="M299" s="7">
        <f t="shared" si="37"/>
        <v>0.74459966965528668</v>
      </c>
      <c r="N299" s="7">
        <f t="shared" si="38"/>
        <v>0.7871999172807489</v>
      </c>
      <c r="O299" s="133">
        <f>B299-Table1[[#This Row],[Total]]</f>
        <v>1</v>
      </c>
    </row>
    <row r="300" spans="1:15" x14ac:dyDescent="0.3">
      <c r="A300" s="2">
        <v>43763</v>
      </c>
      <c r="B300" s="3">
        <v>21500167</v>
      </c>
      <c r="C300" s="3">
        <v>5321291</v>
      </c>
      <c r="D300" s="3">
        <v>2107231</v>
      </c>
      <c r="E300" s="3">
        <v>1507513</v>
      </c>
      <c r="F300" s="3">
        <v>1186714</v>
      </c>
      <c r="G300" s="7">
        <f t="shared" si="34"/>
        <v>5.5195571271609192E-2</v>
      </c>
      <c r="H300" s="7">
        <f t="shared" si="39"/>
        <v>-0.10333342652249045</v>
      </c>
      <c r="I300" s="7">
        <f t="shared" si="40"/>
        <v>3.1250038971355698E-2</v>
      </c>
      <c r="J300" s="7">
        <f t="shared" si="41"/>
        <v>-0.13050517372885584</v>
      </c>
      <c r="K300" s="7">
        <f t="shared" si="35"/>
        <v>0.24749998453500385</v>
      </c>
      <c r="L300" s="7">
        <f t="shared" si="36"/>
        <v>0.39599995564986018</v>
      </c>
      <c r="M300" s="7">
        <f t="shared" si="37"/>
        <v>0.71539997276046152</v>
      </c>
      <c r="N300" s="7">
        <f t="shared" si="38"/>
        <v>0.78719984504279561</v>
      </c>
      <c r="O300" s="133">
        <f>B300-Table1[[#This Row],[Total]]</f>
        <v>1</v>
      </c>
    </row>
    <row r="301" spans="1:15" x14ac:dyDescent="0.3">
      <c r="A301" s="2">
        <v>43764</v>
      </c>
      <c r="B301" s="3">
        <v>43991955</v>
      </c>
      <c r="C301" s="3">
        <v>9330693</v>
      </c>
      <c r="D301" s="3">
        <v>3204160</v>
      </c>
      <c r="E301" s="3">
        <v>2069887</v>
      </c>
      <c r="F301" s="3">
        <v>1582222</v>
      </c>
      <c r="G301" s="7">
        <f t="shared" si="34"/>
        <v>3.5966166995760933E-2</v>
      </c>
      <c r="H301" s="7">
        <f t="shared" si="39"/>
        <v>-6.8069667037737314E-2</v>
      </c>
      <c r="I301" s="7">
        <f t="shared" si="40"/>
        <v>-4.8543699609418511E-2</v>
      </c>
      <c r="J301" s="7">
        <f t="shared" si="41"/>
        <v>-2.0522190478220792E-2</v>
      </c>
      <c r="K301" s="7">
        <f t="shared" si="35"/>
        <v>0.2120999850995483</v>
      </c>
      <c r="L301" s="7">
        <f t="shared" si="36"/>
        <v>0.34340000255072156</v>
      </c>
      <c r="M301" s="7">
        <f t="shared" si="37"/>
        <v>0.64599988764606009</v>
      </c>
      <c r="N301" s="7">
        <f t="shared" si="38"/>
        <v>0.76440018223217021</v>
      </c>
      <c r="O301" s="133">
        <f>B301-Table1[[#This Row],[Total]]</f>
        <v>0</v>
      </c>
    </row>
    <row r="302" spans="1:15" x14ac:dyDescent="0.3">
      <c r="A302" s="2">
        <v>43765</v>
      </c>
      <c r="B302" s="3">
        <v>43094160</v>
      </c>
      <c r="C302" s="3">
        <v>9321266</v>
      </c>
      <c r="D302" s="3">
        <v>3137538</v>
      </c>
      <c r="E302" s="3">
        <v>2154861</v>
      </c>
      <c r="F302" s="3">
        <v>1613560</v>
      </c>
      <c r="G302" s="7">
        <f t="shared" si="34"/>
        <v>3.7442660444013759E-2</v>
      </c>
      <c r="H302" s="7">
        <f t="shared" si="39"/>
        <v>-4.7898905788276158E-2</v>
      </c>
      <c r="I302" s="7">
        <f t="shared" si="40"/>
        <v>0</v>
      </c>
      <c r="J302" s="7">
        <f t="shared" si="41"/>
        <v>-4.7898905788276158E-2</v>
      </c>
      <c r="K302" s="7">
        <f t="shared" si="35"/>
        <v>0.21629998125035968</v>
      </c>
      <c r="L302" s="7">
        <f t="shared" si="36"/>
        <v>0.33659998545261982</v>
      </c>
      <c r="M302" s="7">
        <f t="shared" si="37"/>
        <v>0.68679996863782999</v>
      </c>
      <c r="N302" s="7">
        <f t="shared" si="38"/>
        <v>0.74880003861037903</v>
      </c>
      <c r="O302" s="133">
        <f>B302-Table1[[#This Row],[Total]]</f>
        <v>2</v>
      </c>
    </row>
    <row r="303" spans="1:15" x14ac:dyDescent="0.3">
      <c r="A303" s="2">
        <v>43766</v>
      </c>
      <c r="B303" s="3">
        <v>21065820</v>
      </c>
      <c r="C303" s="3">
        <v>5424448</v>
      </c>
      <c r="D303" s="3">
        <v>2104686</v>
      </c>
      <c r="E303" s="3">
        <v>1490328</v>
      </c>
      <c r="F303" s="3">
        <v>1222069</v>
      </c>
      <c r="G303" s="7">
        <f t="shared" si="34"/>
        <v>5.8011935922741197E-2</v>
      </c>
      <c r="H303" s="7">
        <f t="shared" si="39"/>
        <v>-0.16438069541208</v>
      </c>
      <c r="I303" s="7">
        <f t="shared" si="40"/>
        <v>-7.6190467419780084E-2</v>
      </c>
      <c r="J303" s="7">
        <f t="shared" si="41"/>
        <v>-9.5463647951307462E-2</v>
      </c>
      <c r="K303" s="7">
        <f t="shared" si="35"/>
        <v>0.25749996914432954</v>
      </c>
      <c r="L303" s="7">
        <f t="shared" si="36"/>
        <v>0.3880000324456977</v>
      </c>
      <c r="M303" s="7">
        <f t="shared" si="37"/>
        <v>0.70809992559460178</v>
      </c>
      <c r="N303" s="7">
        <f t="shared" si="38"/>
        <v>0.82000002683972928</v>
      </c>
      <c r="O303" s="133">
        <f>B303-Table1[[#This Row],[Total]]</f>
        <v>1</v>
      </c>
    </row>
    <row r="304" spans="1:15" x14ac:dyDescent="0.3">
      <c r="A304" s="2">
        <v>43767</v>
      </c>
      <c r="B304" s="3">
        <v>22151687</v>
      </c>
      <c r="C304" s="3">
        <v>5261025</v>
      </c>
      <c r="D304" s="3">
        <v>2020233</v>
      </c>
      <c r="E304" s="3">
        <v>1430527</v>
      </c>
      <c r="F304" s="3">
        <v>1173032</v>
      </c>
      <c r="G304" s="7">
        <f t="shared" si="34"/>
        <v>5.2954522154452614E-2</v>
      </c>
      <c r="H304" s="7">
        <f t="shared" si="39"/>
        <v>-0.13142904531624966</v>
      </c>
      <c r="I304" s="7">
        <f t="shared" si="40"/>
        <v>2.0000009209230951E-2</v>
      </c>
      <c r="J304" s="7">
        <f t="shared" si="41"/>
        <v>-0.14845985603752898</v>
      </c>
      <c r="K304" s="7">
        <f t="shared" si="35"/>
        <v>0.23749997009257129</v>
      </c>
      <c r="L304" s="7">
        <f t="shared" si="36"/>
        <v>0.38399988595378276</v>
      </c>
      <c r="M304" s="7">
        <f t="shared" si="37"/>
        <v>0.70810000628640357</v>
      </c>
      <c r="N304" s="7">
        <f t="shared" si="38"/>
        <v>0.81999990213396878</v>
      </c>
      <c r="O304" s="133">
        <f>B304-Table1[[#This Row],[Total]]</f>
        <v>2</v>
      </c>
    </row>
    <row r="305" spans="1:15" x14ac:dyDescent="0.3">
      <c r="A305" s="2">
        <v>43768</v>
      </c>
      <c r="B305" s="3">
        <v>21500167</v>
      </c>
      <c r="C305" s="3">
        <v>5643793</v>
      </c>
      <c r="D305" s="3">
        <v>2325243</v>
      </c>
      <c r="E305" s="3">
        <v>1629530</v>
      </c>
      <c r="F305" s="3">
        <v>1376301</v>
      </c>
      <c r="G305" s="7">
        <f t="shared" si="34"/>
        <v>6.4013502778838882E-2</v>
      </c>
      <c r="H305" s="7">
        <f t="shared" si="39"/>
        <v>3.906748988716191E-2</v>
      </c>
      <c r="I305" s="7">
        <f t="shared" si="40"/>
        <v>-9.9999815815380311E-3</v>
      </c>
      <c r="J305" s="7">
        <f t="shared" si="41"/>
        <v>4.9563101571539425E-2</v>
      </c>
      <c r="K305" s="7">
        <f t="shared" si="35"/>
        <v>0.26249996104681417</v>
      </c>
      <c r="L305" s="7">
        <f t="shared" si="36"/>
        <v>0.41200005032076831</v>
      </c>
      <c r="M305" s="7">
        <f t="shared" si="37"/>
        <v>0.70079987338957694</v>
      </c>
      <c r="N305" s="7">
        <f t="shared" si="38"/>
        <v>0.84459997668039255</v>
      </c>
      <c r="O305" s="133">
        <f>B305-Table1[[#This Row],[Total]]</f>
        <v>1</v>
      </c>
    </row>
    <row r="306" spans="1:15" x14ac:dyDescent="0.3">
      <c r="A306" s="2">
        <v>43769</v>
      </c>
      <c r="B306" s="3">
        <v>20631473</v>
      </c>
      <c r="C306" s="3">
        <v>5003132</v>
      </c>
      <c r="D306" s="3">
        <v>1921202</v>
      </c>
      <c r="E306" s="3">
        <v>1332354</v>
      </c>
      <c r="F306" s="3">
        <v>1070679</v>
      </c>
      <c r="G306" s="7">
        <f t="shared" si="34"/>
        <v>5.1895422105828315E-2</v>
      </c>
      <c r="H306" s="7">
        <f t="shared" si="39"/>
        <v>-0.18235948174610572</v>
      </c>
      <c r="I306" s="7">
        <f t="shared" si="40"/>
        <v>-2.0618565999329763E-2</v>
      </c>
      <c r="J306" s="7">
        <f t="shared" si="41"/>
        <v>-0.16514598922513912</v>
      </c>
      <c r="K306" s="7">
        <f t="shared" si="35"/>
        <v>0.24249999018489857</v>
      </c>
      <c r="L306" s="7">
        <f t="shared" si="36"/>
        <v>0.38399986248613871</v>
      </c>
      <c r="M306" s="7">
        <f t="shared" si="37"/>
        <v>0.6935002149695868</v>
      </c>
      <c r="N306" s="7">
        <f t="shared" si="38"/>
        <v>0.80359949382821683</v>
      </c>
      <c r="O306" s="133">
        <f>B306-Table1[[#This Row],[Total]]</f>
        <v>1</v>
      </c>
    </row>
    <row r="307" spans="1:15" x14ac:dyDescent="0.3">
      <c r="A307" s="2">
        <v>43770</v>
      </c>
      <c r="B307" s="3">
        <v>21065820</v>
      </c>
      <c r="C307" s="3">
        <v>5055796</v>
      </c>
      <c r="D307" s="3">
        <v>2103211</v>
      </c>
      <c r="E307" s="3">
        <v>1581404</v>
      </c>
      <c r="F307" s="3">
        <v>1270816</v>
      </c>
      <c r="G307" s="7">
        <f t="shared" si="34"/>
        <v>6.0325968796847214E-2</v>
      </c>
      <c r="H307" s="7">
        <f t="shared" si="39"/>
        <v>7.0869645087190403E-2</v>
      </c>
      <c r="I307" s="7">
        <f t="shared" si="40"/>
        <v>-2.0202029128424948E-2</v>
      </c>
      <c r="J307" s="7">
        <f t="shared" si="41"/>
        <v>9.2949441541099409E-2</v>
      </c>
      <c r="K307" s="7">
        <f t="shared" si="35"/>
        <v>0.2399999620237902</v>
      </c>
      <c r="L307" s="7">
        <f t="shared" si="36"/>
        <v>0.41599997310018044</v>
      </c>
      <c r="M307" s="7">
        <f t="shared" si="37"/>
        <v>0.75189983315986841</v>
      </c>
      <c r="N307" s="7">
        <f t="shared" si="38"/>
        <v>0.80359983913029187</v>
      </c>
      <c r="O307" s="133">
        <f>B307-Table1[[#This Row],[Total]]</f>
        <v>1</v>
      </c>
    </row>
    <row r="308" spans="1:15" x14ac:dyDescent="0.3">
      <c r="A308" s="2">
        <v>43771</v>
      </c>
      <c r="B308" s="3">
        <v>42645263</v>
      </c>
      <c r="C308" s="3">
        <v>9134615</v>
      </c>
      <c r="D308" s="3">
        <v>2981538</v>
      </c>
      <c r="E308" s="3">
        <v>1926073</v>
      </c>
      <c r="F308" s="3">
        <v>1457267</v>
      </c>
      <c r="G308" s="7">
        <f t="shared" si="34"/>
        <v>3.4171837561419192E-2</v>
      </c>
      <c r="H308" s="7">
        <f t="shared" si="39"/>
        <v>-7.8974379069435274E-2</v>
      </c>
      <c r="I308" s="7">
        <f t="shared" si="40"/>
        <v>-3.0612233532244737E-2</v>
      </c>
      <c r="J308" s="7">
        <f t="shared" si="41"/>
        <v>-4.9889370600798899E-2</v>
      </c>
      <c r="K308" s="7">
        <f t="shared" si="35"/>
        <v>0.2141999921538765</v>
      </c>
      <c r="L308" s="7">
        <f t="shared" si="36"/>
        <v>0.32639996321684056</v>
      </c>
      <c r="M308" s="7">
        <f t="shared" si="37"/>
        <v>0.64599981620224189</v>
      </c>
      <c r="N308" s="7">
        <f t="shared" si="38"/>
        <v>0.75660008732794659</v>
      </c>
      <c r="O308" s="133">
        <f>B308-Table1[[#This Row],[Total]]</f>
        <v>2</v>
      </c>
    </row>
    <row r="309" spans="1:15" x14ac:dyDescent="0.3">
      <c r="A309" s="2">
        <v>43772</v>
      </c>
      <c r="B309" s="3">
        <v>45787545</v>
      </c>
      <c r="C309" s="3">
        <v>9711538</v>
      </c>
      <c r="D309" s="3">
        <v>3268903</v>
      </c>
      <c r="E309" s="3">
        <v>2156168</v>
      </c>
      <c r="F309" s="3">
        <v>1648175</v>
      </c>
      <c r="G309" s="7">
        <f t="shared" si="34"/>
        <v>3.5996142619133656E-2</v>
      </c>
      <c r="H309" s="7">
        <f t="shared" si="39"/>
        <v>2.14525645157293E-2</v>
      </c>
      <c r="I309" s="7">
        <f t="shared" si="40"/>
        <v>6.25E-2</v>
      </c>
      <c r="J309" s="7">
        <f t="shared" si="41"/>
        <v>-3.8632880455784169E-2</v>
      </c>
      <c r="K309" s="7">
        <f t="shared" si="35"/>
        <v>0.2120999935681199</v>
      </c>
      <c r="L309" s="7">
        <f t="shared" si="36"/>
        <v>0.33659992886811541</v>
      </c>
      <c r="M309" s="7">
        <f t="shared" si="37"/>
        <v>0.65959987188362579</v>
      </c>
      <c r="N309" s="7">
        <f t="shared" si="38"/>
        <v>0.76440008385246416</v>
      </c>
      <c r="O309" s="133">
        <f>B309-Table1[[#This Row],[Total]]</f>
        <v>1</v>
      </c>
    </row>
    <row r="310" spans="1:15" x14ac:dyDescent="0.3">
      <c r="A310" s="2">
        <v>43773</v>
      </c>
      <c r="B310" s="3">
        <v>21282993</v>
      </c>
      <c r="C310" s="3">
        <v>5107918</v>
      </c>
      <c r="D310" s="3">
        <v>1941009</v>
      </c>
      <c r="E310" s="3">
        <v>1360259</v>
      </c>
      <c r="F310" s="3">
        <v>1070795</v>
      </c>
      <c r="G310" s="7">
        <f t="shared" si="34"/>
        <v>5.0312237569217828E-2</v>
      </c>
      <c r="H310" s="7">
        <f t="shared" si="39"/>
        <v>-0.12378515452073491</v>
      </c>
      <c r="I310" s="7">
        <f t="shared" si="40"/>
        <v>1.0309259264533743E-2</v>
      </c>
      <c r="J310" s="7">
        <f t="shared" si="41"/>
        <v>-0.13272610594787992</v>
      </c>
      <c r="K310" s="7">
        <f t="shared" si="35"/>
        <v>0.23999998496452074</v>
      </c>
      <c r="L310" s="7">
        <f t="shared" si="36"/>
        <v>0.38000003132391708</v>
      </c>
      <c r="M310" s="7">
        <f t="shared" si="37"/>
        <v>0.70079994477099283</v>
      </c>
      <c r="N310" s="7">
        <f t="shared" si="38"/>
        <v>0.78719934953563986</v>
      </c>
      <c r="O310" s="133">
        <f>B310-Table1[[#This Row],[Total]]</f>
        <v>1</v>
      </c>
    </row>
    <row r="311" spans="1:15" x14ac:dyDescent="0.3">
      <c r="A311" s="2">
        <v>43774</v>
      </c>
      <c r="B311" s="3">
        <v>20848646</v>
      </c>
      <c r="C311" s="3">
        <v>5420648</v>
      </c>
      <c r="D311" s="3">
        <v>2168259</v>
      </c>
      <c r="E311" s="3">
        <v>1567000</v>
      </c>
      <c r="F311" s="3">
        <v>1259241</v>
      </c>
      <c r="G311" s="7">
        <f t="shared" si="34"/>
        <v>6.0399174123825596E-2</v>
      </c>
      <c r="H311" s="7">
        <f t="shared" si="39"/>
        <v>7.3492453743802422E-2</v>
      </c>
      <c r="I311" s="7">
        <f t="shared" si="40"/>
        <v>-5.8823555966640351E-2</v>
      </c>
      <c r="J311" s="7">
        <f t="shared" si="41"/>
        <v>0.14058576428391034</v>
      </c>
      <c r="K311" s="7">
        <f t="shared" si="35"/>
        <v>0.2600000019185898</v>
      </c>
      <c r="L311" s="7">
        <f t="shared" si="36"/>
        <v>0.39999996310404218</v>
      </c>
      <c r="M311" s="7">
        <f t="shared" si="37"/>
        <v>0.7226996405872177</v>
      </c>
      <c r="N311" s="7">
        <f t="shared" si="38"/>
        <v>0.80359987236758135</v>
      </c>
      <c r="O311" s="133">
        <f>B311-Table1[[#This Row],[Total]]</f>
        <v>1</v>
      </c>
    </row>
    <row r="312" spans="1:15" x14ac:dyDescent="0.3">
      <c r="A312" s="2">
        <v>43775</v>
      </c>
      <c r="B312" s="3">
        <v>21500167</v>
      </c>
      <c r="C312" s="3">
        <v>5106289</v>
      </c>
      <c r="D312" s="3">
        <v>2022090</v>
      </c>
      <c r="E312" s="3">
        <v>1461364</v>
      </c>
      <c r="F312" s="3">
        <v>1162369</v>
      </c>
      <c r="G312" s="7">
        <f t="shared" si="34"/>
        <v>5.4063254485418648E-2</v>
      </c>
      <c r="H312" s="7">
        <f t="shared" si="39"/>
        <v>-0.15543983474545175</v>
      </c>
      <c r="I312" s="7">
        <f t="shared" si="40"/>
        <v>0</v>
      </c>
      <c r="J312" s="7">
        <f t="shared" si="41"/>
        <v>-0.15543983474545175</v>
      </c>
      <c r="K312" s="7">
        <f t="shared" si="35"/>
        <v>0.23749996918628585</v>
      </c>
      <c r="L312" s="7">
        <f t="shared" si="36"/>
        <v>0.39599991304839971</v>
      </c>
      <c r="M312" s="7">
        <f t="shared" si="37"/>
        <v>0.72269978091974141</v>
      </c>
      <c r="N312" s="7">
        <f t="shared" si="38"/>
        <v>0.79540005091134036</v>
      </c>
      <c r="O312" s="133">
        <f>B312-Table1[[#This Row],[Total]]</f>
        <v>1</v>
      </c>
    </row>
    <row r="313" spans="1:15" x14ac:dyDescent="0.3">
      <c r="A313" s="2">
        <v>43776</v>
      </c>
      <c r="B313" s="3">
        <v>20848646</v>
      </c>
      <c r="C313" s="3">
        <v>5264283</v>
      </c>
      <c r="D313" s="3">
        <v>2000427</v>
      </c>
      <c r="E313" s="3">
        <v>1489518</v>
      </c>
      <c r="F313" s="3">
        <v>1209191</v>
      </c>
      <c r="G313" s="7">
        <f t="shared" si="34"/>
        <v>5.7998538610133245E-2</v>
      </c>
      <c r="H313" s="7">
        <f t="shared" si="39"/>
        <v>0.1293683727802637</v>
      </c>
      <c r="I313" s="7">
        <f t="shared" si="40"/>
        <v>1.0526296401619062E-2</v>
      </c>
      <c r="J313" s="7">
        <f t="shared" si="41"/>
        <v>0.11760414033937483</v>
      </c>
      <c r="K313" s="7">
        <f t="shared" si="35"/>
        <v>0.25249999448405425</v>
      </c>
      <c r="L313" s="7">
        <f t="shared" si="36"/>
        <v>0.37999989742192813</v>
      </c>
      <c r="M313" s="7">
        <f t="shared" si="37"/>
        <v>0.74460002789404467</v>
      </c>
      <c r="N313" s="7">
        <f t="shared" si="38"/>
        <v>0.81180019308259455</v>
      </c>
      <c r="O313" s="133">
        <f>B313-Table1[[#This Row],[Total]]</f>
        <v>1</v>
      </c>
    </row>
    <row r="314" spans="1:15" x14ac:dyDescent="0.3">
      <c r="A314" s="2">
        <v>43777</v>
      </c>
      <c r="B314" s="3">
        <v>21065820</v>
      </c>
      <c r="C314" s="3">
        <v>5108461</v>
      </c>
      <c r="D314" s="3">
        <v>2084252</v>
      </c>
      <c r="E314" s="3">
        <v>1445428</v>
      </c>
      <c r="F314" s="3">
        <v>1232661</v>
      </c>
      <c r="G314" s="7">
        <f t="shared" si="34"/>
        <v>5.8514740940537803E-2</v>
      </c>
      <c r="H314" s="7">
        <f t="shared" si="39"/>
        <v>-3.0024016065268277E-2</v>
      </c>
      <c r="I314" s="7">
        <f t="shared" si="40"/>
        <v>0</v>
      </c>
      <c r="J314" s="7">
        <f t="shared" si="41"/>
        <v>-3.0024016065268277E-2</v>
      </c>
      <c r="K314" s="7">
        <f t="shared" si="35"/>
        <v>0.24249998338540821</v>
      </c>
      <c r="L314" s="7">
        <f t="shared" si="36"/>
        <v>0.40799998277367683</v>
      </c>
      <c r="M314" s="7">
        <f t="shared" si="37"/>
        <v>0.69349963440121443</v>
      </c>
      <c r="N314" s="7">
        <f t="shared" si="38"/>
        <v>0.85280000110693854</v>
      </c>
      <c r="O314" s="133">
        <f>B314-Table1[[#This Row],[Total]]</f>
        <v>1</v>
      </c>
    </row>
    <row r="315" spans="1:15" x14ac:dyDescent="0.3">
      <c r="A315" s="11">
        <v>43778</v>
      </c>
      <c r="B315" s="12">
        <v>45787545</v>
      </c>
      <c r="C315" s="12">
        <v>9711538</v>
      </c>
      <c r="D315" s="12">
        <v>3367961</v>
      </c>
      <c r="E315" s="12">
        <v>2290213</v>
      </c>
      <c r="F315" s="12">
        <v>1839957</v>
      </c>
      <c r="G315" s="13">
        <f t="shared" si="34"/>
        <v>4.0184661571176179E-2</v>
      </c>
      <c r="H315" s="13">
        <f t="shared" si="39"/>
        <v>0.26260801898348074</v>
      </c>
      <c r="I315" s="13">
        <f t="shared" si="40"/>
        <v>7.3684197937763818E-2</v>
      </c>
      <c r="J315" s="13">
        <f t="shared" si="41"/>
        <v>0.17595846284092165</v>
      </c>
      <c r="K315" s="13">
        <f t="shared" si="35"/>
        <v>0.2120999935681199</v>
      </c>
      <c r="L315" s="13">
        <f t="shared" si="36"/>
        <v>0.34679996103603777</v>
      </c>
      <c r="M315" s="13">
        <f t="shared" si="37"/>
        <v>0.67999985748053493</v>
      </c>
      <c r="N315" s="13">
        <f t="shared" si="38"/>
        <v>0.80339994576923635</v>
      </c>
      <c r="O315" s="133">
        <f>B315-Table1[[#This Row],[Total]]</f>
        <v>1</v>
      </c>
    </row>
    <row r="316" spans="1:15" x14ac:dyDescent="0.3">
      <c r="A316" s="2">
        <v>43779</v>
      </c>
      <c r="B316" s="3">
        <v>47134238</v>
      </c>
      <c r="C316" s="3">
        <v>10096153</v>
      </c>
      <c r="D316" s="3">
        <v>3261057</v>
      </c>
      <c r="E316" s="3">
        <v>2173168</v>
      </c>
      <c r="F316" s="3">
        <v>1627268</v>
      </c>
      <c r="G316" s="7">
        <f t="shared" si="34"/>
        <v>3.4524118115582987E-2</v>
      </c>
      <c r="H316" s="7">
        <f t="shared" si="39"/>
        <v>-1.2684939402672679E-2</v>
      </c>
      <c r="I316" s="7">
        <f t="shared" si="40"/>
        <v>2.9411775625882486E-2</v>
      </c>
      <c r="J316" s="7">
        <f t="shared" si="41"/>
        <v>-4.0893951308222043E-2</v>
      </c>
      <c r="K316" s="7">
        <f t="shared" si="35"/>
        <v>0.21419998346000629</v>
      </c>
      <c r="L316" s="7">
        <f t="shared" si="36"/>
        <v>0.32299995849904412</v>
      </c>
      <c r="M316" s="7">
        <f t="shared" si="37"/>
        <v>0.66639988200144917</v>
      </c>
      <c r="N316" s="7">
        <f t="shared" si="38"/>
        <v>0.74879990870471125</v>
      </c>
      <c r="O316" s="133">
        <f>B316-Table1[[#This Row],[Total]]</f>
        <v>2</v>
      </c>
    </row>
    <row r="317" spans="1:15" x14ac:dyDescent="0.3">
      <c r="A317" s="2">
        <v>43780</v>
      </c>
      <c r="B317" s="3">
        <v>21500167</v>
      </c>
      <c r="C317" s="3">
        <v>5482542</v>
      </c>
      <c r="D317" s="3">
        <v>2083366</v>
      </c>
      <c r="E317" s="3">
        <v>1566483</v>
      </c>
      <c r="F317" s="3">
        <v>1245980</v>
      </c>
      <c r="G317" s="7">
        <f t="shared" si="34"/>
        <v>5.79521079999053E-2</v>
      </c>
      <c r="H317" s="7">
        <f t="shared" si="39"/>
        <v>0.16360274375580763</v>
      </c>
      <c r="I317" s="7">
        <f t="shared" si="40"/>
        <v>1.0204109920066262E-2</v>
      </c>
      <c r="J317" s="7">
        <f t="shared" si="41"/>
        <v>0.15184914843385378</v>
      </c>
      <c r="K317" s="7">
        <f t="shared" si="35"/>
        <v>0.25499997279090902</v>
      </c>
      <c r="L317" s="7">
        <f t="shared" si="36"/>
        <v>0.38000000729588573</v>
      </c>
      <c r="M317" s="7">
        <f t="shared" si="37"/>
        <v>0.75190005020721273</v>
      </c>
      <c r="N317" s="7">
        <f t="shared" si="38"/>
        <v>0.79539963089289833</v>
      </c>
      <c r="O317" s="133">
        <f>B317-Table1[[#This Row],[Total]]</f>
        <v>1</v>
      </c>
    </row>
    <row r="318" spans="1:15" x14ac:dyDescent="0.3">
      <c r="A318" s="2">
        <v>43781</v>
      </c>
      <c r="B318" s="3">
        <v>20631473</v>
      </c>
      <c r="C318" s="3">
        <v>4899974</v>
      </c>
      <c r="D318" s="3">
        <v>2018789</v>
      </c>
      <c r="E318" s="3">
        <v>1547402</v>
      </c>
      <c r="F318" s="3">
        <v>1230803</v>
      </c>
      <c r="G318" s="7">
        <f t="shared" si="34"/>
        <v>5.9656574205826214E-2</v>
      </c>
      <c r="H318" s="7">
        <f t="shared" si="39"/>
        <v>-2.2583445107012823E-2</v>
      </c>
      <c r="I318" s="7">
        <f t="shared" si="40"/>
        <v>-1.041664768062156E-2</v>
      </c>
      <c r="J318" s="7">
        <f t="shared" si="41"/>
        <v>-1.2294868742359966E-2</v>
      </c>
      <c r="K318" s="7">
        <f t="shared" si="35"/>
        <v>0.23749995940667931</v>
      </c>
      <c r="L318" s="7">
        <f t="shared" si="36"/>
        <v>0.41199994122417793</v>
      </c>
      <c r="M318" s="7">
        <f t="shared" si="37"/>
        <v>0.76650011467270729</v>
      </c>
      <c r="N318" s="7">
        <f t="shared" si="38"/>
        <v>0.79539964404854069</v>
      </c>
      <c r="O318" s="133">
        <f>B318-Table1[[#This Row],[Total]]</f>
        <v>1</v>
      </c>
    </row>
    <row r="319" spans="1:15" x14ac:dyDescent="0.3">
      <c r="A319" s="2">
        <v>43782</v>
      </c>
      <c r="B319" s="3">
        <v>21500167</v>
      </c>
      <c r="C319" s="3">
        <v>5643793</v>
      </c>
      <c r="D319" s="3">
        <v>2302667</v>
      </c>
      <c r="E319" s="3">
        <v>1748185</v>
      </c>
      <c r="F319" s="3">
        <v>1361836</v>
      </c>
      <c r="G319" s="7">
        <f t="shared" si="34"/>
        <v>6.3340717306986496E-2</v>
      </c>
      <c r="H319" s="7">
        <f t="shared" si="39"/>
        <v>0.17160385385363863</v>
      </c>
      <c r="I319" s="7">
        <f t="shared" si="40"/>
        <v>0</v>
      </c>
      <c r="J319" s="7">
        <f t="shared" si="41"/>
        <v>0.17160385385363841</v>
      </c>
      <c r="K319" s="7">
        <f t="shared" si="35"/>
        <v>0.26249996104681417</v>
      </c>
      <c r="L319" s="7">
        <f t="shared" si="36"/>
        <v>0.40799990361092264</v>
      </c>
      <c r="M319" s="7">
        <f t="shared" si="37"/>
        <v>0.75920009276200162</v>
      </c>
      <c r="N319" s="7">
        <f t="shared" si="38"/>
        <v>0.77899993421748848</v>
      </c>
      <c r="O319" s="133">
        <f>B319-Table1[[#This Row],[Total]]</f>
        <v>1</v>
      </c>
    </row>
    <row r="320" spans="1:15" x14ac:dyDescent="0.3">
      <c r="A320" s="2">
        <v>43783</v>
      </c>
      <c r="B320" s="3">
        <v>20848646</v>
      </c>
      <c r="C320" s="3">
        <v>5160040</v>
      </c>
      <c r="D320" s="3">
        <v>2125936</v>
      </c>
      <c r="E320" s="3">
        <v>1629530</v>
      </c>
      <c r="F320" s="3">
        <v>1349577</v>
      </c>
      <c r="G320" s="7">
        <f t="shared" si="34"/>
        <v>6.4732117375871798E-2</v>
      </c>
      <c r="H320" s="7">
        <f t="shared" si="39"/>
        <v>0.11609911089315084</v>
      </c>
      <c r="I320" s="7">
        <f t="shared" si="40"/>
        <v>0</v>
      </c>
      <c r="J320" s="7">
        <f t="shared" si="41"/>
        <v>0.11609911089315084</v>
      </c>
      <c r="K320" s="7">
        <f t="shared" si="35"/>
        <v>0.24750000551594573</v>
      </c>
      <c r="L320" s="7">
        <f t="shared" si="36"/>
        <v>0.4119999069774653</v>
      </c>
      <c r="M320" s="7">
        <f t="shared" si="37"/>
        <v>0.76650002634133863</v>
      </c>
      <c r="N320" s="7">
        <f t="shared" si="38"/>
        <v>0.82820015587316587</v>
      </c>
      <c r="O320" s="133">
        <f>B320-Table1[[#This Row],[Total]]</f>
        <v>1</v>
      </c>
    </row>
    <row r="321" spans="1:15" x14ac:dyDescent="0.3">
      <c r="A321" s="2">
        <v>43784</v>
      </c>
      <c r="B321" s="3">
        <v>21717340</v>
      </c>
      <c r="C321" s="3">
        <v>5212161</v>
      </c>
      <c r="D321" s="3">
        <v>2126561</v>
      </c>
      <c r="E321" s="3">
        <v>1567914</v>
      </c>
      <c r="F321" s="3">
        <v>1324260</v>
      </c>
      <c r="G321" s="7">
        <f t="shared" si="34"/>
        <v>6.0977080986898025E-2</v>
      </c>
      <c r="H321" s="7">
        <f t="shared" si="39"/>
        <v>7.4309968434143725E-2</v>
      </c>
      <c r="I321" s="7">
        <f t="shared" si="40"/>
        <v>3.0927825263863395E-2</v>
      </c>
      <c r="J321" s="7">
        <f t="shared" si="41"/>
        <v>4.2080679274687949E-2</v>
      </c>
      <c r="K321" s="7">
        <f t="shared" si="35"/>
        <v>0.23999997237230711</v>
      </c>
      <c r="L321" s="7">
        <f t="shared" si="36"/>
        <v>0.40799986800100763</v>
      </c>
      <c r="M321" s="7">
        <f t="shared" si="37"/>
        <v>0.73730027024853739</v>
      </c>
      <c r="N321" s="7">
        <f t="shared" si="38"/>
        <v>0.84459989514731038</v>
      </c>
      <c r="O321" s="133">
        <f>B321-Table1[[#This Row],[Total]]</f>
        <v>2</v>
      </c>
    </row>
    <row r="322" spans="1:15" x14ac:dyDescent="0.3">
      <c r="A322" s="2">
        <v>43785</v>
      </c>
      <c r="B322" s="3">
        <v>47134238</v>
      </c>
      <c r="C322" s="3">
        <v>9403280</v>
      </c>
      <c r="D322" s="3">
        <v>3037259</v>
      </c>
      <c r="E322" s="3">
        <v>2003376</v>
      </c>
      <c r="F322" s="3">
        <v>1547007</v>
      </c>
      <c r="G322" s="7">
        <f t="shared" si="34"/>
        <v>3.2821300728358017E-2</v>
      </c>
      <c r="H322" s="7">
        <f t="shared" si="39"/>
        <v>-0.15921567732289399</v>
      </c>
      <c r="I322" s="7">
        <f t="shared" si="40"/>
        <v>2.9411775625882486E-2</v>
      </c>
      <c r="J322" s="7">
        <f t="shared" si="41"/>
        <v>-0.18323809520645018</v>
      </c>
      <c r="K322" s="7">
        <f t="shared" si="35"/>
        <v>0.19949998979510394</v>
      </c>
      <c r="L322" s="7">
        <f t="shared" si="36"/>
        <v>0.32299995320781683</v>
      </c>
      <c r="M322" s="7">
        <f t="shared" si="37"/>
        <v>0.65959998801551001</v>
      </c>
      <c r="N322" s="7">
        <f t="shared" si="38"/>
        <v>0.77220002635551188</v>
      </c>
      <c r="O322" s="133">
        <f>B322-Table1[[#This Row],[Total]]</f>
        <v>2</v>
      </c>
    </row>
    <row r="323" spans="1:15" x14ac:dyDescent="0.3">
      <c r="A323" s="11">
        <v>43786</v>
      </c>
      <c r="B323" s="12">
        <v>43991955</v>
      </c>
      <c r="C323" s="12">
        <v>9330693</v>
      </c>
      <c r="D323" s="12">
        <v>1268974</v>
      </c>
      <c r="E323" s="12">
        <v>906047</v>
      </c>
      <c r="F323" s="12">
        <v>699650</v>
      </c>
      <c r="G323" s="13">
        <f t="shared" si="34"/>
        <v>1.5904044273549561E-2</v>
      </c>
      <c r="H323" s="13">
        <f t="shared" si="39"/>
        <v>-0.57004623700582813</v>
      </c>
      <c r="I323" s="13">
        <f t="shared" si="40"/>
        <v>-6.6666676567466721E-2</v>
      </c>
      <c r="J323" s="13">
        <f t="shared" si="41"/>
        <v>-0.53933524904808428</v>
      </c>
      <c r="K323" s="13">
        <f t="shared" si="35"/>
        <v>0.2120999850995483</v>
      </c>
      <c r="L323" s="13">
        <f t="shared" si="36"/>
        <v>0.13599997342105244</v>
      </c>
      <c r="M323" s="13">
        <f t="shared" si="37"/>
        <v>0.71399965641534024</v>
      </c>
      <c r="N323" s="13">
        <f t="shared" si="38"/>
        <v>0.77220055913214214</v>
      </c>
      <c r="O323" s="133">
        <f>B323-Table1[[#This Row],[Total]]</f>
        <v>0</v>
      </c>
    </row>
    <row r="324" spans="1:15" x14ac:dyDescent="0.3">
      <c r="A324" s="2">
        <v>43787</v>
      </c>
      <c r="B324" s="3">
        <v>22803207</v>
      </c>
      <c r="C324" s="3">
        <v>5985841</v>
      </c>
      <c r="D324" s="3">
        <v>2298563</v>
      </c>
      <c r="E324" s="3">
        <v>1761848</v>
      </c>
      <c r="F324" s="3">
        <v>1459163</v>
      </c>
      <c r="G324" s="7">
        <f t="shared" ref="G324:G368" si="42">F324/B324</f>
        <v>6.3989376581986918E-2</v>
      </c>
      <c r="H324" s="7">
        <f t="shared" si="39"/>
        <v>0.17109664681616077</v>
      </c>
      <c r="I324" s="7">
        <f t="shared" si="40"/>
        <v>6.0606040874008116E-2</v>
      </c>
      <c r="J324" s="7">
        <f t="shared" si="41"/>
        <v>0.10417685896933171</v>
      </c>
      <c r="K324" s="7">
        <f t="shared" ref="K324:K368" si="43">C324/B324</f>
        <v>0.26249996327270986</v>
      </c>
      <c r="L324" s="7">
        <f t="shared" ref="L324:L368" si="44">D324/C324</f>
        <v>0.38400000935541057</v>
      </c>
      <c r="M324" s="7">
        <f t="shared" ref="M324:M368" si="45">E324/D324</f>
        <v>0.76649976528813868</v>
      </c>
      <c r="N324" s="7">
        <f t="shared" ref="N324:N368" si="46">F324/E324</f>
        <v>0.8282002760737589</v>
      </c>
      <c r="O324" s="133">
        <f>B324-Table1[[#This Row],[Total]]</f>
        <v>2</v>
      </c>
    </row>
    <row r="325" spans="1:15" x14ac:dyDescent="0.3">
      <c r="A325" s="2">
        <v>43788</v>
      </c>
      <c r="B325" s="3">
        <v>21282993</v>
      </c>
      <c r="C325" s="3">
        <v>5373955</v>
      </c>
      <c r="D325" s="3">
        <v>2149582</v>
      </c>
      <c r="E325" s="3">
        <v>1537811</v>
      </c>
      <c r="F325" s="3">
        <v>1197954</v>
      </c>
      <c r="G325" s="7">
        <f t="shared" si="42"/>
        <v>5.6286914157233428E-2</v>
      </c>
      <c r="H325" s="7">
        <f t="shared" si="39"/>
        <v>-2.6689080218361472E-2</v>
      </c>
      <c r="I325" s="7">
        <f t="shared" si="40"/>
        <v>3.1578937674493712E-2</v>
      </c>
      <c r="J325" s="7">
        <f t="shared" si="41"/>
        <v>-5.6484303590193408E-2</v>
      </c>
      <c r="K325" s="7">
        <f t="shared" si="43"/>
        <v>0.25249996558284826</v>
      </c>
      <c r="L325" s="7">
        <f t="shared" si="44"/>
        <v>0.4</v>
      </c>
      <c r="M325" s="7">
        <f t="shared" si="45"/>
        <v>0.71540001730569014</v>
      </c>
      <c r="N325" s="7">
        <f t="shared" si="46"/>
        <v>0.778999499938549</v>
      </c>
      <c r="O325" s="133">
        <f>B325-Table1[[#This Row],[Total]]</f>
        <v>1</v>
      </c>
    </row>
    <row r="326" spans="1:15" x14ac:dyDescent="0.3">
      <c r="A326" s="2">
        <v>43789</v>
      </c>
      <c r="B326" s="3">
        <v>22368860</v>
      </c>
      <c r="C326" s="3">
        <v>5648137</v>
      </c>
      <c r="D326" s="3">
        <v>2281847</v>
      </c>
      <c r="E326" s="3">
        <v>1649091</v>
      </c>
      <c r="F326" s="3">
        <v>1338732</v>
      </c>
      <c r="G326" s="7">
        <f t="shared" si="42"/>
        <v>5.9848020864719971E-2</v>
      </c>
      <c r="H326" s="7">
        <f t="shared" si="39"/>
        <v>-1.6965332095788321E-2</v>
      </c>
      <c r="I326" s="7">
        <f t="shared" si="40"/>
        <v>4.0404011745583279E-2</v>
      </c>
      <c r="J326" s="7">
        <f t="shared" si="41"/>
        <v>-5.5141409677109565E-2</v>
      </c>
      <c r="K326" s="7">
        <f t="shared" si="43"/>
        <v>0.25249999329424921</v>
      </c>
      <c r="L326" s="7">
        <f t="shared" si="44"/>
        <v>0.40399993838676362</v>
      </c>
      <c r="M326" s="7">
        <f t="shared" si="45"/>
        <v>0.72270007585959972</v>
      </c>
      <c r="N326" s="7">
        <f t="shared" si="46"/>
        <v>0.81179995524807302</v>
      </c>
      <c r="O326" s="133">
        <f>B326-Table1[[#This Row],[Total]]</f>
        <v>2</v>
      </c>
    </row>
    <row r="327" spans="1:15" x14ac:dyDescent="0.3">
      <c r="A327" s="2">
        <v>43790</v>
      </c>
      <c r="B327" s="3">
        <v>21282993</v>
      </c>
      <c r="C327" s="3">
        <v>5054710</v>
      </c>
      <c r="D327" s="3">
        <v>2102759</v>
      </c>
      <c r="E327" s="3">
        <v>1550364</v>
      </c>
      <c r="F327" s="3">
        <v>1220447</v>
      </c>
      <c r="G327" s="7">
        <f t="shared" si="42"/>
        <v>5.7343767392114449E-2</v>
      </c>
      <c r="H327" s="7">
        <f t="shared" si="39"/>
        <v>-9.5681832159261737E-2</v>
      </c>
      <c r="I327" s="7">
        <f t="shared" si="40"/>
        <v>2.0833343325988629E-2</v>
      </c>
      <c r="J327" s="7">
        <f t="shared" si="41"/>
        <v>-0.11413731364380297</v>
      </c>
      <c r="K327" s="7">
        <f t="shared" si="43"/>
        <v>0.2374999606493316</v>
      </c>
      <c r="L327" s="7">
        <f t="shared" si="44"/>
        <v>0.41599992877929692</v>
      </c>
      <c r="M327" s="7">
        <f t="shared" si="45"/>
        <v>0.73729989979831256</v>
      </c>
      <c r="N327" s="7">
        <f t="shared" si="46"/>
        <v>0.78720029618850795</v>
      </c>
      <c r="O327" s="133">
        <f>B327-Table1[[#This Row],[Total]]</f>
        <v>1</v>
      </c>
    </row>
    <row r="328" spans="1:15" x14ac:dyDescent="0.3">
      <c r="A328" s="2">
        <v>43791</v>
      </c>
      <c r="B328" s="3">
        <v>22803207</v>
      </c>
      <c r="C328" s="3">
        <v>5529777</v>
      </c>
      <c r="D328" s="3">
        <v>2300387</v>
      </c>
      <c r="E328" s="3">
        <v>1763247</v>
      </c>
      <c r="F328" s="3">
        <v>1518155</v>
      </c>
      <c r="G328" s="7">
        <f t="shared" si="42"/>
        <v>6.6576381120427491E-2</v>
      </c>
      <c r="H328" s="7">
        <f t="shared" si="39"/>
        <v>0.14641762191714625</v>
      </c>
      <c r="I328" s="7">
        <f t="shared" si="40"/>
        <v>5.0000000000000044E-2</v>
      </c>
      <c r="J328" s="7">
        <f t="shared" si="41"/>
        <v>9.1826306587758255E-2</v>
      </c>
      <c r="K328" s="7">
        <f t="shared" si="43"/>
        <v>0.24249996941219715</v>
      </c>
      <c r="L328" s="7">
        <f t="shared" si="44"/>
        <v>0.41599995804532441</v>
      </c>
      <c r="M328" s="7">
        <f t="shared" si="45"/>
        <v>0.76650015845159969</v>
      </c>
      <c r="N328" s="7">
        <f t="shared" si="46"/>
        <v>0.86099962172060973</v>
      </c>
      <c r="O328" s="133">
        <f>B328-Table1[[#This Row],[Total]]</f>
        <v>2</v>
      </c>
    </row>
    <row r="329" spans="1:15" x14ac:dyDescent="0.3">
      <c r="A329" s="2">
        <v>43792</v>
      </c>
      <c r="B329" s="3">
        <v>45787545</v>
      </c>
      <c r="C329" s="3">
        <v>9519230</v>
      </c>
      <c r="D329" s="3">
        <v>3268903</v>
      </c>
      <c r="E329" s="3">
        <v>2133940</v>
      </c>
      <c r="F329" s="3">
        <v>1631184</v>
      </c>
      <c r="G329" s="7">
        <f t="shared" si="42"/>
        <v>3.5625059172751015E-2</v>
      </c>
      <c r="H329" s="7">
        <f t="shared" si="39"/>
        <v>5.4412811318888643E-2</v>
      </c>
      <c r="I329" s="7">
        <f t="shared" si="40"/>
        <v>-2.8571438876342947E-2</v>
      </c>
      <c r="J329" s="7">
        <f t="shared" si="41"/>
        <v>8.5424964342455612E-2</v>
      </c>
      <c r="K329" s="7">
        <f t="shared" si="43"/>
        <v>0.20789998677587979</v>
      </c>
      <c r="L329" s="7">
        <f t="shared" si="44"/>
        <v>0.34339993886060111</v>
      </c>
      <c r="M329" s="7">
        <f t="shared" si="45"/>
        <v>0.65280003719902369</v>
      </c>
      <c r="N329" s="7">
        <f t="shared" si="46"/>
        <v>0.76440012371481858</v>
      </c>
      <c r="O329" s="133">
        <f>B329-Table1[[#This Row],[Total]]</f>
        <v>1</v>
      </c>
    </row>
    <row r="330" spans="1:15" x14ac:dyDescent="0.3">
      <c r="A330" s="11">
        <v>43793</v>
      </c>
      <c r="B330" s="12">
        <v>46236443</v>
      </c>
      <c r="C330" s="12">
        <v>9709653</v>
      </c>
      <c r="D330" s="12">
        <v>3301282</v>
      </c>
      <c r="E330" s="12">
        <v>2177525</v>
      </c>
      <c r="F330" s="12">
        <v>1647515</v>
      </c>
      <c r="G330" s="13">
        <f t="shared" si="42"/>
        <v>3.5632390666384087E-2</v>
      </c>
      <c r="H330" s="13">
        <f t="shared" si="39"/>
        <v>1.3547702422639891</v>
      </c>
      <c r="I330" s="13">
        <f t="shared" si="40"/>
        <v>5.1020419528979843E-2</v>
      </c>
      <c r="J330" s="13">
        <f t="shared" si="41"/>
        <v>1.2404609829743283</v>
      </c>
      <c r="K330" s="13">
        <f t="shared" si="43"/>
        <v>0.20999999935116115</v>
      </c>
      <c r="L330" s="13">
        <f t="shared" si="44"/>
        <v>0.33999999794019414</v>
      </c>
      <c r="M330" s="13">
        <f t="shared" si="45"/>
        <v>0.65959981607145346</v>
      </c>
      <c r="N330" s="13">
        <f t="shared" si="46"/>
        <v>0.75659980941665428</v>
      </c>
      <c r="O330" s="133">
        <f>B330-Table1[[#This Row],[Total]]</f>
        <v>2</v>
      </c>
    </row>
    <row r="331" spans="1:15" x14ac:dyDescent="0.3">
      <c r="A331" s="2">
        <v>43794</v>
      </c>
      <c r="B331" s="3">
        <v>22151687</v>
      </c>
      <c r="C331" s="3">
        <v>5593301</v>
      </c>
      <c r="D331" s="3">
        <v>2237320</v>
      </c>
      <c r="E331" s="3">
        <v>1698573</v>
      </c>
      <c r="F331" s="3">
        <v>1364973</v>
      </c>
      <c r="G331" s="7">
        <f t="shared" si="42"/>
        <v>6.1619370118402267E-2</v>
      </c>
      <c r="H331" s="7">
        <f t="shared" ref="H331:H368" si="47">(F331/F324)-1</f>
        <v>-6.4550704753341459E-2</v>
      </c>
      <c r="I331" s="7">
        <f t="shared" ref="I331:I368" si="48">(B331/B324)-1</f>
        <v>-2.8571419800732412E-2</v>
      </c>
      <c r="J331" s="7">
        <f t="shared" ref="J331:J368" si="49">(G331/G324)-1</f>
        <v>-3.7037498881522302E-2</v>
      </c>
      <c r="K331" s="7">
        <f t="shared" si="43"/>
        <v>0.2525000014671569</v>
      </c>
      <c r="L331" s="7">
        <f t="shared" si="44"/>
        <v>0.39999992848587979</v>
      </c>
      <c r="M331" s="7">
        <f t="shared" si="45"/>
        <v>0.75919984624461412</v>
      </c>
      <c r="N331" s="7">
        <f t="shared" si="46"/>
        <v>0.80359984528189254</v>
      </c>
      <c r="O331" s="133">
        <f>B331-Table1[[#This Row],[Total]]</f>
        <v>2</v>
      </c>
    </row>
    <row r="332" spans="1:15" x14ac:dyDescent="0.3">
      <c r="A332" s="2">
        <v>43795</v>
      </c>
      <c r="B332" s="3">
        <v>21065820</v>
      </c>
      <c r="C332" s="3">
        <v>5424448</v>
      </c>
      <c r="D332" s="3">
        <v>2191477</v>
      </c>
      <c r="E332" s="3">
        <v>1519789</v>
      </c>
      <c r="F332" s="3">
        <v>1258689</v>
      </c>
      <c r="G332" s="7">
        <f t="shared" si="42"/>
        <v>5.97502969264904E-2</v>
      </c>
      <c r="H332" s="7">
        <f t="shared" si="47"/>
        <v>5.0698941695590971E-2</v>
      </c>
      <c r="I332" s="7">
        <f t="shared" si="48"/>
        <v>-1.0204062934193514E-2</v>
      </c>
      <c r="J332" s="7">
        <f t="shared" si="49"/>
        <v>6.1530869494502038E-2</v>
      </c>
      <c r="K332" s="7">
        <f t="shared" si="43"/>
        <v>0.25749996914432954</v>
      </c>
      <c r="L332" s="7">
        <f t="shared" si="44"/>
        <v>0.40400000147480442</v>
      </c>
      <c r="M332" s="7">
        <f t="shared" si="45"/>
        <v>0.69349986333418057</v>
      </c>
      <c r="N332" s="7">
        <f t="shared" si="46"/>
        <v>0.82819983563507826</v>
      </c>
      <c r="O332" s="133">
        <f>B332-Table1[[#This Row],[Total]]</f>
        <v>1</v>
      </c>
    </row>
    <row r="333" spans="1:15" x14ac:dyDescent="0.3">
      <c r="A333" s="2">
        <v>43796</v>
      </c>
      <c r="B333" s="3">
        <v>22803207</v>
      </c>
      <c r="C333" s="3">
        <v>5985841</v>
      </c>
      <c r="D333" s="3">
        <v>2442223</v>
      </c>
      <c r="E333" s="3">
        <v>1729338</v>
      </c>
      <c r="F333" s="3">
        <v>1347154</v>
      </c>
      <c r="G333" s="7">
        <f t="shared" si="42"/>
        <v>5.9077392052793276E-2</v>
      </c>
      <c r="H333" s="7">
        <f t="shared" si="47"/>
        <v>6.2910276291296974E-3</v>
      </c>
      <c r="I333" s="7">
        <f t="shared" si="48"/>
        <v>1.9417484842767951E-2</v>
      </c>
      <c r="J333" s="7">
        <f t="shared" si="49"/>
        <v>-1.2876429342059903E-2</v>
      </c>
      <c r="K333" s="7">
        <f t="shared" si="43"/>
        <v>0.26249996327270986</v>
      </c>
      <c r="L333" s="7">
        <f t="shared" si="44"/>
        <v>0.40799997861620446</v>
      </c>
      <c r="M333" s="7">
        <f t="shared" si="45"/>
        <v>0.70809995647408119</v>
      </c>
      <c r="N333" s="7">
        <f t="shared" si="46"/>
        <v>0.77899982536670098</v>
      </c>
      <c r="O333" s="133">
        <f>B333-Table1[[#This Row],[Total]]</f>
        <v>2</v>
      </c>
    </row>
    <row r="334" spans="1:15" x14ac:dyDescent="0.3">
      <c r="A334" s="2">
        <v>43797</v>
      </c>
      <c r="B334" s="3">
        <v>22803207</v>
      </c>
      <c r="C334" s="3">
        <v>5472769</v>
      </c>
      <c r="D334" s="3">
        <v>2123434</v>
      </c>
      <c r="E334" s="3">
        <v>1519105</v>
      </c>
      <c r="F334" s="3">
        <v>1295492</v>
      </c>
      <c r="G334" s="7">
        <f t="shared" si="42"/>
        <v>5.6811833528503247E-2</v>
      </c>
      <c r="H334" s="7">
        <f t="shared" si="47"/>
        <v>6.1489765635050153E-2</v>
      </c>
      <c r="I334" s="7">
        <f t="shared" si="48"/>
        <v>7.1428581496972621E-2</v>
      </c>
      <c r="J334" s="7">
        <f t="shared" si="49"/>
        <v>-9.2762280506242245E-3</v>
      </c>
      <c r="K334" s="7">
        <f t="shared" si="43"/>
        <v>0.23999997017963307</v>
      </c>
      <c r="L334" s="7">
        <f t="shared" si="44"/>
        <v>0.38799993202709632</v>
      </c>
      <c r="M334" s="7">
        <f t="shared" si="45"/>
        <v>0.71540014900392479</v>
      </c>
      <c r="N334" s="7">
        <f t="shared" si="46"/>
        <v>0.8527995102379361</v>
      </c>
      <c r="O334" s="133">
        <f>B334-Table1[[#This Row],[Total]]</f>
        <v>2</v>
      </c>
    </row>
    <row r="335" spans="1:15" x14ac:dyDescent="0.3">
      <c r="A335" s="2">
        <v>43798</v>
      </c>
      <c r="B335" s="3">
        <v>21717340</v>
      </c>
      <c r="C335" s="3">
        <v>5537921</v>
      </c>
      <c r="D335" s="3">
        <v>2170865</v>
      </c>
      <c r="E335" s="3">
        <v>1584731</v>
      </c>
      <c r="F335" s="3">
        <v>1364454</v>
      </c>
      <c r="G335" s="7">
        <f t="shared" si="42"/>
        <v>6.2827860133883806E-2</v>
      </c>
      <c r="H335" s="7">
        <f t="shared" si="47"/>
        <v>-0.1012419680467409</v>
      </c>
      <c r="I335" s="7">
        <f t="shared" si="48"/>
        <v>-4.7619047619047672E-2</v>
      </c>
      <c r="J335" s="7">
        <f t="shared" si="49"/>
        <v>-5.6304066449077927E-2</v>
      </c>
      <c r="K335" s="7">
        <f t="shared" si="43"/>
        <v>0.25499996776769163</v>
      </c>
      <c r="L335" s="7">
        <f t="shared" si="44"/>
        <v>0.39199999422165827</v>
      </c>
      <c r="M335" s="7">
        <f t="shared" si="45"/>
        <v>0.72999979270935778</v>
      </c>
      <c r="N335" s="7">
        <f t="shared" si="46"/>
        <v>0.86100038429234993</v>
      </c>
      <c r="O335" s="133">
        <f>B335-Table1[[#This Row],[Total]]</f>
        <v>2</v>
      </c>
    </row>
    <row r="336" spans="1:15" x14ac:dyDescent="0.3">
      <c r="A336" s="2">
        <v>43799</v>
      </c>
      <c r="B336" s="3">
        <v>47134238</v>
      </c>
      <c r="C336" s="3">
        <v>10195135</v>
      </c>
      <c r="D336" s="3">
        <v>3327692</v>
      </c>
      <c r="E336" s="3">
        <v>2308087</v>
      </c>
      <c r="F336" s="3">
        <v>1728295</v>
      </c>
      <c r="G336" s="7">
        <f t="shared" si="42"/>
        <v>3.6667506961712205E-2</v>
      </c>
      <c r="H336" s="7">
        <f t="shared" si="47"/>
        <v>5.9534056243808253E-2</v>
      </c>
      <c r="I336" s="7">
        <f t="shared" si="48"/>
        <v>2.9411775625882486E-2</v>
      </c>
      <c r="J336" s="7">
        <f t="shared" si="49"/>
        <v>2.9261643718434538E-2</v>
      </c>
      <c r="K336" s="7">
        <f t="shared" si="43"/>
        <v>0.21629998558584951</v>
      </c>
      <c r="L336" s="7">
        <f t="shared" si="44"/>
        <v>0.32639999372249606</v>
      </c>
      <c r="M336" s="7">
        <f t="shared" si="45"/>
        <v>0.69359994855293094</v>
      </c>
      <c r="N336" s="7">
        <f t="shared" si="46"/>
        <v>0.74879976361376321</v>
      </c>
      <c r="O336" s="133">
        <f>B336-Table1[[#This Row],[Total]]</f>
        <v>2</v>
      </c>
    </row>
    <row r="337" spans="1:15" x14ac:dyDescent="0.3">
      <c r="A337" s="11">
        <v>43800</v>
      </c>
      <c r="B337" s="12">
        <v>46685340</v>
      </c>
      <c r="C337" s="12">
        <v>10196078</v>
      </c>
      <c r="D337" s="12">
        <v>3501333</v>
      </c>
      <c r="E337" s="12">
        <v>2452333</v>
      </c>
      <c r="F337" s="12">
        <v>1989333</v>
      </c>
      <c r="G337" s="13">
        <f t="shared" si="42"/>
        <v>4.2611513592918031E-2</v>
      </c>
      <c r="H337" s="13">
        <f t="shared" si="47"/>
        <v>0.20747489400703478</v>
      </c>
      <c r="I337" s="13">
        <f t="shared" si="48"/>
        <v>9.708726945106827E-3</v>
      </c>
      <c r="J337" s="13">
        <f t="shared" si="49"/>
        <v>0.19586457141979285</v>
      </c>
      <c r="K337" s="13">
        <f t="shared" si="43"/>
        <v>0.2183999945164799</v>
      </c>
      <c r="L337" s="13">
        <f t="shared" si="44"/>
        <v>0.34339998183615306</v>
      </c>
      <c r="M337" s="13">
        <f t="shared" si="45"/>
        <v>0.7003998191545906</v>
      </c>
      <c r="N337" s="13">
        <f t="shared" si="46"/>
        <v>0.81120019181734293</v>
      </c>
      <c r="O337" s="133">
        <f>B337-Table1[[#This Row],[Total]]</f>
        <v>1</v>
      </c>
    </row>
    <row r="338" spans="1:15" x14ac:dyDescent="0.3">
      <c r="A338" s="2">
        <v>43801</v>
      </c>
      <c r="B338" s="3">
        <v>21500167</v>
      </c>
      <c r="C338" s="3">
        <v>5643793</v>
      </c>
      <c r="D338" s="3">
        <v>2212367</v>
      </c>
      <c r="E338" s="3">
        <v>1582727</v>
      </c>
      <c r="F338" s="3">
        <v>1310814</v>
      </c>
      <c r="G338" s="7">
        <f t="shared" si="42"/>
        <v>6.0967619460816282E-2</v>
      </c>
      <c r="H338" s="7">
        <f t="shared" si="47"/>
        <v>-3.9677707910705906E-2</v>
      </c>
      <c r="I338" s="7">
        <f t="shared" si="48"/>
        <v>-2.9411755411675844E-2</v>
      </c>
      <c r="J338" s="7">
        <f t="shared" si="49"/>
        <v>-1.0577041867413484E-2</v>
      </c>
      <c r="K338" s="7">
        <f t="shared" si="43"/>
        <v>0.26249996104681417</v>
      </c>
      <c r="L338" s="7">
        <f t="shared" si="44"/>
        <v>0.39200002551475577</v>
      </c>
      <c r="M338" s="7">
        <f t="shared" si="45"/>
        <v>0.71539984098479137</v>
      </c>
      <c r="N338" s="7">
        <f t="shared" si="46"/>
        <v>0.82819968320499993</v>
      </c>
      <c r="O338" s="133">
        <f>B338-Table1[[#This Row],[Total]]</f>
        <v>1</v>
      </c>
    </row>
    <row r="339" spans="1:15" x14ac:dyDescent="0.3">
      <c r="A339" s="2">
        <v>43802</v>
      </c>
      <c r="B339" s="3">
        <v>20848646</v>
      </c>
      <c r="C339" s="3">
        <v>5420648</v>
      </c>
      <c r="D339" s="3">
        <v>2254989</v>
      </c>
      <c r="E339" s="3">
        <v>1580296</v>
      </c>
      <c r="F339" s="3">
        <v>1282884</v>
      </c>
      <c r="G339" s="7">
        <f t="shared" si="42"/>
        <v>6.1533204602351635E-2</v>
      </c>
      <c r="H339" s="7">
        <f t="shared" si="47"/>
        <v>1.9222381382533626E-2</v>
      </c>
      <c r="I339" s="7">
        <f t="shared" si="48"/>
        <v>-1.030930673479602E-2</v>
      </c>
      <c r="J339" s="7">
        <f t="shared" si="49"/>
        <v>2.9839310724341761E-2</v>
      </c>
      <c r="K339" s="7">
        <f t="shared" si="43"/>
        <v>0.2600000019185898</v>
      </c>
      <c r="L339" s="7">
        <f t="shared" si="44"/>
        <v>0.41599989521547975</v>
      </c>
      <c r="M339" s="7">
        <f t="shared" si="45"/>
        <v>0.7007998708641151</v>
      </c>
      <c r="N339" s="7">
        <f t="shared" si="46"/>
        <v>0.81179981471825535</v>
      </c>
      <c r="O339" s="133">
        <f>B339-Table1[[#This Row],[Total]]</f>
        <v>1</v>
      </c>
    </row>
    <row r="340" spans="1:15" x14ac:dyDescent="0.3">
      <c r="A340" s="2">
        <v>43803</v>
      </c>
      <c r="B340" s="3">
        <v>22368860</v>
      </c>
      <c r="C340" s="3">
        <v>5759981</v>
      </c>
      <c r="D340" s="3">
        <v>2280952</v>
      </c>
      <c r="E340" s="3">
        <v>1581840</v>
      </c>
      <c r="F340" s="3">
        <v>1336022</v>
      </c>
      <c r="G340" s="7">
        <f t="shared" si="42"/>
        <v>5.9726870300945152E-2</v>
      </c>
      <c r="H340" s="7">
        <f t="shared" si="47"/>
        <v>-8.263346284092199E-3</v>
      </c>
      <c r="I340" s="7">
        <f t="shared" si="48"/>
        <v>-1.9047627818315149E-2</v>
      </c>
      <c r="J340" s="7">
        <f t="shared" si="49"/>
        <v>1.0993685157453914E-2</v>
      </c>
      <c r="K340" s="7">
        <f t="shared" si="43"/>
        <v>0.2574999798827477</v>
      </c>
      <c r="L340" s="7">
        <f t="shared" si="44"/>
        <v>0.3959999173608385</v>
      </c>
      <c r="M340" s="7">
        <f t="shared" si="45"/>
        <v>0.69349990705635189</v>
      </c>
      <c r="N340" s="7">
        <f t="shared" si="46"/>
        <v>0.84459995954078793</v>
      </c>
      <c r="O340" s="133">
        <f>B340-Table1[[#This Row],[Total]]</f>
        <v>2</v>
      </c>
    </row>
    <row r="341" spans="1:15" x14ac:dyDescent="0.3">
      <c r="A341" s="2">
        <v>43804</v>
      </c>
      <c r="B341" s="3">
        <v>22586034</v>
      </c>
      <c r="C341" s="3">
        <v>5815903</v>
      </c>
      <c r="D341" s="3">
        <v>2419415</v>
      </c>
      <c r="E341" s="3">
        <v>1783835</v>
      </c>
      <c r="F341" s="3">
        <v>1418862</v>
      </c>
      <c r="G341" s="7">
        <f t="shared" si="42"/>
        <v>6.2820325162000548E-2</v>
      </c>
      <c r="H341" s="7">
        <f t="shared" si="47"/>
        <v>9.5230229133024258E-2</v>
      </c>
      <c r="I341" s="7">
        <f t="shared" si="48"/>
        <v>-9.5237919824172623E-3</v>
      </c>
      <c r="J341" s="7">
        <f t="shared" si="49"/>
        <v>0.10576126944543618</v>
      </c>
      <c r="K341" s="7">
        <f t="shared" si="43"/>
        <v>0.25749996657226321</v>
      </c>
      <c r="L341" s="7">
        <f t="shared" si="44"/>
        <v>0.41599988858136044</v>
      </c>
      <c r="M341" s="7">
        <f t="shared" si="45"/>
        <v>0.73730013247003923</v>
      </c>
      <c r="N341" s="7">
        <f t="shared" si="46"/>
        <v>0.79539979874820266</v>
      </c>
      <c r="O341" s="133">
        <f>B341-Table1[[#This Row],[Total]]</f>
        <v>2</v>
      </c>
    </row>
    <row r="342" spans="1:15" x14ac:dyDescent="0.3">
      <c r="A342" s="2">
        <v>43805</v>
      </c>
      <c r="B342" s="3">
        <v>21065820</v>
      </c>
      <c r="C342" s="3">
        <v>5108461</v>
      </c>
      <c r="D342" s="3">
        <v>2125119</v>
      </c>
      <c r="E342" s="3">
        <v>1582364</v>
      </c>
      <c r="F342" s="3">
        <v>1336464</v>
      </c>
      <c r="G342" s="7">
        <f t="shared" si="42"/>
        <v>6.3442296573311643E-2</v>
      </c>
      <c r="H342" s="7">
        <f t="shared" si="47"/>
        <v>-2.0513699985488687E-2</v>
      </c>
      <c r="I342" s="7">
        <f t="shared" si="48"/>
        <v>-2.9999990790768982E-2</v>
      </c>
      <c r="J342" s="7">
        <f t="shared" si="49"/>
        <v>9.7796811497079528E-3</v>
      </c>
      <c r="K342" s="7">
        <f t="shared" si="43"/>
        <v>0.24249998338540821</v>
      </c>
      <c r="L342" s="7">
        <f t="shared" si="44"/>
        <v>0.41599984809515039</v>
      </c>
      <c r="M342" s="7">
        <f t="shared" si="45"/>
        <v>0.74460018474259559</v>
      </c>
      <c r="N342" s="7">
        <f t="shared" si="46"/>
        <v>0.8445995990808689</v>
      </c>
      <c r="O342" s="133">
        <f>B342-Table1[[#This Row],[Total]]</f>
        <v>1</v>
      </c>
    </row>
    <row r="343" spans="1:15" x14ac:dyDescent="0.3">
      <c r="A343" s="2">
        <v>43806</v>
      </c>
      <c r="B343" s="3">
        <v>43991955</v>
      </c>
      <c r="C343" s="3">
        <v>9145927</v>
      </c>
      <c r="D343" s="3">
        <v>3140711</v>
      </c>
      <c r="E343" s="3">
        <v>2157040</v>
      </c>
      <c r="F343" s="3">
        <v>1665666</v>
      </c>
      <c r="G343" s="7">
        <f t="shared" si="42"/>
        <v>3.7862968354100197E-2</v>
      </c>
      <c r="H343" s="7">
        <f t="shared" si="47"/>
        <v>-3.623744788939387E-2</v>
      </c>
      <c r="I343" s="7">
        <f t="shared" si="48"/>
        <v>-6.6666676567466721E-2</v>
      </c>
      <c r="J343" s="7">
        <f t="shared" si="49"/>
        <v>3.2602745358070839E-2</v>
      </c>
      <c r="K343" s="7">
        <f t="shared" si="43"/>
        <v>0.20789998989587982</v>
      </c>
      <c r="L343" s="7">
        <f t="shared" si="44"/>
        <v>0.34339996372155607</v>
      </c>
      <c r="M343" s="7">
        <f t="shared" si="45"/>
        <v>0.68679989976791878</v>
      </c>
      <c r="N343" s="7">
        <f t="shared" si="46"/>
        <v>0.77219986648369987</v>
      </c>
      <c r="O343" s="133">
        <f>B343-Table1[[#This Row],[Total]]</f>
        <v>0</v>
      </c>
    </row>
    <row r="344" spans="1:15" x14ac:dyDescent="0.3">
      <c r="A344" s="2">
        <v>43807</v>
      </c>
      <c r="B344" s="3">
        <v>43991955</v>
      </c>
      <c r="C344" s="3">
        <v>9238310</v>
      </c>
      <c r="D344" s="3">
        <v>3078205</v>
      </c>
      <c r="E344" s="3">
        <v>2093179</v>
      </c>
      <c r="F344" s="3">
        <v>1632680</v>
      </c>
      <c r="G344" s="7">
        <f t="shared" si="42"/>
        <v>3.711314943834617E-2</v>
      </c>
      <c r="H344" s="7">
        <f t="shared" si="47"/>
        <v>-0.17928270430340221</v>
      </c>
      <c r="I344" s="7">
        <f t="shared" si="48"/>
        <v>-5.7692307692307709E-2</v>
      </c>
      <c r="J344" s="7">
        <f t="shared" si="49"/>
        <v>-0.12903470660769212</v>
      </c>
      <c r="K344" s="7">
        <f t="shared" si="43"/>
        <v>0.20999998749771406</v>
      </c>
      <c r="L344" s="7">
        <f t="shared" si="44"/>
        <v>0.33320001169044988</v>
      </c>
      <c r="M344" s="7">
        <f t="shared" si="45"/>
        <v>0.67999987005413864</v>
      </c>
      <c r="N344" s="7">
        <f t="shared" si="46"/>
        <v>0.78000018154204676</v>
      </c>
      <c r="O344" s="133">
        <f>B344-Table1[[#This Row],[Total]]</f>
        <v>0</v>
      </c>
    </row>
    <row r="345" spans="1:15" x14ac:dyDescent="0.3">
      <c r="A345" s="2">
        <v>43808</v>
      </c>
      <c r="B345" s="3">
        <v>22586034</v>
      </c>
      <c r="C345" s="3">
        <v>5533578</v>
      </c>
      <c r="D345" s="3">
        <v>2257699</v>
      </c>
      <c r="E345" s="3">
        <v>1582196</v>
      </c>
      <c r="F345" s="3">
        <v>1245504</v>
      </c>
      <c r="G345" s="7">
        <f t="shared" si="42"/>
        <v>5.5144874040302959E-2</v>
      </c>
      <c r="H345" s="7">
        <f t="shared" si="47"/>
        <v>-4.9824002490055808E-2</v>
      </c>
      <c r="I345" s="7">
        <f t="shared" si="48"/>
        <v>5.0505049565428894E-2</v>
      </c>
      <c r="J345" s="7">
        <f t="shared" si="49"/>
        <v>-9.5505540022857272E-2</v>
      </c>
      <c r="K345" s="7">
        <f t="shared" si="43"/>
        <v>0.24499998538920112</v>
      </c>
      <c r="L345" s="7">
        <f t="shared" si="44"/>
        <v>0.40799985109092163</v>
      </c>
      <c r="M345" s="7">
        <f t="shared" si="45"/>
        <v>0.70080023953591686</v>
      </c>
      <c r="N345" s="7">
        <f t="shared" si="46"/>
        <v>0.78719956313882733</v>
      </c>
      <c r="O345" s="133">
        <f>B345-Table1[[#This Row],[Total]]</f>
        <v>2</v>
      </c>
    </row>
    <row r="346" spans="1:15" x14ac:dyDescent="0.3">
      <c r="A346" s="2">
        <v>43809</v>
      </c>
      <c r="B346" s="3">
        <v>21500167</v>
      </c>
      <c r="C346" s="3">
        <v>5213790</v>
      </c>
      <c r="D346" s="3">
        <v>2106371</v>
      </c>
      <c r="E346" s="3">
        <v>1522274</v>
      </c>
      <c r="F346" s="3">
        <v>1235782</v>
      </c>
      <c r="G346" s="7">
        <f t="shared" si="42"/>
        <v>5.7477786102777713E-2</v>
      </c>
      <c r="H346" s="7">
        <f t="shared" si="47"/>
        <v>-3.671571241047511E-2</v>
      </c>
      <c r="I346" s="7">
        <f t="shared" si="48"/>
        <v>3.1250038971355698E-2</v>
      </c>
      <c r="J346" s="7">
        <f t="shared" si="49"/>
        <v>-6.5906180667517744E-2</v>
      </c>
      <c r="K346" s="7">
        <f t="shared" si="43"/>
        <v>0.24249997686064484</v>
      </c>
      <c r="L346" s="7">
        <f t="shared" si="44"/>
        <v>0.40399996931215104</v>
      </c>
      <c r="M346" s="7">
        <f t="shared" si="45"/>
        <v>0.72269984727286884</v>
      </c>
      <c r="N346" s="7">
        <f t="shared" si="46"/>
        <v>0.81179997819052285</v>
      </c>
      <c r="O346" s="133">
        <f>B346-Table1[[#This Row],[Total]]</f>
        <v>1</v>
      </c>
    </row>
    <row r="347" spans="1:15" x14ac:dyDescent="0.3">
      <c r="A347" s="2">
        <v>43810</v>
      </c>
      <c r="B347" s="3">
        <v>22586034</v>
      </c>
      <c r="C347" s="3">
        <v>5477113</v>
      </c>
      <c r="D347" s="3">
        <v>2212753</v>
      </c>
      <c r="E347" s="3">
        <v>1566850</v>
      </c>
      <c r="F347" s="3">
        <v>1246273</v>
      </c>
      <c r="G347" s="7">
        <f t="shared" si="42"/>
        <v>5.5178921629180228E-2</v>
      </c>
      <c r="H347" s="7">
        <f t="shared" si="47"/>
        <v>-6.7176289013204826E-2</v>
      </c>
      <c r="I347" s="7">
        <f t="shared" si="48"/>
        <v>9.7087647738864913E-3</v>
      </c>
      <c r="J347" s="7">
        <f t="shared" si="49"/>
        <v>-7.6145772394388356E-2</v>
      </c>
      <c r="K347" s="7">
        <f t="shared" si="43"/>
        <v>0.24249998915258872</v>
      </c>
      <c r="L347" s="7">
        <f t="shared" si="44"/>
        <v>0.40399988095918415</v>
      </c>
      <c r="M347" s="7">
        <f t="shared" si="45"/>
        <v>0.70809981954605872</v>
      </c>
      <c r="N347" s="7">
        <f t="shared" si="46"/>
        <v>0.79540032549382522</v>
      </c>
      <c r="O347" s="133">
        <f>B347-Table1[[#This Row],[Total]]</f>
        <v>2</v>
      </c>
    </row>
    <row r="348" spans="1:15" x14ac:dyDescent="0.3">
      <c r="A348" s="2">
        <v>43811</v>
      </c>
      <c r="B348" s="3">
        <v>21934513</v>
      </c>
      <c r="C348" s="3">
        <v>5648137</v>
      </c>
      <c r="D348" s="3">
        <v>2259254</v>
      </c>
      <c r="E348" s="3">
        <v>1682241</v>
      </c>
      <c r="F348" s="3">
        <v>1379437</v>
      </c>
      <c r="G348" s="7">
        <f t="shared" si="42"/>
        <v>6.2888882009826244E-2</v>
      </c>
      <c r="H348" s="7">
        <f t="shared" si="47"/>
        <v>-2.7786352724930241E-2</v>
      </c>
      <c r="I348" s="7">
        <f t="shared" si="48"/>
        <v>-2.8846188755405233E-2</v>
      </c>
      <c r="J348" s="7">
        <f t="shared" si="49"/>
        <v>1.0913163478365462E-3</v>
      </c>
      <c r="K348" s="7">
        <f t="shared" si="43"/>
        <v>0.25749999555495034</v>
      </c>
      <c r="L348" s="7">
        <f t="shared" si="44"/>
        <v>0.39999985836037616</v>
      </c>
      <c r="M348" s="7">
        <f t="shared" si="45"/>
        <v>0.74460020874146948</v>
      </c>
      <c r="N348" s="7">
        <f t="shared" si="46"/>
        <v>0.81999963144400834</v>
      </c>
      <c r="O348" s="133">
        <f>B348-Table1[[#This Row],[Total]]</f>
        <v>2</v>
      </c>
    </row>
    <row r="349" spans="1:15" x14ac:dyDescent="0.3">
      <c r="A349" s="2">
        <v>43812</v>
      </c>
      <c r="B349" s="3">
        <v>22803207</v>
      </c>
      <c r="C349" s="3">
        <v>5928833</v>
      </c>
      <c r="D349" s="3">
        <v>2276672</v>
      </c>
      <c r="E349" s="3">
        <v>1661970</v>
      </c>
      <c r="F349" s="3">
        <v>1308303</v>
      </c>
      <c r="G349" s="7">
        <f t="shared" si="42"/>
        <v>5.7373640470833771E-2</v>
      </c>
      <c r="H349" s="7">
        <f t="shared" si="47"/>
        <v>-2.1071274647128546E-2</v>
      </c>
      <c r="I349" s="7">
        <f t="shared" si="48"/>
        <v>8.2474216527056665E-2</v>
      </c>
      <c r="J349" s="7">
        <f t="shared" si="49"/>
        <v>-9.5656311802413296E-2</v>
      </c>
      <c r="K349" s="7">
        <f t="shared" si="43"/>
        <v>0.25999996404014575</v>
      </c>
      <c r="L349" s="7">
        <f t="shared" si="44"/>
        <v>0.38400002158940894</v>
      </c>
      <c r="M349" s="7">
        <f t="shared" si="45"/>
        <v>0.72999975402693051</v>
      </c>
      <c r="N349" s="7">
        <f t="shared" si="46"/>
        <v>0.78720012996624489</v>
      </c>
      <c r="O349" s="133">
        <f>B349-Table1[[#This Row],[Total]]</f>
        <v>2</v>
      </c>
    </row>
    <row r="350" spans="1:15" x14ac:dyDescent="0.3">
      <c r="A350" s="2">
        <v>43813</v>
      </c>
      <c r="B350" s="3">
        <v>45787545</v>
      </c>
      <c r="C350" s="3">
        <v>9230769</v>
      </c>
      <c r="D350" s="3">
        <v>3232615</v>
      </c>
      <c r="E350" s="3">
        <v>2220160</v>
      </c>
      <c r="F350" s="3">
        <v>1783676</v>
      </c>
      <c r="G350" s="7">
        <f t="shared" si="42"/>
        <v>3.8955484510034333E-2</v>
      </c>
      <c r="H350" s="7">
        <f t="shared" si="47"/>
        <v>7.0848537461892125E-2</v>
      </c>
      <c r="I350" s="7">
        <f t="shared" si="48"/>
        <v>4.081632653061229E-2</v>
      </c>
      <c r="J350" s="7">
        <f t="shared" si="49"/>
        <v>2.8854477169268922E-2</v>
      </c>
      <c r="K350" s="7">
        <f t="shared" si="43"/>
        <v>0.20159999842751997</v>
      </c>
      <c r="L350" s="7">
        <f t="shared" si="44"/>
        <v>0.35019996708833251</v>
      </c>
      <c r="M350" s="7">
        <f t="shared" si="45"/>
        <v>0.68680000556824738</v>
      </c>
      <c r="N350" s="7">
        <f t="shared" si="46"/>
        <v>0.80339975497261462</v>
      </c>
      <c r="O350" s="133">
        <f>B350-Table1[[#This Row],[Total]]</f>
        <v>1</v>
      </c>
    </row>
    <row r="351" spans="1:15" x14ac:dyDescent="0.3">
      <c r="A351" s="2">
        <v>43814</v>
      </c>
      <c r="B351" s="3">
        <v>43094160</v>
      </c>
      <c r="C351" s="3">
        <v>8687782</v>
      </c>
      <c r="D351" s="3">
        <v>2806153</v>
      </c>
      <c r="E351" s="3">
        <v>1812775</v>
      </c>
      <c r="F351" s="3">
        <v>1385685</v>
      </c>
      <c r="G351" s="7">
        <f t="shared" si="42"/>
        <v>3.2154820978062923E-2</v>
      </c>
      <c r="H351" s="7">
        <f t="shared" si="47"/>
        <v>-0.1512819413479678</v>
      </c>
      <c r="I351" s="7">
        <f t="shared" si="48"/>
        <v>-2.0408163265306145E-2</v>
      </c>
      <c r="J351" s="7">
        <f t="shared" si="49"/>
        <v>-0.13360031512605031</v>
      </c>
      <c r="K351" s="7">
        <f t="shared" si="43"/>
        <v>0.20159998477751973</v>
      </c>
      <c r="L351" s="7">
        <f t="shared" si="44"/>
        <v>0.3229999325489521</v>
      </c>
      <c r="M351" s="7">
        <f t="shared" si="45"/>
        <v>0.64600005773028057</v>
      </c>
      <c r="N351" s="7">
        <f t="shared" si="46"/>
        <v>0.76439988415550741</v>
      </c>
      <c r="O351" s="133">
        <f>B351-Table1[[#This Row],[Total]]</f>
        <v>2</v>
      </c>
    </row>
    <row r="352" spans="1:15" x14ac:dyDescent="0.3">
      <c r="A352" s="2">
        <v>43815</v>
      </c>
      <c r="B352" s="3">
        <v>21282993</v>
      </c>
      <c r="C352" s="3">
        <v>5427163</v>
      </c>
      <c r="D352" s="3">
        <v>2214282</v>
      </c>
      <c r="E352" s="3">
        <v>1584097</v>
      </c>
      <c r="F352" s="3">
        <v>1324939</v>
      </c>
      <c r="G352" s="7">
        <f t="shared" si="42"/>
        <v>6.2253415203397382E-2</v>
      </c>
      <c r="H352" s="7">
        <f t="shared" si="47"/>
        <v>6.3777394532654963E-2</v>
      </c>
      <c r="I352" s="7">
        <f t="shared" si="48"/>
        <v>-5.7692333235662363E-2</v>
      </c>
      <c r="J352" s="7">
        <f t="shared" si="49"/>
        <v>0.12890665337088447</v>
      </c>
      <c r="K352" s="7">
        <f t="shared" si="43"/>
        <v>0.25499998989803735</v>
      </c>
      <c r="L352" s="7">
        <f t="shared" si="44"/>
        <v>0.40799990713380085</v>
      </c>
      <c r="M352" s="7">
        <f t="shared" si="45"/>
        <v>0.71539984518683708</v>
      </c>
      <c r="N352" s="7">
        <f t="shared" si="46"/>
        <v>0.83640016993908828</v>
      </c>
      <c r="O352" s="133">
        <f>B352-Table1[[#This Row],[Total]]</f>
        <v>1</v>
      </c>
    </row>
    <row r="353" spans="1:15" x14ac:dyDescent="0.3">
      <c r="A353" s="2">
        <v>43816</v>
      </c>
      <c r="B353" s="3">
        <v>21065820</v>
      </c>
      <c r="C353" s="3">
        <v>5108461</v>
      </c>
      <c r="D353" s="3">
        <v>2022950</v>
      </c>
      <c r="E353" s="3">
        <v>1402916</v>
      </c>
      <c r="F353" s="3">
        <v>1104375</v>
      </c>
      <c r="G353" s="7">
        <f t="shared" si="42"/>
        <v>5.2424970876994104E-2</v>
      </c>
      <c r="H353" s="7">
        <f t="shared" si="47"/>
        <v>-0.10633509793798579</v>
      </c>
      <c r="I353" s="7">
        <f t="shared" si="48"/>
        <v>-2.0202029128424948E-2</v>
      </c>
      <c r="J353" s="7">
        <f t="shared" si="49"/>
        <v>-8.7909009173535724E-2</v>
      </c>
      <c r="K353" s="7">
        <f t="shared" si="43"/>
        <v>0.24249998338540821</v>
      </c>
      <c r="L353" s="7">
        <f t="shared" si="44"/>
        <v>0.39599989116095824</v>
      </c>
      <c r="M353" s="7">
        <f t="shared" si="45"/>
        <v>0.69350008650732842</v>
      </c>
      <c r="N353" s="7">
        <f t="shared" si="46"/>
        <v>0.7871996612769403</v>
      </c>
      <c r="O353" s="133">
        <f>B353-Table1[[#This Row],[Total]]</f>
        <v>1</v>
      </c>
    </row>
    <row r="354" spans="1:15" x14ac:dyDescent="0.3">
      <c r="A354" s="2">
        <v>43817</v>
      </c>
      <c r="B354" s="3">
        <v>22368860</v>
      </c>
      <c r="C354" s="3">
        <v>5424448</v>
      </c>
      <c r="D354" s="3">
        <v>2104686</v>
      </c>
      <c r="E354" s="3">
        <v>1597877</v>
      </c>
      <c r="F354" s="3">
        <v>1284054</v>
      </c>
      <c r="G354" s="7">
        <f t="shared" si="42"/>
        <v>5.7403640596793933E-2</v>
      </c>
      <c r="H354" s="7">
        <f t="shared" si="47"/>
        <v>3.0315187763836571E-2</v>
      </c>
      <c r="I354" s="7">
        <f t="shared" si="48"/>
        <v>-9.6154110101844825E-3</v>
      </c>
      <c r="J354" s="7">
        <f t="shared" si="49"/>
        <v>4.0318275564798389E-2</v>
      </c>
      <c r="K354" s="7">
        <f t="shared" si="43"/>
        <v>0.24249997541224722</v>
      </c>
      <c r="L354" s="7">
        <f t="shared" si="44"/>
        <v>0.3880000324456977</v>
      </c>
      <c r="M354" s="7">
        <f t="shared" si="45"/>
        <v>0.75919970960038696</v>
      </c>
      <c r="N354" s="7">
        <f t="shared" si="46"/>
        <v>0.8036000267855411</v>
      </c>
      <c r="O354" s="133">
        <f>B354-Table1[[#This Row],[Total]]</f>
        <v>2</v>
      </c>
    </row>
    <row r="355" spans="1:15" x14ac:dyDescent="0.3">
      <c r="A355" s="2">
        <v>43818</v>
      </c>
      <c r="B355" s="3">
        <v>21065820</v>
      </c>
      <c r="C355" s="3">
        <v>5213790</v>
      </c>
      <c r="D355" s="3">
        <v>2064661</v>
      </c>
      <c r="E355" s="3">
        <v>1507202</v>
      </c>
      <c r="F355" s="3">
        <v>1211187</v>
      </c>
      <c r="G355" s="7">
        <f t="shared" si="42"/>
        <v>5.7495364528890876E-2</v>
      </c>
      <c r="H355" s="7">
        <f t="shared" si="47"/>
        <v>-0.12197005010014961</v>
      </c>
      <c r="I355" s="7">
        <f t="shared" si="48"/>
        <v>-3.9603933764109533E-2</v>
      </c>
      <c r="J355" s="7">
        <f t="shared" si="49"/>
        <v>-8.5762654837664987E-2</v>
      </c>
      <c r="K355" s="7">
        <f t="shared" si="43"/>
        <v>0.247499978638382</v>
      </c>
      <c r="L355" s="7">
        <f t="shared" si="44"/>
        <v>0.39600003068784895</v>
      </c>
      <c r="M355" s="7">
        <f t="shared" si="45"/>
        <v>0.7299997432992632</v>
      </c>
      <c r="N355" s="7">
        <f t="shared" si="46"/>
        <v>0.80359965021277835</v>
      </c>
      <c r="O355" s="133">
        <f>B355-Table1[[#This Row],[Total]]</f>
        <v>1</v>
      </c>
    </row>
    <row r="356" spans="1:15" x14ac:dyDescent="0.3">
      <c r="A356" s="2">
        <v>43819</v>
      </c>
      <c r="B356" s="3">
        <v>22151687</v>
      </c>
      <c r="C356" s="3">
        <v>5261025</v>
      </c>
      <c r="D356" s="3">
        <v>2062322</v>
      </c>
      <c r="E356" s="3">
        <v>1430220</v>
      </c>
      <c r="F356" s="3">
        <v>1231419</v>
      </c>
      <c r="G356" s="7">
        <f t="shared" si="42"/>
        <v>5.5590303348002343E-2</v>
      </c>
      <c r="H356" s="7">
        <f t="shared" si="47"/>
        <v>-5.8766203241909509E-2</v>
      </c>
      <c r="I356" s="7">
        <f t="shared" si="48"/>
        <v>-2.8571419800732412E-2</v>
      </c>
      <c r="J356" s="7">
        <f t="shared" si="49"/>
        <v>-3.1082865026457518E-2</v>
      </c>
      <c r="K356" s="7">
        <f t="shared" si="43"/>
        <v>0.23749997009257129</v>
      </c>
      <c r="L356" s="7">
        <f t="shared" si="44"/>
        <v>0.39200003801540573</v>
      </c>
      <c r="M356" s="7">
        <f t="shared" si="45"/>
        <v>0.69349985113866797</v>
      </c>
      <c r="N356" s="7">
        <f t="shared" si="46"/>
        <v>0.8609997063388849</v>
      </c>
      <c r="O356" s="133">
        <f>B356-Table1[[#This Row],[Total]]</f>
        <v>2</v>
      </c>
    </row>
    <row r="357" spans="1:15" x14ac:dyDescent="0.3">
      <c r="A357" s="2">
        <v>43820</v>
      </c>
      <c r="B357" s="3">
        <v>46236443</v>
      </c>
      <c r="C357" s="3">
        <v>9321266</v>
      </c>
      <c r="D357" s="3">
        <v>3042461</v>
      </c>
      <c r="E357" s="3">
        <v>1965430</v>
      </c>
      <c r="F357" s="3">
        <v>1502374</v>
      </c>
      <c r="G357" s="7">
        <f t="shared" si="42"/>
        <v>3.2493286734881402E-2</v>
      </c>
      <c r="H357" s="7">
        <f t="shared" si="47"/>
        <v>-0.15770913551564303</v>
      </c>
      <c r="I357" s="7">
        <f t="shared" si="48"/>
        <v>9.8039324886276535E-3</v>
      </c>
      <c r="J357" s="7">
        <f t="shared" si="49"/>
        <v>-0.16588672574431385</v>
      </c>
      <c r="K357" s="7">
        <f t="shared" si="43"/>
        <v>0.20159998034450877</v>
      </c>
      <c r="L357" s="7">
        <f t="shared" si="44"/>
        <v>0.32639997614058003</v>
      </c>
      <c r="M357" s="7">
        <f t="shared" si="45"/>
        <v>0.64600006376416985</v>
      </c>
      <c r="N357" s="7">
        <f t="shared" si="46"/>
        <v>0.7643996479141969</v>
      </c>
      <c r="O357" s="133">
        <f>B357-Table1[[#This Row],[Total]]</f>
        <v>2</v>
      </c>
    </row>
    <row r="358" spans="1:15" x14ac:dyDescent="0.3">
      <c r="A358" s="11">
        <v>43821</v>
      </c>
      <c r="B358" s="12">
        <v>43094160</v>
      </c>
      <c r="C358" s="12">
        <v>9140271</v>
      </c>
      <c r="D358" s="12">
        <v>3263076</v>
      </c>
      <c r="E358" s="12">
        <v>2107947</v>
      </c>
      <c r="F358" s="12">
        <v>1677083</v>
      </c>
      <c r="G358" s="13">
        <f t="shared" si="42"/>
        <v>3.8916711684367444E-2</v>
      </c>
      <c r="H358" s="13">
        <f t="shared" si="47"/>
        <v>0.21029166080314066</v>
      </c>
      <c r="I358" s="13">
        <f t="shared" si="48"/>
        <v>0</v>
      </c>
      <c r="J358" s="13">
        <f t="shared" si="49"/>
        <v>0.21029166080314066</v>
      </c>
      <c r="K358" s="13">
        <f t="shared" si="43"/>
        <v>0.21209999220311987</v>
      </c>
      <c r="L358" s="13">
        <f t="shared" si="44"/>
        <v>0.35699991827375799</v>
      </c>
      <c r="M358" s="13">
        <f t="shared" si="45"/>
        <v>0.64599997057990677</v>
      </c>
      <c r="N358" s="13">
        <f t="shared" si="46"/>
        <v>0.79560017400817007</v>
      </c>
      <c r="O358" s="133">
        <f>B358-Table1[[#This Row],[Total]]</f>
        <v>2</v>
      </c>
    </row>
    <row r="359" spans="1:15" x14ac:dyDescent="0.3">
      <c r="A359" s="2">
        <v>43822</v>
      </c>
      <c r="B359" s="3">
        <v>21500167</v>
      </c>
      <c r="C359" s="3">
        <v>5106289</v>
      </c>
      <c r="D359" s="3">
        <v>1940390</v>
      </c>
      <c r="E359" s="3">
        <v>1430649</v>
      </c>
      <c r="F359" s="3">
        <v>1196595</v>
      </c>
      <c r="G359" s="7">
        <f t="shared" si="42"/>
        <v>5.5655149097213988E-2</v>
      </c>
      <c r="H359" s="7">
        <f t="shared" si="47"/>
        <v>-9.6867855803172809E-2</v>
      </c>
      <c r="I359" s="7">
        <f t="shared" si="48"/>
        <v>1.0204109920066262E-2</v>
      </c>
      <c r="J359" s="7">
        <f t="shared" si="49"/>
        <v>-0.10599042774802347</v>
      </c>
      <c r="K359" s="7">
        <f t="shared" si="43"/>
        <v>0.23749996918628585</v>
      </c>
      <c r="L359" s="7">
        <f t="shared" si="44"/>
        <v>0.38000003525064874</v>
      </c>
      <c r="M359" s="7">
        <f t="shared" si="45"/>
        <v>0.73729971809790817</v>
      </c>
      <c r="N359" s="7">
        <f t="shared" si="46"/>
        <v>0.83640012330068381</v>
      </c>
      <c r="O359" s="133">
        <f>B359-Table1[[#This Row],[Total]]</f>
        <v>1</v>
      </c>
    </row>
    <row r="360" spans="1:15" x14ac:dyDescent="0.3">
      <c r="A360" s="2">
        <v>43823</v>
      </c>
      <c r="B360" s="3">
        <v>21282993</v>
      </c>
      <c r="C360" s="3">
        <v>5320748</v>
      </c>
      <c r="D360" s="3">
        <v>2107016</v>
      </c>
      <c r="E360" s="3">
        <v>1568884</v>
      </c>
      <c r="F360" s="3">
        <v>1312214</v>
      </c>
      <c r="G360" s="7">
        <f t="shared" si="42"/>
        <v>6.1655519973154153E-2</v>
      </c>
      <c r="H360" s="7">
        <f t="shared" si="47"/>
        <v>0.18819603848330502</v>
      </c>
      <c r="I360" s="7">
        <f t="shared" si="48"/>
        <v>1.0309259264533743E-2</v>
      </c>
      <c r="J360" s="7">
        <f t="shared" si="49"/>
        <v>0.17607161132846216</v>
      </c>
      <c r="K360" s="7">
        <f t="shared" si="43"/>
        <v>0.24999998825353181</v>
      </c>
      <c r="L360" s="7">
        <f t="shared" si="44"/>
        <v>0.39599996090775208</v>
      </c>
      <c r="M360" s="7">
        <f t="shared" si="45"/>
        <v>0.74459994608488977</v>
      </c>
      <c r="N360" s="7">
        <f t="shared" si="46"/>
        <v>0.83639963184021249</v>
      </c>
      <c r="O360" s="133">
        <f>B360-Table1[[#This Row],[Total]]</f>
        <v>1</v>
      </c>
    </row>
    <row r="361" spans="1:15" x14ac:dyDescent="0.3">
      <c r="A361" s="2">
        <v>43824</v>
      </c>
      <c r="B361" s="3">
        <v>20631473</v>
      </c>
      <c r="C361" s="3">
        <v>5261025</v>
      </c>
      <c r="D361" s="3">
        <v>2167542</v>
      </c>
      <c r="E361" s="3">
        <v>1582306</v>
      </c>
      <c r="F361" s="3">
        <v>1258566</v>
      </c>
      <c r="G361" s="7">
        <f t="shared" si="42"/>
        <v>6.1002236728322792E-2</v>
      </c>
      <c r="H361" s="7">
        <f t="shared" si="47"/>
        <v>-1.9849632492091485E-2</v>
      </c>
      <c r="I361" s="7">
        <f t="shared" si="48"/>
        <v>-7.7669894666066996E-2</v>
      </c>
      <c r="J361" s="7">
        <f t="shared" si="49"/>
        <v>6.2689336322857558E-2</v>
      </c>
      <c r="K361" s="7">
        <f t="shared" si="43"/>
        <v>0.25499997019117343</v>
      </c>
      <c r="L361" s="7">
        <f t="shared" si="44"/>
        <v>0.41199994297689141</v>
      </c>
      <c r="M361" s="7">
        <f t="shared" si="45"/>
        <v>0.73000015685970565</v>
      </c>
      <c r="N361" s="7">
        <f t="shared" si="46"/>
        <v>0.79539987840531479</v>
      </c>
      <c r="O361" s="133">
        <f>B361-Table1[[#This Row],[Total]]</f>
        <v>1</v>
      </c>
    </row>
    <row r="362" spans="1:15" x14ac:dyDescent="0.3">
      <c r="A362" s="2">
        <v>43825</v>
      </c>
      <c r="B362" s="3">
        <v>20631473</v>
      </c>
      <c r="C362" s="3">
        <v>5209447</v>
      </c>
      <c r="D362" s="3">
        <v>2146292</v>
      </c>
      <c r="E362" s="3">
        <v>1645132</v>
      </c>
      <c r="F362" s="3">
        <v>1295048</v>
      </c>
      <c r="G362" s="7">
        <f t="shared" si="42"/>
        <v>6.2770506012828076E-2</v>
      </c>
      <c r="H362" s="7">
        <f t="shared" si="47"/>
        <v>6.9238688988570773E-2</v>
      </c>
      <c r="I362" s="7">
        <f t="shared" si="48"/>
        <v>-2.0618565999329763E-2</v>
      </c>
      <c r="J362" s="7">
        <f t="shared" si="49"/>
        <v>9.1748987542926042E-2</v>
      </c>
      <c r="K362" s="7">
        <f t="shared" si="43"/>
        <v>0.25250000327170047</v>
      </c>
      <c r="L362" s="7">
        <f t="shared" si="44"/>
        <v>0.41199996851873144</v>
      </c>
      <c r="M362" s="7">
        <f t="shared" si="45"/>
        <v>0.76649961887758045</v>
      </c>
      <c r="N362" s="7">
        <f t="shared" si="46"/>
        <v>0.78720005446371477</v>
      </c>
      <c r="O362" s="133">
        <f>B362-Table1[[#This Row],[Total]]</f>
        <v>1</v>
      </c>
    </row>
    <row r="363" spans="1:15" x14ac:dyDescent="0.3">
      <c r="A363" s="2">
        <v>43826</v>
      </c>
      <c r="B363" s="3">
        <v>22368860</v>
      </c>
      <c r="C363" s="3">
        <v>5648137</v>
      </c>
      <c r="D363" s="3">
        <v>2349625</v>
      </c>
      <c r="E363" s="3">
        <v>1629465</v>
      </c>
      <c r="F363" s="3">
        <v>1309438</v>
      </c>
      <c r="G363" s="7">
        <f t="shared" si="42"/>
        <v>5.8538432445819771E-2</v>
      </c>
      <c r="H363" s="7">
        <f t="shared" si="47"/>
        <v>6.335698896963593E-2</v>
      </c>
      <c r="I363" s="7">
        <f t="shared" si="48"/>
        <v>9.80390342279569E-3</v>
      </c>
      <c r="J363" s="7">
        <f t="shared" si="49"/>
        <v>5.3033153630440921E-2</v>
      </c>
      <c r="K363" s="7">
        <f t="shared" si="43"/>
        <v>0.25249999329424921</v>
      </c>
      <c r="L363" s="7">
        <f t="shared" si="44"/>
        <v>0.41600000141639626</v>
      </c>
      <c r="M363" s="7">
        <f t="shared" si="45"/>
        <v>0.69350002659998933</v>
      </c>
      <c r="N363" s="7">
        <f t="shared" si="46"/>
        <v>0.80359995458632127</v>
      </c>
      <c r="O363" s="133">
        <f>B363-Table1[[#This Row],[Total]]</f>
        <v>2</v>
      </c>
    </row>
    <row r="364" spans="1:15" x14ac:dyDescent="0.3">
      <c r="A364" s="2">
        <v>43827</v>
      </c>
      <c r="B364" s="3">
        <v>45338648</v>
      </c>
      <c r="C364" s="3">
        <v>9521116</v>
      </c>
      <c r="D364" s="3">
        <v>3269551</v>
      </c>
      <c r="E364" s="3">
        <v>2201061</v>
      </c>
      <c r="F364" s="3">
        <v>1768333</v>
      </c>
      <c r="G364" s="7">
        <f t="shared" si="42"/>
        <v>3.9002773086661079E-2</v>
      </c>
      <c r="H364" s="7">
        <f t="shared" si="47"/>
        <v>0.17702582712427128</v>
      </c>
      <c r="I364" s="7">
        <f t="shared" si="48"/>
        <v>-1.9417475518175187E-2</v>
      </c>
      <c r="J364" s="7">
        <f t="shared" si="49"/>
        <v>0.2003332689885069</v>
      </c>
      <c r="K364" s="7">
        <f t="shared" si="43"/>
        <v>0.20999999823550097</v>
      </c>
      <c r="L364" s="7">
        <f t="shared" si="44"/>
        <v>0.34339997538103728</v>
      </c>
      <c r="M364" s="7">
        <f t="shared" si="45"/>
        <v>0.6731997757490249</v>
      </c>
      <c r="N364" s="7">
        <f t="shared" si="46"/>
        <v>0.80340026923379226</v>
      </c>
      <c r="O364" s="133">
        <f>B364-Table1[[#This Row],[Total]]</f>
        <v>1</v>
      </c>
    </row>
    <row r="365" spans="1:15" x14ac:dyDescent="0.3">
      <c r="A365" s="2">
        <v>43828</v>
      </c>
      <c r="B365" s="3">
        <v>43543058</v>
      </c>
      <c r="C365" s="3">
        <v>8778280</v>
      </c>
      <c r="D365" s="3">
        <v>3133846</v>
      </c>
      <c r="E365" s="3">
        <v>2109705</v>
      </c>
      <c r="F365" s="3">
        <v>1596202</v>
      </c>
      <c r="G365" s="7">
        <f t="shared" si="42"/>
        <v>3.6658013316382146E-2</v>
      </c>
      <c r="H365" s="7">
        <f t="shared" si="47"/>
        <v>-4.8227189709752039E-2</v>
      </c>
      <c r="I365" s="7">
        <f t="shared" si="48"/>
        <v>1.0416678269166812E-2</v>
      </c>
      <c r="J365" s="7">
        <f t="shared" si="49"/>
        <v>-5.8039291353914724E-2</v>
      </c>
      <c r="K365" s="7">
        <f t="shared" si="43"/>
        <v>0.2015999886824669</v>
      </c>
      <c r="L365" s="7">
        <f t="shared" si="44"/>
        <v>0.35700000455670133</v>
      </c>
      <c r="M365" s="7">
        <f t="shared" si="45"/>
        <v>0.67319995941089639</v>
      </c>
      <c r="N365" s="7">
        <f t="shared" si="46"/>
        <v>0.75659961937806475</v>
      </c>
      <c r="O365" s="133">
        <f>B365-Table1[[#This Row],[Total]]</f>
        <v>2</v>
      </c>
    </row>
    <row r="366" spans="1:15" x14ac:dyDescent="0.3">
      <c r="A366" s="2">
        <v>43829</v>
      </c>
      <c r="B366" s="3">
        <v>22151687</v>
      </c>
      <c r="C366" s="3">
        <v>5316404</v>
      </c>
      <c r="D366" s="3">
        <v>2041499</v>
      </c>
      <c r="E366" s="3">
        <v>1415779</v>
      </c>
      <c r="F366" s="3">
        <v>1172548</v>
      </c>
      <c r="G366" s="7">
        <f t="shared" si="42"/>
        <v>5.2932672802753128E-2</v>
      </c>
      <c r="H366" s="7">
        <f t="shared" si="47"/>
        <v>-2.0096189604669967E-2</v>
      </c>
      <c r="I366" s="7">
        <f t="shared" si="48"/>
        <v>3.0303020437004058E-2</v>
      </c>
      <c r="J366" s="7">
        <f t="shared" si="49"/>
        <v>-4.8916880802986507E-2</v>
      </c>
      <c r="K366" s="7">
        <f t="shared" si="43"/>
        <v>0.23999996027390599</v>
      </c>
      <c r="L366" s="7">
        <f t="shared" si="44"/>
        <v>0.38399997441879885</v>
      </c>
      <c r="M366" s="7">
        <f t="shared" si="45"/>
        <v>0.69349972740618537</v>
      </c>
      <c r="N366" s="7">
        <f t="shared" si="46"/>
        <v>0.82819988147867707</v>
      </c>
      <c r="O366" s="133">
        <f>B366-Table1[[#This Row],[Total]]</f>
        <v>2</v>
      </c>
    </row>
    <row r="367" spans="1:15" x14ac:dyDescent="0.3">
      <c r="A367" s="2">
        <v>43830</v>
      </c>
      <c r="B367" s="3">
        <v>21934513</v>
      </c>
      <c r="C367" s="3">
        <v>5319119</v>
      </c>
      <c r="D367" s="3">
        <v>2106371</v>
      </c>
      <c r="E367" s="3">
        <v>1491521</v>
      </c>
      <c r="F367" s="3">
        <v>1284200</v>
      </c>
      <c r="G367" s="7">
        <f t="shared" si="42"/>
        <v>5.854700307228157E-2</v>
      </c>
      <c r="H367" s="7">
        <f t="shared" si="47"/>
        <v>-2.1348651972925126E-2</v>
      </c>
      <c r="I367" s="7">
        <f t="shared" si="48"/>
        <v>3.061223578845329E-2</v>
      </c>
      <c r="J367" s="7">
        <f t="shared" si="49"/>
        <v>-5.0417495501231424E-2</v>
      </c>
      <c r="K367" s="7">
        <f t="shared" si="43"/>
        <v>0.24249998164992312</v>
      </c>
      <c r="L367" s="7">
        <f t="shared" si="44"/>
        <v>0.39599997668786879</v>
      </c>
      <c r="M367" s="7">
        <f t="shared" si="45"/>
        <v>0.70809985515372176</v>
      </c>
      <c r="N367" s="7">
        <f t="shared" si="46"/>
        <v>0.86100028092128778</v>
      </c>
      <c r="O367" s="133">
        <f>B367-Table1[[#This Row],[Total]]</f>
        <v>2</v>
      </c>
    </row>
    <row r="368" spans="1:15" x14ac:dyDescent="0.3">
      <c r="A368" s="2">
        <v>43831</v>
      </c>
      <c r="B368" s="3">
        <v>21717340</v>
      </c>
      <c r="C368" s="3">
        <v>5375041</v>
      </c>
      <c r="D368" s="3">
        <v>2042515</v>
      </c>
      <c r="E368" s="3">
        <v>1520857</v>
      </c>
      <c r="F368" s="3">
        <v>1284516</v>
      </c>
      <c r="G368" s="7">
        <f t="shared" si="42"/>
        <v>5.914702260958294E-2</v>
      </c>
      <c r="H368" s="7">
        <f t="shared" si="47"/>
        <v>2.0618704144240274E-2</v>
      </c>
      <c r="I368" s="7">
        <f t="shared" si="48"/>
        <v>5.2631578947368363E-2</v>
      </c>
      <c r="J368" s="7">
        <f t="shared" si="49"/>
        <v>-3.0412231062971751E-2</v>
      </c>
      <c r="K368" s="7">
        <f t="shared" si="43"/>
        <v>0.24749997006999935</v>
      </c>
      <c r="L368" s="7">
        <f t="shared" si="44"/>
        <v>0.37999989209384638</v>
      </c>
      <c r="M368" s="7">
        <f t="shared" si="45"/>
        <v>0.74460016205511348</v>
      </c>
      <c r="N368" s="7">
        <f t="shared" si="46"/>
        <v>0.84460011690776982</v>
      </c>
      <c r="O368" s="133">
        <f>B368-Table1[[#This Row],[Total]]</f>
        <v>2</v>
      </c>
    </row>
  </sheetData>
  <autoFilter ref="A2:O368" xr:uid="{4375D379-A816-2846-B956-DD451B8B10CC}"/>
  <conditionalFormatting sqref="H10:H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>
    <tabColor theme="7"/>
  </sheetPr>
  <dimension ref="B1:P369"/>
  <sheetViews>
    <sheetView zoomScale="98" zoomScaleNormal="98" workbookViewId="0">
      <selection activeCell="A3" sqref="A3"/>
    </sheetView>
  </sheetViews>
  <sheetFormatPr defaultColWidth="11.19921875" defaultRowHeight="15.6" x14ac:dyDescent="0.3"/>
  <cols>
    <col min="7" max="7" width="12.3984375" customWidth="1"/>
    <col min="8" max="8" width="11.796875" hidden="1" customWidth="1"/>
    <col min="9" max="11" width="0" hidden="1" customWidth="1"/>
    <col min="12" max="12" width="11.796875" hidden="1" customWidth="1"/>
    <col min="13" max="15" width="0" hidden="1" customWidth="1"/>
    <col min="16" max="16" width="16.796875" hidden="1" customWidth="1"/>
  </cols>
  <sheetData>
    <row r="1" spans="2:16" x14ac:dyDescent="0.3">
      <c r="H1" s="180" t="s">
        <v>37</v>
      </c>
      <c r="I1" s="180"/>
      <c r="J1" s="180"/>
      <c r="K1" s="180"/>
      <c r="L1" s="180" t="s">
        <v>38</v>
      </c>
      <c r="M1" s="180"/>
      <c r="N1" s="180"/>
      <c r="O1" s="180"/>
    </row>
    <row r="2" spans="2:16" x14ac:dyDescent="0.3">
      <c r="B2" s="37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33</v>
      </c>
      <c r="H2" s="1" t="s">
        <v>43</v>
      </c>
      <c r="I2" s="68" t="s">
        <v>44</v>
      </c>
      <c r="J2" s="68" t="s">
        <v>45</v>
      </c>
      <c r="K2" s="68" t="s">
        <v>46</v>
      </c>
      <c r="L2" s="68" t="s">
        <v>47</v>
      </c>
      <c r="M2" s="68" t="s">
        <v>48</v>
      </c>
      <c r="N2" s="68" t="s">
        <v>49</v>
      </c>
      <c r="O2" s="68" t="s">
        <v>50</v>
      </c>
      <c r="P2" s="69" t="s">
        <v>34</v>
      </c>
    </row>
    <row r="3" spans="2:16" x14ac:dyDescent="0.3">
      <c r="B3" s="38">
        <v>43466</v>
      </c>
      <c r="C3" s="3">
        <v>7505512</v>
      </c>
      <c r="D3" s="3">
        <v>5629134</v>
      </c>
      <c r="E3" s="3">
        <v>2293351</v>
      </c>
      <c r="F3" s="3">
        <v>5420648</v>
      </c>
      <c r="G3" s="25">
        <f t="shared" ref="G3:G66" si="0">SUM(C3:F3)</f>
        <v>20848645</v>
      </c>
      <c r="H3" s="137">
        <v>0</v>
      </c>
      <c r="I3" s="61">
        <v>0</v>
      </c>
      <c r="J3" s="61">
        <v>0</v>
      </c>
      <c r="K3" s="102">
        <v>0</v>
      </c>
      <c r="L3" s="137">
        <v>0</v>
      </c>
      <c r="M3" s="61">
        <v>0</v>
      </c>
      <c r="N3" s="61">
        <v>0</v>
      </c>
      <c r="O3" s="102">
        <v>0</v>
      </c>
      <c r="P3" s="102">
        <v>0</v>
      </c>
    </row>
    <row r="4" spans="2:16" x14ac:dyDescent="0.3">
      <c r="B4" s="38">
        <v>43467</v>
      </c>
      <c r="C4" s="3">
        <v>7896424</v>
      </c>
      <c r="D4" s="3">
        <v>5922318</v>
      </c>
      <c r="E4" s="3">
        <v>2412796</v>
      </c>
      <c r="F4" s="3">
        <v>5702973</v>
      </c>
      <c r="G4" s="25">
        <f t="shared" si="0"/>
        <v>21934511</v>
      </c>
      <c r="H4" s="137">
        <v>0</v>
      </c>
      <c r="I4" s="61">
        <v>0</v>
      </c>
      <c r="J4" s="61">
        <v>0</v>
      </c>
      <c r="K4" s="102">
        <v>0</v>
      </c>
      <c r="L4" s="137">
        <v>0</v>
      </c>
      <c r="M4" s="61">
        <v>0</v>
      </c>
      <c r="N4" s="61">
        <v>0</v>
      </c>
      <c r="O4" s="102">
        <v>0</v>
      </c>
      <c r="P4" s="102">
        <v>0</v>
      </c>
    </row>
    <row r="5" spans="2:16" x14ac:dyDescent="0.3">
      <c r="B5" s="38">
        <v>43468</v>
      </c>
      <c r="C5" s="3">
        <v>7505512</v>
      </c>
      <c r="D5" s="3">
        <v>5629134</v>
      </c>
      <c r="E5" s="3">
        <v>2293351</v>
      </c>
      <c r="F5" s="3">
        <v>5420648</v>
      </c>
      <c r="G5" s="25">
        <f t="shared" si="0"/>
        <v>20848645</v>
      </c>
      <c r="H5" s="137">
        <v>0</v>
      </c>
      <c r="I5" s="61">
        <v>0</v>
      </c>
      <c r="J5" s="61">
        <v>0</v>
      </c>
      <c r="K5" s="102">
        <v>0</v>
      </c>
      <c r="L5" s="137">
        <v>0</v>
      </c>
      <c r="M5" s="61">
        <v>0</v>
      </c>
      <c r="N5" s="61">
        <v>0</v>
      </c>
      <c r="O5" s="102">
        <v>0</v>
      </c>
      <c r="P5" s="102">
        <v>0</v>
      </c>
    </row>
    <row r="6" spans="2:16" x14ac:dyDescent="0.3">
      <c r="B6" s="38">
        <v>43469</v>
      </c>
      <c r="C6" s="3">
        <v>7818242</v>
      </c>
      <c r="D6" s="3">
        <v>5863681</v>
      </c>
      <c r="E6" s="3">
        <v>2388907</v>
      </c>
      <c r="F6" s="3">
        <v>5646508</v>
      </c>
      <c r="G6" s="25">
        <f t="shared" si="0"/>
        <v>21717338</v>
      </c>
      <c r="H6" s="137">
        <v>0</v>
      </c>
      <c r="I6" s="61">
        <v>0</v>
      </c>
      <c r="J6" s="61">
        <v>0</v>
      </c>
      <c r="K6" s="102">
        <v>0</v>
      </c>
      <c r="L6" s="137">
        <v>0</v>
      </c>
      <c r="M6" s="61">
        <v>0</v>
      </c>
      <c r="N6" s="61">
        <v>0</v>
      </c>
      <c r="O6" s="102">
        <v>0</v>
      </c>
      <c r="P6" s="102">
        <v>0</v>
      </c>
    </row>
    <row r="7" spans="2:16" x14ac:dyDescent="0.3">
      <c r="B7" s="38">
        <v>43470</v>
      </c>
      <c r="C7" s="3">
        <v>15352294</v>
      </c>
      <c r="D7" s="3">
        <v>11514221</v>
      </c>
      <c r="E7" s="3">
        <v>4690978</v>
      </c>
      <c r="F7" s="3">
        <v>11087768</v>
      </c>
      <c r="G7" s="25">
        <f t="shared" si="0"/>
        <v>42645261</v>
      </c>
      <c r="H7" s="137">
        <v>0</v>
      </c>
      <c r="I7" s="61">
        <v>0</v>
      </c>
      <c r="J7" s="61">
        <v>0</v>
      </c>
      <c r="K7" s="102">
        <v>0</v>
      </c>
      <c r="L7" s="137">
        <v>0</v>
      </c>
      <c r="M7" s="61">
        <v>0</v>
      </c>
      <c r="N7" s="61">
        <v>0</v>
      </c>
      <c r="O7" s="102">
        <v>0</v>
      </c>
      <c r="P7" s="102">
        <v>0</v>
      </c>
    </row>
    <row r="8" spans="2:16" x14ac:dyDescent="0.3">
      <c r="B8" s="38">
        <v>43471</v>
      </c>
      <c r="C8" s="3">
        <v>15675500</v>
      </c>
      <c r="D8" s="3">
        <v>11756625</v>
      </c>
      <c r="E8" s="3">
        <v>4789736</v>
      </c>
      <c r="F8" s="3">
        <v>11321195</v>
      </c>
      <c r="G8" s="25">
        <f t="shared" si="0"/>
        <v>43543056</v>
      </c>
      <c r="H8" s="137">
        <v>0</v>
      </c>
      <c r="I8" s="61">
        <v>0</v>
      </c>
      <c r="J8" s="61">
        <v>0</v>
      </c>
      <c r="K8" s="102">
        <v>0</v>
      </c>
      <c r="L8" s="137">
        <v>0</v>
      </c>
      <c r="M8" s="61">
        <v>0</v>
      </c>
      <c r="N8" s="61">
        <v>0</v>
      </c>
      <c r="O8" s="102">
        <v>0</v>
      </c>
      <c r="P8" s="102">
        <v>0</v>
      </c>
    </row>
    <row r="9" spans="2:16" x14ac:dyDescent="0.3">
      <c r="B9" s="38">
        <v>43472</v>
      </c>
      <c r="C9" s="3">
        <v>8209154</v>
      </c>
      <c r="D9" s="3">
        <v>6156866</v>
      </c>
      <c r="E9" s="3">
        <v>2508352</v>
      </c>
      <c r="F9" s="3">
        <v>5928833</v>
      </c>
      <c r="G9" s="25">
        <f t="shared" si="0"/>
        <v>22803205</v>
      </c>
      <c r="H9" s="137">
        <v>0</v>
      </c>
      <c r="I9" s="61">
        <v>0</v>
      </c>
      <c r="J9" s="61">
        <v>0</v>
      </c>
      <c r="K9" s="102">
        <v>0</v>
      </c>
      <c r="L9" s="137">
        <v>0</v>
      </c>
      <c r="M9" s="61">
        <v>0</v>
      </c>
      <c r="N9" s="61">
        <v>0</v>
      </c>
      <c r="O9" s="102">
        <v>0</v>
      </c>
      <c r="P9" s="102">
        <v>0</v>
      </c>
    </row>
    <row r="10" spans="2:16" x14ac:dyDescent="0.3">
      <c r="B10" s="38">
        <v>43473</v>
      </c>
      <c r="C10" s="3">
        <v>7818242</v>
      </c>
      <c r="D10" s="3">
        <v>5863681</v>
      </c>
      <c r="E10" s="3">
        <v>2388907</v>
      </c>
      <c r="F10" s="3">
        <v>5646508</v>
      </c>
      <c r="G10" s="25">
        <f t="shared" si="0"/>
        <v>21717338</v>
      </c>
      <c r="H10" s="39">
        <f>IF($C10&lt;$C3,$C10-$C3,0)</f>
        <v>0</v>
      </c>
      <c r="I10" s="26">
        <f t="shared" ref="I10:K10" si="1">IF(D10&lt;D3,D10-D3,0)</f>
        <v>0</v>
      </c>
      <c r="J10" s="26">
        <f t="shared" si="1"/>
        <v>0</v>
      </c>
      <c r="K10" s="40">
        <f t="shared" si="1"/>
        <v>0</v>
      </c>
      <c r="L10" s="39">
        <f t="shared" ref="L10:L73" si="2">IF(C10&gt;C3,C10-C3,0)</f>
        <v>312730</v>
      </c>
      <c r="M10" s="26">
        <f t="shared" ref="M10:O10" si="3">IF(D10&gt;D3,D10-D3,0)</f>
        <v>234547</v>
      </c>
      <c r="N10" s="26">
        <f t="shared" si="3"/>
        <v>95556</v>
      </c>
      <c r="O10" s="40">
        <f t="shared" si="3"/>
        <v>225860</v>
      </c>
      <c r="P10">
        <f t="shared" ref="P10:P41" si="4">G10-G3</f>
        <v>868693</v>
      </c>
    </row>
    <row r="11" spans="2:16" x14ac:dyDescent="0.3">
      <c r="B11" s="38">
        <v>43474</v>
      </c>
      <c r="C11" s="3">
        <v>8130972</v>
      </c>
      <c r="D11" s="3">
        <v>6098229</v>
      </c>
      <c r="E11" s="3">
        <v>2484463</v>
      </c>
      <c r="F11" s="3">
        <v>5872368</v>
      </c>
      <c r="G11" s="25">
        <f t="shared" si="0"/>
        <v>22586032</v>
      </c>
      <c r="H11" s="39">
        <f t="shared" ref="H11:H74" si="5">IF(C11&lt;C4,C11-C4,0)</f>
        <v>0</v>
      </c>
      <c r="I11" s="26">
        <f t="shared" ref="I11:I74" si="6">IF(D11&lt;D4,D11-D4,0)</f>
        <v>0</v>
      </c>
      <c r="J11" s="26">
        <f t="shared" ref="J11:J74" si="7">IF(E11&lt;E4,E11-E4,0)</f>
        <v>0</v>
      </c>
      <c r="K11" s="40">
        <f t="shared" ref="K11:K74" si="8">IF(F11&lt;F4,F11-F4,0)</f>
        <v>0</v>
      </c>
      <c r="L11" s="39">
        <f t="shared" si="2"/>
        <v>234548</v>
      </c>
      <c r="M11" s="26">
        <f t="shared" ref="M11:M12" si="9">IF(D11&gt;D4,D11-D4,0)</f>
        <v>175911</v>
      </c>
      <c r="N11" s="26">
        <f t="shared" ref="N11:N12" si="10">IF(E11&gt;E4,E11-E4,0)</f>
        <v>71667</v>
      </c>
      <c r="O11" s="40">
        <f t="shared" ref="O11:O12" si="11">IF(F11&gt;F4,F11-F4,0)</f>
        <v>169395</v>
      </c>
      <c r="P11">
        <f t="shared" si="4"/>
        <v>651521</v>
      </c>
    </row>
    <row r="12" spans="2:16" x14ac:dyDescent="0.3">
      <c r="B12" s="38">
        <v>43475</v>
      </c>
      <c r="C12" s="3">
        <v>387156</v>
      </c>
      <c r="D12" s="3">
        <v>2873204</v>
      </c>
      <c r="E12" s="3">
        <v>1170564</v>
      </c>
      <c r="F12" s="3">
        <v>6210572</v>
      </c>
      <c r="G12" s="25">
        <f t="shared" si="0"/>
        <v>10641496</v>
      </c>
      <c r="H12" s="39">
        <f t="shared" si="5"/>
        <v>-7118356</v>
      </c>
      <c r="I12" s="26">
        <f t="shared" si="6"/>
        <v>-2755930</v>
      </c>
      <c r="J12" s="26">
        <f t="shared" si="7"/>
        <v>-1122787</v>
      </c>
      <c r="K12" s="40">
        <f t="shared" si="8"/>
        <v>0</v>
      </c>
      <c r="L12" s="39">
        <f t="shared" si="2"/>
        <v>0</v>
      </c>
      <c r="M12" s="26">
        <f t="shared" si="9"/>
        <v>0</v>
      </c>
      <c r="N12" s="26">
        <f t="shared" si="10"/>
        <v>0</v>
      </c>
      <c r="O12" s="40">
        <f t="shared" si="11"/>
        <v>789924</v>
      </c>
      <c r="P12">
        <f t="shared" si="4"/>
        <v>-10207149</v>
      </c>
    </row>
    <row r="13" spans="2:16" x14ac:dyDescent="0.3">
      <c r="B13" s="38">
        <v>43476</v>
      </c>
      <c r="C13" s="3">
        <v>7427330</v>
      </c>
      <c r="D13" s="3">
        <v>5570497</v>
      </c>
      <c r="E13" s="3">
        <v>2269462</v>
      </c>
      <c r="F13" s="3">
        <v>5364183</v>
      </c>
      <c r="G13" s="25">
        <f t="shared" si="0"/>
        <v>20631472</v>
      </c>
      <c r="H13" s="39">
        <f t="shared" si="5"/>
        <v>-390912</v>
      </c>
      <c r="I13" s="26">
        <f t="shared" si="6"/>
        <v>-293184</v>
      </c>
      <c r="J13" s="26">
        <f t="shared" si="7"/>
        <v>-119445</v>
      </c>
      <c r="K13" s="40">
        <f t="shared" si="8"/>
        <v>-282325</v>
      </c>
      <c r="L13" s="39">
        <f t="shared" si="2"/>
        <v>0</v>
      </c>
      <c r="M13" s="26">
        <f t="shared" ref="M13:M30" si="12">IF(D13&gt;D6,D13-D6,0)</f>
        <v>0</v>
      </c>
      <c r="N13" s="26">
        <f t="shared" ref="N13:N30" si="13">IF(E13&gt;E6,E13-E6,0)</f>
        <v>0</v>
      </c>
      <c r="O13" s="40">
        <f t="shared" ref="O13:O30" si="14">IF(F13&gt;F6,F13-F6,0)</f>
        <v>0</v>
      </c>
      <c r="P13">
        <f t="shared" si="4"/>
        <v>-1085866</v>
      </c>
    </row>
    <row r="14" spans="2:16" x14ac:dyDescent="0.3">
      <c r="B14" s="38">
        <v>43477</v>
      </c>
      <c r="C14" s="3">
        <v>15352294</v>
      </c>
      <c r="D14" s="3">
        <v>11514221</v>
      </c>
      <c r="E14" s="3">
        <v>4690978</v>
      </c>
      <c r="F14" s="3">
        <v>11087768</v>
      </c>
      <c r="G14" s="25">
        <f t="shared" si="0"/>
        <v>42645261</v>
      </c>
      <c r="H14" s="39">
        <f t="shared" si="5"/>
        <v>0</v>
      </c>
      <c r="I14" s="26">
        <f t="shared" si="6"/>
        <v>0</v>
      </c>
      <c r="J14" s="26">
        <f t="shared" si="7"/>
        <v>0</v>
      </c>
      <c r="K14" s="40">
        <f t="shared" si="8"/>
        <v>0</v>
      </c>
      <c r="L14" s="39">
        <f t="shared" si="2"/>
        <v>0</v>
      </c>
      <c r="M14" s="26">
        <f t="shared" si="12"/>
        <v>0</v>
      </c>
      <c r="N14" s="26">
        <f t="shared" si="13"/>
        <v>0</v>
      </c>
      <c r="O14" s="40">
        <f t="shared" si="14"/>
        <v>0</v>
      </c>
      <c r="P14">
        <f t="shared" si="4"/>
        <v>0</v>
      </c>
    </row>
    <row r="15" spans="2:16" x14ac:dyDescent="0.3">
      <c r="B15" s="38">
        <v>43478</v>
      </c>
      <c r="C15" s="3">
        <v>16645119</v>
      </c>
      <c r="D15" s="3">
        <v>12483839</v>
      </c>
      <c r="E15" s="3">
        <v>5086008</v>
      </c>
      <c r="F15" s="3">
        <v>12021475</v>
      </c>
      <c r="G15" s="25">
        <f t="shared" si="0"/>
        <v>46236441</v>
      </c>
      <c r="H15" s="39">
        <f t="shared" si="5"/>
        <v>0</v>
      </c>
      <c r="I15" s="26">
        <f t="shared" si="6"/>
        <v>0</v>
      </c>
      <c r="J15" s="26">
        <f t="shared" si="7"/>
        <v>0</v>
      </c>
      <c r="K15" s="40">
        <f t="shared" si="8"/>
        <v>0</v>
      </c>
      <c r="L15" s="39">
        <f t="shared" si="2"/>
        <v>969619</v>
      </c>
      <c r="M15" s="26">
        <f t="shared" si="12"/>
        <v>727214</v>
      </c>
      <c r="N15" s="26">
        <f t="shared" si="13"/>
        <v>296272</v>
      </c>
      <c r="O15" s="40">
        <f t="shared" si="14"/>
        <v>700280</v>
      </c>
      <c r="P15">
        <f t="shared" si="4"/>
        <v>2693385</v>
      </c>
    </row>
    <row r="16" spans="2:16" x14ac:dyDescent="0.3">
      <c r="B16" s="38">
        <v>43479</v>
      </c>
      <c r="C16" s="3">
        <v>7583695</v>
      </c>
      <c r="D16" s="3">
        <v>5687771</v>
      </c>
      <c r="E16" s="3">
        <v>2317240</v>
      </c>
      <c r="F16" s="3">
        <v>5477113</v>
      </c>
      <c r="G16" s="25">
        <f t="shared" si="0"/>
        <v>21065819</v>
      </c>
      <c r="H16" s="39">
        <f t="shared" si="5"/>
        <v>-625459</v>
      </c>
      <c r="I16" s="26">
        <f t="shared" si="6"/>
        <v>-469095</v>
      </c>
      <c r="J16" s="26">
        <f t="shared" si="7"/>
        <v>-191112</v>
      </c>
      <c r="K16" s="40">
        <f t="shared" si="8"/>
        <v>-451720</v>
      </c>
      <c r="L16" s="39">
        <f t="shared" si="2"/>
        <v>0</v>
      </c>
      <c r="M16" s="26">
        <f t="shared" si="12"/>
        <v>0</v>
      </c>
      <c r="N16" s="26">
        <f t="shared" si="13"/>
        <v>0</v>
      </c>
      <c r="O16" s="40">
        <f t="shared" si="14"/>
        <v>0</v>
      </c>
      <c r="P16">
        <f t="shared" si="4"/>
        <v>-1737386</v>
      </c>
    </row>
    <row r="17" spans="2:16" x14ac:dyDescent="0.3">
      <c r="B17" s="38">
        <v>43480</v>
      </c>
      <c r="C17" s="3">
        <v>7661877</v>
      </c>
      <c r="D17" s="3">
        <v>5746408</v>
      </c>
      <c r="E17" s="3">
        <v>2341129</v>
      </c>
      <c r="F17" s="3">
        <v>5533578</v>
      </c>
      <c r="G17" s="25">
        <f t="shared" si="0"/>
        <v>21282992</v>
      </c>
      <c r="H17" s="39">
        <f t="shared" si="5"/>
        <v>-156365</v>
      </c>
      <c r="I17" s="26">
        <f t="shared" si="6"/>
        <v>-117273</v>
      </c>
      <c r="J17" s="26">
        <f t="shared" si="7"/>
        <v>-47778</v>
      </c>
      <c r="K17" s="40">
        <f t="shared" si="8"/>
        <v>-112930</v>
      </c>
      <c r="L17" s="39">
        <f t="shared" si="2"/>
        <v>0</v>
      </c>
      <c r="M17" s="26">
        <f t="shared" si="12"/>
        <v>0</v>
      </c>
      <c r="N17" s="26">
        <f t="shared" si="13"/>
        <v>0</v>
      </c>
      <c r="O17" s="40">
        <f t="shared" si="14"/>
        <v>0</v>
      </c>
      <c r="P17">
        <f t="shared" si="4"/>
        <v>-434346</v>
      </c>
    </row>
    <row r="18" spans="2:16" x14ac:dyDescent="0.3">
      <c r="B18" s="38">
        <v>43481</v>
      </c>
      <c r="C18" s="3">
        <v>7583695</v>
      </c>
      <c r="D18" s="3">
        <v>5687771</v>
      </c>
      <c r="E18" s="3">
        <v>2317240</v>
      </c>
      <c r="F18" s="3">
        <v>5477113</v>
      </c>
      <c r="G18" s="25">
        <f t="shared" si="0"/>
        <v>21065819</v>
      </c>
      <c r="H18" s="39">
        <f t="shared" si="5"/>
        <v>-547277</v>
      </c>
      <c r="I18" s="26">
        <f t="shared" si="6"/>
        <v>-410458</v>
      </c>
      <c r="J18" s="26">
        <f t="shared" si="7"/>
        <v>-167223</v>
      </c>
      <c r="K18" s="40">
        <f t="shared" si="8"/>
        <v>-395255</v>
      </c>
      <c r="L18" s="39">
        <f t="shared" si="2"/>
        <v>0</v>
      </c>
      <c r="M18" s="26">
        <f t="shared" si="12"/>
        <v>0</v>
      </c>
      <c r="N18" s="26">
        <f t="shared" si="13"/>
        <v>0</v>
      </c>
      <c r="O18" s="40">
        <f t="shared" si="14"/>
        <v>0</v>
      </c>
      <c r="P18">
        <f t="shared" si="4"/>
        <v>-1520213</v>
      </c>
    </row>
    <row r="19" spans="2:16" x14ac:dyDescent="0.3">
      <c r="B19" s="38">
        <v>43482</v>
      </c>
      <c r="C19" s="3">
        <v>8052789</v>
      </c>
      <c r="D19" s="3">
        <v>6039592</v>
      </c>
      <c r="E19" s="3">
        <v>2460574</v>
      </c>
      <c r="F19" s="3">
        <v>5815903</v>
      </c>
      <c r="G19" s="25">
        <f t="shared" si="0"/>
        <v>22368858</v>
      </c>
      <c r="H19" s="39">
        <f t="shared" si="5"/>
        <v>0</v>
      </c>
      <c r="I19" s="26">
        <f t="shared" si="6"/>
        <v>0</v>
      </c>
      <c r="J19" s="26">
        <f t="shared" si="7"/>
        <v>0</v>
      </c>
      <c r="K19" s="40">
        <f t="shared" si="8"/>
        <v>-394669</v>
      </c>
      <c r="L19" s="39">
        <f t="shared" si="2"/>
        <v>7665633</v>
      </c>
      <c r="M19" s="26">
        <f t="shared" si="12"/>
        <v>3166388</v>
      </c>
      <c r="N19" s="26">
        <f t="shared" si="13"/>
        <v>1290010</v>
      </c>
      <c r="O19" s="40">
        <f t="shared" si="14"/>
        <v>0</v>
      </c>
      <c r="P19">
        <f t="shared" si="4"/>
        <v>11727362</v>
      </c>
    </row>
    <row r="20" spans="2:16" x14ac:dyDescent="0.3">
      <c r="B20" s="38">
        <v>43483</v>
      </c>
      <c r="C20" s="3">
        <v>7974607</v>
      </c>
      <c r="D20" s="3">
        <v>5980955</v>
      </c>
      <c r="E20" s="3">
        <v>2436685</v>
      </c>
      <c r="F20" s="3">
        <v>5759438</v>
      </c>
      <c r="G20" s="25">
        <f t="shared" si="0"/>
        <v>22151685</v>
      </c>
      <c r="H20" s="39">
        <f t="shared" si="5"/>
        <v>0</v>
      </c>
      <c r="I20" s="26">
        <f t="shared" si="6"/>
        <v>0</v>
      </c>
      <c r="J20" s="26">
        <f t="shared" si="7"/>
        <v>0</v>
      </c>
      <c r="K20" s="40">
        <f t="shared" si="8"/>
        <v>0</v>
      </c>
      <c r="L20" s="39">
        <f t="shared" si="2"/>
        <v>547277</v>
      </c>
      <c r="M20" s="26">
        <f t="shared" si="12"/>
        <v>410458</v>
      </c>
      <c r="N20" s="26">
        <f t="shared" si="13"/>
        <v>167223</v>
      </c>
      <c r="O20" s="40">
        <f t="shared" si="14"/>
        <v>395255</v>
      </c>
      <c r="P20">
        <f t="shared" si="4"/>
        <v>1520213</v>
      </c>
    </row>
    <row r="21" spans="2:16" x14ac:dyDescent="0.3">
      <c r="B21" s="38">
        <v>43484</v>
      </c>
      <c r="C21" s="3">
        <v>15352294</v>
      </c>
      <c r="D21" s="3">
        <v>11514221</v>
      </c>
      <c r="E21" s="3">
        <v>4690978</v>
      </c>
      <c r="F21" s="3">
        <v>11087768</v>
      </c>
      <c r="G21" s="25">
        <f t="shared" si="0"/>
        <v>42645261</v>
      </c>
      <c r="H21" s="39">
        <f t="shared" si="5"/>
        <v>0</v>
      </c>
      <c r="I21" s="26">
        <f t="shared" si="6"/>
        <v>0</v>
      </c>
      <c r="J21" s="26">
        <f t="shared" si="7"/>
        <v>0</v>
      </c>
      <c r="K21" s="40">
        <f t="shared" si="8"/>
        <v>0</v>
      </c>
      <c r="L21" s="39">
        <f t="shared" si="2"/>
        <v>0</v>
      </c>
      <c r="M21" s="26">
        <f t="shared" si="12"/>
        <v>0</v>
      </c>
      <c r="N21" s="26">
        <f t="shared" si="13"/>
        <v>0</v>
      </c>
      <c r="O21" s="40">
        <f t="shared" si="14"/>
        <v>0</v>
      </c>
      <c r="P21">
        <f t="shared" si="4"/>
        <v>0</v>
      </c>
    </row>
    <row r="22" spans="2:16" x14ac:dyDescent="0.3">
      <c r="B22" s="38">
        <v>43485</v>
      </c>
      <c r="C22" s="3">
        <v>15998707</v>
      </c>
      <c r="D22" s="3">
        <v>11999030</v>
      </c>
      <c r="E22" s="3">
        <v>4888493</v>
      </c>
      <c r="F22" s="3">
        <v>11554621</v>
      </c>
      <c r="G22" s="25">
        <f t="shared" si="0"/>
        <v>44440851</v>
      </c>
      <c r="H22" s="39">
        <f t="shared" si="5"/>
        <v>-646412</v>
      </c>
      <c r="I22" s="26">
        <f t="shared" si="6"/>
        <v>-484809</v>
      </c>
      <c r="J22" s="26">
        <f t="shared" si="7"/>
        <v>-197515</v>
      </c>
      <c r="K22" s="40">
        <f t="shared" si="8"/>
        <v>-466854</v>
      </c>
      <c r="L22" s="39">
        <f t="shared" si="2"/>
        <v>0</v>
      </c>
      <c r="M22" s="26">
        <f t="shared" si="12"/>
        <v>0</v>
      </c>
      <c r="N22" s="26">
        <f t="shared" si="13"/>
        <v>0</v>
      </c>
      <c r="O22" s="40">
        <f t="shared" si="14"/>
        <v>0</v>
      </c>
      <c r="P22">
        <f t="shared" si="4"/>
        <v>-1795590</v>
      </c>
    </row>
    <row r="23" spans="2:16" x14ac:dyDescent="0.3">
      <c r="B23" s="38">
        <v>43486</v>
      </c>
      <c r="C23" s="3">
        <v>7974607</v>
      </c>
      <c r="D23" s="3">
        <v>5980955</v>
      </c>
      <c r="E23" s="3">
        <v>2436685</v>
      </c>
      <c r="F23" s="3">
        <v>5759438</v>
      </c>
      <c r="G23" s="25">
        <f t="shared" si="0"/>
        <v>22151685</v>
      </c>
      <c r="H23" s="39">
        <f t="shared" si="5"/>
        <v>0</v>
      </c>
      <c r="I23" s="26">
        <f t="shared" si="6"/>
        <v>0</v>
      </c>
      <c r="J23" s="26">
        <f t="shared" si="7"/>
        <v>0</v>
      </c>
      <c r="K23" s="40">
        <f t="shared" si="8"/>
        <v>0</v>
      </c>
      <c r="L23" s="39">
        <f t="shared" si="2"/>
        <v>390912</v>
      </c>
      <c r="M23" s="26">
        <f t="shared" si="12"/>
        <v>293184</v>
      </c>
      <c r="N23" s="26">
        <f t="shared" si="13"/>
        <v>119445</v>
      </c>
      <c r="O23" s="40">
        <f t="shared" si="14"/>
        <v>282325</v>
      </c>
      <c r="P23">
        <f t="shared" si="4"/>
        <v>1085866</v>
      </c>
    </row>
    <row r="24" spans="2:16" x14ac:dyDescent="0.3">
      <c r="B24" s="38">
        <v>43487</v>
      </c>
      <c r="C24" s="3">
        <v>13525559</v>
      </c>
      <c r="D24" s="3">
        <v>2028833</v>
      </c>
      <c r="E24" s="3">
        <v>19827367</v>
      </c>
      <c r="F24" s="3">
        <v>2189238</v>
      </c>
      <c r="G24" s="25">
        <f t="shared" si="0"/>
        <v>37570997</v>
      </c>
      <c r="H24" s="39">
        <f t="shared" si="5"/>
        <v>0</v>
      </c>
      <c r="I24" s="26">
        <f t="shared" si="6"/>
        <v>-3717575</v>
      </c>
      <c r="J24" s="26">
        <f t="shared" si="7"/>
        <v>0</v>
      </c>
      <c r="K24" s="40">
        <f t="shared" si="8"/>
        <v>-3344340</v>
      </c>
      <c r="L24" s="39">
        <f t="shared" si="2"/>
        <v>5863682</v>
      </c>
      <c r="M24" s="26">
        <f t="shared" si="12"/>
        <v>0</v>
      </c>
      <c r="N24" s="26">
        <f t="shared" si="13"/>
        <v>17486238</v>
      </c>
      <c r="O24" s="40">
        <f t="shared" si="14"/>
        <v>0</v>
      </c>
      <c r="P24">
        <f t="shared" si="4"/>
        <v>16288005</v>
      </c>
    </row>
    <row r="25" spans="2:16" x14ac:dyDescent="0.3">
      <c r="B25" s="38">
        <v>43488</v>
      </c>
      <c r="C25" s="3">
        <v>7740060</v>
      </c>
      <c r="D25" s="3">
        <v>5805045</v>
      </c>
      <c r="E25" s="3">
        <v>2365018</v>
      </c>
      <c r="F25" s="3">
        <v>5590043</v>
      </c>
      <c r="G25" s="25">
        <f t="shared" si="0"/>
        <v>21500166</v>
      </c>
      <c r="H25" s="39">
        <f t="shared" si="5"/>
        <v>0</v>
      </c>
      <c r="I25" s="26">
        <f t="shared" si="6"/>
        <v>0</v>
      </c>
      <c r="J25" s="26">
        <f t="shared" si="7"/>
        <v>0</v>
      </c>
      <c r="K25" s="40">
        <f t="shared" si="8"/>
        <v>0</v>
      </c>
      <c r="L25" s="39">
        <f t="shared" si="2"/>
        <v>156365</v>
      </c>
      <c r="M25" s="26">
        <f t="shared" si="12"/>
        <v>117274</v>
      </c>
      <c r="N25" s="26">
        <f t="shared" si="13"/>
        <v>47778</v>
      </c>
      <c r="O25" s="40">
        <f t="shared" si="14"/>
        <v>112930</v>
      </c>
      <c r="P25">
        <f t="shared" si="4"/>
        <v>434347</v>
      </c>
    </row>
    <row r="26" spans="2:16" x14ac:dyDescent="0.3">
      <c r="B26" s="38">
        <v>43489</v>
      </c>
      <c r="C26" s="3">
        <v>7427330</v>
      </c>
      <c r="D26" s="3">
        <v>5570497</v>
      </c>
      <c r="E26" s="3">
        <v>2269462</v>
      </c>
      <c r="F26" s="3">
        <v>5364183</v>
      </c>
      <c r="G26" s="25">
        <f t="shared" si="0"/>
        <v>20631472</v>
      </c>
      <c r="H26" s="39">
        <f t="shared" si="5"/>
        <v>-625459</v>
      </c>
      <c r="I26" s="26">
        <f t="shared" si="6"/>
        <v>-469095</v>
      </c>
      <c r="J26" s="26">
        <f t="shared" si="7"/>
        <v>-191112</v>
      </c>
      <c r="K26" s="40">
        <f t="shared" si="8"/>
        <v>-451720</v>
      </c>
      <c r="L26" s="39">
        <f t="shared" si="2"/>
        <v>0</v>
      </c>
      <c r="M26" s="26">
        <f t="shared" si="12"/>
        <v>0</v>
      </c>
      <c r="N26" s="26">
        <f t="shared" si="13"/>
        <v>0</v>
      </c>
      <c r="O26" s="40">
        <f t="shared" si="14"/>
        <v>0</v>
      </c>
      <c r="P26">
        <f t="shared" si="4"/>
        <v>-1737386</v>
      </c>
    </row>
    <row r="27" spans="2:16" x14ac:dyDescent="0.3">
      <c r="B27" s="38">
        <v>43490</v>
      </c>
      <c r="C27" s="3">
        <v>7427330</v>
      </c>
      <c r="D27" s="3">
        <v>5570497</v>
      </c>
      <c r="E27" s="3">
        <v>2269462</v>
      </c>
      <c r="F27" s="3">
        <v>5364183</v>
      </c>
      <c r="G27" s="25">
        <f t="shared" si="0"/>
        <v>20631472</v>
      </c>
      <c r="H27" s="39">
        <f t="shared" si="5"/>
        <v>-547277</v>
      </c>
      <c r="I27" s="26">
        <f t="shared" si="6"/>
        <v>-410458</v>
      </c>
      <c r="J27" s="26">
        <f t="shared" si="7"/>
        <v>-167223</v>
      </c>
      <c r="K27" s="40">
        <f t="shared" si="8"/>
        <v>-395255</v>
      </c>
      <c r="L27" s="39">
        <f t="shared" si="2"/>
        <v>0</v>
      </c>
      <c r="M27" s="26">
        <f t="shared" si="12"/>
        <v>0</v>
      </c>
      <c r="N27" s="26">
        <f t="shared" si="13"/>
        <v>0</v>
      </c>
      <c r="O27" s="40">
        <f t="shared" si="14"/>
        <v>0</v>
      </c>
      <c r="P27">
        <f t="shared" si="4"/>
        <v>-1520213</v>
      </c>
    </row>
    <row r="28" spans="2:16" x14ac:dyDescent="0.3">
      <c r="B28" s="38">
        <v>43491</v>
      </c>
      <c r="C28" s="3">
        <v>16968325</v>
      </c>
      <c r="D28" s="3">
        <v>12726244</v>
      </c>
      <c r="E28" s="3">
        <v>5184766</v>
      </c>
      <c r="F28" s="3">
        <v>12254901</v>
      </c>
      <c r="G28" s="25">
        <f t="shared" si="0"/>
        <v>47134236</v>
      </c>
      <c r="H28" s="39">
        <f t="shared" si="5"/>
        <v>0</v>
      </c>
      <c r="I28" s="26">
        <f t="shared" si="6"/>
        <v>0</v>
      </c>
      <c r="J28" s="26">
        <f t="shared" si="7"/>
        <v>0</v>
      </c>
      <c r="K28" s="40">
        <f t="shared" si="8"/>
        <v>0</v>
      </c>
      <c r="L28" s="39">
        <f t="shared" si="2"/>
        <v>1616031</v>
      </c>
      <c r="M28" s="26">
        <f t="shared" si="12"/>
        <v>1212023</v>
      </c>
      <c r="N28" s="26">
        <f t="shared" si="13"/>
        <v>493788</v>
      </c>
      <c r="O28" s="40">
        <f t="shared" si="14"/>
        <v>1167133</v>
      </c>
      <c r="P28">
        <f t="shared" si="4"/>
        <v>4488975</v>
      </c>
    </row>
    <row r="29" spans="2:16" x14ac:dyDescent="0.3">
      <c r="B29" s="38">
        <v>43492</v>
      </c>
      <c r="C29" s="3">
        <v>16321913</v>
      </c>
      <c r="D29" s="3">
        <v>12241435</v>
      </c>
      <c r="E29" s="3">
        <v>4987251</v>
      </c>
      <c r="F29" s="3">
        <v>11788048</v>
      </c>
      <c r="G29" s="25">
        <f t="shared" si="0"/>
        <v>45338647</v>
      </c>
      <c r="H29" s="39">
        <f t="shared" si="5"/>
        <v>0</v>
      </c>
      <c r="I29" s="26">
        <f t="shared" si="6"/>
        <v>0</v>
      </c>
      <c r="J29" s="26">
        <f t="shared" si="7"/>
        <v>0</v>
      </c>
      <c r="K29" s="40">
        <f t="shared" si="8"/>
        <v>0</v>
      </c>
      <c r="L29" s="39">
        <f t="shared" si="2"/>
        <v>323206</v>
      </c>
      <c r="M29" s="26">
        <f t="shared" si="12"/>
        <v>242405</v>
      </c>
      <c r="N29" s="26">
        <f t="shared" si="13"/>
        <v>98758</v>
      </c>
      <c r="O29" s="40">
        <f t="shared" si="14"/>
        <v>233427</v>
      </c>
      <c r="P29">
        <f t="shared" si="4"/>
        <v>897796</v>
      </c>
    </row>
    <row r="30" spans="2:16" x14ac:dyDescent="0.3">
      <c r="B30" s="38">
        <v>43493</v>
      </c>
      <c r="C30" s="3">
        <v>7661877</v>
      </c>
      <c r="D30" s="3">
        <v>5746408</v>
      </c>
      <c r="E30" s="3">
        <v>2341129</v>
      </c>
      <c r="F30" s="3">
        <v>5533578</v>
      </c>
      <c r="G30" s="25">
        <f t="shared" si="0"/>
        <v>21282992</v>
      </c>
      <c r="H30" s="39">
        <f t="shared" si="5"/>
        <v>-312730</v>
      </c>
      <c r="I30" s="26">
        <f t="shared" si="6"/>
        <v>-234547</v>
      </c>
      <c r="J30" s="26">
        <f t="shared" si="7"/>
        <v>-95556</v>
      </c>
      <c r="K30" s="40">
        <f t="shared" si="8"/>
        <v>-225860</v>
      </c>
      <c r="L30" s="39">
        <f t="shared" si="2"/>
        <v>0</v>
      </c>
      <c r="M30" s="26">
        <f t="shared" si="12"/>
        <v>0</v>
      </c>
      <c r="N30" s="26">
        <f t="shared" si="13"/>
        <v>0</v>
      </c>
      <c r="O30" s="40">
        <f t="shared" si="14"/>
        <v>0</v>
      </c>
      <c r="P30">
        <f t="shared" si="4"/>
        <v>-868693</v>
      </c>
    </row>
    <row r="31" spans="2:16" x14ac:dyDescent="0.3">
      <c r="B31" s="38">
        <v>43494</v>
      </c>
      <c r="C31" s="3">
        <v>8052789</v>
      </c>
      <c r="D31" s="3">
        <v>6039592</v>
      </c>
      <c r="E31" s="3">
        <v>2460574</v>
      </c>
      <c r="F31" s="3">
        <v>5815903</v>
      </c>
      <c r="G31" s="25">
        <f t="shared" si="0"/>
        <v>22368858</v>
      </c>
      <c r="H31" s="39">
        <f t="shared" si="5"/>
        <v>-5472770</v>
      </c>
      <c r="I31" s="26">
        <f t="shared" si="6"/>
        <v>0</v>
      </c>
      <c r="J31" s="26">
        <f t="shared" si="7"/>
        <v>-17366793</v>
      </c>
      <c r="K31" s="40">
        <f t="shared" si="8"/>
        <v>0</v>
      </c>
      <c r="L31" s="39">
        <f t="shared" si="2"/>
        <v>0</v>
      </c>
      <c r="M31" s="26">
        <f t="shared" ref="M31:M94" si="15">IF(D31&gt;D24,D31-D24,0)</f>
        <v>4010759</v>
      </c>
      <c r="N31" s="26">
        <f t="shared" ref="N31:N94" si="16">IF(E31&gt;E24,E31-E24,0)</f>
        <v>0</v>
      </c>
      <c r="O31" s="40">
        <f t="shared" ref="O31:O94" si="17">IF(F31&gt;F24,F31-F24,0)</f>
        <v>3626665</v>
      </c>
      <c r="P31">
        <f t="shared" si="4"/>
        <v>-15202139</v>
      </c>
    </row>
    <row r="32" spans="2:16" x14ac:dyDescent="0.3">
      <c r="B32" s="38">
        <v>43495</v>
      </c>
      <c r="C32" s="3">
        <v>8052789</v>
      </c>
      <c r="D32" s="3">
        <v>6039592</v>
      </c>
      <c r="E32" s="3">
        <v>2460574</v>
      </c>
      <c r="F32" s="3">
        <v>5815903</v>
      </c>
      <c r="G32" s="25">
        <f t="shared" si="0"/>
        <v>22368858</v>
      </c>
      <c r="H32" s="39">
        <f t="shared" si="5"/>
        <v>0</v>
      </c>
      <c r="I32" s="26">
        <f t="shared" si="6"/>
        <v>0</v>
      </c>
      <c r="J32" s="26">
        <f t="shared" si="7"/>
        <v>0</v>
      </c>
      <c r="K32" s="40">
        <f t="shared" si="8"/>
        <v>0</v>
      </c>
      <c r="L32" s="39">
        <f t="shared" si="2"/>
        <v>312729</v>
      </c>
      <c r="M32" s="26">
        <f t="shared" si="15"/>
        <v>234547</v>
      </c>
      <c r="N32" s="26">
        <f t="shared" si="16"/>
        <v>95556</v>
      </c>
      <c r="O32" s="40">
        <f t="shared" si="17"/>
        <v>225860</v>
      </c>
      <c r="P32">
        <f t="shared" si="4"/>
        <v>868692</v>
      </c>
    </row>
    <row r="33" spans="2:16" x14ac:dyDescent="0.3">
      <c r="B33" s="38">
        <v>43496</v>
      </c>
      <c r="C33" s="3">
        <v>7505512</v>
      </c>
      <c r="D33" s="3">
        <v>5629134</v>
      </c>
      <c r="E33" s="3">
        <v>2293351</v>
      </c>
      <c r="F33" s="3">
        <v>5420648</v>
      </c>
      <c r="G33" s="25">
        <f t="shared" si="0"/>
        <v>20848645</v>
      </c>
      <c r="H33" s="39">
        <f t="shared" si="5"/>
        <v>0</v>
      </c>
      <c r="I33" s="26">
        <f t="shared" si="6"/>
        <v>0</v>
      </c>
      <c r="J33" s="26">
        <f t="shared" si="7"/>
        <v>0</v>
      </c>
      <c r="K33" s="40">
        <f t="shared" si="8"/>
        <v>0</v>
      </c>
      <c r="L33" s="39">
        <f t="shared" si="2"/>
        <v>78182</v>
      </c>
      <c r="M33" s="26">
        <f t="shared" si="15"/>
        <v>58637</v>
      </c>
      <c r="N33" s="26">
        <f t="shared" si="16"/>
        <v>23889</v>
      </c>
      <c r="O33" s="40">
        <f t="shared" si="17"/>
        <v>56465</v>
      </c>
      <c r="P33">
        <f t="shared" si="4"/>
        <v>217173</v>
      </c>
    </row>
    <row r="34" spans="2:16" x14ac:dyDescent="0.3">
      <c r="B34" s="38">
        <v>43497</v>
      </c>
      <c r="C34" s="3">
        <v>7427330</v>
      </c>
      <c r="D34" s="3">
        <v>5570497</v>
      </c>
      <c r="E34" s="3">
        <v>2269462</v>
      </c>
      <c r="F34" s="3">
        <v>5364183</v>
      </c>
      <c r="G34" s="25">
        <f t="shared" si="0"/>
        <v>20631472</v>
      </c>
      <c r="H34" s="39">
        <f t="shared" si="5"/>
        <v>0</v>
      </c>
      <c r="I34" s="26">
        <f t="shared" si="6"/>
        <v>0</v>
      </c>
      <c r="J34" s="26">
        <f t="shared" si="7"/>
        <v>0</v>
      </c>
      <c r="K34" s="40">
        <f t="shared" si="8"/>
        <v>0</v>
      </c>
      <c r="L34" s="39">
        <f t="shared" si="2"/>
        <v>0</v>
      </c>
      <c r="M34" s="26">
        <f t="shared" si="15"/>
        <v>0</v>
      </c>
      <c r="N34" s="26">
        <f t="shared" si="16"/>
        <v>0</v>
      </c>
      <c r="O34" s="40">
        <f t="shared" si="17"/>
        <v>0</v>
      </c>
      <c r="P34">
        <f t="shared" si="4"/>
        <v>0</v>
      </c>
    </row>
    <row r="35" spans="2:16" x14ac:dyDescent="0.3">
      <c r="B35" s="38">
        <v>43498</v>
      </c>
      <c r="C35" s="3">
        <v>15675500</v>
      </c>
      <c r="D35" s="3">
        <v>11756625</v>
      </c>
      <c r="E35" s="3">
        <v>4789736</v>
      </c>
      <c r="F35" s="3">
        <v>11321195</v>
      </c>
      <c r="G35" s="25">
        <f t="shared" si="0"/>
        <v>43543056</v>
      </c>
      <c r="H35" s="39">
        <f t="shared" si="5"/>
        <v>-1292825</v>
      </c>
      <c r="I35" s="26">
        <f t="shared" si="6"/>
        <v>-969619</v>
      </c>
      <c r="J35" s="26">
        <f t="shared" si="7"/>
        <v>-395030</v>
      </c>
      <c r="K35" s="40">
        <f t="shared" si="8"/>
        <v>-933706</v>
      </c>
      <c r="L35" s="39">
        <f t="shared" si="2"/>
        <v>0</v>
      </c>
      <c r="M35" s="26">
        <f t="shared" si="15"/>
        <v>0</v>
      </c>
      <c r="N35" s="26">
        <f t="shared" si="16"/>
        <v>0</v>
      </c>
      <c r="O35" s="40">
        <f t="shared" si="17"/>
        <v>0</v>
      </c>
      <c r="P35">
        <f t="shared" si="4"/>
        <v>-3591180</v>
      </c>
    </row>
    <row r="36" spans="2:16" x14ac:dyDescent="0.3">
      <c r="B36" s="38">
        <v>43499</v>
      </c>
      <c r="C36" s="3">
        <v>16160310</v>
      </c>
      <c r="D36" s="3">
        <v>12120232</v>
      </c>
      <c r="E36" s="3">
        <v>4937872</v>
      </c>
      <c r="F36" s="3">
        <v>11671335</v>
      </c>
      <c r="G36" s="25">
        <f t="shared" si="0"/>
        <v>44889749</v>
      </c>
      <c r="H36" s="39">
        <f t="shared" si="5"/>
        <v>-161603</v>
      </c>
      <c r="I36" s="26">
        <f t="shared" si="6"/>
        <v>-121203</v>
      </c>
      <c r="J36" s="26">
        <f t="shared" si="7"/>
        <v>-49379</v>
      </c>
      <c r="K36" s="40">
        <f t="shared" si="8"/>
        <v>-116713</v>
      </c>
      <c r="L36" s="39">
        <f t="shared" si="2"/>
        <v>0</v>
      </c>
      <c r="M36" s="26">
        <f t="shared" si="15"/>
        <v>0</v>
      </c>
      <c r="N36" s="26">
        <f t="shared" si="16"/>
        <v>0</v>
      </c>
      <c r="O36" s="40">
        <f t="shared" si="17"/>
        <v>0</v>
      </c>
      <c r="P36">
        <f t="shared" si="4"/>
        <v>-448898</v>
      </c>
    </row>
    <row r="37" spans="2:16" x14ac:dyDescent="0.3">
      <c r="B37" s="38">
        <v>43500</v>
      </c>
      <c r="C37" s="3">
        <v>7661877</v>
      </c>
      <c r="D37" s="3">
        <v>5746408</v>
      </c>
      <c r="E37" s="3">
        <v>2341129</v>
      </c>
      <c r="F37" s="3">
        <v>5533578</v>
      </c>
      <c r="G37" s="25">
        <f t="shared" si="0"/>
        <v>21282992</v>
      </c>
      <c r="H37" s="39">
        <f t="shared" si="5"/>
        <v>0</v>
      </c>
      <c r="I37" s="26">
        <f t="shared" si="6"/>
        <v>0</v>
      </c>
      <c r="J37" s="26">
        <f t="shared" si="7"/>
        <v>0</v>
      </c>
      <c r="K37" s="40">
        <f t="shared" si="8"/>
        <v>0</v>
      </c>
      <c r="L37" s="39">
        <f t="shared" si="2"/>
        <v>0</v>
      </c>
      <c r="M37" s="26">
        <f t="shared" si="15"/>
        <v>0</v>
      </c>
      <c r="N37" s="26">
        <f t="shared" si="16"/>
        <v>0</v>
      </c>
      <c r="O37" s="40">
        <f t="shared" si="17"/>
        <v>0</v>
      </c>
      <c r="P37">
        <f t="shared" si="4"/>
        <v>0</v>
      </c>
    </row>
    <row r="38" spans="2:16" x14ac:dyDescent="0.3">
      <c r="B38" s="38">
        <v>43501</v>
      </c>
      <c r="C38" s="3">
        <v>8052789</v>
      </c>
      <c r="D38" s="3">
        <v>6039592</v>
      </c>
      <c r="E38" s="3">
        <v>2460574</v>
      </c>
      <c r="F38" s="3">
        <v>5815903</v>
      </c>
      <c r="G38" s="25">
        <f t="shared" si="0"/>
        <v>22368858</v>
      </c>
      <c r="H38" s="39">
        <f t="shared" si="5"/>
        <v>0</v>
      </c>
      <c r="I38" s="26">
        <f t="shared" si="6"/>
        <v>0</v>
      </c>
      <c r="J38" s="26">
        <f t="shared" si="7"/>
        <v>0</v>
      </c>
      <c r="K38" s="40">
        <f t="shared" si="8"/>
        <v>0</v>
      </c>
      <c r="L38" s="39">
        <f t="shared" si="2"/>
        <v>0</v>
      </c>
      <c r="M38" s="26">
        <f t="shared" si="15"/>
        <v>0</v>
      </c>
      <c r="N38" s="26">
        <f t="shared" si="16"/>
        <v>0</v>
      </c>
      <c r="O38" s="40">
        <f t="shared" si="17"/>
        <v>0</v>
      </c>
      <c r="P38">
        <f t="shared" si="4"/>
        <v>0</v>
      </c>
    </row>
    <row r="39" spans="2:16" x14ac:dyDescent="0.3">
      <c r="B39" s="38">
        <v>43502</v>
      </c>
      <c r="C39" s="3">
        <v>7427330</v>
      </c>
      <c r="D39" s="3">
        <v>5570497</v>
      </c>
      <c r="E39" s="3">
        <v>2269462</v>
      </c>
      <c r="F39" s="3">
        <v>5364183</v>
      </c>
      <c r="G39" s="25">
        <f t="shared" si="0"/>
        <v>20631472</v>
      </c>
      <c r="H39" s="39">
        <f t="shared" si="5"/>
        <v>-625459</v>
      </c>
      <c r="I39" s="26">
        <f t="shared" si="6"/>
        <v>-469095</v>
      </c>
      <c r="J39" s="26">
        <f t="shared" si="7"/>
        <v>-191112</v>
      </c>
      <c r="K39" s="40">
        <f t="shared" si="8"/>
        <v>-451720</v>
      </c>
      <c r="L39" s="39">
        <f t="shared" si="2"/>
        <v>0</v>
      </c>
      <c r="M39" s="26">
        <f t="shared" si="15"/>
        <v>0</v>
      </c>
      <c r="N39" s="26">
        <f t="shared" si="16"/>
        <v>0</v>
      </c>
      <c r="O39" s="40">
        <f t="shared" si="17"/>
        <v>0</v>
      </c>
      <c r="P39">
        <f t="shared" si="4"/>
        <v>-1737386</v>
      </c>
    </row>
    <row r="40" spans="2:16" x14ac:dyDescent="0.3">
      <c r="B40" s="38">
        <v>43503</v>
      </c>
      <c r="C40" s="3">
        <v>7974607</v>
      </c>
      <c r="D40" s="3">
        <v>5980955</v>
      </c>
      <c r="E40" s="3">
        <v>2436685</v>
      </c>
      <c r="F40" s="3">
        <v>5759438</v>
      </c>
      <c r="G40" s="25">
        <f t="shared" si="0"/>
        <v>22151685</v>
      </c>
      <c r="H40" s="39">
        <f t="shared" si="5"/>
        <v>0</v>
      </c>
      <c r="I40" s="26">
        <f t="shared" si="6"/>
        <v>0</v>
      </c>
      <c r="J40" s="26">
        <f t="shared" si="7"/>
        <v>0</v>
      </c>
      <c r="K40" s="40">
        <f t="shared" si="8"/>
        <v>0</v>
      </c>
      <c r="L40" s="39">
        <f t="shared" si="2"/>
        <v>469095</v>
      </c>
      <c r="M40" s="26">
        <f t="shared" si="15"/>
        <v>351821</v>
      </c>
      <c r="N40" s="26">
        <f t="shared" si="16"/>
        <v>143334</v>
      </c>
      <c r="O40" s="40">
        <f t="shared" si="17"/>
        <v>338790</v>
      </c>
      <c r="P40">
        <f t="shared" si="4"/>
        <v>1303040</v>
      </c>
    </row>
    <row r="41" spans="2:16" x14ac:dyDescent="0.3">
      <c r="B41" s="38">
        <v>43504</v>
      </c>
      <c r="C41" s="3">
        <v>7896424</v>
      </c>
      <c r="D41" s="3">
        <v>5922318</v>
      </c>
      <c r="E41" s="3">
        <v>2412796</v>
      </c>
      <c r="F41" s="3">
        <v>5702973</v>
      </c>
      <c r="G41" s="25">
        <f t="shared" si="0"/>
        <v>21934511</v>
      </c>
      <c r="H41" s="39">
        <f t="shared" si="5"/>
        <v>0</v>
      </c>
      <c r="I41" s="26">
        <f t="shared" si="6"/>
        <v>0</v>
      </c>
      <c r="J41" s="26">
        <f t="shared" si="7"/>
        <v>0</v>
      </c>
      <c r="K41" s="40">
        <f t="shared" si="8"/>
        <v>0</v>
      </c>
      <c r="L41" s="39">
        <f t="shared" si="2"/>
        <v>469094</v>
      </c>
      <c r="M41" s="26">
        <f t="shared" si="15"/>
        <v>351821</v>
      </c>
      <c r="N41" s="26">
        <f t="shared" si="16"/>
        <v>143334</v>
      </c>
      <c r="O41" s="40">
        <f t="shared" si="17"/>
        <v>338790</v>
      </c>
      <c r="P41">
        <f t="shared" si="4"/>
        <v>1303039</v>
      </c>
    </row>
    <row r="42" spans="2:16" x14ac:dyDescent="0.3">
      <c r="B42" s="38">
        <v>43505</v>
      </c>
      <c r="C42" s="3">
        <v>15837104</v>
      </c>
      <c r="D42" s="3">
        <v>11877828</v>
      </c>
      <c r="E42" s="3">
        <v>4839115</v>
      </c>
      <c r="F42" s="3">
        <v>11437908</v>
      </c>
      <c r="G42" s="25">
        <f t="shared" si="0"/>
        <v>43991955</v>
      </c>
      <c r="H42" s="39">
        <f t="shared" si="5"/>
        <v>0</v>
      </c>
      <c r="I42" s="26">
        <f t="shared" si="6"/>
        <v>0</v>
      </c>
      <c r="J42" s="26">
        <f t="shared" si="7"/>
        <v>0</v>
      </c>
      <c r="K42" s="40">
        <f t="shared" si="8"/>
        <v>0</v>
      </c>
      <c r="L42" s="39">
        <f t="shared" si="2"/>
        <v>161604</v>
      </c>
      <c r="M42" s="26">
        <f t="shared" si="15"/>
        <v>121203</v>
      </c>
      <c r="N42" s="26">
        <f t="shared" si="16"/>
        <v>49379</v>
      </c>
      <c r="O42" s="40">
        <f t="shared" si="17"/>
        <v>116713</v>
      </c>
      <c r="P42">
        <f t="shared" ref="P42:P73" si="18">G42-G35</f>
        <v>448899</v>
      </c>
    </row>
    <row r="43" spans="2:16" x14ac:dyDescent="0.3">
      <c r="B43" s="38">
        <v>43506</v>
      </c>
      <c r="C43" s="3">
        <v>16645119</v>
      </c>
      <c r="D43" s="3">
        <v>12483839</v>
      </c>
      <c r="E43" s="3">
        <v>5086008</v>
      </c>
      <c r="F43" s="3">
        <v>12021475</v>
      </c>
      <c r="G43" s="25">
        <f t="shared" si="0"/>
        <v>46236441</v>
      </c>
      <c r="H43" s="39">
        <f t="shared" si="5"/>
        <v>0</v>
      </c>
      <c r="I43" s="26">
        <f t="shared" si="6"/>
        <v>0</v>
      </c>
      <c r="J43" s="26">
        <f t="shared" si="7"/>
        <v>0</v>
      </c>
      <c r="K43" s="40">
        <f t="shared" si="8"/>
        <v>0</v>
      </c>
      <c r="L43" s="39">
        <f t="shared" si="2"/>
        <v>484809</v>
      </c>
      <c r="M43" s="26">
        <f t="shared" si="15"/>
        <v>363607</v>
      </c>
      <c r="N43" s="26">
        <f t="shared" si="16"/>
        <v>148136</v>
      </c>
      <c r="O43" s="40">
        <f t="shared" si="17"/>
        <v>350140</v>
      </c>
      <c r="P43">
        <f t="shared" si="18"/>
        <v>1346692</v>
      </c>
    </row>
    <row r="44" spans="2:16" x14ac:dyDescent="0.3">
      <c r="B44" s="38">
        <v>43507</v>
      </c>
      <c r="C44" s="3">
        <v>8052789</v>
      </c>
      <c r="D44" s="3">
        <v>6039592</v>
      </c>
      <c r="E44" s="3">
        <v>2460574</v>
      </c>
      <c r="F44" s="3">
        <v>5815903</v>
      </c>
      <c r="G44" s="25">
        <f t="shared" si="0"/>
        <v>22368858</v>
      </c>
      <c r="H44" s="39">
        <f t="shared" si="5"/>
        <v>0</v>
      </c>
      <c r="I44" s="26">
        <f t="shared" si="6"/>
        <v>0</v>
      </c>
      <c r="J44" s="26">
        <f t="shared" si="7"/>
        <v>0</v>
      </c>
      <c r="K44" s="40">
        <f t="shared" si="8"/>
        <v>0</v>
      </c>
      <c r="L44" s="39">
        <f t="shared" si="2"/>
        <v>390912</v>
      </c>
      <c r="M44" s="26">
        <f t="shared" si="15"/>
        <v>293184</v>
      </c>
      <c r="N44" s="26">
        <f t="shared" si="16"/>
        <v>119445</v>
      </c>
      <c r="O44" s="40">
        <f t="shared" si="17"/>
        <v>282325</v>
      </c>
      <c r="P44">
        <f t="shared" si="18"/>
        <v>1085866</v>
      </c>
    </row>
    <row r="45" spans="2:16" x14ac:dyDescent="0.3">
      <c r="B45" s="38">
        <v>43508</v>
      </c>
      <c r="C45" s="3">
        <v>8209154</v>
      </c>
      <c r="D45" s="3">
        <v>6156866</v>
      </c>
      <c r="E45" s="3">
        <v>2508352</v>
      </c>
      <c r="F45" s="3">
        <v>5928833</v>
      </c>
      <c r="G45" s="25">
        <f t="shared" si="0"/>
        <v>22803205</v>
      </c>
      <c r="H45" s="39">
        <f t="shared" si="5"/>
        <v>0</v>
      </c>
      <c r="I45" s="26">
        <f t="shared" si="6"/>
        <v>0</v>
      </c>
      <c r="J45" s="26">
        <f t="shared" si="7"/>
        <v>0</v>
      </c>
      <c r="K45" s="40">
        <f t="shared" si="8"/>
        <v>0</v>
      </c>
      <c r="L45" s="39">
        <f t="shared" si="2"/>
        <v>156365</v>
      </c>
      <c r="M45" s="26">
        <f t="shared" si="15"/>
        <v>117274</v>
      </c>
      <c r="N45" s="26">
        <f t="shared" si="16"/>
        <v>47778</v>
      </c>
      <c r="O45" s="40">
        <f t="shared" si="17"/>
        <v>112930</v>
      </c>
      <c r="P45">
        <f t="shared" si="18"/>
        <v>434347</v>
      </c>
    </row>
    <row r="46" spans="2:16" x14ac:dyDescent="0.3">
      <c r="B46" s="38">
        <v>43509</v>
      </c>
      <c r="C46" s="3">
        <v>7818242</v>
      </c>
      <c r="D46" s="3">
        <v>5863681</v>
      </c>
      <c r="E46" s="3">
        <v>2388907</v>
      </c>
      <c r="F46" s="3">
        <v>5646508</v>
      </c>
      <c r="G46" s="25">
        <f t="shared" si="0"/>
        <v>21717338</v>
      </c>
      <c r="H46" s="39">
        <f t="shared" si="5"/>
        <v>0</v>
      </c>
      <c r="I46" s="26">
        <f t="shared" si="6"/>
        <v>0</v>
      </c>
      <c r="J46" s="26">
        <f t="shared" si="7"/>
        <v>0</v>
      </c>
      <c r="K46" s="40">
        <f t="shared" si="8"/>
        <v>0</v>
      </c>
      <c r="L46" s="39">
        <f t="shared" si="2"/>
        <v>390912</v>
      </c>
      <c r="M46" s="26">
        <f t="shared" si="15"/>
        <v>293184</v>
      </c>
      <c r="N46" s="26">
        <f t="shared" si="16"/>
        <v>119445</v>
      </c>
      <c r="O46" s="40">
        <f t="shared" si="17"/>
        <v>282325</v>
      </c>
      <c r="P46">
        <f t="shared" si="18"/>
        <v>1085866</v>
      </c>
    </row>
    <row r="47" spans="2:16" x14ac:dyDescent="0.3">
      <c r="B47" s="38">
        <v>43510</v>
      </c>
      <c r="C47" s="3">
        <v>7740060</v>
      </c>
      <c r="D47" s="3">
        <v>5805045</v>
      </c>
      <c r="E47" s="3">
        <v>2365018</v>
      </c>
      <c r="F47" s="3">
        <v>5590043</v>
      </c>
      <c r="G47" s="25">
        <f t="shared" si="0"/>
        <v>21500166</v>
      </c>
      <c r="H47" s="39">
        <f t="shared" si="5"/>
        <v>-234547</v>
      </c>
      <c r="I47" s="26">
        <f t="shared" si="6"/>
        <v>-175910</v>
      </c>
      <c r="J47" s="26">
        <f t="shared" si="7"/>
        <v>-71667</v>
      </c>
      <c r="K47" s="40">
        <f t="shared" si="8"/>
        <v>-169395</v>
      </c>
      <c r="L47" s="39">
        <f t="shared" si="2"/>
        <v>0</v>
      </c>
      <c r="M47" s="26">
        <f t="shared" si="15"/>
        <v>0</v>
      </c>
      <c r="N47" s="26">
        <f t="shared" si="16"/>
        <v>0</v>
      </c>
      <c r="O47" s="40">
        <f t="shared" si="17"/>
        <v>0</v>
      </c>
      <c r="P47">
        <f t="shared" si="18"/>
        <v>-651519</v>
      </c>
    </row>
    <row r="48" spans="2:16" x14ac:dyDescent="0.3">
      <c r="B48" s="38">
        <v>43511</v>
      </c>
      <c r="C48" s="3">
        <v>7740060</v>
      </c>
      <c r="D48" s="3">
        <v>5805045</v>
      </c>
      <c r="E48" s="3">
        <v>2365018</v>
      </c>
      <c r="F48" s="3">
        <v>5590043</v>
      </c>
      <c r="G48" s="25">
        <f t="shared" si="0"/>
        <v>21500166</v>
      </c>
      <c r="H48" s="39">
        <f t="shared" si="5"/>
        <v>-156364</v>
      </c>
      <c r="I48" s="26">
        <f t="shared" si="6"/>
        <v>-117273</v>
      </c>
      <c r="J48" s="26">
        <f t="shared" si="7"/>
        <v>-47778</v>
      </c>
      <c r="K48" s="40">
        <f t="shared" si="8"/>
        <v>-112930</v>
      </c>
      <c r="L48" s="39">
        <f t="shared" si="2"/>
        <v>0</v>
      </c>
      <c r="M48" s="26">
        <f t="shared" si="15"/>
        <v>0</v>
      </c>
      <c r="N48" s="26">
        <f t="shared" si="16"/>
        <v>0</v>
      </c>
      <c r="O48" s="40">
        <f t="shared" si="17"/>
        <v>0</v>
      </c>
      <c r="P48">
        <f t="shared" si="18"/>
        <v>-434345</v>
      </c>
    </row>
    <row r="49" spans="2:16" x14ac:dyDescent="0.3">
      <c r="B49" s="38">
        <v>43512</v>
      </c>
      <c r="C49" s="3">
        <v>16483516</v>
      </c>
      <c r="D49" s="3">
        <v>12362637</v>
      </c>
      <c r="E49" s="3">
        <v>5036630</v>
      </c>
      <c r="F49" s="3">
        <v>11904761</v>
      </c>
      <c r="G49" s="25">
        <f t="shared" si="0"/>
        <v>45787544</v>
      </c>
      <c r="H49" s="39">
        <f t="shared" si="5"/>
        <v>0</v>
      </c>
      <c r="I49" s="26">
        <f t="shared" si="6"/>
        <v>0</v>
      </c>
      <c r="J49" s="26">
        <f t="shared" si="7"/>
        <v>0</v>
      </c>
      <c r="K49" s="40">
        <f t="shared" si="8"/>
        <v>0</v>
      </c>
      <c r="L49" s="39">
        <f t="shared" si="2"/>
        <v>646412</v>
      </c>
      <c r="M49" s="26">
        <f t="shared" si="15"/>
        <v>484809</v>
      </c>
      <c r="N49" s="26">
        <f t="shared" si="16"/>
        <v>197515</v>
      </c>
      <c r="O49" s="40">
        <f t="shared" si="17"/>
        <v>466853</v>
      </c>
      <c r="P49">
        <f t="shared" si="18"/>
        <v>1795589</v>
      </c>
    </row>
    <row r="50" spans="2:16" x14ac:dyDescent="0.3">
      <c r="B50" s="38">
        <v>43513</v>
      </c>
      <c r="C50" s="3">
        <v>16321913</v>
      </c>
      <c r="D50" s="3">
        <v>12241435</v>
      </c>
      <c r="E50" s="3">
        <v>4987251</v>
      </c>
      <c r="F50" s="3">
        <v>11788048</v>
      </c>
      <c r="G50" s="25">
        <f t="shared" si="0"/>
        <v>45338647</v>
      </c>
      <c r="H50" s="39">
        <f t="shared" si="5"/>
        <v>-323206</v>
      </c>
      <c r="I50" s="26">
        <f t="shared" si="6"/>
        <v>-242404</v>
      </c>
      <c r="J50" s="26">
        <f t="shared" si="7"/>
        <v>-98757</v>
      </c>
      <c r="K50" s="40">
        <f t="shared" si="8"/>
        <v>-233427</v>
      </c>
      <c r="L50" s="39">
        <f t="shared" si="2"/>
        <v>0</v>
      </c>
      <c r="M50" s="26">
        <f t="shared" si="15"/>
        <v>0</v>
      </c>
      <c r="N50" s="26">
        <f t="shared" si="16"/>
        <v>0</v>
      </c>
      <c r="O50" s="40">
        <f t="shared" si="17"/>
        <v>0</v>
      </c>
      <c r="P50">
        <f t="shared" si="18"/>
        <v>-897794</v>
      </c>
    </row>
    <row r="51" spans="2:16" x14ac:dyDescent="0.3">
      <c r="B51" s="38">
        <v>43514</v>
      </c>
      <c r="C51" s="3">
        <v>7818242</v>
      </c>
      <c r="D51" s="3">
        <v>5863681</v>
      </c>
      <c r="E51" s="3">
        <v>2388907</v>
      </c>
      <c r="F51" s="3">
        <v>5646508</v>
      </c>
      <c r="G51" s="25">
        <f t="shared" si="0"/>
        <v>21717338</v>
      </c>
      <c r="H51" s="39">
        <f t="shared" si="5"/>
        <v>-234547</v>
      </c>
      <c r="I51" s="26">
        <f t="shared" si="6"/>
        <v>-175911</v>
      </c>
      <c r="J51" s="26">
        <f t="shared" si="7"/>
        <v>-71667</v>
      </c>
      <c r="K51" s="40">
        <f t="shared" si="8"/>
        <v>-169395</v>
      </c>
      <c r="L51" s="39">
        <f t="shared" si="2"/>
        <v>0</v>
      </c>
      <c r="M51" s="26">
        <f t="shared" si="15"/>
        <v>0</v>
      </c>
      <c r="N51" s="26">
        <f t="shared" si="16"/>
        <v>0</v>
      </c>
      <c r="O51" s="40">
        <f t="shared" si="17"/>
        <v>0</v>
      </c>
      <c r="P51">
        <f t="shared" si="18"/>
        <v>-651520</v>
      </c>
    </row>
    <row r="52" spans="2:16" x14ac:dyDescent="0.3">
      <c r="B52" s="38">
        <v>43515</v>
      </c>
      <c r="C52" s="3">
        <v>7896424</v>
      </c>
      <c r="D52" s="3">
        <v>5922318</v>
      </c>
      <c r="E52" s="3">
        <v>2412796</v>
      </c>
      <c r="F52" s="3">
        <v>5702973</v>
      </c>
      <c r="G52" s="25">
        <f t="shared" si="0"/>
        <v>21934511</v>
      </c>
      <c r="H52" s="39">
        <f t="shared" si="5"/>
        <v>-312730</v>
      </c>
      <c r="I52" s="26">
        <f t="shared" si="6"/>
        <v>-234548</v>
      </c>
      <c r="J52" s="26">
        <f t="shared" si="7"/>
        <v>-95556</v>
      </c>
      <c r="K52" s="40">
        <f t="shared" si="8"/>
        <v>-225860</v>
      </c>
      <c r="L52" s="39">
        <f t="shared" si="2"/>
        <v>0</v>
      </c>
      <c r="M52" s="26">
        <f t="shared" si="15"/>
        <v>0</v>
      </c>
      <c r="N52" s="26">
        <f t="shared" si="16"/>
        <v>0</v>
      </c>
      <c r="O52" s="40">
        <f t="shared" si="17"/>
        <v>0</v>
      </c>
      <c r="P52">
        <f t="shared" si="18"/>
        <v>-868694</v>
      </c>
    </row>
    <row r="53" spans="2:16" x14ac:dyDescent="0.3">
      <c r="B53" s="38">
        <v>43516</v>
      </c>
      <c r="C53" s="3">
        <v>7974607</v>
      </c>
      <c r="D53" s="3">
        <v>5980955</v>
      </c>
      <c r="E53" s="3">
        <v>2436685</v>
      </c>
      <c r="F53" s="3">
        <v>5759438</v>
      </c>
      <c r="G53" s="25">
        <f t="shared" si="0"/>
        <v>22151685</v>
      </c>
      <c r="H53" s="39">
        <f t="shared" si="5"/>
        <v>0</v>
      </c>
      <c r="I53" s="26">
        <f t="shared" si="6"/>
        <v>0</v>
      </c>
      <c r="J53" s="26">
        <f t="shared" si="7"/>
        <v>0</v>
      </c>
      <c r="K53" s="40">
        <f t="shared" si="8"/>
        <v>0</v>
      </c>
      <c r="L53" s="39">
        <f t="shared" si="2"/>
        <v>156365</v>
      </c>
      <c r="M53" s="26">
        <f t="shared" si="15"/>
        <v>117274</v>
      </c>
      <c r="N53" s="26">
        <f t="shared" si="16"/>
        <v>47778</v>
      </c>
      <c r="O53" s="40">
        <f t="shared" si="17"/>
        <v>112930</v>
      </c>
      <c r="P53">
        <f t="shared" si="18"/>
        <v>434347</v>
      </c>
    </row>
    <row r="54" spans="2:16" x14ac:dyDescent="0.3">
      <c r="B54" s="38">
        <v>43517</v>
      </c>
      <c r="C54" s="3">
        <v>7505512</v>
      </c>
      <c r="D54" s="3">
        <v>5629134</v>
      </c>
      <c r="E54" s="3">
        <v>2293351</v>
      </c>
      <c r="F54" s="3">
        <v>5420648</v>
      </c>
      <c r="G54" s="25">
        <f t="shared" si="0"/>
        <v>20848645</v>
      </c>
      <c r="H54" s="39">
        <f t="shared" si="5"/>
        <v>-234548</v>
      </c>
      <c r="I54" s="26">
        <f t="shared" si="6"/>
        <v>-175911</v>
      </c>
      <c r="J54" s="26">
        <f t="shared" si="7"/>
        <v>-71667</v>
      </c>
      <c r="K54" s="40">
        <f t="shared" si="8"/>
        <v>-169395</v>
      </c>
      <c r="L54" s="39">
        <f t="shared" si="2"/>
        <v>0</v>
      </c>
      <c r="M54" s="26">
        <f t="shared" si="15"/>
        <v>0</v>
      </c>
      <c r="N54" s="26">
        <f t="shared" si="16"/>
        <v>0</v>
      </c>
      <c r="O54" s="40">
        <f t="shared" si="17"/>
        <v>0</v>
      </c>
      <c r="P54">
        <f t="shared" si="18"/>
        <v>-651521</v>
      </c>
    </row>
    <row r="55" spans="2:16" x14ac:dyDescent="0.3">
      <c r="B55" s="38">
        <v>43518</v>
      </c>
      <c r="C55" s="3">
        <v>7974607</v>
      </c>
      <c r="D55" s="3">
        <v>5980955</v>
      </c>
      <c r="E55" s="3">
        <v>2436685</v>
      </c>
      <c r="F55" s="3">
        <v>5759438</v>
      </c>
      <c r="G55" s="25">
        <f t="shared" si="0"/>
        <v>22151685</v>
      </c>
      <c r="H55" s="39">
        <f t="shared" si="5"/>
        <v>0</v>
      </c>
      <c r="I55" s="26">
        <f t="shared" si="6"/>
        <v>0</v>
      </c>
      <c r="J55" s="26">
        <f t="shared" si="7"/>
        <v>0</v>
      </c>
      <c r="K55" s="40">
        <f t="shared" si="8"/>
        <v>0</v>
      </c>
      <c r="L55" s="39">
        <f t="shared" si="2"/>
        <v>234547</v>
      </c>
      <c r="M55" s="26">
        <f t="shared" si="15"/>
        <v>175910</v>
      </c>
      <c r="N55" s="26">
        <f t="shared" si="16"/>
        <v>71667</v>
      </c>
      <c r="O55" s="40">
        <f t="shared" si="17"/>
        <v>169395</v>
      </c>
      <c r="P55">
        <f t="shared" si="18"/>
        <v>651519</v>
      </c>
    </row>
    <row r="56" spans="2:16" x14ac:dyDescent="0.3">
      <c r="B56" s="38">
        <v>43519</v>
      </c>
      <c r="C56" s="3">
        <v>15513897</v>
      </c>
      <c r="D56" s="3">
        <v>11635423</v>
      </c>
      <c r="E56" s="3">
        <v>4740357</v>
      </c>
      <c r="F56" s="3">
        <v>11204481</v>
      </c>
      <c r="G56" s="25">
        <f t="shared" si="0"/>
        <v>43094158</v>
      </c>
      <c r="H56" s="39">
        <f t="shared" si="5"/>
        <v>-969619</v>
      </c>
      <c r="I56" s="26">
        <f t="shared" si="6"/>
        <v>-727214</v>
      </c>
      <c r="J56" s="26">
        <f t="shared" si="7"/>
        <v>-296273</v>
      </c>
      <c r="K56" s="40">
        <f t="shared" si="8"/>
        <v>-700280</v>
      </c>
      <c r="L56" s="39">
        <f t="shared" si="2"/>
        <v>0</v>
      </c>
      <c r="M56" s="26">
        <f t="shared" si="15"/>
        <v>0</v>
      </c>
      <c r="N56" s="26">
        <f t="shared" si="16"/>
        <v>0</v>
      </c>
      <c r="O56" s="40">
        <f t="shared" si="17"/>
        <v>0</v>
      </c>
      <c r="P56">
        <f t="shared" si="18"/>
        <v>-2693386</v>
      </c>
    </row>
    <row r="57" spans="2:16" x14ac:dyDescent="0.3">
      <c r="B57" s="38">
        <v>43520</v>
      </c>
      <c r="C57" s="3">
        <v>15998707</v>
      </c>
      <c r="D57" s="3">
        <v>11999030</v>
      </c>
      <c r="E57" s="3">
        <v>4888493</v>
      </c>
      <c r="F57" s="3">
        <v>11554621</v>
      </c>
      <c r="G57" s="25">
        <f t="shared" si="0"/>
        <v>44440851</v>
      </c>
      <c r="H57" s="39">
        <f t="shared" si="5"/>
        <v>-323206</v>
      </c>
      <c r="I57" s="26">
        <f t="shared" si="6"/>
        <v>-242405</v>
      </c>
      <c r="J57" s="26">
        <f t="shared" si="7"/>
        <v>-98758</v>
      </c>
      <c r="K57" s="40">
        <f t="shared" si="8"/>
        <v>-233427</v>
      </c>
      <c r="L57" s="39">
        <f t="shared" si="2"/>
        <v>0</v>
      </c>
      <c r="M57" s="26">
        <f t="shared" si="15"/>
        <v>0</v>
      </c>
      <c r="N57" s="26">
        <f t="shared" si="16"/>
        <v>0</v>
      </c>
      <c r="O57" s="40">
        <f t="shared" si="17"/>
        <v>0</v>
      </c>
      <c r="P57">
        <f t="shared" si="18"/>
        <v>-897796</v>
      </c>
    </row>
    <row r="58" spans="2:16" x14ac:dyDescent="0.3">
      <c r="B58" s="38">
        <v>43521</v>
      </c>
      <c r="C58" s="3">
        <v>7583695</v>
      </c>
      <c r="D58" s="3">
        <v>5687771</v>
      </c>
      <c r="E58" s="3">
        <v>2317240</v>
      </c>
      <c r="F58" s="3">
        <v>5477113</v>
      </c>
      <c r="G58" s="25">
        <f t="shared" si="0"/>
        <v>21065819</v>
      </c>
      <c r="H58" s="39">
        <f t="shared" si="5"/>
        <v>-234547</v>
      </c>
      <c r="I58" s="26">
        <f t="shared" si="6"/>
        <v>-175910</v>
      </c>
      <c r="J58" s="26">
        <f t="shared" si="7"/>
        <v>-71667</v>
      </c>
      <c r="K58" s="40">
        <f t="shared" si="8"/>
        <v>-169395</v>
      </c>
      <c r="L58" s="39">
        <f t="shared" si="2"/>
        <v>0</v>
      </c>
      <c r="M58" s="26">
        <f t="shared" si="15"/>
        <v>0</v>
      </c>
      <c r="N58" s="26">
        <f t="shared" si="16"/>
        <v>0</v>
      </c>
      <c r="O58" s="40">
        <f t="shared" si="17"/>
        <v>0</v>
      </c>
      <c r="P58">
        <f t="shared" si="18"/>
        <v>-651519</v>
      </c>
    </row>
    <row r="59" spans="2:16" x14ac:dyDescent="0.3">
      <c r="B59" s="38">
        <v>43522</v>
      </c>
      <c r="C59" s="3">
        <v>8052789</v>
      </c>
      <c r="D59" s="3">
        <v>6039592</v>
      </c>
      <c r="E59" s="3">
        <v>2460574</v>
      </c>
      <c r="F59" s="3">
        <v>5815903</v>
      </c>
      <c r="G59" s="25">
        <f t="shared" si="0"/>
        <v>22368858</v>
      </c>
      <c r="H59" s="39">
        <f t="shared" si="5"/>
        <v>0</v>
      </c>
      <c r="I59" s="26">
        <f t="shared" si="6"/>
        <v>0</v>
      </c>
      <c r="J59" s="26">
        <f t="shared" si="7"/>
        <v>0</v>
      </c>
      <c r="K59" s="40">
        <f t="shared" si="8"/>
        <v>0</v>
      </c>
      <c r="L59" s="39">
        <f t="shared" si="2"/>
        <v>156365</v>
      </c>
      <c r="M59" s="26">
        <f t="shared" si="15"/>
        <v>117274</v>
      </c>
      <c r="N59" s="26">
        <f t="shared" si="16"/>
        <v>47778</v>
      </c>
      <c r="O59" s="40">
        <f t="shared" si="17"/>
        <v>112930</v>
      </c>
      <c r="P59">
        <f t="shared" si="18"/>
        <v>434347</v>
      </c>
    </row>
    <row r="60" spans="2:16" x14ac:dyDescent="0.3">
      <c r="B60" s="38">
        <v>43523</v>
      </c>
      <c r="C60" s="3">
        <v>7740060</v>
      </c>
      <c r="D60" s="3">
        <v>5805045</v>
      </c>
      <c r="E60" s="3">
        <v>2365018</v>
      </c>
      <c r="F60" s="3">
        <v>5590043</v>
      </c>
      <c r="G60" s="25">
        <f t="shared" si="0"/>
        <v>21500166</v>
      </c>
      <c r="H60" s="39">
        <f t="shared" si="5"/>
        <v>-234547</v>
      </c>
      <c r="I60" s="26">
        <f t="shared" si="6"/>
        <v>-175910</v>
      </c>
      <c r="J60" s="26">
        <f t="shared" si="7"/>
        <v>-71667</v>
      </c>
      <c r="K60" s="40">
        <f t="shared" si="8"/>
        <v>-169395</v>
      </c>
      <c r="L60" s="39">
        <f t="shared" si="2"/>
        <v>0</v>
      </c>
      <c r="M60" s="26">
        <f t="shared" si="15"/>
        <v>0</v>
      </c>
      <c r="N60" s="26">
        <f t="shared" si="16"/>
        <v>0</v>
      </c>
      <c r="O60" s="40">
        <f t="shared" si="17"/>
        <v>0</v>
      </c>
      <c r="P60">
        <f t="shared" si="18"/>
        <v>-651519</v>
      </c>
    </row>
    <row r="61" spans="2:16" x14ac:dyDescent="0.3">
      <c r="B61" s="38">
        <v>43524</v>
      </c>
      <c r="C61" s="3">
        <v>8130972</v>
      </c>
      <c r="D61" s="3">
        <v>6098229</v>
      </c>
      <c r="E61" s="3">
        <v>2484463</v>
      </c>
      <c r="F61" s="3">
        <v>5872368</v>
      </c>
      <c r="G61" s="25">
        <f t="shared" si="0"/>
        <v>22586032</v>
      </c>
      <c r="H61" s="39">
        <f t="shared" si="5"/>
        <v>0</v>
      </c>
      <c r="I61" s="26">
        <f t="shared" si="6"/>
        <v>0</v>
      </c>
      <c r="J61" s="26">
        <f t="shared" si="7"/>
        <v>0</v>
      </c>
      <c r="K61" s="40">
        <f t="shared" si="8"/>
        <v>0</v>
      </c>
      <c r="L61" s="39">
        <f t="shared" si="2"/>
        <v>625460</v>
      </c>
      <c r="M61" s="26">
        <f t="shared" si="15"/>
        <v>469095</v>
      </c>
      <c r="N61" s="26">
        <f t="shared" si="16"/>
        <v>191112</v>
      </c>
      <c r="O61" s="40">
        <f t="shared" si="17"/>
        <v>451720</v>
      </c>
      <c r="P61">
        <f t="shared" si="18"/>
        <v>1737387</v>
      </c>
    </row>
    <row r="62" spans="2:16" x14ac:dyDescent="0.3">
      <c r="B62" s="38">
        <v>43525</v>
      </c>
      <c r="C62" s="3">
        <v>8052789</v>
      </c>
      <c r="D62" s="3">
        <v>6039592</v>
      </c>
      <c r="E62" s="3">
        <v>2460574</v>
      </c>
      <c r="F62" s="3">
        <v>5815903</v>
      </c>
      <c r="G62" s="25">
        <f t="shared" si="0"/>
        <v>22368858</v>
      </c>
      <c r="H62" s="39">
        <f t="shared" si="5"/>
        <v>0</v>
      </c>
      <c r="I62" s="26">
        <f t="shared" si="6"/>
        <v>0</v>
      </c>
      <c r="J62" s="26">
        <f t="shared" si="7"/>
        <v>0</v>
      </c>
      <c r="K62" s="40">
        <f t="shared" si="8"/>
        <v>0</v>
      </c>
      <c r="L62" s="39">
        <f t="shared" si="2"/>
        <v>78182</v>
      </c>
      <c r="M62" s="26">
        <f t="shared" si="15"/>
        <v>58637</v>
      </c>
      <c r="N62" s="26">
        <f t="shared" si="16"/>
        <v>23889</v>
      </c>
      <c r="O62" s="40">
        <f t="shared" si="17"/>
        <v>56465</v>
      </c>
      <c r="P62">
        <f t="shared" si="18"/>
        <v>217173</v>
      </c>
    </row>
    <row r="63" spans="2:16" x14ac:dyDescent="0.3">
      <c r="B63" s="38">
        <v>43526</v>
      </c>
      <c r="C63" s="3">
        <v>16806722</v>
      </c>
      <c r="D63" s="3">
        <v>12605042</v>
      </c>
      <c r="E63" s="3">
        <v>5135387</v>
      </c>
      <c r="F63" s="3">
        <v>12138188</v>
      </c>
      <c r="G63" s="25">
        <f t="shared" si="0"/>
        <v>46685339</v>
      </c>
      <c r="H63" s="39">
        <f t="shared" si="5"/>
        <v>0</v>
      </c>
      <c r="I63" s="26">
        <f t="shared" si="6"/>
        <v>0</v>
      </c>
      <c r="J63" s="26">
        <f t="shared" si="7"/>
        <v>0</v>
      </c>
      <c r="K63" s="40">
        <f t="shared" si="8"/>
        <v>0</v>
      </c>
      <c r="L63" s="39">
        <f t="shared" si="2"/>
        <v>1292825</v>
      </c>
      <c r="M63" s="26">
        <f t="shared" si="15"/>
        <v>969619</v>
      </c>
      <c r="N63" s="26">
        <f t="shared" si="16"/>
        <v>395030</v>
      </c>
      <c r="O63" s="40">
        <f t="shared" si="17"/>
        <v>933707</v>
      </c>
      <c r="P63">
        <f t="shared" si="18"/>
        <v>3591181</v>
      </c>
    </row>
    <row r="64" spans="2:16" x14ac:dyDescent="0.3">
      <c r="B64" s="38">
        <v>43527</v>
      </c>
      <c r="C64" s="3">
        <v>15837104</v>
      </c>
      <c r="D64" s="3">
        <v>11877828</v>
      </c>
      <c r="E64" s="3">
        <v>4839115</v>
      </c>
      <c r="F64" s="3">
        <v>11437908</v>
      </c>
      <c r="G64" s="25">
        <f t="shared" si="0"/>
        <v>43991955</v>
      </c>
      <c r="H64" s="39">
        <f t="shared" si="5"/>
        <v>-161603</v>
      </c>
      <c r="I64" s="26">
        <f t="shared" si="6"/>
        <v>-121202</v>
      </c>
      <c r="J64" s="26">
        <f t="shared" si="7"/>
        <v>-49378</v>
      </c>
      <c r="K64" s="40">
        <f t="shared" si="8"/>
        <v>-116713</v>
      </c>
      <c r="L64" s="39">
        <f t="shared" si="2"/>
        <v>0</v>
      </c>
      <c r="M64" s="26">
        <f t="shared" si="15"/>
        <v>0</v>
      </c>
      <c r="N64" s="26">
        <f t="shared" si="16"/>
        <v>0</v>
      </c>
      <c r="O64" s="40">
        <f t="shared" si="17"/>
        <v>0</v>
      </c>
      <c r="P64">
        <f t="shared" si="18"/>
        <v>-448896</v>
      </c>
    </row>
    <row r="65" spans="2:16" x14ac:dyDescent="0.3">
      <c r="B65" s="38">
        <v>43528</v>
      </c>
      <c r="C65" s="3">
        <v>7818242</v>
      </c>
      <c r="D65" s="3">
        <v>5863681</v>
      </c>
      <c r="E65" s="3">
        <v>2388907</v>
      </c>
      <c r="F65" s="3">
        <v>5646508</v>
      </c>
      <c r="G65" s="25">
        <f t="shared" si="0"/>
        <v>21717338</v>
      </c>
      <c r="H65" s="39">
        <f t="shared" si="5"/>
        <v>0</v>
      </c>
      <c r="I65" s="26">
        <f t="shared" si="6"/>
        <v>0</v>
      </c>
      <c r="J65" s="26">
        <f t="shared" si="7"/>
        <v>0</v>
      </c>
      <c r="K65" s="40">
        <f t="shared" si="8"/>
        <v>0</v>
      </c>
      <c r="L65" s="39">
        <f t="shared" si="2"/>
        <v>234547</v>
      </c>
      <c r="M65" s="26">
        <f t="shared" si="15"/>
        <v>175910</v>
      </c>
      <c r="N65" s="26">
        <f t="shared" si="16"/>
        <v>71667</v>
      </c>
      <c r="O65" s="40">
        <f t="shared" si="17"/>
        <v>169395</v>
      </c>
      <c r="P65">
        <f t="shared" si="18"/>
        <v>651519</v>
      </c>
    </row>
    <row r="66" spans="2:16" x14ac:dyDescent="0.3">
      <c r="B66" s="38">
        <v>43529</v>
      </c>
      <c r="C66" s="3">
        <v>7818242</v>
      </c>
      <c r="D66" s="3">
        <v>5863681</v>
      </c>
      <c r="E66" s="3">
        <v>2388907</v>
      </c>
      <c r="F66" s="3">
        <v>5646508</v>
      </c>
      <c r="G66" s="25">
        <f t="shared" si="0"/>
        <v>21717338</v>
      </c>
      <c r="H66" s="39">
        <f t="shared" si="5"/>
        <v>-234547</v>
      </c>
      <c r="I66" s="26">
        <f t="shared" si="6"/>
        <v>-175911</v>
      </c>
      <c r="J66" s="26">
        <f t="shared" si="7"/>
        <v>-71667</v>
      </c>
      <c r="K66" s="40">
        <f t="shared" si="8"/>
        <v>-169395</v>
      </c>
      <c r="L66" s="39">
        <f t="shared" si="2"/>
        <v>0</v>
      </c>
      <c r="M66" s="26">
        <f t="shared" si="15"/>
        <v>0</v>
      </c>
      <c r="N66" s="26">
        <f t="shared" si="16"/>
        <v>0</v>
      </c>
      <c r="O66" s="40">
        <f t="shared" si="17"/>
        <v>0</v>
      </c>
      <c r="P66">
        <f t="shared" si="18"/>
        <v>-651520</v>
      </c>
    </row>
    <row r="67" spans="2:16" x14ac:dyDescent="0.3">
      <c r="B67" s="38">
        <v>43530</v>
      </c>
      <c r="C67" s="3">
        <v>7583695</v>
      </c>
      <c r="D67" s="3">
        <v>5687771</v>
      </c>
      <c r="E67" s="3">
        <v>2317240</v>
      </c>
      <c r="F67" s="3">
        <v>5477113</v>
      </c>
      <c r="G67" s="25">
        <f t="shared" ref="G67:G130" si="19">SUM(C67:F67)</f>
        <v>21065819</v>
      </c>
      <c r="H67" s="39">
        <f t="shared" si="5"/>
        <v>-156365</v>
      </c>
      <c r="I67" s="26">
        <f t="shared" si="6"/>
        <v>-117274</v>
      </c>
      <c r="J67" s="26">
        <f t="shared" si="7"/>
        <v>-47778</v>
      </c>
      <c r="K67" s="40">
        <f t="shared" si="8"/>
        <v>-112930</v>
      </c>
      <c r="L67" s="39">
        <f t="shared" si="2"/>
        <v>0</v>
      </c>
      <c r="M67" s="26">
        <f t="shared" si="15"/>
        <v>0</v>
      </c>
      <c r="N67" s="26">
        <f t="shared" si="16"/>
        <v>0</v>
      </c>
      <c r="O67" s="40">
        <f t="shared" si="17"/>
        <v>0</v>
      </c>
      <c r="P67">
        <f t="shared" si="18"/>
        <v>-434347</v>
      </c>
    </row>
    <row r="68" spans="2:16" x14ac:dyDescent="0.3">
      <c r="B68" s="38">
        <v>43531</v>
      </c>
      <c r="C68" s="3">
        <v>7818242</v>
      </c>
      <c r="D68" s="3">
        <v>5863681</v>
      </c>
      <c r="E68" s="3">
        <v>2388907</v>
      </c>
      <c r="F68" s="3">
        <v>5646508</v>
      </c>
      <c r="G68" s="25">
        <f t="shared" si="19"/>
        <v>21717338</v>
      </c>
      <c r="H68" s="39">
        <f t="shared" si="5"/>
        <v>-312730</v>
      </c>
      <c r="I68" s="26">
        <f t="shared" si="6"/>
        <v>-234548</v>
      </c>
      <c r="J68" s="26">
        <f t="shared" si="7"/>
        <v>-95556</v>
      </c>
      <c r="K68" s="40">
        <f t="shared" si="8"/>
        <v>-225860</v>
      </c>
      <c r="L68" s="39">
        <f t="shared" si="2"/>
        <v>0</v>
      </c>
      <c r="M68" s="26">
        <f t="shared" si="15"/>
        <v>0</v>
      </c>
      <c r="N68" s="26">
        <f t="shared" si="16"/>
        <v>0</v>
      </c>
      <c r="O68" s="40">
        <f t="shared" si="17"/>
        <v>0</v>
      </c>
      <c r="P68">
        <f t="shared" si="18"/>
        <v>-868694</v>
      </c>
    </row>
    <row r="69" spans="2:16" x14ac:dyDescent="0.3">
      <c r="B69" s="38">
        <v>43532</v>
      </c>
      <c r="C69" s="3">
        <v>7818242</v>
      </c>
      <c r="D69" s="3">
        <v>5863681</v>
      </c>
      <c r="E69" s="3">
        <v>2388907</v>
      </c>
      <c r="F69" s="3">
        <v>5646508</v>
      </c>
      <c r="G69" s="25">
        <f t="shared" si="19"/>
        <v>21717338</v>
      </c>
      <c r="H69" s="39">
        <f t="shared" si="5"/>
        <v>-234547</v>
      </c>
      <c r="I69" s="26">
        <f t="shared" si="6"/>
        <v>-175911</v>
      </c>
      <c r="J69" s="26">
        <f t="shared" si="7"/>
        <v>-71667</v>
      </c>
      <c r="K69" s="40">
        <f t="shared" si="8"/>
        <v>-169395</v>
      </c>
      <c r="L69" s="39">
        <f t="shared" si="2"/>
        <v>0</v>
      </c>
      <c r="M69" s="26">
        <f t="shared" si="15"/>
        <v>0</v>
      </c>
      <c r="N69" s="26">
        <f t="shared" si="16"/>
        <v>0</v>
      </c>
      <c r="O69" s="40">
        <f t="shared" si="17"/>
        <v>0</v>
      </c>
      <c r="P69">
        <f t="shared" si="18"/>
        <v>-651520</v>
      </c>
    </row>
    <row r="70" spans="2:16" x14ac:dyDescent="0.3">
      <c r="B70" s="38">
        <v>43533</v>
      </c>
      <c r="C70" s="3">
        <v>16806722</v>
      </c>
      <c r="D70" s="3">
        <v>12605042</v>
      </c>
      <c r="E70" s="3">
        <v>5135387</v>
      </c>
      <c r="F70" s="3">
        <v>12138188</v>
      </c>
      <c r="G70" s="25">
        <f t="shared" si="19"/>
        <v>46685339</v>
      </c>
      <c r="H70" s="39">
        <f t="shared" si="5"/>
        <v>0</v>
      </c>
      <c r="I70" s="26">
        <f t="shared" si="6"/>
        <v>0</v>
      </c>
      <c r="J70" s="26">
        <f t="shared" si="7"/>
        <v>0</v>
      </c>
      <c r="K70" s="40">
        <f t="shared" si="8"/>
        <v>0</v>
      </c>
      <c r="L70" s="39">
        <f t="shared" si="2"/>
        <v>0</v>
      </c>
      <c r="M70" s="26">
        <f t="shared" si="15"/>
        <v>0</v>
      </c>
      <c r="N70" s="26">
        <f t="shared" si="16"/>
        <v>0</v>
      </c>
      <c r="O70" s="40">
        <f t="shared" si="17"/>
        <v>0</v>
      </c>
      <c r="P70">
        <f t="shared" si="18"/>
        <v>0</v>
      </c>
    </row>
    <row r="71" spans="2:16" x14ac:dyDescent="0.3">
      <c r="B71" s="38">
        <v>43534</v>
      </c>
      <c r="C71" s="3">
        <v>16645119</v>
      </c>
      <c r="D71" s="3">
        <v>12483839</v>
      </c>
      <c r="E71" s="3">
        <v>5086008</v>
      </c>
      <c r="F71" s="3">
        <v>12021475</v>
      </c>
      <c r="G71" s="25">
        <f t="shared" si="19"/>
        <v>46236441</v>
      </c>
      <c r="H71" s="39">
        <f t="shared" si="5"/>
        <v>0</v>
      </c>
      <c r="I71" s="26">
        <f t="shared" si="6"/>
        <v>0</v>
      </c>
      <c r="J71" s="26">
        <f t="shared" si="7"/>
        <v>0</v>
      </c>
      <c r="K71" s="40">
        <f t="shared" si="8"/>
        <v>0</v>
      </c>
      <c r="L71" s="39">
        <f t="shared" si="2"/>
        <v>808015</v>
      </c>
      <c r="M71" s="26">
        <f t="shared" si="15"/>
        <v>606011</v>
      </c>
      <c r="N71" s="26">
        <f t="shared" si="16"/>
        <v>246893</v>
      </c>
      <c r="O71" s="40">
        <f t="shared" si="17"/>
        <v>583567</v>
      </c>
      <c r="P71">
        <f t="shared" si="18"/>
        <v>2244486</v>
      </c>
    </row>
    <row r="72" spans="2:16" x14ac:dyDescent="0.3">
      <c r="B72" s="38">
        <v>43535</v>
      </c>
      <c r="C72" s="3">
        <v>7661877</v>
      </c>
      <c r="D72" s="3">
        <v>5746408</v>
      </c>
      <c r="E72" s="3">
        <v>2341129</v>
      </c>
      <c r="F72" s="3">
        <v>5533578</v>
      </c>
      <c r="G72" s="25">
        <f t="shared" si="19"/>
        <v>21282992</v>
      </c>
      <c r="H72" s="39">
        <f t="shared" si="5"/>
        <v>-156365</v>
      </c>
      <c r="I72" s="26">
        <f t="shared" si="6"/>
        <v>-117273</v>
      </c>
      <c r="J72" s="26">
        <f t="shared" si="7"/>
        <v>-47778</v>
      </c>
      <c r="K72" s="40">
        <f t="shared" si="8"/>
        <v>-112930</v>
      </c>
      <c r="L72" s="39">
        <f t="shared" si="2"/>
        <v>0</v>
      </c>
      <c r="M72" s="26">
        <f t="shared" si="15"/>
        <v>0</v>
      </c>
      <c r="N72" s="26">
        <f t="shared" si="16"/>
        <v>0</v>
      </c>
      <c r="O72" s="40">
        <f t="shared" si="17"/>
        <v>0</v>
      </c>
      <c r="P72">
        <f t="shared" si="18"/>
        <v>-434346</v>
      </c>
    </row>
    <row r="73" spans="2:16" x14ac:dyDescent="0.3">
      <c r="B73" s="38">
        <v>43536</v>
      </c>
      <c r="C73" s="3">
        <v>7740060</v>
      </c>
      <c r="D73" s="3">
        <v>5805045</v>
      </c>
      <c r="E73" s="3">
        <v>2365018</v>
      </c>
      <c r="F73" s="3">
        <v>5590043</v>
      </c>
      <c r="G73" s="25">
        <f t="shared" si="19"/>
        <v>21500166</v>
      </c>
      <c r="H73" s="39">
        <f t="shared" si="5"/>
        <v>-78182</v>
      </c>
      <c r="I73" s="26">
        <f t="shared" si="6"/>
        <v>-58636</v>
      </c>
      <c r="J73" s="26">
        <f t="shared" si="7"/>
        <v>-23889</v>
      </c>
      <c r="K73" s="40">
        <f t="shared" si="8"/>
        <v>-56465</v>
      </c>
      <c r="L73" s="39">
        <f t="shared" si="2"/>
        <v>0</v>
      </c>
      <c r="M73" s="26">
        <f t="shared" si="15"/>
        <v>0</v>
      </c>
      <c r="N73" s="26">
        <f t="shared" si="16"/>
        <v>0</v>
      </c>
      <c r="O73" s="40">
        <f t="shared" si="17"/>
        <v>0</v>
      </c>
      <c r="P73">
        <f t="shared" si="18"/>
        <v>-217172</v>
      </c>
    </row>
    <row r="74" spans="2:16" x14ac:dyDescent="0.3">
      <c r="B74" s="38">
        <v>43537</v>
      </c>
      <c r="C74" s="3">
        <v>7818242</v>
      </c>
      <c r="D74" s="3">
        <v>5863681</v>
      </c>
      <c r="E74" s="3">
        <v>2388907</v>
      </c>
      <c r="F74" s="3">
        <v>5646508</v>
      </c>
      <c r="G74" s="25">
        <f t="shared" si="19"/>
        <v>21717338</v>
      </c>
      <c r="H74" s="39">
        <f t="shared" si="5"/>
        <v>0</v>
      </c>
      <c r="I74" s="26">
        <f t="shared" si="6"/>
        <v>0</v>
      </c>
      <c r="J74" s="26">
        <f t="shared" si="7"/>
        <v>0</v>
      </c>
      <c r="K74" s="40">
        <f t="shared" si="8"/>
        <v>0</v>
      </c>
      <c r="L74" s="39">
        <f t="shared" ref="L74:L137" si="20">IF(C74&gt;C67,C74-C67,0)</f>
        <v>234547</v>
      </c>
      <c r="M74" s="26">
        <f t="shared" si="15"/>
        <v>175910</v>
      </c>
      <c r="N74" s="26">
        <f t="shared" si="16"/>
        <v>71667</v>
      </c>
      <c r="O74" s="40">
        <f t="shared" si="17"/>
        <v>169395</v>
      </c>
      <c r="P74">
        <f t="shared" ref="P74" si="21">G74-G67</f>
        <v>651519</v>
      </c>
    </row>
    <row r="75" spans="2:16" x14ac:dyDescent="0.3">
      <c r="B75" s="38">
        <v>43538</v>
      </c>
      <c r="C75" s="3">
        <v>8209154</v>
      </c>
      <c r="D75" s="3">
        <v>6156866</v>
      </c>
      <c r="E75" s="3">
        <v>2508352</v>
      </c>
      <c r="F75" s="3">
        <v>5928833</v>
      </c>
      <c r="G75" s="25">
        <f t="shared" si="19"/>
        <v>22803205</v>
      </c>
      <c r="H75" s="39">
        <f t="shared" ref="H75:H138" si="22">IF(C75&lt;C68,C75-C68,0)</f>
        <v>0</v>
      </c>
      <c r="I75" s="26">
        <f t="shared" ref="I75:I138" si="23">IF(D75&lt;D68,D75-D68,0)</f>
        <v>0</v>
      </c>
      <c r="J75" s="26">
        <f t="shared" ref="J75:J138" si="24">IF(E75&lt;E68,E75-E68,0)</f>
        <v>0</v>
      </c>
      <c r="K75" s="40">
        <f t="shared" ref="K75:K138" si="25">IF(F75&lt;F68,F75-F68,0)</f>
        <v>0</v>
      </c>
      <c r="L75" s="39">
        <f t="shared" si="20"/>
        <v>390912</v>
      </c>
      <c r="M75" s="26">
        <f t="shared" si="15"/>
        <v>293185</v>
      </c>
      <c r="N75" s="26">
        <f t="shared" si="16"/>
        <v>119445</v>
      </c>
      <c r="O75" s="40">
        <f t="shared" si="17"/>
        <v>282325</v>
      </c>
      <c r="P75">
        <f t="shared" ref="P75:P138" si="26">G75-G68</f>
        <v>1085867</v>
      </c>
    </row>
    <row r="76" spans="2:16" x14ac:dyDescent="0.3">
      <c r="B76" s="38">
        <v>43539</v>
      </c>
      <c r="C76" s="3">
        <v>7740060</v>
      </c>
      <c r="D76" s="3">
        <v>5805045</v>
      </c>
      <c r="E76" s="3">
        <v>2365018</v>
      </c>
      <c r="F76" s="3">
        <v>5590043</v>
      </c>
      <c r="G76" s="25">
        <f t="shared" si="19"/>
        <v>21500166</v>
      </c>
      <c r="H76" s="39">
        <f t="shared" si="22"/>
        <v>-78182</v>
      </c>
      <c r="I76" s="26">
        <f t="shared" si="23"/>
        <v>-58636</v>
      </c>
      <c r="J76" s="26">
        <f t="shared" si="24"/>
        <v>-23889</v>
      </c>
      <c r="K76" s="40">
        <f t="shared" si="25"/>
        <v>-56465</v>
      </c>
      <c r="L76" s="39">
        <f t="shared" si="20"/>
        <v>0</v>
      </c>
      <c r="M76" s="26">
        <f t="shared" si="15"/>
        <v>0</v>
      </c>
      <c r="N76" s="26">
        <f t="shared" si="16"/>
        <v>0</v>
      </c>
      <c r="O76" s="40">
        <f t="shared" si="17"/>
        <v>0</v>
      </c>
      <c r="P76">
        <f t="shared" si="26"/>
        <v>-217172</v>
      </c>
    </row>
    <row r="77" spans="2:16" x14ac:dyDescent="0.3">
      <c r="B77" s="38">
        <v>43540</v>
      </c>
      <c r="C77" s="3">
        <v>15352294</v>
      </c>
      <c r="D77" s="3">
        <v>11514221</v>
      </c>
      <c r="E77" s="3">
        <v>4690978</v>
      </c>
      <c r="F77" s="3">
        <v>11087768</v>
      </c>
      <c r="G77" s="25">
        <f t="shared" si="19"/>
        <v>42645261</v>
      </c>
      <c r="H77" s="39">
        <f t="shared" si="22"/>
        <v>-1454428</v>
      </c>
      <c r="I77" s="26">
        <f t="shared" si="23"/>
        <v>-1090821</v>
      </c>
      <c r="J77" s="26">
        <f t="shared" si="24"/>
        <v>-444409</v>
      </c>
      <c r="K77" s="40">
        <f t="shared" si="25"/>
        <v>-1050420</v>
      </c>
      <c r="L77" s="39">
        <f t="shared" si="20"/>
        <v>0</v>
      </c>
      <c r="M77" s="26">
        <f t="shared" si="15"/>
        <v>0</v>
      </c>
      <c r="N77" s="26">
        <f t="shared" si="16"/>
        <v>0</v>
      </c>
      <c r="O77" s="40">
        <f t="shared" si="17"/>
        <v>0</v>
      </c>
      <c r="P77">
        <f t="shared" si="26"/>
        <v>-4040078</v>
      </c>
    </row>
    <row r="78" spans="2:16" x14ac:dyDescent="0.3">
      <c r="B78" s="38">
        <v>43541</v>
      </c>
      <c r="C78" s="3">
        <v>15352294</v>
      </c>
      <c r="D78" s="3">
        <v>11514221</v>
      </c>
      <c r="E78" s="3">
        <v>4690978</v>
      </c>
      <c r="F78" s="3">
        <v>11087768</v>
      </c>
      <c r="G78" s="25">
        <f t="shared" si="19"/>
        <v>42645261</v>
      </c>
      <c r="H78" s="39">
        <f t="shared" si="22"/>
        <v>-1292825</v>
      </c>
      <c r="I78" s="26">
        <f t="shared" si="23"/>
        <v>-969618</v>
      </c>
      <c r="J78" s="26">
        <f t="shared" si="24"/>
        <v>-395030</v>
      </c>
      <c r="K78" s="40">
        <f t="shared" si="25"/>
        <v>-933707</v>
      </c>
      <c r="L78" s="39">
        <f t="shared" si="20"/>
        <v>0</v>
      </c>
      <c r="M78" s="26">
        <f t="shared" si="15"/>
        <v>0</v>
      </c>
      <c r="N78" s="26">
        <f t="shared" si="16"/>
        <v>0</v>
      </c>
      <c r="O78" s="40">
        <f t="shared" si="17"/>
        <v>0</v>
      </c>
      <c r="P78">
        <f t="shared" si="26"/>
        <v>-3591180</v>
      </c>
    </row>
    <row r="79" spans="2:16" x14ac:dyDescent="0.3">
      <c r="B79" s="38">
        <v>43542</v>
      </c>
      <c r="C79" s="3">
        <v>8052789</v>
      </c>
      <c r="D79" s="3">
        <v>6039592</v>
      </c>
      <c r="E79" s="3">
        <v>2460574</v>
      </c>
      <c r="F79" s="3">
        <v>5815903</v>
      </c>
      <c r="G79" s="25">
        <f t="shared" si="19"/>
        <v>22368858</v>
      </c>
      <c r="H79" s="39">
        <f t="shared" si="22"/>
        <v>0</v>
      </c>
      <c r="I79" s="26">
        <f t="shared" si="23"/>
        <v>0</v>
      </c>
      <c r="J79" s="26">
        <f t="shared" si="24"/>
        <v>0</v>
      </c>
      <c r="K79" s="40">
        <f t="shared" si="25"/>
        <v>0</v>
      </c>
      <c r="L79" s="39">
        <f t="shared" si="20"/>
        <v>390912</v>
      </c>
      <c r="M79" s="26">
        <f t="shared" si="15"/>
        <v>293184</v>
      </c>
      <c r="N79" s="26">
        <f t="shared" si="16"/>
        <v>119445</v>
      </c>
      <c r="O79" s="40">
        <f t="shared" si="17"/>
        <v>282325</v>
      </c>
      <c r="P79">
        <f t="shared" si="26"/>
        <v>1085866</v>
      </c>
    </row>
    <row r="80" spans="2:16" x14ac:dyDescent="0.3">
      <c r="B80" s="38">
        <v>43543</v>
      </c>
      <c r="C80" s="3">
        <v>7896424</v>
      </c>
      <c r="D80" s="3">
        <v>5922318</v>
      </c>
      <c r="E80" s="3">
        <v>2412796</v>
      </c>
      <c r="F80" s="3">
        <v>5702973</v>
      </c>
      <c r="G80" s="25">
        <f t="shared" si="19"/>
        <v>21934511</v>
      </c>
      <c r="H80" s="39">
        <f t="shared" si="22"/>
        <v>0</v>
      </c>
      <c r="I80" s="26">
        <f t="shared" si="23"/>
        <v>0</v>
      </c>
      <c r="J80" s="26">
        <f t="shared" si="24"/>
        <v>0</v>
      </c>
      <c r="K80" s="40">
        <f t="shared" si="25"/>
        <v>0</v>
      </c>
      <c r="L80" s="39">
        <f t="shared" si="20"/>
        <v>156364</v>
      </c>
      <c r="M80" s="26">
        <f t="shared" si="15"/>
        <v>117273</v>
      </c>
      <c r="N80" s="26">
        <f t="shared" si="16"/>
        <v>47778</v>
      </c>
      <c r="O80" s="40">
        <f t="shared" si="17"/>
        <v>112930</v>
      </c>
      <c r="P80">
        <f t="shared" si="26"/>
        <v>434345</v>
      </c>
    </row>
    <row r="81" spans="2:16" x14ac:dyDescent="0.3">
      <c r="B81" s="38">
        <v>43544</v>
      </c>
      <c r="C81" s="3">
        <v>7661877</v>
      </c>
      <c r="D81" s="3">
        <v>5746408</v>
      </c>
      <c r="E81" s="3">
        <v>2341129</v>
      </c>
      <c r="F81" s="3">
        <v>5533578</v>
      </c>
      <c r="G81" s="25">
        <f t="shared" si="19"/>
        <v>21282992</v>
      </c>
      <c r="H81" s="39">
        <f t="shared" si="22"/>
        <v>-156365</v>
      </c>
      <c r="I81" s="26">
        <f t="shared" si="23"/>
        <v>-117273</v>
      </c>
      <c r="J81" s="26">
        <f t="shared" si="24"/>
        <v>-47778</v>
      </c>
      <c r="K81" s="40">
        <f t="shared" si="25"/>
        <v>-112930</v>
      </c>
      <c r="L81" s="39">
        <f t="shared" si="20"/>
        <v>0</v>
      </c>
      <c r="M81" s="26">
        <f t="shared" si="15"/>
        <v>0</v>
      </c>
      <c r="N81" s="26">
        <f t="shared" si="16"/>
        <v>0</v>
      </c>
      <c r="O81" s="40">
        <f t="shared" si="17"/>
        <v>0</v>
      </c>
      <c r="P81">
        <f t="shared" si="26"/>
        <v>-434346</v>
      </c>
    </row>
    <row r="82" spans="2:16" x14ac:dyDescent="0.3">
      <c r="B82" s="38">
        <v>43545</v>
      </c>
      <c r="C82" s="3">
        <v>7818242</v>
      </c>
      <c r="D82" s="3">
        <v>5863681</v>
      </c>
      <c r="E82" s="3">
        <v>2388907</v>
      </c>
      <c r="F82" s="3">
        <v>5646508</v>
      </c>
      <c r="G82" s="25">
        <f t="shared" si="19"/>
        <v>21717338</v>
      </c>
      <c r="H82" s="39">
        <f t="shared" si="22"/>
        <v>-390912</v>
      </c>
      <c r="I82" s="26">
        <f t="shared" si="23"/>
        <v>-293185</v>
      </c>
      <c r="J82" s="26">
        <f t="shared" si="24"/>
        <v>-119445</v>
      </c>
      <c r="K82" s="40">
        <f t="shared" si="25"/>
        <v>-282325</v>
      </c>
      <c r="L82" s="39">
        <f t="shared" si="20"/>
        <v>0</v>
      </c>
      <c r="M82" s="26">
        <f t="shared" si="15"/>
        <v>0</v>
      </c>
      <c r="N82" s="26">
        <f t="shared" si="16"/>
        <v>0</v>
      </c>
      <c r="O82" s="40">
        <f t="shared" si="17"/>
        <v>0</v>
      </c>
      <c r="P82">
        <f t="shared" si="26"/>
        <v>-1085867</v>
      </c>
    </row>
    <row r="83" spans="2:16" x14ac:dyDescent="0.3">
      <c r="B83" s="38">
        <v>43546</v>
      </c>
      <c r="C83" s="3">
        <v>7583695</v>
      </c>
      <c r="D83" s="3">
        <v>5687771</v>
      </c>
      <c r="E83" s="3">
        <v>2317240</v>
      </c>
      <c r="F83" s="3">
        <v>5477113</v>
      </c>
      <c r="G83" s="25">
        <f t="shared" si="19"/>
        <v>21065819</v>
      </c>
      <c r="H83" s="39">
        <f t="shared" si="22"/>
        <v>-156365</v>
      </c>
      <c r="I83" s="26">
        <f t="shared" si="23"/>
        <v>-117274</v>
      </c>
      <c r="J83" s="26">
        <f t="shared" si="24"/>
        <v>-47778</v>
      </c>
      <c r="K83" s="40">
        <f t="shared" si="25"/>
        <v>-112930</v>
      </c>
      <c r="L83" s="39">
        <f t="shared" si="20"/>
        <v>0</v>
      </c>
      <c r="M83" s="26">
        <f t="shared" si="15"/>
        <v>0</v>
      </c>
      <c r="N83" s="26">
        <f t="shared" si="16"/>
        <v>0</v>
      </c>
      <c r="O83" s="40">
        <f t="shared" si="17"/>
        <v>0</v>
      </c>
      <c r="P83">
        <f t="shared" si="26"/>
        <v>-434347</v>
      </c>
    </row>
    <row r="84" spans="2:16" x14ac:dyDescent="0.3">
      <c r="B84" s="38">
        <v>43547</v>
      </c>
      <c r="C84" s="3">
        <v>15998707</v>
      </c>
      <c r="D84" s="3">
        <v>11999030</v>
      </c>
      <c r="E84" s="3">
        <v>4888493</v>
      </c>
      <c r="F84" s="3">
        <v>11554621</v>
      </c>
      <c r="G84" s="25">
        <f t="shared" si="19"/>
        <v>44440851</v>
      </c>
      <c r="H84" s="39">
        <f t="shared" si="22"/>
        <v>0</v>
      </c>
      <c r="I84" s="26">
        <f t="shared" si="23"/>
        <v>0</v>
      </c>
      <c r="J84" s="26">
        <f t="shared" si="24"/>
        <v>0</v>
      </c>
      <c r="K84" s="40">
        <f t="shared" si="25"/>
        <v>0</v>
      </c>
      <c r="L84" s="39">
        <f t="shared" si="20"/>
        <v>646413</v>
      </c>
      <c r="M84" s="26">
        <f t="shared" si="15"/>
        <v>484809</v>
      </c>
      <c r="N84" s="26">
        <f t="shared" si="16"/>
        <v>197515</v>
      </c>
      <c r="O84" s="40">
        <f t="shared" si="17"/>
        <v>466853</v>
      </c>
      <c r="P84">
        <f t="shared" si="26"/>
        <v>1795590</v>
      </c>
    </row>
    <row r="85" spans="2:16" x14ac:dyDescent="0.3">
      <c r="B85" s="38">
        <v>43548</v>
      </c>
      <c r="C85" s="3">
        <v>16321913</v>
      </c>
      <c r="D85" s="3">
        <v>12241435</v>
      </c>
      <c r="E85" s="3">
        <v>4987251</v>
      </c>
      <c r="F85" s="3">
        <v>11788048</v>
      </c>
      <c r="G85" s="25">
        <f t="shared" si="19"/>
        <v>45338647</v>
      </c>
      <c r="H85" s="39">
        <f t="shared" si="22"/>
        <v>0</v>
      </c>
      <c r="I85" s="26">
        <f t="shared" si="23"/>
        <v>0</v>
      </c>
      <c r="J85" s="26">
        <f t="shared" si="24"/>
        <v>0</v>
      </c>
      <c r="K85" s="40">
        <f t="shared" si="25"/>
        <v>0</v>
      </c>
      <c r="L85" s="39">
        <f t="shared" si="20"/>
        <v>969619</v>
      </c>
      <c r="M85" s="26">
        <f t="shared" si="15"/>
        <v>727214</v>
      </c>
      <c r="N85" s="26">
        <f t="shared" si="16"/>
        <v>296273</v>
      </c>
      <c r="O85" s="40">
        <f t="shared" si="17"/>
        <v>700280</v>
      </c>
      <c r="P85">
        <f t="shared" si="26"/>
        <v>2693386</v>
      </c>
    </row>
    <row r="86" spans="2:16" x14ac:dyDescent="0.3">
      <c r="B86" s="38">
        <v>43549</v>
      </c>
      <c r="C86" s="3">
        <v>8052789</v>
      </c>
      <c r="D86" s="3">
        <v>6039592</v>
      </c>
      <c r="E86" s="3">
        <v>2460574</v>
      </c>
      <c r="F86" s="3">
        <v>5815903</v>
      </c>
      <c r="G86" s="25">
        <f t="shared" si="19"/>
        <v>22368858</v>
      </c>
      <c r="H86" s="39">
        <f t="shared" si="22"/>
        <v>0</v>
      </c>
      <c r="I86" s="26">
        <f t="shared" si="23"/>
        <v>0</v>
      </c>
      <c r="J86" s="26">
        <f t="shared" si="24"/>
        <v>0</v>
      </c>
      <c r="K86" s="40">
        <f t="shared" si="25"/>
        <v>0</v>
      </c>
      <c r="L86" s="39">
        <f t="shared" si="20"/>
        <v>0</v>
      </c>
      <c r="M86" s="26">
        <f t="shared" si="15"/>
        <v>0</v>
      </c>
      <c r="N86" s="26">
        <f t="shared" si="16"/>
        <v>0</v>
      </c>
      <c r="O86" s="40">
        <f t="shared" si="17"/>
        <v>0</v>
      </c>
      <c r="P86">
        <f t="shared" si="26"/>
        <v>0</v>
      </c>
    </row>
    <row r="87" spans="2:16" x14ac:dyDescent="0.3">
      <c r="B87" s="38">
        <v>43550</v>
      </c>
      <c r="C87" s="3">
        <v>7505512</v>
      </c>
      <c r="D87" s="3">
        <v>5629134</v>
      </c>
      <c r="E87" s="3">
        <v>2293351</v>
      </c>
      <c r="F87" s="3">
        <v>5420648</v>
      </c>
      <c r="G87" s="25">
        <f t="shared" si="19"/>
        <v>20848645</v>
      </c>
      <c r="H87" s="39">
        <f t="shared" si="22"/>
        <v>-390912</v>
      </c>
      <c r="I87" s="26">
        <f t="shared" si="23"/>
        <v>-293184</v>
      </c>
      <c r="J87" s="26">
        <f t="shared" si="24"/>
        <v>-119445</v>
      </c>
      <c r="K87" s="40">
        <f t="shared" si="25"/>
        <v>-282325</v>
      </c>
      <c r="L87" s="39">
        <f t="shared" si="20"/>
        <v>0</v>
      </c>
      <c r="M87" s="26">
        <f t="shared" si="15"/>
        <v>0</v>
      </c>
      <c r="N87" s="26">
        <f t="shared" si="16"/>
        <v>0</v>
      </c>
      <c r="O87" s="40">
        <f t="shared" si="17"/>
        <v>0</v>
      </c>
      <c r="P87">
        <f t="shared" si="26"/>
        <v>-1085866</v>
      </c>
    </row>
    <row r="88" spans="2:16" x14ac:dyDescent="0.3">
      <c r="B88" s="38">
        <v>43551</v>
      </c>
      <c r="C88" s="3">
        <v>7505512</v>
      </c>
      <c r="D88" s="3">
        <v>5629134</v>
      </c>
      <c r="E88" s="3">
        <v>2293351</v>
      </c>
      <c r="F88" s="3">
        <v>5420648</v>
      </c>
      <c r="G88" s="25">
        <f t="shared" si="19"/>
        <v>20848645</v>
      </c>
      <c r="H88" s="39">
        <f t="shared" si="22"/>
        <v>-156365</v>
      </c>
      <c r="I88" s="26">
        <f t="shared" si="23"/>
        <v>-117274</v>
      </c>
      <c r="J88" s="26">
        <f t="shared" si="24"/>
        <v>-47778</v>
      </c>
      <c r="K88" s="40">
        <f t="shared" si="25"/>
        <v>-112930</v>
      </c>
      <c r="L88" s="39">
        <f t="shared" si="20"/>
        <v>0</v>
      </c>
      <c r="M88" s="26">
        <f t="shared" si="15"/>
        <v>0</v>
      </c>
      <c r="N88" s="26">
        <f t="shared" si="16"/>
        <v>0</v>
      </c>
      <c r="O88" s="40">
        <f t="shared" si="17"/>
        <v>0</v>
      </c>
      <c r="P88">
        <f t="shared" si="26"/>
        <v>-434347</v>
      </c>
    </row>
    <row r="89" spans="2:16" x14ac:dyDescent="0.3">
      <c r="B89" s="38">
        <v>43552</v>
      </c>
      <c r="C89" s="3">
        <v>7740060</v>
      </c>
      <c r="D89" s="3">
        <v>5805045</v>
      </c>
      <c r="E89" s="3">
        <v>2365018</v>
      </c>
      <c r="F89" s="3">
        <v>5590043</v>
      </c>
      <c r="G89" s="25">
        <f t="shared" si="19"/>
        <v>21500166</v>
      </c>
      <c r="H89" s="39">
        <f t="shared" si="22"/>
        <v>-78182</v>
      </c>
      <c r="I89" s="26">
        <f t="shared" si="23"/>
        <v>-58636</v>
      </c>
      <c r="J89" s="26">
        <f t="shared" si="24"/>
        <v>-23889</v>
      </c>
      <c r="K89" s="40">
        <f t="shared" si="25"/>
        <v>-56465</v>
      </c>
      <c r="L89" s="39">
        <f t="shared" si="20"/>
        <v>0</v>
      </c>
      <c r="M89" s="26">
        <f t="shared" si="15"/>
        <v>0</v>
      </c>
      <c r="N89" s="26">
        <f t="shared" si="16"/>
        <v>0</v>
      </c>
      <c r="O89" s="40">
        <f t="shared" si="17"/>
        <v>0</v>
      </c>
      <c r="P89">
        <f t="shared" si="26"/>
        <v>-217172</v>
      </c>
    </row>
    <row r="90" spans="2:16" x14ac:dyDescent="0.3">
      <c r="B90" s="38">
        <v>43553</v>
      </c>
      <c r="C90" s="3">
        <v>8209154</v>
      </c>
      <c r="D90" s="3">
        <v>6156866</v>
      </c>
      <c r="E90" s="3">
        <v>2508352</v>
      </c>
      <c r="F90" s="3">
        <v>5928833</v>
      </c>
      <c r="G90" s="25">
        <f t="shared" si="19"/>
        <v>22803205</v>
      </c>
      <c r="H90" s="39">
        <f t="shared" si="22"/>
        <v>0</v>
      </c>
      <c r="I90" s="26">
        <f t="shared" si="23"/>
        <v>0</v>
      </c>
      <c r="J90" s="26">
        <f t="shared" si="24"/>
        <v>0</v>
      </c>
      <c r="K90" s="40">
        <f t="shared" si="25"/>
        <v>0</v>
      </c>
      <c r="L90" s="39">
        <f t="shared" si="20"/>
        <v>625459</v>
      </c>
      <c r="M90" s="26">
        <f t="shared" si="15"/>
        <v>469095</v>
      </c>
      <c r="N90" s="26">
        <f t="shared" si="16"/>
        <v>191112</v>
      </c>
      <c r="O90" s="40">
        <f t="shared" si="17"/>
        <v>451720</v>
      </c>
      <c r="P90">
        <f t="shared" si="26"/>
        <v>1737386</v>
      </c>
    </row>
    <row r="91" spans="2:16" x14ac:dyDescent="0.3">
      <c r="B91" s="38">
        <v>43554</v>
      </c>
      <c r="C91" s="3">
        <v>16160310</v>
      </c>
      <c r="D91" s="3">
        <v>12120232</v>
      </c>
      <c r="E91" s="3">
        <v>4937872</v>
      </c>
      <c r="F91" s="3">
        <v>11671335</v>
      </c>
      <c r="G91" s="25">
        <f t="shared" si="19"/>
        <v>44889749</v>
      </c>
      <c r="H91" s="39">
        <f t="shared" si="22"/>
        <v>0</v>
      </c>
      <c r="I91" s="26">
        <f t="shared" si="23"/>
        <v>0</v>
      </c>
      <c r="J91" s="26">
        <f t="shared" si="24"/>
        <v>0</v>
      </c>
      <c r="K91" s="40">
        <f t="shared" si="25"/>
        <v>0</v>
      </c>
      <c r="L91" s="39">
        <f t="shared" si="20"/>
        <v>161603</v>
      </c>
      <c r="M91" s="26">
        <f t="shared" si="15"/>
        <v>121202</v>
      </c>
      <c r="N91" s="26">
        <f t="shared" si="16"/>
        <v>49379</v>
      </c>
      <c r="O91" s="40">
        <f t="shared" si="17"/>
        <v>116714</v>
      </c>
      <c r="P91">
        <f t="shared" si="26"/>
        <v>448898</v>
      </c>
    </row>
    <row r="92" spans="2:16" x14ac:dyDescent="0.3">
      <c r="B92" s="38">
        <v>43555</v>
      </c>
      <c r="C92" s="3">
        <v>15352294</v>
      </c>
      <c r="D92" s="3">
        <v>11514221</v>
      </c>
      <c r="E92" s="3">
        <v>4690978</v>
      </c>
      <c r="F92" s="3">
        <v>11087768</v>
      </c>
      <c r="G92" s="25">
        <f t="shared" si="19"/>
        <v>42645261</v>
      </c>
      <c r="H92" s="39">
        <f t="shared" si="22"/>
        <v>-969619</v>
      </c>
      <c r="I92" s="26">
        <f t="shared" si="23"/>
        <v>-727214</v>
      </c>
      <c r="J92" s="26">
        <f t="shared" si="24"/>
        <v>-296273</v>
      </c>
      <c r="K92" s="40">
        <f t="shared" si="25"/>
        <v>-700280</v>
      </c>
      <c r="L92" s="39">
        <f t="shared" si="20"/>
        <v>0</v>
      </c>
      <c r="M92" s="26">
        <f t="shared" si="15"/>
        <v>0</v>
      </c>
      <c r="N92" s="26">
        <f t="shared" si="16"/>
        <v>0</v>
      </c>
      <c r="O92" s="40">
        <f t="shared" si="17"/>
        <v>0</v>
      </c>
      <c r="P92">
        <f t="shared" si="26"/>
        <v>-2693386</v>
      </c>
    </row>
    <row r="93" spans="2:16" x14ac:dyDescent="0.3">
      <c r="B93" s="38">
        <v>43556</v>
      </c>
      <c r="C93" s="3">
        <v>7583695</v>
      </c>
      <c r="D93" s="3">
        <v>5687771</v>
      </c>
      <c r="E93" s="3">
        <v>2317240</v>
      </c>
      <c r="F93" s="3">
        <v>5477113</v>
      </c>
      <c r="G93" s="25">
        <f t="shared" si="19"/>
        <v>21065819</v>
      </c>
      <c r="H93" s="39">
        <f t="shared" si="22"/>
        <v>-469094</v>
      </c>
      <c r="I93" s="26">
        <f t="shared" si="23"/>
        <v>-351821</v>
      </c>
      <c r="J93" s="26">
        <f t="shared" si="24"/>
        <v>-143334</v>
      </c>
      <c r="K93" s="40">
        <f t="shared" si="25"/>
        <v>-338790</v>
      </c>
      <c r="L93" s="39">
        <f t="shared" si="20"/>
        <v>0</v>
      </c>
      <c r="M93" s="26">
        <f t="shared" si="15"/>
        <v>0</v>
      </c>
      <c r="N93" s="26">
        <f t="shared" si="16"/>
        <v>0</v>
      </c>
      <c r="O93" s="40">
        <f t="shared" si="17"/>
        <v>0</v>
      </c>
      <c r="P93">
        <f t="shared" si="26"/>
        <v>-1303039</v>
      </c>
    </row>
    <row r="94" spans="2:16" x14ac:dyDescent="0.3">
      <c r="B94" s="38">
        <v>43557</v>
      </c>
      <c r="C94" s="3">
        <v>8209154</v>
      </c>
      <c r="D94" s="3">
        <v>6156866</v>
      </c>
      <c r="E94" s="3">
        <v>2508352</v>
      </c>
      <c r="F94" s="3">
        <v>5928833</v>
      </c>
      <c r="G94" s="25">
        <f t="shared" si="19"/>
        <v>22803205</v>
      </c>
      <c r="H94" s="39">
        <f t="shared" si="22"/>
        <v>0</v>
      </c>
      <c r="I94" s="26">
        <f t="shared" si="23"/>
        <v>0</v>
      </c>
      <c r="J94" s="26">
        <f t="shared" si="24"/>
        <v>0</v>
      </c>
      <c r="K94" s="40">
        <f t="shared" si="25"/>
        <v>0</v>
      </c>
      <c r="L94" s="39">
        <f t="shared" si="20"/>
        <v>703642</v>
      </c>
      <c r="M94" s="26">
        <f t="shared" si="15"/>
        <v>527732</v>
      </c>
      <c r="N94" s="26">
        <f t="shared" si="16"/>
        <v>215001</v>
      </c>
      <c r="O94" s="40">
        <f t="shared" si="17"/>
        <v>508185</v>
      </c>
      <c r="P94">
        <f t="shared" si="26"/>
        <v>1954560</v>
      </c>
    </row>
    <row r="95" spans="2:16" x14ac:dyDescent="0.3">
      <c r="B95" s="38">
        <v>43558</v>
      </c>
      <c r="C95" s="3">
        <v>8052789</v>
      </c>
      <c r="D95" s="3">
        <v>6039592</v>
      </c>
      <c r="E95" s="3">
        <v>2460574</v>
      </c>
      <c r="F95" s="3">
        <v>5815903</v>
      </c>
      <c r="G95" s="25">
        <f t="shared" si="19"/>
        <v>22368858</v>
      </c>
      <c r="H95" s="39">
        <f t="shared" si="22"/>
        <v>0</v>
      </c>
      <c r="I95" s="26">
        <f t="shared" si="23"/>
        <v>0</v>
      </c>
      <c r="J95" s="26">
        <f t="shared" si="24"/>
        <v>0</v>
      </c>
      <c r="K95" s="40">
        <f t="shared" si="25"/>
        <v>0</v>
      </c>
      <c r="L95" s="39">
        <f t="shared" si="20"/>
        <v>547277</v>
      </c>
      <c r="M95" s="26">
        <f t="shared" ref="M95:M158" si="27">IF(D95&gt;D88,D95-D88,0)</f>
        <v>410458</v>
      </c>
      <c r="N95" s="26">
        <f t="shared" ref="N95:N158" si="28">IF(E95&gt;E88,E95-E88,0)</f>
        <v>167223</v>
      </c>
      <c r="O95" s="40">
        <f t="shared" ref="O95:O158" si="29">IF(F95&gt;F88,F95-F88,0)</f>
        <v>395255</v>
      </c>
      <c r="P95">
        <f t="shared" si="26"/>
        <v>1520213</v>
      </c>
    </row>
    <row r="96" spans="2:16" x14ac:dyDescent="0.3">
      <c r="B96" s="38">
        <v>43559</v>
      </c>
      <c r="C96" s="3">
        <v>7974607</v>
      </c>
      <c r="D96" s="3">
        <v>5980955</v>
      </c>
      <c r="E96" s="3">
        <v>2436685</v>
      </c>
      <c r="F96" s="3">
        <v>5759438</v>
      </c>
      <c r="G96" s="25">
        <f t="shared" si="19"/>
        <v>22151685</v>
      </c>
      <c r="H96" s="39">
        <f t="shared" si="22"/>
        <v>0</v>
      </c>
      <c r="I96" s="26">
        <f t="shared" si="23"/>
        <v>0</v>
      </c>
      <c r="J96" s="26">
        <f t="shared" si="24"/>
        <v>0</v>
      </c>
      <c r="K96" s="40">
        <f t="shared" si="25"/>
        <v>0</v>
      </c>
      <c r="L96" s="39">
        <f t="shared" si="20"/>
        <v>234547</v>
      </c>
      <c r="M96" s="26">
        <f t="shared" si="27"/>
        <v>175910</v>
      </c>
      <c r="N96" s="26">
        <f t="shared" si="28"/>
        <v>71667</v>
      </c>
      <c r="O96" s="40">
        <f t="shared" si="29"/>
        <v>169395</v>
      </c>
      <c r="P96">
        <f t="shared" si="26"/>
        <v>651519</v>
      </c>
    </row>
    <row r="97" spans="2:16" x14ac:dyDescent="0.3">
      <c r="B97" s="38">
        <v>43560</v>
      </c>
      <c r="C97" s="3">
        <v>8130972</v>
      </c>
      <c r="D97" s="3">
        <v>6098229</v>
      </c>
      <c r="E97" s="3">
        <v>2484463</v>
      </c>
      <c r="F97" s="3">
        <v>5872368</v>
      </c>
      <c r="G97" s="25">
        <f t="shared" si="19"/>
        <v>22586032</v>
      </c>
      <c r="H97" s="39">
        <f t="shared" si="22"/>
        <v>-78182</v>
      </c>
      <c r="I97" s="26">
        <f t="shared" si="23"/>
        <v>-58637</v>
      </c>
      <c r="J97" s="26">
        <f t="shared" si="24"/>
        <v>-23889</v>
      </c>
      <c r="K97" s="40">
        <f t="shared" si="25"/>
        <v>-56465</v>
      </c>
      <c r="L97" s="39">
        <f t="shared" si="20"/>
        <v>0</v>
      </c>
      <c r="M97" s="26">
        <f t="shared" si="27"/>
        <v>0</v>
      </c>
      <c r="N97" s="26">
        <f t="shared" si="28"/>
        <v>0</v>
      </c>
      <c r="O97" s="40">
        <f t="shared" si="29"/>
        <v>0</v>
      </c>
      <c r="P97">
        <f t="shared" si="26"/>
        <v>-217173</v>
      </c>
    </row>
    <row r="98" spans="2:16" x14ac:dyDescent="0.3">
      <c r="B98" s="38">
        <v>43561</v>
      </c>
      <c r="C98" s="3">
        <v>16806722</v>
      </c>
      <c r="D98" s="3">
        <v>12605042</v>
      </c>
      <c r="E98" s="3">
        <v>5135387</v>
      </c>
      <c r="F98" s="3">
        <v>12138188</v>
      </c>
      <c r="G98" s="25">
        <f t="shared" si="19"/>
        <v>46685339</v>
      </c>
      <c r="H98" s="39">
        <f t="shared" si="22"/>
        <v>0</v>
      </c>
      <c r="I98" s="26">
        <f t="shared" si="23"/>
        <v>0</v>
      </c>
      <c r="J98" s="26">
        <f t="shared" si="24"/>
        <v>0</v>
      </c>
      <c r="K98" s="40">
        <f t="shared" si="25"/>
        <v>0</v>
      </c>
      <c r="L98" s="39">
        <f t="shared" si="20"/>
        <v>646412</v>
      </c>
      <c r="M98" s="26">
        <f t="shared" si="27"/>
        <v>484810</v>
      </c>
      <c r="N98" s="26">
        <f t="shared" si="28"/>
        <v>197515</v>
      </c>
      <c r="O98" s="40">
        <f t="shared" si="29"/>
        <v>466853</v>
      </c>
      <c r="P98">
        <f t="shared" si="26"/>
        <v>1795590</v>
      </c>
    </row>
    <row r="99" spans="2:16" x14ac:dyDescent="0.3">
      <c r="B99" s="38">
        <v>43562</v>
      </c>
      <c r="C99" s="3">
        <v>15513897</v>
      </c>
      <c r="D99" s="3">
        <v>11635423</v>
      </c>
      <c r="E99" s="3">
        <v>4740357</v>
      </c>
      <c r="F99" s="3">
        <v>11204481</v>
      </c>
      <c r="G99" s="25">
        <f t="shared" si="19"/>
        <v>43094158</v>
      </c>
      <c r="H99" s="39">
        <f t="shared" si="22"/>
        <v>0</v>
      </c>
      <c r="I99" s="26">
        <f t="shared" si="23"/>
        <v>0</v>
      </c>
      <c r="J99" s="26">
        <f t="shared" si="24"/>
        <v>0</v>
      </c>
      <c r="K99" s="40">
        <f t="shared" si="25"/>
        <v>0</v>
      </c>
      <c r="L99" s="39">
        <f t="shared" si="20"/>
        <v>161603</v>
      </c>
      <c r="M99" s="26">
        <f t="shared" si="27"/>
        <v>121202</v>
      </c>
      <c r="N99" s="26">
        <f t="shared" si="28"/>
        <v>49379</v>
      </c>
      <c r="O99" s="40">
        <f t="shared" si="29"/>
        <v>116713</v>
      </c>
      <c r="P99">
        <f t="shared" si="26"/>
        <v>448897</v>
      </c>
    </row>
    <row r="100" spans="2:16" x14ac:dyDescent="0.3">
      <c r="B100" s="38">
        <v>43563</v>
      </c>
      <c r="C100" s="3">
        <v>7740060</v>
      </c>
      <c r="D100" s="3">
        <v>5805045</v>
      </c>
      <c r="E100" s="3">
        <v>2365018</v>
      </c>
      <c r="F100" s="3">
        <v>5590043</v>
      </c>
      <c r="G100" s="25">
        <f t="shared" si="19"/>
        <v>21500166</v>
      </c>
      <c r="H100" s="39">
        <f t="shared" si="22"/>
        <v>0</v>
      </c>
      <c r="I100" s="26">
        <f t="shared" si="23"/>
        <v>0</v>
      </c>
      <c r="J100" s="26">
        <f t="shared" si="24"/>
        <v>0</v>
      </c>
      <c r="K100" s="40">
        <f t="shared" si="25"/>
        <v>0</v>
      </c>
      <c r="L100" s="39">
        <f t="shared" si="20"/>
        <v>156365</v>
      </c>
      <c r="M100" s="26">
        <f t="shared" si="27"/>
        <v>117274</v>
      </c>
      <c r="N100" s="26">
        <f t="shared" si="28"/>
        <v>47778</v>
      </c>
      <c r="O100" s="40">
        <f t="shared" si="29"/>
        <v>112930</v>
      </c>
      <c r="P100">
        <f t="shared" si="26"/>
        <v>434347</v>
      </c>
    </row>
    <row r="101" spans="2:16" x14ac:dyDescent="0.3">
      <c r="B101" s="38">
        <v>43564</v>
      </c>
      <c r="C101" s="3">
        <v>7818242</v>
      </c>
      <c r="D101" s="3">
        <v>5863681</v>
      </c>
      <c r="E101" s="3">
        <v>2388907</v>
      </c>
      <c r="F101" s="3">
        <v>5646508</v>
      </c>
      <c r="G101" s="25">
        <f t="shared" si="19"/>
        <v>21717338</v>
      </c>
      <c r="H101" s="39">
        <f t="shared" si="22"/>
        <v>-390912</v>
      </c>
      <c r="I101" s="26">
        <f t="shared" si="23"/>
        <v>-293185</v>
      </c>
      <c r="J101" s="26">
        <f t="shared" si="24"/>
        <v>-119445</v>
      </c>
      <c r="K101" s="40">
        <f t="shared" si="25"/>
        <v>-282325</v>
      </c>
      <c r="L101" s="39">
        <f t="shared" si="20"/>
        <v>0</v>
      </c>
      <c r="M101" s="26">
        <f t="shared" si="27"/>
        <v>0</v>
      </c>
      <c r="N101" s="26">
        <f t="shared" si="28"/>
        <v>0</v>
      </c>
      <c r="O101" s="40">
        <f t="shared" si="29"/>
        <v>0</v>
      </c>
      <c r="P101">
        <f t="shared" si="26"/>
        <v>-1085867</v>
      </c>
    </row>
    <row r="102" spans="2:16" x14ac:dyDescent="0.3">
      <c r="B102" s="38">
        <v>43565</v>
      </c>
      <c r="C102" s="3">
        <v>7740060</v>
      </c>
      <c r="D102" s="3">
        <v>5805045</v>
      </c>
      <c r="E102" s="3">
        <v>2365018</v>
      </c>
      <c r="F102" s="3">
        <v>5590043</v>
      </c>
      <c r="G102" s="25">
        <f t="shared" si="19"/>
        <v>21500166</v>
      </c>
      <c r="H102" s="39">
        <f t="shared" si="22"/>
        <v>-312729</v>
      </c>
      <c r="I102" s="26">
        <f t="shared" si="23"/>
        <v>-234547</v>
      </c>
      <c r="J102" s="26">
        <f t="shared" si="24"/>
        <v>-95556</v>
      </c>
      <c r="K102" s="40">
        <f t="shared" si="25"/>
        <v>-225860</v>
      </c>
      <c r="L102" s="39">
        <f t="shared" si="20"/>
        <v>0</v>
      </c>
      <c r="M102" s="26">
        <f t="shared" si="27"/>
        <v>0</v>
      </c>
      <c r="N102" s="26">
        <f t="shared" si="28"/>
        <v>0</v>
      </c>
      <c r="O102" s="40">
        <f t="shared" si="29"/>
        <v>0</v>
      </c>
      <c r="P102">
        <f t="shared" si="26"/>
        <v>-868692</v>
      </c>
    </row>
    <row r="103" spans="2:16" x14ac:dyDescent="0.3">
      <c r="B103" s="38">
        <v>43566</v>
      </c>
      <c r="C103" s="3">
        <v>7427330</v>
      </c>
      <c r="D103" s="3">
        <v>5570497</v>
      </c>
      <c r="E103" s="3">
        <v>2269462</v>
      </c>
      <c r="F103" s="3">
        <v>5364183</v>
      </c>
      <c r="G103" s="25">
        <f t="shared" si="19"/>
        <v>20631472</v>
      </c>
      <c r="H103" s="39">
        <f t="shared" si="22"/>
        <v>-547277</v>
      </c>
      <c r="I103" s="26">
        <f t="shared" si="23"/>
        <v>-410458</v>
      </c>
      <c r="J103" s="26">
        <f t="shared" si="24"/>
        <v>-167223</v>
      </c>
      <c r="K103" s="40">
        <f t="shared" si="25"/>
        <v>-395255</v>
      </c>
      <c r="L103" s="39">
        <f t="shared" si="20"/>
        <v>0</v>
      </c>
      <c r="M103" s="26">
        <f t="shared" si="27"/>
        <v>0</v>
      </c>
      <c r="N103" s="26">
        <f t="shared" si="28"/>
        <v>0</v>
      </c>
      <c r="O103" s="40">
        <f t="shared" si="29"/>
        <v>0</v>
      </c>
      <c r="P103">
        <f t="shared" si="26"/>
        <v>-1520213</v>
      </c>
    </row>
    <row r="104" spans="2:16" x14ac:dyDescent="0.3">
      <c r="B104" s="38">
        <v>43567</v>
      </c>
      <c r="C104" s="3">
        <v>7427330</v>
      </c>
      <c r="D104" s="3">
        <v>5570497</v>
      </c>
      <c r="E104" s="3">
        <v>2269462</v>
      </c>
      <c r="F104" s="3">
        <v>5364183</v>
      </c>
      <c r="G104" s="25">
        <f t="shared" si="19"/>
        <v>20631472</v>
      </c>
      <c r="H104" s="39">
        <f t="shared" si="22"/>
        <v>-703642</v>
      </c>
      <c r="I104" s="26">
        <f t="shared" si="23"/>
        <v>-527732</v>
      </c>
      <c r="J104" s="26">
        <f t="shared" si="24"/>
        <v>-215001</v>
      </c>
      <c r="K104" s="40">
        <f t="shared" si="25"/>
        <v>-508185</v>
      </c>
      <c r="L104" s="39">
        <f t="shared" si="20"/>
        <v>0</v>
      </c>
      <c r="M104" s="26">
        <f t="shared" si="27"/>
        <v>0</v>
      </c>
      <c r="N104" s="26">
        <f t="shared" si="28"/>
        <v>0</v>
      </c>
      <c r="O104" s="40">
        <f t="shared" si="29"/>
        <v>0</v>
      </c>
      <c r="P104">
        <f t="shared" si="26"/>
        <v>-1954560</v>
      </c>
    </row>
    <row r="105" spans="2:16" x14ac:dyDescent="0.3">
      <c r="B105" s="38">
        <v>43568</v>
      </c>
      <c r="C105" s="3">
        <v>15513897</v>
      </c>
      <c r="D105" s="3">
        <v>11635423</v>
      </c>
      <c r="E105" s="3">
        <v>4740357</v>
      </c>
      <c r="F105" s="3">
        <v>11204481</v>
      </c>
      <c r="G105" s="25">
        <f t="shared" si="19"/>
        <v>43094158</v>
      </c>
      <c r="H105" s="39">
        <f t="shared" si="22"/>
        <v>-1292825</v>
      </c>
      <c r="I105" s="26">
        <f t="shared" si="23"/>
        <v>-969619</v>
      </c>
      <c r="J105" s="26">
        <f t="shared" si="24"/>
        <v>-395030</v>
      </c>
      <c r="K105" s="40">
        <f t="shared" si="25"/>
        <v>-933707</v>
      </c>
      <c r="L105" s="39">
        <f t="shared" si="20"/>
        <v>0</v>
      </c>
      <c r="M105" s="26">
        <f t="shared" si="27"/>
        <v>0</v>
      </c>
      <c r="N105" s="26">
        <f t="shared" si="28"/>
        <v>0</v>
      </c>
      <c r="O105" s="40">
        <f t="shared" si="29"/>
        <v>0</v>
      </c>
      <c r="P105">
        <f t="shared" si="26"/>
        <v>-3591181</v>
      </c>
    </row>
    <row r="106" spans="2:16" x14ac:dyDescent="0.3">
      <c r="B106" s="38">
        <v>43569</v>
      </c>
      <c r="C106" s="3">
        <v>16806722</v>
      </c>
      <c r="D106" s="3">
        <v>12605042</v>
      </c>
      <c r="E106" s="3">
        <v>5135387</v>
      </c>
      <c r="F106" s="3">
        <v>12138188</v>
      </c>
      <c r="G106" s="25">
        <f t="shared" si="19"/>
        <v>46685339</v>
      </c>
      <c r="H106" s="39">
        <f t="shared" si="22"/>
        <v>0</v>
      </c>
      <c r="I106" s="26">
        <f t="shared" si="23"/>
        <v>0</v>
      </c>
      <c r="J106" s="26">
        <f t="shared" si="24"/>
        <v>0</v>
      </c>
      <c r="K106" s="40">
        <f t="shared" si="25"/>
        <v>0</v>
      </c>
      <c r="L106" s="39">
        <f t="shared" si="20"/>
        <v>1292825</v>
      </c>
      <c r="M106" s="26">
        <f t="shared" si="27"/>
        <v>969619</v>
      </c>
      <c r="N106" s="26">
        <f t="shared" si="28"/>
        <v>395030</v>
      </c>
      <c r="O106" s="40">
        <f t="shared" si="29"/>
        <v>933707</v>
      </c>
      <c r="P106">
        <f t="shared" si="26"/>
        <v>3591181</v>
      </c>
    </row>
    <row r="107" spans="2:16" x14ac:dyDescent="0.3">
      <c r="B107" s="38">
        <v>43570</v>
      </c>
      <c r="C107" s="3">
        <v>7583695</v>
      </c>
      <c r="D107" s="3">
        <v>5687771</v>
      </c>
      <c r="E107" s="3">
        <v>2317240</v>
      </c>
      <c r="F107" s="3">
        <v>5477113</v>
      </c>
      <c r="G107" s="25">
        <f t="shared" si="19"/>
        <v>21065819</v>
      </c>
      <c r="H107" s="39">
        <f t="shared" si="22"/>
        <v>-156365</v>
      </c>
      <c r="I107" s="26">
        <f t="shared" si="23"/>
        <v>-117274</v>
      </c>
      <c r="J107" s="26">
        <f t="shared" si="24"/>
        <v>-47778</v>
      </c>
      <c r="K107" s="40">
        <f t="shared" si="25"/>
        <v>-112930</v>
      </c>
      <c r="L107" s="39">
        <f t="shared" si="20"/>
        <v>0</v>
      </c>
      <c r="M107" s="26">
        <f t="shared" si="27"/>
        <v>0</v>
      </c>
      <c r="N107" s="26">
        <f t="shared" si="28"/>
        <v>0</v>
      </c>
      <c r="O107" s="40">
        <f t="shared" si="29"/>
        <v>0</v>
      </c>
      <c r="P107">
        <f t="shared" si="26"/>
        <v>-434347</v>
      </c>
    </row>
    <row r="108" spans="2:16" x14ac:dyDescent="0.3">
      <c r="B108" s="38">
        <v>43571</v>
      </c>
      <c r="C108" s="3">
        <v>8130972</v>
      </c>
      <c r="D108" s="3">
        <v>6098229</v>
      </c>
      <c r="E108" s="3">
        <v>2484463</v>
      </c>
      <c r="F108" s="3">
        <v>5872368</v>
      </c>
      <c r="G108" s="25">
        <f t="shared" si="19"/>
        <v>22586032</v>
      </c>
      <c r="H108" s="39">
        <f t="shared" si="22"/>
        <v>0</v>
      </c>
      <c r="I108" s="26">
        <f t="shared" si="23"/>
        <v>0</v>
      </c>
      <c r="J108" s="26">
        <f t="shared" si="24"/>
        <v>0</v>
      </c>
      <c r="K108" s="40">
        <f t="shared" si="25"/>
        <v>0</v>
      </c>
      <c r="L108" s="39">
        <f t="shared" si="20"/>
        <v>312730</v>
      </c>
      <c r="M108" s="26">
        <f t="shared" si="27"/>
        <v>234548</v>
      </c>
      <c r="N108" s="26">
        <f t="shared" si="28"/>
        <v>95556</v>
      </c>
      <c r="O108" s="40">
        <f t="shared" si="29"/>
        <v>225860</v>
      </c>
      <c r="P108">
        <f t="shared" si="26"/>
        <v>868694</v>
      </c>
    </row>
    <row r="109" spans="2:16" x14ac:dyDescent="0.3">
      <c r="B109" s="38">
        <v>43572</v>
      </c>
      <c r="C109" s="3">
        <v>7896424</v>
      </c>
      <c r="D109" s="3">
        <v>5922318</v>
      </c>
      <c r="E109" s="3">
        <v>2412796</v>
      </c>
      <c r="F109" s="3">
        <v>5702973</v>
      </c>
      <c r="G109" s="25">
        <f t="shared" si="19"/>
        <v>21934511</v>
      </c>
      <c r="H109" s="39">
        <f t="shared" si="22"/>
        <v>0</v>
      </c>
      <c r="I109" s="26">
        <f t="shared" si="23"/>
        <v>0</v>
      </c>
      <c r="J109" s="26">
        <f t="shared" si="24"/>
        <v>0</v>
      </c>
      <c r="K109" s="40">
        <f t="shared" si="25"/>
        <v>0</v>
      </c>
      <c r="L109" s="39">
        <f t="shared" si="20"/>
        <v>156364</v>
      </c>
      <c r="M109" s="26">
        <f t="shared" si="27"/>
        <v>117273</v>
      </c>
      <c r="N109" s="26">
        <f t="shared" si="28"/>
        <v>47778</v>
      </c>
      <c r="O109" s="40">
        <f t="shared" si="29"/>
        <v>112930</v>
      </c>
      <c r="P109">
        <f t="shared" si="26"/>
        <v>434345</v>
      </c>
    </row>
    <row r="110" spans="2:16" x14ac:dyDescent="0.3">
      <c r="B110" s="38">
        <v>43573</v>
      </c>
      <c r="C110" s="3">
        <v>8209154</v>
      </c>
      <c r="D110" s="3">
        <v>6156866</v>
      </c>
      <c r="E110" s="3">
        <v>2508352</v>
      </c>
      <c r="F110" s="3">
        <v>5928833</v>
      </c>
      <c r="G110" s="25">
        <f t="shared" si="19"/>
        <v>22803205</v>
      </c>
      <c r="H110" s="39">
        <f t="shared" si="22"/>
        <v>0</v>
      </c>
      <c r="I110" s="26">
        <f t="shared" si="23"/>
        <v>0</v>
      </c>
      <c r="J110" s="26">
        <f t="shared" si="24"/>
        <v>0</v>
      </c>
      <c r="K110" s="40">
        <f t="shared" si="25"/>
        <v>0</v>
      </c>
      <c r="L110" s="39">
        <f t="shared" si="20"/>
        <v>781824</v>
      </c>
      <c r="M110" s="26">
        <f t="shared" si="27"/>
        <v>586369</v>
      </c>
      <c r="N110" s="26">
        <f t="shared" si="28"/>
        <v>238890</v>
      </c>
      <c r="O110" s="40">
        <f t="shared" si="29"/>
        <v>564650</v>
      </c>
      <c r="P110">
        <f t="shared" si="26"/>
        <v>2171733</v>
      </c>
    </row>
    <row r="111" spans="2:16" x14ac:dyDescent="0.3">
      <c r="B111" s="38">
        <v>43574</v>
      </c>
      <c r="C111" s="3">
        <v>7974607</v>
      </c>
      <c r="D111" s="3">
        <v>5980955</v>
      </c>
      <c r="E111" s="3">
        <v>2436685</v>
      </c>
      <c r="F111" s="3">
        <v>5759438</v>
      </c>
      <c r="G111" s="25">
        <f t="shared" si="19"/>
        <v>22151685</v>
      </c>
      <c r="H111" s="39">
        <f t="shared" si="22"/>
        <v>0</v>
      </c>
      <c r="I111" s="26">
        <f t="shared" si="23"/>
        <v>0</v>
      </c>
      <c r="J111" s="26">
        <f t="shared" si="24"/>
        <v>0</v>
      </c>
      <c r="K111" s="40">
        <f t="shared" si="25"/>
        <v>0</v>
      </c>
      <c r="L111" s="39">
        <f t="shared" si="20"/>
        <v>547277</v>
      </c>
      <c r="M111" s="26">
        <f t="shared" si="27"/>
        <v>410458</v>
      </c>
      <c r="N111" s="26">
        <f t="shared" si="28"/>
        <v>167223</v>
      </c>
      <c r="O111" s="40">
        <f t="shared" si="29"/>
        <v>395255</v>
      </c>
      <c r="P111">
        <f t="shared" si="26"/>
        <v>1520213</v>
      </c>
    </row>
    <row r="112" spans="2:16" x14ac:dyDescent="0.3">
      <c r="B112" s="38">
        <v>43575</v>
      </c>
      <c r="C112" s="3">
        <v>15998707</v>
      </c>
      <c r="D112" s="3">
        <v>11999030</v>
      </c>
      <c r="E112" s="3">
        <v>4888493</v>
      </c>
      <c r="F112" s="3">
        <v>11554621</v>
      </c>
      <c r="G112" s="25">
        <f t="shared" si="19"/>
        <v>44440851</v>
      </c>
      <c r="H112" s="39">
        <f t="shared" si="22"/>
        <v>0</v>
      </c>
      <c r="I112" s="26">
        <f t="shared" si="23"/>
        <v>0</v>
      </c>
      <c r="J112" s="26">
        <f t="shared" si="24"/>
        <v>0</v>
      </c>
      <c r="K112" s="40">
        <f t="shared" si="25"/>
        <v>0</v>
      </c>
      <c r="L112" s="39">
        <f t="shared" si="20"/>
        <v>484810</v>
      </c>
      <c r="M112" s="26">
        <f t="shared" si="27"/>
        <v>363607</v>
      </c>
      <c r="N112" s="26">
        <f t="shared" si="28"/>
        <v>148136</v>
      </c>
      <c r="O112" s="40">
        <f t="shared" si="29"/>
        <v>350140</v>
      </c>
      <c r="P112">
        <f t="shared" si="26"/>
        <v>1346693</v>
      </c>
    </row>
    <row r="113" spans="2:16" x14ac:dyDescent="0.3">
      <c r="B113" s="38">
        <v>43576</v>
      </c>
      <c r="C113" s="3">
        <v>16806722</v>
      </c>
      <c r="D113" s="3">
        <v>12605042</v>
      </c>
      <c r="E113" s="3">
        <v>5135387</v>
      </c>
      <c r="F113" s="3">
        <v>12138188</v>
      </c>
      <c r="G113" s="25">
        <f t="shared" si="19"/>
        <v>46685339</v>
      </c>
      <c r="H113" s="39">
        <f t="shared" si="22"/>
        <v>0</v>
      </c>
      <c r="I113" s="26">
        <f t="shared" si="23"/>
        <v>0</v>
      </c>
      <c r="J113" s="26">
        <f t="shared" si="24"/>
        <v>0</v>
      </c>
      <c r="K113" s="40">
        <f t="shared" si="25"/>
        <v>0</v>
      </c>
      <c r="L113" s="39">
        <f t="shared" si="20"/>
        <v>0</v>
      </c>
      <c r="M113" s="26">
        <f t="shared" si="27"/>
        <v>0</v>
      </c>
      <c r="N113" s="26">
        <f t="shared" si="28"/>
        <v>0</v>
      </c>
      <c r="O113" s="40">
        <f t="shared" si="29"/>
        <v>0</v>
      </c>
      <c r="P113">
        <f t="shared" si="26"/>
        <v>0</v>
      </c>
    </row>
    <row r="114" spans="2:16" x14ac:dyDescent="0.3">
      <c r="B114" s="38">
        <v>43577</v>
      </c>
      <c r="C114" s="3">
        <v>7505512</v>
      </c>
      <c r="D114" s="3">
        <v>5629134</v>
      </c>
      <c r="E114" s="3">
        <v>2293351</v>
      </c>
      <c r="F114" s="3">
        <v>5420648</v>
      </c>
      <c r="G114" s="25">
        <f t="shared" si="19"/>
        <v>20848645</v>
      </c>
      <c r="H114" s="39">
        <f t="shared" si="22"/>
        <v>-78183</v>
      </c>
      <c r="I114" s="26">
        <f t="shared" si="23"/>
        <v>-58637</v>
      </c>
      <c r="J114" s="26">
        <f t="shared" si="24"/>
        <v>-23889</v>
      </c>
      <c r="K114" s="40">
        <f t="shared" si="25"/>
        <v>-56465</v>
      </c>
      <c r="L114" s="39">
        <f t="shared" si="20"/>
        <v>0</v>
      </c>
      <c r="M114" s="26">
        <f t="shared" si="27"/>
        <v>0</v>
      </c>
      <c r="N114" s="26">
        <f t="shared" si="28"/>
        <v>0</v>
      </c>
      <c r="O114" s="40">
        <f t="shared" si="29"/>
        <v>0</v>
      </c>
      <c r="P114">
        <f t="shared" si="26"/>
        <v>-217174</v>
      </c>
    </row>
    <row r="115" spans="2:16" x14ac:dyDescent="0.3">
      <c r="B115" s="38">
        <v>43578</v>
      </c>
      <c r="C115" s="3">
        <v>7427330</v>
      </c>
      <c r="D115" s="3">
        <v>5570497</v>
      </c>
      <c r="E115" s="3">
        <v>2269462</v>
      </c>
      <c r="F115" s="3">
        <v>5364183</v>
      </c>
      <c r="G115" s="25">
        <f t="shared" si="19"/>
        <v>20631472</v>
      </c>
      <c r="H115" s="39">
        <f t="shared" si="22"/>
        <v>-703642</v>
      </c>
      <c r="I115" s="26">
        <f t="shared" si="23"/>
        <v>-527732</v>
      </c>
      <c r="J115" s="26">
        <f t="shared" si="24"/>
        <v>-215001</v>
      </c>
      <c r="K115" s="40">
        <f t="shared" si="25"/>
        <v>-508185</v>
      </c>
      <c r="L115" s="39">
        <f t="shared" si="20"/>
        <v>0</v>
      </c>
      <c r="M115" s="26">
        <f t="shared" si="27"/>
        <v>0</v>
      </c>
      <c r="N115" s="26">
        <f t="shared" si="28"/>
        <v>0</v>
      </c>
      <c r="O115" s="40">
        <f t="shared" si="29"/>
        <v>0</v>
      </c>
      <c r="P115">
        <f t="shared" si="26"/>
        <v>-1954560</v>
      </c>
    </row>
    <row r="116" spans="2:16" x14ac:dyDescent="0.3">
      <c r="B116" s="38">
        <v>43579</v>
      </c>
      <c r="C116" s="3">
        <v>7818242</v>
      </c>
      <c r="D116" s="3">
        <v>5863681</v>
      </c>
      <c r="E116" s="3">
        <v>2388907</v>
      </c>
      <c r="F116" s="3">
        <v>5646508</v>
      </c>
      <c r="G116" s="25">
        <f t="shared" si="19"/>
        <v>21717338</v>
      </c>
      <c r="H116" s="39">
        <f t="shared" si="22"/>
        <v>-78182</v>
      </c>
      <c r="I116" s="26">
        <f t="shared" si="23"/>
        <v>-58637</v>
      </c>
      <c r="J116" s="26">
        <f t="shared" si="24"/>
        <v>-23889</v>
      </c>
      <c r="K116" s="40">
        <f t="shared" si="25"/>
        <v>-56465</v>
      </c>
      <c r="L116" s="39">
        <f t="shared" si="20"/>
        <v>0</v>
      </c>
      <c r="M116" s="26">
        <f t="shared" si="27"/>
        <v>0</v>
      </c>
      <c r="N116" s="26">
        <f t="shared" si="28"/>
        <v>0</v>
      </c>
      <c r="O116" s="40">
        <f t="shared" si="29"/>
        <v>0</v>
      </c>
      <c r="P116">
        <f t="shared" si="26"/>
        <v>-217173</v>
      </c>
    </row>
    <row r="117" spans="2:16" x14ac:dyDescent="0.3">
      <c r="B117" s="38">
        <v>43580</v>
      </c>
      <c r="C117" s="3">
        <v>8209154</v>
      </c>
      <c r="D117" s="3">
        <v>6156866</v>
      </c>
      <c r="E117" s="3">
        <v>2508352</v>
      </c>
      <c r="F117" s="3">
        <v>5928833</v>
      </c>
      <c r="G117" s="25">
        <f t="shared" si="19"/>
        <v>22803205</v>
      </c>
      <c r="H117" s="39">
        <f t="shared" si="22"/>
        <v>0</v>
      </c>
      <c r="I117" s="26">
        <f t="shared" si="23"/>
        <v>0</v>
      </c>
      <c r="J117" s="26">
        <f t="shared" si="24"/>
        <v>0</v>
      </c>
      <c r="K117" s="40">
        <f t="shared" si="25"/>
        <v>0</v>
      </c>
      <c r="L117" s="39">
        <f t="shared" si="20"/>
        <v>0</v>
      </c>
      <c r="M117" s="26">
        <f t="shared" si="27"/>
        <v>0</v>
      </c>
      <c r="N117" s="26">
        <f t="shared" si="28"/>
        <v>0</v>
      </c>
      <c r="O117" s="40">
        <f t="shared" si="29"/>
        <v>0</v>
      </c>
      <c r="P117">
        <f t="shared" si="26"/>
        <v>0</v>
      </c>
    </row>
    <row r="118" spans="2:16" x14ac:dyDescent="0.3">
      <c r="B118" s="38">
        <v>43581</v>
      </c>
      <c r="C118" s="3">
        <v>7974607</v>
      </c>
      <c r="D118" s="3">
        <v>5980955</v>
      </c>
      <c r="E118" s="3">
        <v>2436685</v>
      </c>
      <c r="F118" s="3">
        <v>5759438</v>
      </c>
      <c r="G118" s="25">
        <f t="shared" si="19"/>
        <v>22151685</v>
      </c>
      <c r="H118" s="39">
        <f t="shared" si="22"/>
        <v>0</v>
      </c>
      <c r="I118" s="26">
        <f t="shared" si="23"/>
        <v>0</v>
      </c>
      <c r="J118" s="26">
        <f t="shared" si="24"/>
        <v>0</v>
      </c>
      <c r="K118" s="40">
        <f t="shared" si="25"/>
        <v>0</v>
      </c>
      <c r="L118" s="39">
        <f t="shared" si="20"/>
        <v>0</v>
      </c>
      <c r="M118" s="26">
        <f t="shared" si="27"/>
        <v>0</v>
      </c>
      <c r="N118" s="26">
        <f t="shared" si="28"/>
        <v>0</v>
      </c>
      <c r="O118" s="40">
        <f t="shared" si="29"/>
        <v>0</v>
      </c>
      <c r="P118">
        <f t="shared" si="26"/>
        <v>0</v>
      </c>
    </row>
    <row r="119" spans="2:16" x14ac:dyDescent="0.3">
      <c r="B119" s="38">
        <v>43582</v>
      </c>
      <c r="C119" s="3">
        <v>16968325</v>
      </c>
      <c r="D119" s="3">
        <v>12726244</v>
      </c>
      <c r="E119" s="3">
        <v>5184766</v>
      </c>
      <c r="F119" s="3">
        <v>12254901</v>
      </c>
      <c r="G119" s="25">
        <f t="shared" si="19"/>
        <v>47134236</v>
      </c>
      <c r="H119" s="39">
        <f t="shared" si="22"/>
        <v>0</v>
      </c>
      <c r="I119" s="26">
        <f t="shared" si="23"/>
        <v>0</v>
      </c>
      <c r="J119" s="26">
        <f t="shared" si="24"/>
        <v>0</v>
      </c>
      <c r="K119" s="40">
        <f t="shared" si="25"/>
        <v>0</v>
      </c>
      <c r="L119" s="39">
        <f t="shared" si="20"/>
        <v>969618</v>
      </c>
      <c r="M119" s="26">
        <f t="shared" si="27"/>
        <v>727214</v>
      </c>
      <c r="N119" s="26">
        <f t="shared" si="28"/>
        <v>296273</v>
      </c>
      <c r="O119" s="40">
        <f t="shared" si="29"/>
        <v>700280</v>
      </c>
      <c r="P119">
        <f t="shared" si="26"/>
        <v>2693385</v>
      </c>
    </row>
    <row r="120" spans="2:16" x14ac:dyDescent="0.3">
      <c r="B120" s="38">
        <v>43583</v>
      </c>
      <c r="C120" s="3">
        <v>16645119</v>
      </c>
      <c r="D120" s="3">
        <v>12483839</v>
      </c>
      <c r="E120" s="3">
        <v>5086008</v>
      </c>
      <c r="F120" s="3">
        <v>12021475</v>
      </c>
      <c r="G120" s="25">
        <f t="shared" si="19"/>
        <v>46236441</v>
      </c>
      <c r="H120" s="39">
        <f t="shared" si="22"/>
        <v>-161603</v>
      </c>
      <c r="I120" s="26">
        <f t="shared" si="23"/>
        <v>-121203</v>
      </c>
      <c r="J120" s="26">
        <f t="shared" si="24"/>
        <v>-49379</v>
      </c>
      <c r="K120" s="40">
        <f t="shared" si="25"/>
        <v>-116713</v>
      </c>
      <c r="L120" s="39">
        <f t="shared" si="20"/>
        <v>0</v>
      </c>
      <c r="M120" s="26">
        <f t="shared" si="27"/>
        <v>0</v>
      </c>
      <c r="N120" s="26">
        <f t="shared" si="28"/>
        <v>0</v>
      </c>
      <c r="O120" s="40">
        <f t="shared" si="29"/>
        <v>0</v>
      </c>
      <c r="P120">
        <f t="shared" si="26"/>
        <v>-448898</v>
      </c>
    </row>
    <row r="121" spans="2:16" x14ac:dyDescent="0.3">
      <c r="B121" s="38">
        <v>43584</v>
      </c>
      <c r="C121" s="3">
        <v>7427330</v>
      </c>
      <c r="D121" s="3">
        <v>5570497</v>
      </c>
      <c r="E121" s="3">
        <v>2269462</v>
      </c>
      <c r="F121" s="3">
        <v>5364183</v>
      </c>
      <c r="G121" s="25">
        <f t="shared" si="19"/>
        <v>20631472</v>
      </c>
      <c r="H121" s="39">
        <f t="shared" si="22"/>
        <v>-78182</v>
      </c>
      <c r="I121" s="26">
        <f t="shared" si="23"/>
        <v>-58637</v>
      </c>
      <c r="J121" s="26">
        <f t="shared" si="24"/>
        <v>-23889</v>
      </c>
      <c r="K121" s="40">
        <f t="shared" si="25"/>
        <v>-56465</v>
      </c>
      <c r="L121" s="39">
        <f t="shared" si="20"/>
        <v>0</v>
      </c>
      <c r="M121" s="26">
        <f t="shared" si="27"/>
        <v>0</v>
      </c>
      <c r="N121" s="26">
        <f t="shared" si="28"/>
        <v>0</v>
      </c>
      <c r="O121" s="40">
        <f t="shared" si="29"/>
        <v>0</v>
      </c>
      <c r="P121">
        <f t="shared" si="26"/>
        <v>-217173</v>
      </c>
    </row>
    <row r="122" spans="2:16" x14ac:dyDescent="0.3">
      <c r="B122" s="38">
        <v>43585</v>
      </c>
      <c r="C122" s="3">
        <v>7583695</v>
      </c>
      <c r="D122" s="3">
        <v>5687771</v>
      </c>
      <c r="E122" s="3">
        <v>2317240</v>
      </c>
      <c r="F122" s="3">
        <v>5477113</v>
      </c>
      <c r="G122" s="25">
        <f t="shared" si="19"/>
        <v>21065819</v>
      </c>
      <c r="H122" s="39">
        <f t="shared" si="22"/>
        <v>0</v>
      </c>
      <c r="I122" s="26">
        <f t="shared" si="23"/>
        <v>0</v>
      </c>
      <c r="J122" s="26">
        <f t="shared" si="24"/>
        <v>0</v>
      </c>
      <c r="K122" s="40">
        <f t="shared" si="25"/>
        <v>0</v>
      </c>
      <c r="L122" s="39">
        <f t="shared" si="20"/>
        <v>156365</v>
      </c>
      <c r="M122" s="26">
        <f t="shared" si="27"/>
        <v>117274</v>
      </c>
      <c r="N122" s="26">
        <f t="shared" si="28"/>
        <v>47778</v>
      </c>
      <c r="O122" s="40">
        <f t="shared" si="29"/>
        <v>112930</v>
      </c>
      <c r="P122">
        <f t="shared" si="26"/>
        <v>434347</v>
      </c>
    </row>
    <row r="123" spans="2:16" x14ac:dyDescent="0.3">
      <c r="B123" s="38">
        <v>43586</v>
      </c>
      <c r="C123" s="3">
        <v>8209154</v>
      </c>
      <c r="D123" s="3">
        <v>6156866</v>
      </c>
      <c r="E123" s="3">
        <v>2508352</v>
      </c>
      <c r="F123" s="3">
        <v>5928833</v>
      </c>
      <c r="G123" s="25">
        <f t="shared" si="19"/>
        <v>22803205</v>
      </c>
      <c r="H123" s="39">
        <f t="shared" si="22"/>
        <v>0</v>
      </c>
      <c r="I123" s="26">
        <f t="shared" si="23"/>
        <v>0</v>
      </c>
      <c r="J123" s="26">
        <f t="shared" si="24"/>
        <v>0</v>
      </c>
      <c r="K123" s="40">
        <f t="shared" si="25"/>
        <v>0</v>
      </c>
      <c r="L123" s="39">
        <f t="shared" si="20"/>
        <v>390912</v>
      </c>
      <c r="M123" s="26">
        <f t="shared" si="27"/>
        <v>293185</v>
      </c>
      <c r="N123" s="26">
        <f t="shared" si="28"/>
        <v>119445</v>
      </c>
      <c r="O123" s="40">
        <f t="shared" si="29"/>
        <v>282325</v>
      </c>
      <c r="P123">
        <f t="shared" si="26"/>
        <v>1085867</v>
      </c>
    </row>
    <row r="124" spans="2:16" x14ac:dyDescent="0.3">
      <c r="B124" s="38">
        <v>43587</v>
      </c>
      <c r="C124" s="3">
        <v>7661877</v>
      </c>
      <c r="D124" s="3">
        <v>5746408</v>
      </c>
      <c r="E124" s="3">
        <v>2341129</v>
      </c>
      <c r="F124" s="3">
        <v>5533578</v>
      </c>
      <c r="G124" s="25">
        <f t="shared" si="19"/>
        <v>21282992</v>
      </c>
      <c r="H124" s="39">
        <f t="shared" si="22"/>
        <v>-547277</v>
      </c>
      <c r="I124" s="26">
        <f t="shared" si="23"/>
        <v>-410458</v>
      </c>
      <c r="J124" s="26">
        <f t="shared" si="24"/>
        <v>-167223</v>
      </c>
      <c r="K124" s="40">
        <f t="shared" si="25"/>
        <v>-395255</v>
      </c>
      <c r="L124" s="39">
        <f t="shared" si="20"/>
        <v>0</v>
      </c>
      <c r="M124" s="26">
        <f t="shared" si="27"/>
        <v>0</v>
      </c>
      <c r="N124" s="26">
        <f t="shared" si="28"/>
        <v>0</v>
      </c>
      <c r="O124" s="40">
        <f t="shared" si="29"/>
        <v>0</v>
      </c>
      <c r="P124">
        <f t="shared" si="26"/>
        <v>-1520213</v>
      </c>
    </row>
    <row r="125" spans="2:16" x14ac:dyDescent="0.3">
      <c r="B125" s="38">
        <v>43588</v>
      </c>
      <c r="C125" s="3">
        <v>7505512</v>
      </c>
      <c r="D125" s="3">
        <v>5629134</v>
      </c>
      <c r="E125" s="3">
        <v>2293351</v>
      </c>
      <c r="F125" s="3">
        <v>5420648</v>
      </c>
      <c r="G125" s="25">
        <f t="shared" si="19"/>
        <v>20848645</v>
      </c>
      <c r="H125" s="39">
        <f t="shared" si="22"/>
        <v>-469095</v>
      </c>
      <c r="I125" s="26">
        <f t="shared" si="23"/>
        <v>-351821</v>
      </c>
      <c r="J125" s="26">
        <f t="shared" si="24"/>
        <v>-143334</v>
      </c>
      <c r="K125" s="40">
        <f t="shared" si="25"/>
        <v>-338790</v>
      </c>
      <c r="L125" s="39">
        <f t="shared" si="20"/>
        <v>0</v>
      </c>
      <c r="M125" s="26">
        <f t="shared" si="27"/>
        <v>0</v>
      </c>
      <c r="N125" s="26">
        <f t="shared" si="28"/>
        <v>0</v>
      </c>
      <c r="O125" s="40">
        <f t="shared" si="29"/>
        <v>0</v>
      </c>
      <c r="P125">
        <f t="shared" si="26"/>
        <v>-1303040</v>
      </c>
    </row>
    <row r="126" spans="2:16" x14ac:dyDescent="0.3">
      <c r="B126" s="38">
        <v>43589</v>
      </c>
      <c r="C126" s="3">
        <v>15513897</v>
      </c>
      <c r="D126" s="3">
        <v>11635423</v>
      </c>
      <c r="E126" s="3">
        <v>4740357</v>
      </c>
      <c r="F126" s="3">
        <v>11204481</v>
      </c>
      <c r="G126" s="25">
        <f t="shared" si="19"/>
        <v>43094158</v>
      </c>
      <c r="H126" s="39">
        <f t="shared" si="22"/>
        <v>-1454428</v>
      </c>
      <c r="I126" s="26">
        <f t="shared" si="23"/>
        <v>-1090821</v>
      </c>
      <c r="J126" s="26">
        <f t="shared" si="24"/>
        <v>-444409</v>
      </c>
      <c r="K126" s="40">
        <f t="shared" si="25"/>
        <v>-1050420</v>
      </c>
      <c r="L126" s="39">
        <f t="shared" si="20"/>
        <v>0</v>
      </c>
      <c r="M126" s="26">
        <f t="shared" si="27"/>
        <v>0</v>
      </c>
      <c r="N126" s="26">
        <f t="shared" si="28"/>
        <v>0</v>
      </c>
      <c r="O126" s="40">
        <f t="shared" si="29"/>
        <v>0</v>
      </c>
      <c r="P126">
        <f t="shared" si="26"/>
        <v>-4040078</v>
      </c>
    </row>
    <row r="127" spans="2:16" x14ac:dyDescent="0.3">
      <c r="B127" s="38">
        <v>43590</v>
      </c>
      <c r="C127" s="3">
        <v>15837104</v>
      </c>
      <c r="D127" s="3">
        <v>11877828</v>
      </c>
      <c r="E127" s="3">
        <v>4839115</v>
      </c>
      <c r="F127" s="3">
        <v>11437908</v>
      </c>
      <c r="G127" s="25">
        <f t="shared" si="19"/>
        <v>43991955</v>
      </c>
      <c r="H127" s="39">
        <f t="shared" si="22"/>
        <v>-808015</v>
      </c>
      <c r="I127" s="26">
        <f t="shared" si="23"/>
        <v>-606011</v>
      </c>
      <c r="J127" s="26">
        <f t="shared" si="24"/>
        <v>-246893</v>
      </c>
      <c r="K127" s="40">
        <f t="shared" si="25"/>
        <v>-583567</v>
      </c>
      <c r="L127" s="39">
        <f t="shared" si="20"/>
        <v>0</v>
      </c>
      <c r="M127" s="26">
        <f t="shared" si="27"/>
        <v>0</v>
      </c>
      <c r="N127" s="26">
        <f t="shared" si="28"/>
        <v>0</v>
      </c>
      <c r="O127" s="40">
        <f t="shared" si="29"/>
        <v>0</v>
      </c>
      <c r="P127">
        <f t="shared" si="26"/>
        <v>-2244486</v>
      </c>
    </row>
    <row r="128" spans="2:16" x14ac:dyDescent="0.3">
      <c r="B128" s="38">
        <v>43591</v>
      </c>
      <c r="C128" s="3">
        <v>7818242</v>
      </c>
      <c r="D128" s="3">
        <v>5863681</v>
      </c>
      <c r="E128" s="3">
        <v>2388907</v>
      </c>
      <c r="F128" s="3">
        <v>5646508</v>
      </c>
      <c r="G128" s="25">
        <f t="shared" si="19"/>
        <v>21717338</v>
      </c>
      <c r="H128" s="39">
        <f t="shared" si="22"/>
        <v>0</v>
      </c>
      <c r="I128" s="26">
        <f t="shared" si="23"/>
        <v>0</v>
      </c>
      <c r="J128" s="26">
        <f t="shared" si="24"/>
        <v>0</v>
      </c>
      <c r="K128" s="40">
        <f t="shared" si="25"/>
        <v>0</v>
      </c>
      <c r="L128" s="39">
        <f t="shared" si="20"/>
        <v>390912</v>
      </c>
      <c r="M128" s="26">
        <f t="shared" si="27"/>
        <v>293184</v>
      </c>
      <c r="N128" s="26">
        <f t="shared" si="28"/>
        <v>119445</v>
      </c>
      <c r="O128" s="40">
        <f t="shared" si="29"/>
        <v>282325</v>
      </c>
      <c r="P128">
        <f t="shared" si="26"/>
        <v>1085866</v>
      </c>
    </row>
    <row r="129" spans="2:16" x14ac:dyDescent="0.3">
      <c r="B129" s="38">
        <v>43592</v>
      </c>
      <c r="C129" s="3">
        <v>7974607</v>
      </c>
      <c r="D129" s="3">
        <v>5980955</v>
      </c>
      <c r="E129" s="3">
        <v>2436685</v>
      </c>
      <c r="F129" s="3">
        <v>5759438</v>
      </c>
      <c r="G129" s="25">
        <f t="shared" si="19"/>
        <v>22151685</v>
      </c>
      <c r="H129" s="39">
        <f t="shared" si="22"/>
        <v>0</v>
      </c>
      <c r="I129" s="26">
        <f t="shared" si="23"/>
        <v>0</v>
      </c>
      <c r="J129" s="26">
        <f t="shared" si="24"/>
        <v>0</v>
      </c>
      <c r="K129" s="40">
        <f t="shared" si="25"/>
        <v>0</v>
      </c>
      <c r="L129" s="39">
        <f t="shared" si="20"/>
        <v>390912</v>
      </c>
      <c r="M129" s="26">
        <f t="shared" si="27"/>
        <v>293184</v>
      </c>
      <c r="N129" s="26">
        <f t="shared" si="28"/>
        <v>119445</v>
      </c>
      <c r="O129" s="40">
        <f t="shared" si="29"/>
        <v>282325</v>
      </c>
      <c r="P129">
        <f t="shared" si="26"/>
        <v>1085866</v>
      </c>
    </row>
    <row r="130" spans="2:16" x14ac:dyDescent="0.3">
      <c r="B130" s="38">
        <v>43593</v>
      </c>
      <c r="C130" s="3">
        <v>8209154</v>
      </c>
      <c r="D130" s="3">
        <v>6156866</v>
      </c>
      <c r="E130" s="3">
        <v>2508352</v>
      </c>
      <c r="F130" s="3">
        <v>5928833</v>
      </c>
      <c r="G130" s="25">
        <f t="shared" si="19"/>
        <v>22803205</v>
      </c>
      <c r="H130" s="39">
        <f t="shared" si="22"/>
        <v>0</v>
      </c>
      <c r="I130" s="26">
        <f t="shared" si="23"/>
        <v>0</v>
      </c>
      <c r="J130" s="26">
        <f t="shared" si="24"/>
        <v>0</v>
      </c>
      <c r="K130" s="40">
        <f t="shared" si="25"/>
        <v>0</v>
      </c>
      <c r="L130" s="39">
        <f t="shared" si="20"/>
        <v>0</v>
      </c>
      <c r="M130" s="26">
        <f t="shared" si="27"/>
        <v>0</v>
      </c>
      <c r="N130" s="26">
        <f t="shared" si="28"/>
        <v>0</v>
      </c>
      <c r="O130" s="40">
        <f t="shared" si="29"/>
        <v>0</v>
      </c>
      <c r="P130">
        <f t="shared" si="26"/>
        <v>0</v>
      </c>
    </row>
    <row r="131" spans="2:16" x14ac:dyDescent="0.3">
      <c r="B131" s="38">
        <v>43594</v>
      </c>
      <c r="C131" s="3">
        <v>7583695</v>
      </c>
      <c r="D131" s="3">
        <v>5687771</v>
      </c>
      <c r="E131" s="3">
        <v>2317240</v>
      </c>
      <c r="F131" s="3">
        <v>5477113</v>
      </c>
      <c r="G131" s="25">
        <f t="shared" ref="G131:G194" si="30">SUM(C131:F131)</f>
        <v>21065819</v>
      </c>
      <c r="H131" s="39">
        <f t="shared" si="22"/>
        <v>-78182</v>
      </c>
      <c r="I131" s="26">
        <f t="shared" si="23"/>
        <v>-58637</v>
      </c>
      <c r="J131" s="26">
        <f t="shared" si="24"/>
        <v>-23889</v>
      </c>
      <c r="K131" s="40">
        <f t="shared" si="25"/>
        <v>-56465</v>
      </c>
      <c r="L131" s="39">
        <f t="shared" si="20"/>
        <v>0</v>
      </c>
      <c r="M131" s="26">
        <f t="shared" si="27"/>
        <v>0</v>
      </c>
      <c r="N131" s="26">
        <f t="shared" si="28"/>
        <v>0</v>
      </c>
      <c r="O131" s="40">
        <f t="shared" si="29"/>
        <v>0</v>
      </c>
      <c r="P131">
        <f t="shared" si="26"/>
        <v>-217173</v>
      </c>
    </row>
    <row r="132" spans="2:16" x14ac:dyDescent="0.3">
      <c r="B132" s="38">
        <v>43595</v>
      </c>
      <c r="C132" s="3">
        <v>7583695</v>
      </c>
      <c r="D132" s="3">
        <v>5687771</v>
      </c>
      <c r="E132" s="3">
        <v>2317240</v>
      </c>
      <c r="F132" s="3">
        <v>5477113</v>
      </c>
      <c r="G132" s="25">
        <f t="shared" si="30"/>
        <v>21065819</v>
      </c>
      <c r="H132" s="39">
        <f t="shared" si="22"/>
        <v>0</v>
      </c>
      <c r="I132" s="26">
        <f t="shared" si="23"/>
        <v>0</v>
      </c>
      <c r="J132" s="26">
        <f t="shared" si="24"/>
        <v>0</v>
      </c>
      <c r="K132" s="40">
        <f t="shared" si="25"/>
        <v>0</v>
      </c>
      <c r="L132" s="39">
        <f t="shared" si="20"/>
        <v>78183</v>
      </c>
      <c r="M132" s="26">
        <f t="shared" si="27"/>
        <v>58637</v>
      </c>
      <c r="N132" s="26">
        <f t="shared" si="28"/>
        <v>23889</v>
      </c>
      <c r="O132" s="40">
        <f t="shared" si="29"/>
        <v>56465</v>
      </c>
      <c r="P132">
        <f t="shared" si="26"/>
        <v>217174</v>
      </c>
    </row>
    <row r="133" spans="2:16" x14ac:dyDescent="0.3">
      <c r="B133" s="38">
        <v>43596</v>
      </c>
      <c r="C133" s="3">
        <v>16483516</v>
      </c>
      <c r="D133" s="3">
        <v>12362637</v>
      </c>
      <c r="E133" s="3">
        <v>5036630</v>
      </c>
      <c r="F133" s="3">
        <v>11904761</v>
      </c>
      <c r="G133" s="25">
        <f t="shared" si="30"/>
        <v>45787544</v>
      </c>
      <c r="H133" s="39">
        <f t="shared" si="22"/>
        <v>0</v>
      </c>
      <c r="I133" s="26">
        <f t="shared" si="23"/>
        <v>0</v>
      </c>
      <c r="J133" s="26">
        <f t="shared" si="24"/>
        <v>0</v>
      </c>
      <c r="K133" s="40">
        <f t="shared" si="25"/>
        <v>0</v>
      </c>
      <c r="L133" s="39">
        <f t="shared" si="20"/>
        <v>969619</v>
      </c>
      <c r="M133" s="26">
        <f t="shared" si="27"/>
        <v>727214</v>
      </c>
      <c r="N133" s="26">
        <f t="shared" si="28"/>
        <v>296273</v>
      </c>
      <c r="O133" s="40">
        <f t="shared" si="29"/>
        <v>700280</v>
      </c>
      <c r="P133">
        <f t="shared" si="26"/>
        <v>2693386</v>
      </c>
    </row>
    <row r="134" spans="2:16" x14ac:dyDescent="0.3">
      <c r="B134" s="38">
        <v>43597</v>
      </c>
      <c r="C134" s="3">
        <v>15352294</v>
      </c>
      <c r="D134" s="3">
        <v>11514221</v>
      </c>
      <c r="E134" s="3">
        <v>4690978</v>
      </c>
      <c r="F134" s="3">
        <v>11087768</v>
      </c>
      <c r="G134" s="25">
        <f t="shared" si="30"/>
        <v>42645261</v>
      </c>
      <c r="H134" s="39">
        <f t="shared" si="22"/>
        <v>-484810</v>
      </c>
      <c r="I134" s="26">
        <f t="shared" si="23"/>
        <v>-363607</v>
      </c>
      <c r="J134" s="26">
        <f t="shared" si="24"/>
        <v>-148137</v>
      </c>
      <c r="K134" s="40">
        <f t="shared" si="25"/>
        <v>-350140</v>
      </c>
      <c r="L134" s="39">
        <f t="shared" si="20"/>
        <v>0</v>
      </c>
      <c r="M134" s="26">
        <f t="shared" si="27"/>
        <v>0</v>
      </c>
      <c r="N134" s="26">
        <f t="shared" si="28"/>
        <v>0</v>
      </c>
      <c r="O134" s="40">
        <f t="shared" si="29"/>
        <v>0</v>
      </c>
      <c r="P134">
        <f t="shared" si="26"/>
        <v>-1346694</v>
      </c>
    </row>
    <row r="135" spans="2:16" x14ac:dyDescent="0.3">
      <c r="B135" s="38">
        <v>43598</v>
      </c>
      <c r="C135" s="3">
        <v>7505512</v>
      </c>
      <c r="D135" s="3">
        <v>5629134</v>
      </c>
      <c r="E135" s="3">
        <v>2293351</v>
      </c>
      <c r="F135" s="3">
        <v>5420648</v>
      </c>
      <c r="G135" s="25">
        <f t="shared" si="30"/>
        <v>20848645</v>
      </c>
      <c r="H135" s="39">
        <f t="shared" si="22"/>
        <v>-312730</v>
      </c>
      <c r="I135" s="26">
        <f t="shared" si="23"/>
        <v>-234547</v>
      </c>
      <c r="J135" s="26">
        <f t="shared" si="24"/>
        <v>-95556</v>
      </c>
      <c r="K135" s="40">
        <f t="shared" si="25"/>
        <v>-225860</v>
      </c>
      <c r="L135" s="39">
        <f t="shared" si="20"/>
        <v>0</v>
      </c>
      <c r="M135" s="26">
        <f t="shared" si="27"/>
        <v>0</v>
      </c>
      <c r="N135" s="26">
        <f t="shared" si="28"/>
        <v>0</v>
      </c>
      <c r="O135" s="40">
        <f t="shared" si="29"/>
        <v>0</v>
      </c>
      <c r="P135">
        <f t="shared" si="26"/>
        <v>-868693</v>
      </c>
    </row>
    <row r="136" spans="2:16" x14ac:dyDescent="0.3">
      <c r="B136" s="38">
        <v>43599</v>
      </c>
      <c r="C136" s="3">
        <v>8209154</v>
      </c>
      <c r="D136" s="3">
        <v>6156866</v>
      </c>
      <c r="E136" s="3">
        <v>2508352</v>
      </c>
      <c r="F136" s="3">
        <v>5928833</v>
      </c>
      <c r="G136" s="25">
        <f t="shared" si="30"/>
        <v>22803205</v>
      </c>
      <c r="H136" s="39">
        <f t="shared" si="22"/>
        <v>0</v>
      </c>
      <c r="I136" s="26">
        <f t="shared" si="23"/>
        <v>0</v>
      </c>
      <c r="J136" s="26">
        <f t="shared" si="24"/>
        <v>0</v>
      </c>
      <c r="K136" s="40">
        <f t="shared" si="25"/>
        <v>0</v>
      </c>
      <c r="L136" s="39">
        <f t="shared" si="20"/>
        <v>234547</v>
      </c>
      <c r="M136" s="26">
        <f t="shared" si="27"/>
        <v>175911</v>
      </c>
      <c r="N136" s="26">
        <f t="shared" si="28"/>
        <v>71667</v>
      </c>
      <c r="O136" s="40">
        <f t="shared" si="29"/>
        <v>169395</v>
      </c>
      <c r="P136">
        <f t="shared" si="26"/>
        <v>651520</v>
      </c>
    </row>
    <row r="137" spans="2:16" x14ac:dyDescent="0.3">
      <c r="B137" s="38">
        <v>43600</v>
      </c>
      <c r="C137" s="3">
        <v>7896424</v>
      </c>
      <c r="D137" s="3">
        <v>5922318</v>
      </c>
      <c r="E137" s="3">
        <v>2412796</v>
      </c>
      <c r="F137" s="3">
        <v>5702973</v>
      </c>
      <c r="G137" s="25">
        <f t="shared" si="30"/>
        <v>21934511</v>
      </c>
      <c r="H137" s="39">
        <f t="shared" si="22"/>
        <v>-312730</v>
      </c>
      <c r="I137" s="26">
        <f t="shared" si="23"/>
        <v>-234548</v>
      </c>
      <c r="J137" s="26">
        <f t="shared" si="24"/>
        <v>-95556</v>
      </c>
      <c r="K137" s="40">
        <f t="shared" si="25"/>
        <v>-225860</v>
      </c>
      <c r="L137" s="39">
        <f t="shared" si="20"/>
        <v>0</v>
      </c>
      <c r="M137" s="26">
        <f t="shared" si="27"/>
        <v>0</v>
      </c>
      <c r="N137" s="26">
        <f t="shared" si="28"/>
        <v>0</v>
      </c>
      <c r="O137" s="40">
        <f t="shared" si="29"/>
        <v>0</v>
      </c>
      <c r="P137">
        <f t="shared" si="26"/>
        <v>-868694</v>
      </c>
    </row>
    <row r="138" spans="2:16" x14ac:dyDescent="0.3">
      <c r="B138" s="38">
        <v>43601</v>
      </c>
      <c r="C138" s="3">
        <v>7583695</v>
      </c>
      <c r="D138" s="3">
        <v>5687771</v>
      </c>
      <c r="E138" s="3">
        <v>2317240</v>
      </c>
      <c r="F138" s="3">
        <v>5477113</v>
      </c>
      <c r="G138" s="25">
        <f t="shared" si="30"/>
        <v>21065819</v>
      </c>
      <c r="H138" s="39">
        <f t="shared" si="22"/>
        <v>0</v>
      </c>
      <c r="I138" s="26">
        <f t="shared" si="23"/>
        <v>0</v>
      </c>
      <c r="J138" s="26">
        <f t="shared" si="24"/>
        <v>0</v>
      </c>
      <c r="K138" s="40">
        <f t="shared" si="25"/>
        <v>0</v>
      </c>
      <c r="L138" s="39">
        <f t="shared" ref="L138:L201" si="31">IF(C138&gt;C131,C138-C131,0)</f>
        <v>0</v>
      </c>
      <c r="M138" s="26">
        <f t="shared" si="27"/>
        <v>0</v>
      </c>
      <c r="N138" s="26">
        <f t="shared" si="28"/>
        <v>0</v>
      </c>
      <c r="O138" s="40">
        <f t="shared" si="29"/>
        <v>0</v>
      </c>
      <c r="P138">
        <f t="shared" si="26"/>
        <v>0</v>
      </c>
    </row>
    <row r="139" spans="2:16" x14ac:dyDescent="0.3">
      <c r="B139" s="38">
        <v>43602</v>
      </c>
      <c r="C139" s="3">
        <v>7427330</v>
      </c>
      <c r="D139" s="3">
        <v>5570497</v>
      </c>
      <c r="E139" s="3">
        <v>2269462</v>
      </c>
      <c r="F139" s="3">
        <v>5364183</v>
      </c>
      <c r="G139" s="25">
        <f t="shared" si="30"/>
        <v>20631472</v>
      </c>
      <c r="H139" s="39">
        <f t="shared" ref="H139:H202" si="32">IF(C139&lt;C132,C139-C132,0)</f>
        <v>-156365</v>
      </c>
      <c r="I139" s="26">
        <f t="shared" ref="I139:I202" si="33">IF(D139&lt;D132,D139-D132,0)</f>
        <v>-117274</v>
      </c>
      <c r="J139" s="26">
        <f t="shared" ref="J139:J202" si="34">IF(E139&lt;E132,E139-E132,0)</f>
        <v>-47778</v>
      </c>
      <c r="K139" s="40">
        <f t="shared" ref="K139:K202" si="35">IF(F139&lt;F132,F139-F132,0)</f>
        <v>-112930</v>
      </c>
      <c r="L139" s="39">
        <f t="shared" si="31"/>
        <v>0</v>
      </c>
      <c r="M139" s="26">
        <f t="shared" si="27"/>
        <v>0</v>
      </c>
      <c r="N139" s="26">
        <f t="shared" si="28"/>
        <v>0</v>
      </c>
      <c r="O139" s="40">
        <f t="shared" si="29"/>
        <v>0</v>
      </c>
      <c r="P139">
        <f t="shared" ref="P139:P202" si="36">G139-G132</f>
        <v>-434347</v>
      </c>
    </row>
    <row r="140" spans="2:16" x14ac:dyDescent="0.3">
      <c r="B140" s="38">
        <v>43603</v>
      </c>
      <c r="C140" s="3">
        <v>16160310</v>
      </c>
      <c r="D140" s="3">
        <v>12120232</v>
      </c>
      <c r="E140" s="3">
        <v>4937872</v>
      </c>
      <c r="F140" s="3">
        <v>11671335</v>
      </c>
      <c r="G140" s="25">
        <f t="shared" si="30"/>
        <v>44889749</v>
      </c>
      <c r="H140" s="39">
        <f t="shared" si="32"/>
        <v>-323206</v>
      </c>
      <c r="I140" s="26">
        <f t="shared" si="33"/>
        <v>-242405</v>
      </c>
      <c r="J140" s="26">
        <f t="shared" si="34"/>
        <v>-98758</v>
      </c>
      <c r="K140" s="40">
        <f t="shared" si="35"/>
        <v>-233426</v>
      </c>
      <c r="L140" s="39">
        <f t="shared" si="31"/>
        <v>0</v>
      </c>
      <c r="M140" s="26">
        <f t="shared" si="27"/>
        <v>0</v>
      </c>
      <c r="N140" s="26">
        <f t="shared" si="28"/>
        <v>0</v>
      </c>
      <c r="O140" s="40">
        <f t="shared" si="29"/>
        <v>0</v>
      </c>
      <c r="P140">
        <f t="shared" si="36"/>
        <v>-897795</v>
      </c>
    </row>
    <row r="141" spans="2:16" x14ac:dyDescent="0.3">
      <c r="B141" s="38">
        <v>43604</v>
      </c>
      <c r="C141" s="3">
        <v>16968325</v>
      </c>
      <c r="D141" s="3">
        <v>12726244</v>
      </c>
      <c r="E141" s="3">
        <v>5184766</v>
      </c>
      <c r="F141" s="3">
        <v>12254901</v>
      </c>
      <c r="G141" s="25">
        <f t="shared" si="30"/>
        <v>47134236</v>
      </c>
      <c r="H141" s="39">
        <f t="shared" si="32"/>
        <v>0</v>
      </c>
      <c r="I141" s="26">
        <f t="shared" si="33"/>
        <v>0</v>
      </c>
      <c r="J141" s="26">
        <f t="shared" si="34"/>
        <v>0</v>
      </c>
      <c r="K141" s="40">
        <f t="shared" si="35"/>
        <v>0</v>
      </c>
      <c r="L141" s="39">
        <f t="shared" si="31"/>
        <v>1616031</v>
      </c>
      <c r="M141" s="26">
        <f t="shared" si="27"/>
        <v>1212023</v>
      </c>
      <c r="N141" s="26">
        <f t="shared" si="28"/>
        <v>493788</v>
      </c>
      <c r="O141" s="40">
        <f t="shared" si="29"/>
        <v>1167133</v>
      </c>
      <c r="P141">
        <f t="shared" si="36"/>
        <v>4488975</v>
      </c>
    </row>
    <row r="142" spans="2:16" x14ac:dyDescent="0.3">
      <c r="B142" s="38">
        <v>43605</v>
      </c>
      <c r="C142" s="3">
        <v>8052789</v>
      </c>
      <c r="D142" s="3">
        <v>6039592</v>
      </c>
      <c r="E142" s="3">
        <v>2460574</v>
      </c>
      <c r="F142" s="3">
        <v>5815903</v>
      </c>
      <c r="G142" s="25">
        <f t="shared" si="30"/>
        <v>22368858</v>
      </c>
      <c r="H142" s="39">
        <f t="shared" si="32"/>
        <v>0</v>
      </c>
      <c r="I142" s="26">
        <f t="shared" si="33"/>
        <v>0</v>
      </c>
      <c r="J142" s="26">
        <f t="shared" si="34"/>
        <v>0</v>
      </c>
      <c r="K142" s="40">
        <f t="shared" si="35"/>
        <v>0</v>
      </c>
      <c r="L142" s="39">
        <f t="shared" si="31"/>
        <v>547277</v>
      </c>
      <c r="M142" s="26">
        <f t="shared" si="27"/>
        <v>410458</v>
      </c>
      <c r="N142" s="26">
        <f t="shared" si="28"/>
        <v>167223</v>
      </c>
      <c r="O142" s="40">
        <f t="shared" si="29"/>
        <v>395255</v>
      </c>
      <c r="P142">
        <f t="shared" si="36"/>
        <v>1520213</v>
      </c>
    </row>
    <row r="143" spans="2:16" x14ac:dyDescent="0.3">
      <c r="B143" s="38">
        <v>43606</v>
      </c>
      <c r="C143" s="3">
        <v>8052789</v>
      </c>
      <c r="D143" s="3">
        <v>6039592</v>
      </c>
      <c r="E143" s="3">
        <v>2460574</v>
      </c>
      <c r="F143" s="3">
        <v>5815903</v>
      </c>
      <c r="G143" s="25">
        <f t="shared" si="30"/>
        <v>22368858</v>
      </c>
      <c r="H143" s="39">
        <f t="shared" si="32"/>
        <v>-156365</v>
      </c>
      <c r="I143" s="26">
        <f t="shared" si="33"/>
        <v>-117274</v>
      </c>
      <c r="J143" s="26">
        <f t="shared" si="34"/>
        <v>-47778</v>
      </c>
      <c r="K143" s="40">
        <f t="shared" si="35"/>
        <v>-112930</v>
      </c>
      <c r="L143" s="39">
        <f t="shared" si="31"/>
        <v>0</v>
      </c>
      <c r="M143" s="26">
        <f t="shared" si="27"/>
        <v>0</v>
      </c>
      <c r="N143" s="26">
        <f t="shared" si="28"/>
        <v>0</v>
      </c>
      <c r="O143" s="40">
        <f t="shared" si="29"/>
        <v>0</v>
      </c>
      <c r="P143">
        <f t="shared" si="36"/>
        <v>-434347</v>
      </c>
    </row>
    <row r="144" spans="2:16" x14ac:dyDescent="0.3">
      <c r="B144" s="38">
        <v>43607</v>
      </c>
      <c r="C144" s="3">
        <v>7896424</v>
      </c>
      <c r="D144" s="3">
        <v>5922318</v>
      </c>
      <c r="E144" s="3">
        <v>2412796</v>
      </c>
      <c r="F144" s="3">
        <v>5702973</v>
      </c>
      <c r="G144" s="25">
        <f t="shared" si="30"/>
        <v>21934511</v>
      </c>
      <c r="H144" s="39">
        <f t="shared" si="32"/>
        <v>0</v>
      </c>
      <c r="I144" s="26">
        <f t="shared" si="33"/>
        <v>0</v>
      </c>
      <c r="J144" s="26">
        <f t="shared" si="34"/>
        <v>0</v>
      </c>
      <c r="K144" s="40">
        <f t="shared" si="35"/>
        <v>0</v>
      </c>
      <c r="L144" s="39">
        <f t="shared" si="31"/>
        <v>0</v>
      </c>
      <c r="M144" s="26">
        <f t="shared" si="27"/>
        <v>0</v>
      </c>
      <c r="N144" s="26">
        <f t="shared" si="28"/>
        <v>0</v>
      </c>
      <c r="O144" s="40">
        <f t="shared" si="29"/>
        <v>0</v>
      </c>
      <c r="P144">
        <f t="shared" si="36"/>
        <v>0</v>
      </c>
    </row>
    <row r="145" spans="2:16" x14ac:dyDescent="0.3">
      <c r="B145" s="38">
        <v>43608</v>
      </c>
      <c r="C145" s="3">
        <v>7583695</v>
      </c>
      <c r="D145" s="3">
        <v>5687771</v>
      </c>
      <c r="E145" s="3">
        <v>2317240</v>
      </c>
      <c r="F145" s="3">
        <v>5477113</v>
      </c>
      <c r="G145" s="25">
        <f t="shared" si="30"/>
        <v>21065819</v>
      </c>
      <c r="H145" s="39">
        <f t="shared" si="32"/>
        <v>0</v>
      </c>
      <c r="I145" s="26">
        <f t="shared" si="33"/>
        <v>0</v>
      </c>
      <c r="J145" s="26">
        <f t="shared" si="34"/>
        <v>0</v>
      </c>
      <c r="K145" s="40">
        <f t="shared" si="35"/>
        <v>0</v>
      </c>
      <c r="L145" s="39">
        <f t="shared" si="31"/>
        <v>0</v>
      </c>
      <c r="M145" s="26">
        <f t="shared" si="27"/>
        <v>0</v>
      </c>
      <c r="N145" s="26">
        <f t="shared" si="28"/>
        <v>0</v>
      </c>
      <c r="O145" s="40">
        <f t="shared" si="29"/>
        <v>0</v>
      </c>
      <c r="P145">
        <f t="shared" si="36"/>
        <v>0</v>
      </c>
    </row>
    <row r="146" spans="2:16" x14ac:dyDescent="0.3">
      <c r="B146" s="38">
        <v>43609</v>
      </c>
      <c r="C146" s="3">
        <v>8052789</v>
      </c>
      <c r="D146" s="3">
        <v>6039592</v>
      </c>
      <c r="E146" s="3">
        <v>2460574</v>
      </c>
      <c r="F146" s="3">
        <v>5815903</v>
      </c>
      <c r="G146" s="25">
        <f t="shared" si="30"/>
        <v>22368858</v>
      </c>
      <c r="H146" s="39">
        <f t="shared" si="32"/>
        <v>0</v>
      </c>
      <c r="I146" s="26">
        <f t="shared" si="33"/>
        <v>0</v>
      </c>
      <c r="J146" s="26">
        <f t="shared" si="34"/>
        <v>0</v>
      </c>
      <c r="K146" s="40">
        <f t="shared" si="35"/>
        <v>0</v>
      </c>
      <c r="L146" s="39">
        <f t="shared" si="31"/>
        <v>625459</v>
      </c>
      <c r="M146" s="26">
        <f t="shared" si="27"/>
        <v>469095</v>
      </c>
      <c r="N146" s="26">
        <f t="shared" si="28"/>
        <v>191112</v>
      </c>
      <c r="O146" s="40">
        <f t="shared" si="29"/>
        <v>451720</v>
      </c>
      <c r="P146">
        <f t="shared" si="36"/>
        <v>1737386</v>
      </c>
    </row>
    <row r="147" spans="2:16" x14ac:dyDescent="0.3">
      <c r="B147" s="38">
        <v>43610</v>
      </c>
      <c r="C147" s="3">
        <v>16968325</v>
      </c>
      <c r="D147" s="3">
        <v>12726244</v>
      </c>
      <c r="E147" s="3">
        <v>5184766</v>
      </c>
      <c r="F147" s="3">
        <v>12254901</v>
      </c>
      <c r="G147" s="25">
        <f t="shared" si="30"/>
        <v>47134236</v>
      </c>
      <c r="H147" s="39">
        <f t="shared" si="32"/>
        <v>0</v>
      </c>
      <c r="I147" s="26">
        <f t="shared" si="33"/>
        <v>0</v>
      </c>
      <c r="J147" s="26">
        <f t="shared" si="34"/>
        <v>0</v>
      </c>
      <c r="K147" s="40">
        <f t="shared" si="35"/>
        <v>0</v>
      </c>
      <c r="L147" s="39">
        <f t="shared" si="31"/>
        <v>808015</v>
      </c>
      <c r="M147" s="26">
        <f t="shared" si="27"/>
        <v>606012</v>
      </c>
      <c r="N147" s="26">
        <f t="shared" si="28"/>
        <v>246894</v>
      </c>
      <c r="O147" s="40">
        <f t="shared" si="29"/>
        <v>583566</v>
      </c>
      <c r="P147">
        <f t="shared" si="36"/>
        <v>2244487</v>
      </c>
    </row>
    <row r="148" spans="2:16" x14ac:dyDescent="0.3">
      <c r="B148" s="38">
        <v>43611</v>
      </c>
      <c r="C148" s="3">
        <v>16968325</v>
      </c>
      <c r="D148" s="3">
        <v>12726244</v>
      </c>
      <c r="E148" s="3">
        <v>5184766</v>
      </c>
      <c r="F148" s="3">
        <v>12254901</v>
      </c>
      <c r="G148" s="25">
        <f t="shared" si="30"/>
        <v>47134236</v>
      </c>
      <c r="H148" s="39">
        <f t="shared" si="32"/>
        <v>0</v>
      </c>
      <c r="I148" s="26">
        <f t="shared" si="33"/>
        <v>0</v>
      </c>
      <c r="J148" s="26">
        <f t="shared" si="34"/>
        <v>0</v>
      </c>
      <c r="K148" s="40">
        <f t="shared" si="35"/>
        <v>0</v>
      </c>
      <c r="L148" s="39">
        <f t="shared" si="31"/>
        <v>0</v>
      </c>
      <c r="M148" s="26">
        <f t="shared" si="27"/>
        <v>0</v>
      </c>
      <c r="N148" s="26">
        <f t="shared" si="28"/>
        <v>0</v>
      </c>
      <c r="O148" s="40">
        <f t="shared" si="29"/>
        <v>0</v>
      </c>
      <c r="P148">
        <f t="shared" si="36"/>
        <v>0</v>
      </c>
    </row>
    <row r="149" spans="2:16" x14ac:dyDescent="0.3">
      <c r="B149" s="38">
        <v>43612</v>
      </c>
      <c r="C149" s="3">
        <v>7583695</v>
      </c>
      <c r="D149" s="3">
        <v>5687771</v>
      </c>
      <c r="E149" s="3">
        <v>2317240</v>
      </c>
      <c r="F149" s="3">
        <v>5477113</v>
      </c>
      <c r="G149" s="25">
        <f t="shared" si="30"/>
        <v>21065819</v>
      </c>
      <c r="H149" s="39">
        <f t="shared" si="32"/>
        <v>-469094</v>
      </c>
      <c r="I149" s="26">
        <f t="shared" si="33"/>
        <v>-351821</v>
      </c>
      <c r="J149" s="26">
        <f t="shared" si="34"/>
        <v>-143334</v>
      </c>
      <c r="K149" s="40">
        <f t="shared" si="35"/>
        <v>-338790</v>
      </c>
      <c r="L149" s="39">
        <f t="shared" si="31"/>
        <v>0</v>
      </c>
      <c r="M149" s="26">
        <f t="shared" si="27"/>
        <v>0</v>
      </c>
      <c r="N149" s="26">
        <f t="shared" si="28"/>
        <v>0</v>
      </c>
      <c r="O149" s="40">
        <f t="shared" si="29"/>
        <v>0</v>
      </c>
      <c r="P149">
        <f t="shared" si="36"/>
        <v>-1303039</v>
      </c>
    </row>
    <row r="150" spans="2:16" x14ac:dyDescent="0.3">
      <c r="B150" s="38">
        <v>43613</v>
      </c>
      <c r="C150" s="3">
        <v>8130972</v>
      </c>
      <c r="D150" s="3">
        <v>6098229</v>
      </c>
      <c r="E150" s="3">
        <v>2484463</v>
      </c>
      <c r="F150" s="3">
        <v>5872368</v>
      </c>
      <c r="G150" s="25">
        <f t="shared" si="30"/>
        <v>22586032</v>
      </c>
      <c r="H150" s="39">
        <f t="shared" si="32"/>
        <v>0</v>
      </c>
      <c r="I150" s="26">
        <f t="shared" si="33"/>
        <v>0</v>
      </c>
      <c r="J150" s="26">
        <f t="shared" si="34"/>
        <v>0</v>
      </c>
      <c r="K150" s="40">
        <f t="shared" si="35"/>
        <v>0</v>
      </c>
      <c r="L150" s="39">
        <f t="shared" si="31"/>
        <v>78183</v>
      </c>
      <c r="M150" s="26">
        <f t="shared" si="27"/>
        <v>58637</v>
      </c>
      <c r="N150" s="26">
        <f t="shared" si="28"/>
        <v>23889</v>
      </c>
      <c r="O150" s="40">
        <f t="shared" si="29"/>
        <v>56465</v>
      </c>
      <c r="P150">
        <f t="shared" si="36"/>
        <v>217174</v>
      </c>
    </row>
    <row r="151" spans="2:16" x14ac:dyDescent="0.3">
      <c r="B151" s="38">
        <v>43614</v>
      </c>
      <c r="C151" s="3">
        <v>7427330</v>
      </c>
      <c r="D151" s="3">
        <v>5570497</v>
      </c>
      <c r="E151" s="3">
        <v>2269462</v>
      </c>
      <c r="F151" s="3">
        <v>5364183</v>
      </c>
      <c r="G151" s="25">
        <f t="shared" si="30"/>
        <v>20631472</v>
      </c>
      <c r="H151" s="39">
        <f t="shared" si="32"/>
        <v>-469094</v>
      </c>
      <c r="I151" s="26">
        <f t="shared" si="33"/>
        <v>-351821</v>
      </c>
      <c r="J151" s="26">
        <f t="shared" si="34"/>
        <v>-143334</v>
      </c>
      <c r="K151" s="40">
        <f t="shared" si="35"/>
        <v>-338790</v>
      </c>
      <c r="L151" s="39">
        <f t="shared" si="31"/>
        <v>0</v>
      </c>
      <c r="M151" s="26">
        <f t="shared" si="27"/>
        <v>0</v>
      </c>
      <c r="N151" s="26">
        <f t="shared" si="28"/>
        <v>0</v>
      </c>
      <c r="O151" s="40">
        <f t="shared" si="29"/>
        <v>0</v>
      </c>
      <c r="P151">
        <f t="shared" si="36"/>
        <v>-1303039</v>
      </c>
    </row>
    <row r="152" spans="2:16" x14ac:dyDescent="0.3">
      <c r="B152" s="38">
        <v>43615</v>
      </c>
      <c r="C152" s="3">
        <v>7740060</v>
      </c>
      <c r="D152" s="3">
        <v>5805045</v>
      </c>
      <c r="E152" s="3">
        <v>2365018</v>
      </c>
      <c r="F152" s="3">
        <v>5590043</v>
      </c>
      <c r="G152" s="25">
        <f t="shared" si="30"/>
        <v>21500166</v>
      </c>
      <c r="H152" s="39">
        <f t="shared" si="32"/>
        <v>0</v>
      </c>
      <c r="I152" s="26">
        <f t="shared" si="33"/>
        <v>0</v>
      </c>
      <c r="J152" s="26">
        <f t="shared" si="34"/>
        <v>0</v>
      </c>
      <c r="K152" s="40">
        <f t="shared" si="35"/>
        <v>0</v>
      </c>
      <c r="L152" s="39">
        <f t="shared" si="31"/>
        <v>156365</v>
      </c>
      <c r="M152" s="26">
        <f t="shared" si="27"/>
        <v>117274</v>
      </c>
      <c r="N152" s="26">
        <f t="shared" si="28"/>
        <v>47778</v>
      </c>
      <c r="O152" s="40">
        <f t="shared" si="29"/>
        <v>112930</v>
      </c>
      <c r="P152">
        <f t="shared" si="36"/>
        <v>434347</v>
      </c>
    </row>
    <row r="153" spans="2:16" x14ac:dyDescent="0.3">
      <c r="B153" s="38">
        <v>43616</v>
      </c>
      <c r="C153" s="3">
        <v>8052789</v>
      </c>
      <c r="D153" s="3">
        <v>6039592</v>
      </c>
      <c r="E153" s="3">
        <v>2460574</v>
      </c>
      <c r="F153" s="3">
        <v>5815903</v>
      </c>
      <c r="G153" s="25">
        <f t="shared" si="30"/>
        <v>22368858</v>
      </c>
      <c r="H153" s="39">
        <f t="shared" si="32"/>
        <v>0</v>
      </c>
      <c r="I153" s="26">
        <f t="shared" si="33"/>
        <v>0</v>
      </c>
      <c r="J153" s="26">
        <f t="shared" si="34"/>
        <v>0</v>
      </c>
      <c r="K153" s="40">
        <f t="shared" si="35"/>
        <v>0</v>
      </c>
      <c r="L153" s="39">
        <f t="shared" si="31"/>
        <v>0</v>
      </c>
      <c r="M153" s="26">
        <f t="shared" si="27"/>
        <v>0</v>
      </c>
      <c r="N153" s="26">
        <f t="shared" si="28"/>
        <v>0</v>
      </c>
      <c r="O153" s="40">
        <f t="shared" si="29"/>
        <v>0</v>
      </c>
      <c r="P153">
        <f t="shared" si="36"/>
        <v>0</v>
      </c>
    </row>
    <row r="154" spans="2:16" x14ac:dyDescent="0.3">
      <c r="B154" s="38">
        <v>43617</v>
      </c>
      <c r="C154" s="3">
        <v>16806722</v>
      </c>
      <c r="D154" s="3">
        <v>12605042</v>
      </c>
      <c r="E154" s="3">
        <v>5135387</v>
      </c>
      <c r="F154" s="3">
        <v>12138188</v>
      </c>
      <c r="G154" s="25">
        <f t="shared" si="30"/>
        <v>46685339</v>
      </c>
      <c r="H154" s="39">
        <f t="shared" si="32"/>
        <v>-161603</v>
      </c>
      <c r="I154" s="26">
        <f t="shared" si="33"/>
        <v>-121202</v>
      </c>
      <c r="J154" s="26">
        <f t="shared" si="34"/>
        <v>-49379</v>
      </c>
      <c r="K154" s="40">
        <f t="shared" si="35"/>
        <v>-116713</v>
      </c>
      <c r="L154" s="39">
        <f t="shared" si="31"/>
        <v>0</v>
      </c>
      <c r="M154" s="26">
        <f t="shared" si="27"/>
        <v>0</v>
      </c>
      <c r="N154" s="26">
        <f t="shared" si="28"/>
        <v>0</v>
      </c>
      <c r="O154" s="40">
        <f t="shared" si="29"/>
        <v>0</v>
      </c>
      <c r="P154">
        <f t="shared" si="36"/>
        <v>-448897</v>
      </c>
    </row>
    <row r="155" spans="2:16" x14ac:dyDescent="0.3">
      <c r="B155" s="38">
        <v>43618</v>
      </c>
      <c r="C155" s="3">
        <v>15675500</v>
      </c>
      <c r="D155" s="3">
        <v>11756625</v>
      </c>
      <c r="E155" s="3">
        <v>4789736</v>
      </c>
      <c r="F155" s="3">
        <v>11321195</v>
      </c>
      <c r="G155" s="25">
        <f t="shared" si="30"/>
        <v>43543056</v>
      </c>
      <c r="H155" s="39">
        <f t="shared" si="32"/>
        <v>-1292825</v>
      </c>
      <c r="I155" s="26">
        <f t="shared" si="33"/>
        <v>-969619</v>
      </c>
      <c r="J155" s="26">
        <f t="shared" si="34"/>
        <v>-395030</v>
      </c>
      <c r="K155" s="40">
        <f t="shared" si="35"/>
        <v>-933706</v>
      </c>
      <c r="L155" s="39">
        <f t="shared" si="31"/>
        <v>0</v>
      </c>
      <c r="M155" s="26">
        <f t="shared" si="27"/>
        <v>0</v>
      </c>
      <c r="N155" s="26">
        <f t="shared" si="28"/>
        <v>0</v>
      </c>
      <c r="O155" s="40">
        <f t="shared" si="29"/>
        <v>0</v>
      </c>
      <c r="P155">
        <f t="shared" si="36"/>
        <v>-3591180</v>
      </c>
    </row>
    <row r="156" spans="2:16" x14ac:dyDescent="0.3">
      <c r="B156" s="38">
        <v>43619</v>
      </c>
      <c r="C156" s="3">
        <v>7740060</v>
      </c>
      <c r="D156" s="3">
        <v>5805045</v>
      </c>
      <c r="E156" s="3">
        <v>2365018</v>
      </c>
      <c r="F156" s="3">
        <v>5590043</v>
      </c>
      <c r="G156" s="25">
        <f t="shared" si="30"/>
        <v>21500166</v>
      </c>
      <c r="H156" s="39">
        <f t="shared" si="32"/>
        <v>0</v>
      </c>
      <c r="I156" s="26">
        <f t="shared" si="33"/>
        <v>0</v>
      </c>
      <c r="J156" s="26">
        <f t="shared" si="34"/>
        <v>0</v>
      </c>
      <c r="K156" s="40">
        <f t="shared" si="35"/>
        <v>0</v>
      </c>
      <c r="L156" s="39">
        <f t="shared" si="31"/>
        <v>156365</v>
      </c>
      <c r="M156" s="26">
        <f t="shared" si="27"/>
        <v>117274</v>
      </c>
      <c r="N156" s="26">
        <f t="shared" si="28"/>
        <v>47778</v>
      </c>
      <c r="O156" s="40">
        <f t="shared" si="29"/>
        <v>112930</v>
      </c>
      <c r="P156">
        <f t="shared" si="36"/>
        <v>434347</v>
      </c>
    </row>
    <row r="157" spans="2:16" x14ac:dyDescent="0.3">
      <c r="B157" s="38">
        <v>43620</v>
      </c>
      <c r="C157" s="3">
        <v>8052789</v>
      </c>
      <c r="D157" s="3">
        <v>6039592</v>
      </c>
      <c r="E157" s="3">
        <v>2460574</v>
      </c>
      <c r="F157" s="3">
        <v>5815903</v>
      </c>
      <c r="G157" s="25">
        <f t="shared" si="30"/>
        <v>22368858</v>
      </c>
      <c r="H157" s="39">
        <f t="shared" si="32"/>
        <v>-78183</v>
      </c>
      <c r="I157" s="26">
        <f t="shared" si="33"/>
        <v>-58637</v>
      </c>
      <c r="J157" s="26">
        <f t="shared" si="34"/>
        <v>-23889</v>
      </c>
      <c r="K157" s="40">
        <f t="shared" si="35"/>
        <v>-56465</v>
      </c>
      <c r="L157" s="39">
        <f t="shared" si="31"/>
        <v>0</v>
      </c>
      <c r="M157" s="26">
        <f t="shared" si="27"/>
        <v>0</v>
      </c>
      <c r="N157" s="26">
        <f t="shared" si="28"/>
        <v>0</v>
      </c>
      <c r="O157" s="40">
        <f t="shared" si="29"/>
        <v>0</v>
      </c>
      <c r="P157">
        <f t="shared" si="36"/>
        <v>-217174</v>
      </c>
    </row>
    <row r="158" spans="2:16" x14ac:dyDescent="0.3">
      <c r="B158" s="38">
        <v>43621</v>
      </c>
      <c r="C158" s="3">
        <v>8052789</v>
      </c>
      <c r="D158" s="3">
        <v>6039592</v>
      </c>
      <c r="E158" s="3">
        <v>2460574</v>
      </c>
      <c r="F158" s="3">
        <v>5815903</v>
      </c>
      <c r="G158" s="25">
        <f t="shared" si="30"/>
        <v>22368858</v>
      </c>
      <c r="H158" s="39">
        <f t="shared" si="32"/>
        <v>0</v>
      </c>
      <c r="I158" s="26">
        <f t="shared" si="33"/>
        <v>0</v>
      </c>
      <c r="J158" s="26">
        <f t="shared" si="34"/>
        <v>0</v>
      </c>
      <c r="K158" s="40">
        <f t="shared" si="35"/>
        <v>0</v>
      </c>
      <c r="L158" s="39">
        <f t="shared" si="31"/>
        <v>625459</v>
      </c>
      <c r="M158" s="26">
        <f t="shared" si="27"/>
        <v>469095</v>
      </c>
      <c r="N158" s="26">
        <f t="shared" si="28"/>
        <v>191112</v>
      </c>
      <c r="O158" s="40">
        <f t="shared" si="29"/>
        <v>451720</v>
      </c>
      <c r="P158">
        <f t="shared" si="36"/>
        <v>1737386</v>
      </c>
    </row>
    <row r="159" spans="2:16" x14ac:dyDescent="0.3">
      <c r="B159" s="38">
        <v>43622</v>
      </c>
      <c r="C159" s="3">
        <v>8052789</v>
      </c>
      <c r="D159" s="3">
        <v>6039592</v>
      </c>
      <c r="E159" s="3">
        <v>2460574</v>
      </c>
      <c r="F159" s="3">
        <v>5815903</v>
      </c>
      <c r="G159" s="25">
        <f t="shared" si="30"/>
        <v>22368858</v>
      </c>
      <c r="H159" s="39">
        <f t="shared" si="32"/>
        <v>0</v>
      </c>
      <c r="I159" s="26">
        <f t="shared" si="33"/>
        <v>0</v>
      </c>
      <c r="J159" s="26">
        <f t="shared" si="34"/>
        <v>0</v>
      </c>
      <c r="K159" s="40">
        <f t="shared" si="35"/>
        <v>0</v>
      </c>
      <c r="L159" s="39">
        <f t="shared" si="31"/>
        <v>312729</v>
      </c>
      <c r="M159" s="26">
        <f t="shared" ref="M159:M222" si="37">IF(D159&gt;D152,D159-D152,0)</f>
        <v>234547</v>
      </c>
      <c r="N159" s="26">
        <f t="shared" ref="N159:N222" si="38">IF(E159&gt;E152,E159-E152,0)</f>
        <v>95556</v>
      </c>
      <c r="O159" s="40">
        <f t="shared" ref="O159:O222" si="39">IF(F159&gt;F152,F159-F152,0)</f>
        <v>225860</v>
      </c>
      <c r="P159">
        <f t="shared" si="36"/>
        <v>868692</v>
      </c>
    </row>
    <row r="160" spans="2:16" x14ac:dyDescent="0.3">
      <c r="B160" s="38">
        <v>43623</v>
      </c>
      <c r="C160" s="3">
        <v>7583695</v>
      </c>
      <c r="D160" s="3">
        <v>5687771</v>
      </c>
      <c r="E160" s="3">
        <v>2317240</v>
      </c>
      <c r="F160" s="3">
        <v>5477113</v>
      </c>
      <c r="G160" s="25">
        <f t="shared" si="30"/>
        <v>21065819</v>
      </c>
      <c r="H160" s="39">
        <f t="shared" si="32"/>
        <v>-469094</v>
      </c>
      <c r="I160" s="26">
        <f t="shared" si="33"/>
        <v>-351821</v>
      </c>
      <c r="J160" s="26">
        <f t="shared" si="34"/>
        <v>-143334</v>
      </c>
      <c r="K160" s="40">
        <f t="shared" si="35"/>
        <v>-338790</v>
      </c>
      <c r="L160" s="39">
        <f t="shared" si="31"/>
        <v>0</v>
      </c>
      <c r="M160" s="26">
        <f t="shared" si="37"/>
        <v>0</v>
      </c>
      <c r="N160" s="26">
        <f t="shared" si="38"/>
        <v>0</v>
      </c>
      <c r="O160" s="40">
        <f t="shared" si="39"/>
        <v>0</v>
      </c>
      <c r="P160">
        <f t="shared" si="36"/>
        <v>-1303039</v>
      </c>
    </row>
    <row r="161" spans="2:16" x14ac:dyDescent="0.3">
      <c r="B161" s="38">
        <v>43624</v>
      </c>
      <c r="C161" s="3">
        <v>15352294</v>
      </c>
      <c r="D161" s="3">
        <v>11514221</v>
      </c>
      <c r="E161" s="3">
        <v>4690978</v>
      </c>
      <c r="F161" s="3">
        <v>11087768</v>
      </c>
      <c r="G161" s="25">
        <f t="shared" si="30"/>
        <v>42645261</v>
      </c>
      <c r="H161" s="39">
        <f t="shared" si="32"/>
        <v>-1454428</v>
      </c>
      <c r="I161" s="26">
        <f t="shared" si="33"/>
        <v>-1090821</v>
      </c>
      <c r="J161" s="26">
        <f t="shared" si="34"/>
        <v>-444409</v>
      </c>
      <c r="K161" s="40">
        <f t="shared" si="35"/>
        <v>-1050420</v>
      </c>
      <c r="L161" s="39">
        <f t="shared" si="31"/>
        <v>0</v>
      </c>
      <c r="M161" s="26">
        <f t="shared" si="37"/>
        <v>0</v>
      </c>
      <c r="N161" s="26">
        <f t="shared" si="38"/>
        <v>0</v>
      </c>
      <c r="O161" s="40">
        <f t="shared" si="39"/>
        <v>0</v>
      </c>
      <c r="P161">
        <f t="shared" si="36"/>
        <v>-4040078</v>
      </c>
    </row>
    <row r="162" spans="2:16" x14ac:dyDescent="0.3">
      <c r="B162" s="38">
        <v>43625</v>
      </c>
      <c r="C162" s="3">
        <v>16160310</v>
      </c>
      <c r="D162" s="3">
        <v>12120232</v>
      </c>
      <c r="E162" s="3">
        <v>4937872</v>
      </c>
      <c r="F162" s="3">
        <v>11671335</v>
      </c>
      <c r="G162" s="25">
        <f t="shared" si="30"/>
        <v>44889749</v>
      </c>
      <c r="H162" s="39">
        <f t="shared" si="32"/>
        <v>0</v>
      </c>
      <c r="I162" s="26">
        <f t="shared" si="33"/>
        <v>0</v>
      </c>
      <c r="J162" s="26">
        <f t="shared" si="34"/>
        <v>0</v>
      </c>
      <c r="K162" s="40">
        <f t="shared" si="35"/>
        <v>0</v>
      </c>
      <c r="L162" s="39">
        <f t="shared" si="31"/>
        <v>484810</v>
      </c>
      <c r="M162" s="26">
        <f t="shared" si="37"/>
        <v>363607</v>
      </c>
      <c r="N162" s="26">
        <f t="shared" si="38"/>
        <v>148136</v>
      </c>
      <c r="O162" s="40">
        <f t="shared" si="39"/>
        <v>350140</v>
      </c>
      <c r="P162">
        <f t="shared" si="36"/>
        <v>1346693</v>
      </c>
    </row>
    <row r="163" spans="2:16" x14ac:dyDescent="0.3">
      <c r="B163" s="38">
        <v>43626</v>
      </c>
      <c r="C163" s="3">
        <v>7896424</v>
      </c>
      <c r="D163" s="3">
        <v>5922318</v>
      </c>
      <c r="E163" s="3">
        <v>2412796</v>
      </c>
      <c r="F163" s="3">
        <v>5702973</v>
      </c>
      <c r="G163" s="25">
        <f t="shared" si="30"/>
        <v>21934511</v>
      </c>
      <c r="H163" s="39">
        <f t="shared" si="32"/>
        <v>0</v>
      </c>
      <c r="I163" s="26">
        <f t="shared" si="33"/>
        <v>0</v>
      </c>
      <c r="J163" s="26">
        <f t="shared" si="34"/>
        <v>0</v>
      </c>
      <c r="K163" s="40">
        <f t="shared" si="35"/>
        <v>0</v>
      </c>
      <c r="L163" s="39">
        <f t="shared" si="31"/>
        <v>156364</v>
      </c>
      <c r="M163" s="26">
        <f t="shared" si="37"/>
        <v>117273</v>
      </c>
      <c r="N163" s="26">
        <f t="shared" si="38"/>
        <v>47778</v>
      </c>
      <c r="O163" s="40">
        <f t="shared" si="39"/>
        <v>112930</v>
      </c>
      <c r="P163">
        <f t="shared" si="36"/>
        <v>434345</v>
      </c>
    </row>
    <row r="164" spans="2:16" x14ac:dyDescent="0.3">
      <c r="B164" s="38">
        <v>43627</v>
      </c>
      <c r="C164" s="3">
        <v>8052789</v>
      </c>
      <c r="D164" s="3">
        <v>6039592</v>
      </c>
      <c r="E164" s="3">
        <v>2460574</v>
      </c>
      <c r="F164" s="3">
        <v>5815903</v>
      </c>
      <c r="G164" s="25">
        <f t="shared" si="30"/>
        <v>22368858</v>
      </c>
      <c r="H164" s="39">
        <f t="shared" si="32"/>
        <v>0</v>
      </c>
      <c r="I164" s="26">
        <f t="shared" si="33"/>
        <v>0</v>
      </c>
      <c r="J164" s="26">
        <f t="shared" si="34"/>
        <v>0</v>
      </c>
      <c r="K164" s="40">
        <f t="shared" si="35"/>
        <v>0</v>
      </c>
      <c r="L164" s="39">
        <f t="shared" si="31"/>
        <v>0</v>
      </c>
      <c r="M164" s="26">
        <f t="shared" si="37"/>
        <v>0</v>
      </c>
      <c r="N164" s="26">
        <f t="shared" si="38"/>
        <v>0</v>
      </c>
      <c r="O164" s="40">
        <f t="shared" si="39"/>
        <v>0</v>
      </c>
      <c r="P164">
        <f t="shared" si="36"/>
        <v>0</v>
      </c>
    </row>
    <row r="165" spans="2:16" x14ac:dyDescent="0.3">
      <c r="B165" s="38">
        <v>43628</v>
      </c>
      <c r="C165" s="3">
        <v>7896424</v>
      </c>
      <c r="D165" s="3">
        <v>5922318</v>
      </c>
      <c r="E165" s="3">
        <v>2412796</v>
      </c>
      <c r="F165" s="3">
        <v>5702973</v>
      </c>
      <c r="G165" s="25">
        <f t="shared" si="30"/>
        <v>21934511</v>
      </c>
      <c r="H165" s="39">
        <f t="shared" si="32"/>
        <v>-156365</v>
      </c>
      <c r="I165" s="26">
        <f t="shared" si="33"/>
        <v>-117274</v>
      </c>
      <c r="J165" s="26">
        <f t="shared" si="34"/>
        <v>-47778</v>
      </c>
      <c r="K165" s="40">
        <f t="shared" si="35"/>
        <v>-112930</v>
      </c>
      <c r="L165" s="39">
        <f t="shared" si="31"/>
        <v>0</v>
      </c>
      <c r="M165" s="26">
        <f t="shared" si="37"/>
        <v>0</v>
      </c>
      <c r="N165" s="26">
        <f t="shared" si="38"/>
        <v>0</v>
      </c>
      <c r="O165" s="40">
        <f t="shared" si="39"/>
        <v>0</v>
      </c>
      <c r="P165">
        <f t="shared" si="36"/>
        <v>-434347</v>
      </c>
    </row>
    <row r="166" spans="2:16" x14ac:dyDescent="0.3">
      <c r="B166" s="38">
        <v>43629</v>
      </c>
      <c r="C166" s="3">
        <v>7818242</v>
      </c>
      <c r="D166" s="3">
        <v>5863681</v>
      </c>
      <c r="E166" s="3">
        <v>2388907</v>
      </c>
      <c r="F166" s="3">
        <v>5646508</v>
      </c>
      <c r="G166" s="25">
        <f t="shared" si="30"/>
        <v>21717338</v>
      </c>
      <c r="H166" s="39">
        <f t="shared" si="32"/>
        <v>-234547</v>
      </c>
      <c r="I166" s="26">
        <f t="shared" si="33"/>
        <v>-175911</v>
      </c>
      <c r="J166" s="26">
        <f t="shared" si="34"/>
        <v>-71667</v>
      </c>
      <c r="K166" s="40">
        <f t="shared" si="35"/>
        <v>-169395</v>
      </c>
      <c r="L166" s="39">
        <f t="shared" si="31"/>
        <v>0</v>
      </c>
      <c r="M166" s="26">
        <f t="shared" si="37"/>
        <v>0</v>
      </c>
      <c r="N166" s="26">
        <f t="shared" si="38"/>
        <v>0</v>
      </c>
      <c r="O166" s="40">
        <f t="shared" si="39"/>
        <v>0</v>
      </c>
      <c r="P166">
        <f t="shared" si="36"/>
        <v>-651520</v>
      </c>
    </row>
    <row r="167" spans="2:16" x14ac:dyDescent="0.3">
      <c r="B167" s="38">
        <v>43630</v>
      </c>
      <c r="C167" s="3">
        <v>8052789</v>
      </c>
      <c r="D167" s="3">
        <v>6039592</v>
      </c>
      <c r="E167" s="3">
        <v>2460574</v>
      </c>
      <c r="F167" s="3">
        <v>5815903</v>
      </c>
      <c r="G167" s="25">
        <f t="shared" si="30"/>
        <v>22368858</v>
      </c>
      <c r="H167" s="39">
        <f t="shared" si="32"/>
        <v>0</v>
      </c>
      <c r="I167" s="26">
        <f t="shared" si="33"/>
        <v>0</v>
      </c>
      <c r="J167" s="26">
        <f t="shared" si="34"/>
        <v>0</v>
      </c>
      <c r="K167" s="40">
        <f t="shared" si="35"/>
        <v>0</v>
      </c>
      <c r="L167" s="39">
        <f t="shared" si="31"/>
        <v>469094</v>
      </c>
      <c r="M167" s="26">
        <f t="shared" si="37"/>
        <v>351821</v>
      </c>
      <c r="N167" s="26">
        <f t="shared" si="38"/>
        <v>143334</v>
      </c>
      <c r="O167" s="40">
        <f t="shared" si="39"/>
        <v>338790</v>
      </c>
      <c r="P167">
        <f t="shared" si="36"/>
        <v>1303039</v>
      </c>
    </row>
    <row r="168" spans="2:16" x14ac:dyDescent="0.3">
      <c r="B168" s="38">
        <v>43631</v>
      </c>
      <c r="C168" s="3">
        <v>15998707</v>
      </c>
      <c r="D168" s="3">
        <v>11999030</v>
      </c>
      <c r="E168" s="3">
        <v>4888493</v>
      </c>
      <c r="F168" s="3">
        <v>11554621</v>
      </c>
      <c r="G168" s="25">
        <f t="shared" si="30"/>
        <v>44440851</v>
      </c>
      <c r="H168" s="39">
        <f t="shared" si="32"/>
        <v>0</v>
      </c>
      <c r="I168" s="26">
        <f t="shared" si="33"/>
        <v>0</v>
      </c>
      <c r="J168" s="26">
        <f t="shared" si="34"/>
        <v>0</v>
      </c>
      <c r="K168" s="40">
        <f t="shared" si="35"/>
        <v>0</v>
      </c>
      <c r="L168" s="39">
        <f t="shared" si="31"/>
        <v>646413</v>
      </c>
      <c r="M168" s="26">
        <f t="shared" si="37"/>
        <v>484809</v>
      </c>
      <c r="N168" s="26">
        <f t="shared" si="38"/>
        <v>197515</v>
      </c>
      <c r="O168" s="40">
        <f t="shared" si="39"/>
        <v>466853</v>
      </c>
      <c r="P168">
        <f t="shared" si="36"/>
        <v>1795590</v>
      </c>
    </row>
    <row r="169" spans="2:16" x14ac:dyDescent="0.3">
      <c r="B169" s="38">
        <v>43632</v>
      </c>
      <c r="C169" s="3">
        <v>16483516</v>
      </c>
      <c r="D169" s="3">
        <v>12362637</v>
      </c>
      <c r="E169" s="3">
        <v>5036630</v>
      </c>
      <c r="F169" s="3">
        <v>11904761</v>
      </c>
      <c r="G169" s="25">
        <f t="shared" si="30"/>
        <v>45787544</v>
      </c>
      <c r="H169" s="39">
        <f t="shared" si="32"/>
        <v>0</v>
      </c>
      <c r="I169" s="26">
        <f t="shared" si="33"/>
        <v>0</v>
      </c>
      <c r="J169" s="26">
        <f t="shared" si="34"/>
        <v>0</v>
      </c>
      <c r="K169" s="40">
        <f t="shared" si="35"/>
        <v>0</v>
      </c>
      <c r="L169" s="39">
        <f t="shared" si="31"/>
        <v>323206</v>
      </c>
      <c r="M169" s="26">
        <f t="shared" si="37"/>
        <v>242405</v>
      </c>
      <c r="N169" s="26">
        <f t="shared" si="38"/>
        <v>98758</v>
      </c>
      <c r="O169" s="40">
        <f t="shared" si="39"/>
        <v>233426</v>
      </c>
      <c r="P169">
        <f t="shared" si="36"/>
        <v>897795</v>
      </c>
    </row>
    <row r="170" spans="2:16" x14ac:dyDescent="0.3">
      <c r="B170" s="38">
        <v>43633</v>
      </c>
      <c r="C170" s="3">
        <v>8130972</v>
      </c>
      <c r="D170" s="3">
        <v>6098229</v>
      </c>
      <c r="E170" s="3">
        <v>2484463</v>
      </c>
      <c r="F170" s="3">
        <v>5872368</v>
      </c>
      <c r="G170" s="25">
        <f t="shared" si="30"/>
        <v>22586032</v>
      </c>
      <c r="H170" s="39">
        <f t="shared" si="32"/>
        <v>0</v>
      </c>
      <c r="I170" s="26">
        <f t="shared" si="33"/>
        <v>0</v>
      </c>
      <c r="J170" s="26">
        <f t="shared" si="34"/>
        <v>0</v>
      </c>
      <c r="K170" s="40">
        <f t="shared" si="35"/>
        <v>0</v>
      </c>
      <c r="L170" s="39">
        <f t="shared" si="31"/>
        <v>234548</v>
      </c>
      <c r="M170" s="26">
        <f t="shared" si="37"/>
        <v>175911</v>
      </c>
      <c r="N170" s="26">
        <f t="shared" si="38"/>
        <v>71667</v>
      </c>
      <c r="O170" s="40">
        <f t="shared" si="39"/>
        <v>169395</v>
      </c>
      <c r="P170">
        <f t="shared" si="36"/>
        <v>651521</v>
      </c>
    </row>
    <row r="171" spans="2:16" x14ac:dyDescent="0.3">
      <c r="B171" s="38">
        <v>43634</v>
      </c>
      <c r="C171" s="3">
        <v>7583695</v>
      </c>
      <c r="D171" s="3">
        <v>5687771</v>
      </c>
      <c r="E171" s="3">
        <v>2317240</v>
      </c>
      <c r="F171" s="3">
        <v>5477113</v>
      </c>
      <c r="G171" s="25">
        <f t="shared" si="30"/>
        <v>21065819</v>
      </c>
      <c r="H171" s="39">
        <f t="shared" si="32"/>
        <v>-469094</v>
      </c>
      <c r="I171" s="26">
        <f t="shared" si="33"/>
        <v>-351821</v>
      </c>
      <c r="J171" s="26">
        <f t="shared" si="34"/>
        <v>-143334</v>
      </c>
      <c r="K171" s="40">
        <f t="shared" si="35"/>
        <v>-338790</v>
      </c>
      <c r="L171" s="39">
        <f t="shared" si="31"/>
        <v>0</v>
      </c>
      <c r="M171" s="26">
        <f t="shared" si="37"/>
        <v>0</v>
      </c>
      <c r="N171" s="26">
        <f t="shared" si="38"/>
        <v>0</v>
      </c>
      <c r="O171" s="40">
        <f t="shared" si="39"/>
        <v>0</v>
      </c>
      <c r="P171">
        <f t="shared" si="36"/>
        <v>-1303039</v>
      </c>
    </row>
    <row r="172" spans="2:16" x14ac:dyDescent="0.3">
      <c r="B172" s="38">
        <v>43635</v>
      </c>
      <c r="C172" s="3">
        <v>7974607</v>
      </c>
      <c r="D172" s="3">
        <v>5980955</v>
      </c>
      <c r="E172" s="3">
        <v>2436685</v>
      </c>
      <c r="F172" s="3">
        <v>5759438</v>
      </c>
      <c r="G172" s="25">
        <f t="shared" si="30"/>
        <v>22151685</v>
      </c>
      <c r="H172" s="39">
        <f t="shared" si="32"/>
        <v>0</v>
      </c>
      <c r="I172" s="26">
        <f t="shared" si="33"/>
        <v>0</v>
      </c>
      <c r="J172" s="26">
        <f t="shared" si="34"/>
        <v>0</v>
      </c>
      <c r="K172" s="40">
        <f t="shared" si="35"/>
        <v>0</v>
      </c>
      <c r="L172" s="39">
        <f t="shared" si="31"/>
        <v>78183</v>
      </c>
      <c r="M172" s="26">
        <f t="shared" si="37"/>
        <v>58637</v>
      </c>
      <c r="N172" s="26">
        <f t="shared" si="38"/>
        <v>23889</v>
      </c>
      <c r="O172" s="40">
        <f t="shared" si="39"/>
        <v>56465</v>
      </c>
      <c r="P172">
        <f t="shared" si="36"/>
        <v>217174</v>
      </c>
    </row>
    <row r="173" spans="2:16" x14ac:dyDescent="0.3">
      <c r="B173" s="38">
        <v>43636</v>
      </c>
      <c r="C173" s="3">
        <v>3674574</v>
      </c>
      <c r="D173" s="3">
        <v>2755930</v>
      </c>
      <c r="E173" s="3">
        <v>1122786</v>
      </c>
      <c r="F173" s="3">
        <v>2653859</v>
      </c>
      <c r="G173" s="25">
        <f t="shared" si="30"/>
        <v>10207149</v>
      </c>
      <c r="H173" s="39">
        <f t="shared" si="32"/>
        <v>-4143668</v>
      </c>
      <c r="I173" s="26">
        <f t="shared" si="33"/>
        <v>-3107751</v>
      </c>
      <c r="J173" s="26">
        <f t="shared" si="34"/>
        <v>-1266121</v>
      </c>
      <c r="K173" s="40">
        <f t="shared" si="35"/>
        <v>-2992649</v>
      </c>
      <c r="L173" s="39">
        <f t="shared" si="31"/>
        <v>0</v>
      </c>
      <c r="M173" s="26">
        <f t="shared" si="37"/>
        <v>0</v>
      </c>
      <c r="N173" s="26">
        <f t="shared" si="38"/>
        <v>0</v>
      </c>
      <c r="O173" s="40">
        <f t="shared" si="39"/>
        <v>0</v>
      </c>
      <c r="P173">
        <f t="shared" si="36"/>
        <v>-11510189</v>
      </c>
    </row>
    <row r="174" spans="2:16" x14ac:dyDescent="0.3">
      <c r="B174" s="38">
        <v>43637</v>
      </c>
      <c r="C174" s="3">
        <v>7583695</v>
      </c>
      <c r="D174" s="3">
        <v>5687771</v>
      </c>
      <c r="E174" s="3">
        <v>2317240</v>
      </c>
      <c r="F174" s="3">
        <v>5477113</v>
      </c>
      <c r="G174" s="25">
        <f t="shared" si="30"/>
        <v>21065819</v>
      </c>
      <c r="H174" s="39">
        <f t="shared" si="32"/>
        <v>-469094</v>
      </c>
      <c r="I174" s="26">
        <f t="shared" si="33"/>
        <v>-351821</v>
      </c>
      <c r="J174" s="26">
        <f t="shared" si="34"/>
        <v>-143334</v>
      </c>
      <c r="K174" s="40">
        <f t="shared" si="35"/>
        <v>-338790</v>
      </c>
      <c r="L174" s="39">
        <f t="shared" si="31"/>
        <v>0</v>
      </c>
      <c r="M174" s="26">
        <f t="shared" si="37"/>
        <v>0</v>
      </c>
      <c r="N174" s="26">
        <f t="shared" si="38"/>
        <v>0</v>
      </c>
      <c r="O174" s="40">
        <f t="shared" si="39"/>
        <v>0</v>
      </c>
      <c r="P174">
        <f t="shared" si="36"/>
        <v>-1303039</v>
      </c>
    </row>
    <row r="175" spans="2:16" x14ac:dyDescent="0.3">
      <c r="B175" s="38">
        <v>43638</v>
      </c>
      <c r="C175" s="3">
        <v>16160310</v>
      </c>
      <c r="D175" s="3">
        <v>12120232</v>
      </c>
      <c r="E175" s="3">
        <v>4937872</v>
      </c>
      <c r="F175" s="3">
        <v>11671335</v>
      </c>
      <c r="G175" s="25">
        <f t="shared" si="30"/>
        <v>44889749</v>
      </c>
      <c r="H175" s="39">
        <f t="shared" si="32"/>
        <v>0</v>
      </c>
      <c r="I175" s="26">
        <f t="shared" si="33"/>
        <v>0</v>
      </c>
      <c r="J175" s="26">
        <f t="shared" si="34"/>
        <v>0</v>
      </c>
      <c r="K175" s="40">
        <f t="shared" si="35"/>
        <v>0</v>
      </c>
      <c r="L175" s="39">
        <f t="shared" si="31"/>
        <v>161603</v>
      </c>
      <c r="M175" s="26">
        <f t="shared" si="37"/>
        <v>121202</v>
      </c>
      <c r="N175" s="26">
        <f t="shared" si="38"/>
        <v>49379</v>
      </c>
      <c r="O175" s="40">
        <f t="shared" si="39"/>
        <v>116714</v>
      </c>
      <c r="P175">
        <f t="shared" si="36"/>
        <v>448898</v>
      </c>
    </row>
    <row r="176" spans="2:16" x14ac:dyDescent="0.3">
      <c r="B176" s="38">
        <v>43639</v>
      </c>
      <c r="C176" s="3">
        <v>15675500</v>
      </c>
      <c r="D176" s="3">
        <v>11756625</v>
      </c>
      <c r="E176" s="3">
        <v>4789736</v>
      </c>
      <c r="F176" s="3">
        <v>11321195</v>
      </c>
      <c r="G176" s="25">
        <f t="shared" si="30"/>
        <v>43543056</v>
      </c>
      <c r="H176" s="39">
        <f t="shared" si="32"/>
        <v>-808016</v>
      </c>
      <c r="I176" s="26">
        <f t="shared" si="33"/>
        <v>-606012</v>
      </c>
      <c r="J176" s="26">
        <f t="shared" si="34"/>
        <v>-246894</v>
      </c>
      <c r="K176" s="40">
        <f t="shared" si="35"/>
        <v>-583566</v>
      </c>
      <c r="L176" s="39">
        <f t="shared" si="31"/>
        <v>0</v>
      </c>
      <c r="M176" s="26">
        <f t="shared" si="37"/>
        <v>0</v>
      </c>
      <c r="N176" s="26">
        <f t="shared" si="38"/>
        <v>0</v>
      </c>
      <c r="O176" s="40">
        <f t="shared" si="39"/>
        <v>0</v>
      </c>
      <c r="P176">
        <f t="shared" si="36"/>
        <v>-2244488</v>
      </c>
    </row>
    <row r="177" spans="2:16" x14ac:dyDescent="0.3">
      <c r="B177" s="38">
        <v>43640</v>
      </c>
      <c r="C177" s="3">
        <v>7661877</v>
      </c>
      <c r="D177" s="3">
        <v>5746408</v>
      </c>
      <c r="E177" s="3">
        <v>2341129</v>
      </c>
      <c r="F177" s="3">
        <v>5533578</v>
      </c>
      <c r="G177" s="25">
        <f t="shared" si="30"/>
        <v>21282992</v>
      </c>
      <c r="H177" s="39">
        <f t="shared" si="32"/>
        <v>-469095</v>
      </c>
      <c r="I177" s="26">
        <f t="shared" si="33"/>
        <v>-351821</v>
      </c>
      <c r="J177" s="26">
        <f t="shared" si="34"/>
        <v>-143334</v>
      </c>
      <c r="K177" s="40">
        <f t="shared" si="35"/>
        <v>-338790</v>
      </c>
      <c r="L177" s="39">
        <f t="shared" si="31"/>
        <v>0</v>
      </c>
      <c r="M177" s="26">
        <f t="shared" si="37"/>
        <v>0</v>
      </c>
      <c r="N177" s="26">
        <f t="shared" si="38"/>
        <v>0</v>
      </c>
      <c r="O177" s="40">
        <f t="shared" si="39"/>
        <v>0</v>
      </c>
      <c r="P177">
        <f t="shared" si="36"/>
        <v>-1303040</v>
      </c>
    </row>
    <row r="178" spans="2:16" x14ac:dyDescent="0.3">
      <c r="B178" s="38">
        <v>43641</v>
      </c>
      <c r="C178" s="3">
        <v>8130972</v>
      </c>
      <c r="D178" s="3">
        <v>6098229</v>
      </c>
      <c r="E178" s="3">
        <v>2484463</v>
      </c>
      <c r="F178" s="3">
        <v>5872368</v>
      </c>
      <c r="G178" s="25">
        <f t="shared" si="30"/>
        <v>22586032</v>
      </c>
      <c r="H178" s="39">
        <f t="shared" si="32"/>
        <v>0</v>
      </c>
      <c r="I178" s="26">
        <f t="shared" si="33"/>
        <v>0</v>
      </c>
      <c r="J178" s="26">
        <f t="shared" si="34"/>
        <v>0</v>
      </c>
      <c r="K178" s="40">
        <f t="shared" si="35"/>
        <v>0</v>
      </c>
      <c r="L178" s="39">
        <f t="shared" si="31"/>
        <v>547277</v>
      </c>
      <c r="M178" s="26">
        <f t="shared" si="37"/>
        <v>410458</v>
      </c>
      <c r="N178" s="26">
        <f t="shared" si="38"/>
        <v>167223</v>
      </c>
      <c r="O178" s="40">
        <f t="shared" si="39"/>
        <v>395255</v>
      </c>
      <c r="P178">
        <f t="shared" si="36"/>
        <v>1520213</v>
      </c>
    </row>
    <row r="179" spans="2:16" x14ac:dyDescent="0.3">
      <c r="B179" s="38">
        <v>43642</v>
      </c>
      <c r="C179" s="3">
        <v>8052789</v>
      </c>
      <c r="D179" s="3">
        <v>6039592</v>
      </c>
      <c r="E179" s="3">
        <v>2460574</v>
      </c>
      <c r="F179" s="3">
        <v>5815903</v>
      </c>
      <c r="G179" s="25">
        <f t="shared" si="30"/>
        <v>22368858</v>
      </c>
      <c r="H179" s="39">
        <f t="shared" si="32"/>
        <v>0</v>
      </c>
      <c r="I179" s="26">
        <f t="shared" si="33"/>
        <v>0</v>
      </c>
      <c r="J179" s="26">
        <f t="shared" si="34"/>
        <v>0</v>
      </c>
      <c r="K179" s="40">
        <f t="shared" si="35"/>
        <v>0</v>
      </c>
      <c r="L179" s="39">
        <f t="shared" si="31"/>
        <v>78182</v>
      </c>
      <c r="M179" s="26">
        <f t="shared" si="37"/>
        <v>58637</v>
      </c>
      <c r="N179" s="26">
        <f t="shared" si="38"/>
        <v>23889</v>
      </c>
      <c r="O179" s="40">
        <f t="shared" si="39"/>
        <v>56465</v>
      </c>
      <c r="P179">
        <f t="shared" si="36"/>
        <v>217173</v>
      </c>
    </row>
    <row r="180" spans="2:16" x14ac:dyDescent="0.3">
      <c r="B180" s="38">
        <v>43643</v>
      </c>
      <c r="C180" s="3">
        <v>8052789</v>
      </c>
      <c r="D180" s="3">
        <v>6039592</v>
      </c>
      <c r="E180" s="3">
        <v>2460574</v>
      </c>
      <c r="F180" s="3">
        <v>5815903</v>
      </c>
      <c r="G180" s="25">
        <f t="shared" si="30"/>
        <v>22368858</v>
      </c>
      <c r="H180" s="39">
        <f t="shared" si="32"/>
        <v>0</v>
      </c>
      <c r="I180" s="26">
        <f t="shared" si="33"/>
        <v>0</v>
      </c>
      <c r="J180" s="26">
        <f t="shared" si="34"/>
        <v>0</v>
      </c>
      <c r="K180" s="40">
        <f t="shared" si="35"/>
        <v>0</v>
      </c>
      <c r="L180" s="39">
        <f t="shared" si="31"/>
        <v>4378215</v>
      </c>
      <c r="M180" s="26">
        <f t="shared" si="37"/>
        <v>3283662</v>
      </c>
      <c r="N180" s="26">
        <f t="shared" si="38"/>
        <v>1337788</v>
      </c>
      <c r="O180" s="40">
        <f t="shared" si="39"/>
        <v>3162044</v>
      </c>
      <c r="P180">
        <f t="shared" si="36"/>
        <v>12161709</v>
      </c>
    </row>
    <row r="181" spans="2:16" x14ac:dyDescent="0.3">
      <c r="B181" s="38">
        <v>43644</v>
      </c>
      <c r="C181" s="3">
        <v>7661877</v>
      </c>
      <c r="D181" s="3">
        <v>5746408</v>
      </c>
      <c r="E181" s="3">
        <v>2341129</v>
      </c>
      <c r="F181" s="3">
        <v>5533578</v>
      </c>
      <c r="G181" s="25">
        <f t="shared" si="30"/>
        <v>21282992</v>
      </c>
      <c r="H181" s="39">
        <f t="shared" si="32"/>
        <v>0</v>
      </c>
      <c r="I181" s="26">
        <f t="shared" si="33"/>
        <v>0</v>
      </c>
      <c r="J181" s="26">
        <f t="shared" si="34"/>
        <v>0</v>
      </c>
      <c r="K181" s="40">
        <f t="shared" si="35"/>
        <v>0</v>
      </c>
      <c r="L181" s="39">
        <f t="shared" si="31"/>
        <v>78182</v>
      </c>
      <c r="M181" s="26">
        <f t="shared" si="37"/>
        <v>58637</v>
      </c>
      <c r="N181" s="26">
        <f t="shared" si="38"/>
        <v>23889</v>
      </c>
      <c r="O181" s="40">
        <f t="shared" si="39"/>
        <v>56465</v>
      </c>
      <c r="P181">
        <f t="shared" si="36"/>
        <v>217173</v>
      </c>
    </row>
    <row r="182" spans="2:16" x14ac:dyDescent="0.3">
      <c r="B182" s="38">
        <v>43645</v>
      </c>
      <c r="C182" s="3">
        <v>16806722</v>
      </c>
      <c r="D182" s="3">
        <v>12605042</v>
      </c>
      <c r="E182" s="3">
        <v>5135387</v>
      </c>
      <c r="F182" s="3">
        <v>12138188</v>
      </c>
      <c r="G182" s="25">
        <f t="shared" si="30"/>
        <v>46685339</v>
      </c>
      <c r="H182" s="39">
        <f t="shared" si="32"/>
        <v>0</v>
      </c>
      <c r="I182" s="26">
        <f t="shared" si="33"/>
        <v>0</v>
      </c>
      <c r="J182" s="26">
        <f t="shared" si="34"/>
        <v>0</v>
      </c>
      <c r="K182" s="40">
        <f t="shared" si="35"/>
        <v>0</v>
      </c>
      <c r="L182" s="39">
        <f t="shared" si="31"/>
        <v>646412</v>
      </c>
      <c r="M182" s="26">
        <f t="shared" si="37"/>
        <v>484810</v>
      </c>
      <c r="N182" s="26">
        <f t="shared" si="38"/>
        <v>197515</v>
      </c>
      <c r="O182" s="40">
        <f t="shared" si="39"/>
        <v>466853</v>
      </c>
      <c r="P182">
        <f t="shared" si="36"/>
        <v>1795590</v>
      </c>
    </row>
    <row r="183" spans="2:16" x14ac:dyDescent="0.3">
      <c r="B183" s="38">
        <v>43646</v>
      </c>
      <c r="C183" s="3">
        <v>15837104</v>
      </c>
      <c r="D183" s="3">
        <v>11877828</v>
      </c>
      <c r="E183" s="3">
        <v>4839115</v>
      </c>
      <c r="F183" s="3">
        <v>11437908</v>
      </c>
      <c r="G183" s="25">
        <f t="shared" si="30"/>
        <v>43991955</v>
      </c>
      <c r="H183" s="39">
        <f t="shared" si="32"/>
        <v>0</v>
      </c>
      <c r="I183" s="26">
        <f t="shared" si="33"/>
        <v>0</v>
      </c>
      <c r="J183" s="26">
        <f t="shared" si="34"/>
        <v>0</v>
      </c>
      <c r="K183" s="40">
        <f t="shared" si="35"/>
        <v>0</v>
      </c>
      <c r="L183" s="39">
        <f t="shared" si="31"/>
        <v>161604</v>
      </c>
      <c r="M183" s="26">
        <f t="shared" si="37"/>
        <v>121203</v>
      </c>
      <c r="N183" s="26">
        <f t="shared" si="38"/>
        <v>49379</v>
      </c>
      <c r="O183" s="40">
        <f t="shared" si="39"/>
        <v>116713</v>
      </c>
      <c r="P183">
        <f t="shared" si="36"/>
        <v>448899</v>
      </c>
    </row>
    <row r="184" spans="2:16" x14ac:dyDescent="0.3">
      <c r="B184" s="38">
        <v>43647</v>
      </c>
      <c r="C184" s="3">
        <v>7740060</v>
      </c>
      <c r="D184" s="3">
        <v>5805045</v>
      </c>
      <c r="E184" s="3">
        <v>2365018</v>
      </c>
      <c r="F184" s="3">
        <v>5590043</v>
      </c>
      <c r="G184" s="25">
        <f t="shared" si="30"/>
        <v>21500166</v>
      </c>
      <c r="H184" s="39">
        <f t="shared" si="32"/>
        <v>0</v>
      </c>
      <c r="I184" s="26">
        <f t="shared" si="33"/>
        <v>0</v>
      </c>
      <c r="J184" s="26">
        <f t="shared" si="34"/>
        <v>0</v>
      </c>
      <c r="K184" s="40">
        <f t="shared" si="35"/>
        <v>0</v>
      </c>
      <c r="L184" s="39">
        <f t="shared" si="31"/>
        <v>78183</v>
      </c>
      <c r="M184" s="26">
        <f t="shared" si="37"/>
        <v>58637</v>
      </c>
      <c r="N184" s="26">
        <f t="shared" si="38"/>
        <v>23889</v>
      </c>
      <c r="O184" s="40">
        <f t="shared" si="39"/>
        <v>56465</v>
      </c>
      <c r="P184">
        <f t="shared" si="36"/>
        <v>217174</v>
      </c>
    </row>
    <row r="185" spans="2:16" x14ac:dyDescent="0.3">
      <c r="B185" s="38">
        <v>43648</v>
      </c>
      <c r="C185" s="3">
        <v>7896424</v>
      </c>
      <c r="D185" s="3">
        <v>5922318</v>
      </c>
      <c r="E185" s="3">
        <v>2412796</v>
      </c>
      <c r="F185" s="3">
        <v>5702973</v>
      </c>
      <c r="G185" s="25">
        <f t="shared" si="30"/>
        <v>21934511</v>
      </c>
      <c r="H185" s="39">
        <f t="shared" si="32"/>
        <v>-234548</v>
      </c>
      <c r="I185" s="26">
        <f t="shared" si="33"/>
        <v>-175911</v>
      </c>
      <c r="J185" s="26">
        <f t="shared" si="34"/>
        <v>-71667</v>
      </c>
      <c r="K185" s="40">
        <f t="shared" si="35"/>
        <v>-169395</v>
      </c>
      <c r="L185" s="39">
        <f t="shared" si="31"/>
        <v>0</v>
      </c>
      <c r="M185" s="26">
        <f t="shared" si="37"/>
        <v>0</v>
      </c>
      <c r="N185" s="26">
        <f t="shared" si="38"/>
        <v>0</v>
      </c>
      <c r="O185" s="40">
        <f t="shared" si="39"/>
        <v>0</v>
      </c>
      <c r="P185">
        <f t="shared" si="36"/>
        <v>-651521</v>
      </c>
    </row>
    <row r="186" spans="2:16" x14ac:dyDescent="0.3">
      <c r="B186" s="38">
        <v>43649</v>
      </c>
      <c r="C186" s="3">
        <v>7974607</v>
      </c>
      <c r="D186" s="3">
        <v>5980955</v>
      </c>
      <c r="E186" s="3">
        <v>2436685</v>
      </c>
      <c r="F186" s="3">
        <v>5759438</v>
      </c>
      <c r="G186" s="25">
        <f t="shared" si="30"/>
        <v>22151685</v>
      </c>
      <c r="H186" s="39">
        <f t="shared" si="32"/>
        <v>-78182</v>
      </c>
      <c r="I186" s="26">
        <f t="shared" si="33"/>
        <v>-58637</v>
      </c>
      <c r="J186" s="26">
        <f t="shared" si="34"/>
        <v>-23889</v>
      </c>
      <c r="K186" s="40">
        <f t="shared" si="35"/>
        <v>-56465</v>
      </c>
      <c r="L186" s="39">
        <f t="shared" si="31"/>
        <v>0</v>
      </c>
      <c r="M186" s="26">
        <f t="shared" si="37"/>
        <v>0</v>
      </c>
      <c r="N186" s="26">
        <f t="shared" si="38"/>
        <v>0</v>
      </c>
      <c r="O186" s="40">
        <f t="shared" si="39"/>
        <v>0</v>
      </c>
      <c r="P186">
        <f t="shared" si="36"/>
        <v>-217173</v>
      </c>
    </row>
    <row r="187" spans="2:16" x14ac:dyDescent="0.3">
      <c r="B187" s="38">
        <v>43650</v>
      </c>
      <c r="C187" s="3">
        <v>8052789</v>
      </c>
      <c r="D187" s="3">
        <v>6039592</v>
      </c>
      <c r="E187" s="3">
        <v>2460574</v>
      </c>
      <c r="F187" s="3">
        <v>5815903</v>
      </c>
      <c r="G187" s="25">
        <f t="shared" si="30"/>
        <v>22368858</v>
      </c>
      <c r="H187" s="39">
        <f t="shared" si="32"/>
        <v>0</v>
      </c>
      <c r="I187" s="26">
        <f t="shared" si="33"/>
        <v>0</v>
      </c>
      <c r="J187" s="26">
        <f t="shared" si="34"/>
        <v>0</v>
      </c>
      <c r="K187" s="40">
        <f t="shared" si="35"/>
        <v>0</v>
      </c>
      <c r="L187" s="39">
        <f t="shared" si="31"/>
        <v>0</v>
      </c>
      <c r="M187" s="26">
        <f t="shared" si="37"/>
        <v>0</v>
      </c>
      <c r="N187" s="26">
        <f t="shared" si="38"/>
        <v>0</v>
      </c>
      <c r="O187" s="40">
        <f t="shared" si="39"/>
        <v>0</v>
      </c>
      <c r="P187">
        <f t="shared" si="36"/>
        <v>0</v>
      </c>
    </row>
    <row r="188" spans="2:16" x14ac:dyDescent="0.3">
      <c r="B188" s="38">
        <v>43651</v>
      </c>
      <c r="C188" s="3">
        <v>7427330</v>
      </c>
      <c r="D188" s="3">
        <v>5570497</v>
      </c>
      <c r="E188" s="3">
        <v>2269462</v>
      </c>
      <c r="F188" s="3">
        <v>5364183</v>
      </c>
      <c r="G188" s="25">
        <f t="shared" si="30"/>
        <v>20631472</v>
      </c>
      <c r="H188" s="39">
        <f t="shared" si="32"/>
        <v>-234547</v>
      </c>
      <c r="I188" s="26">
        <f t="shared" si="33"/>
        <v>-175911</v>
      </c>
      <c r="J188" s="26">
        <f t="shared" si="34"/>
        <v>-71667</v>
      </c>
      <c r="K188" s="40">
        <f t="shared" si="35"/>
        <v>-169395</v>
      </c>
      <c r="L188" s="39">
        <f t="shared" si="31"/>
        <v>0</v>
      </c>
      <c r="M188" s="26">
        <f t="shared" si="37"/>
        <v>0</v>
      </c>
      <c r="N188" s="26">
        <f t="shared" si="38"/>
        <v>0</v>
      </c>
      <c r="O188" s="40">
        <f t="shared" si="39"/>
        <v>0</v>
      </c>
      <c r="P188">
        <f t="shared" si="36"/>
        <v>-651520</v>
      </c>
    </row>
    <row r="189" spans="2:16" x14ac:dyDescent="0.3">
      <c r="B189" s="38">
        <v>43652</v>
      </c>
      <c r="C189" s="3">
        <v>16160310</v>
      </c>
      <c r="D189" s="3">
        <v>12120232</v>
      </c>
      <c r="E189" s="3">
        <v>4937872</v>
      </c>
      <c r="F189" s="3">
        <v>11671335</v>
      </c>
      <c r="G189" s="25">
        <f t="shared" si="30"/>
        <v>44889749</v>
      </c>
      <c r="H189" s="39">
        <f t="shared" si="32"/>
        <v>-646412</v>
      </c>
      <c r="I189" s="26">
        <f t="shared" si="33"/>
        <v>-484810</v>
      </c>
      <c r="J189" s="26">
        <f t="shared" si="34"/>
        <v>-197515</v>
      </c>
      <c r="K189" s="40">
        <f t="shared" si="35"/>
        <v>-466853</v>
      </c>
      <c r="L189" s="39">
        <f t="shared" si="31"/>
        <v>0</v>
      </c>
      <c r="M189" s="26">
        <f t="shared" si="37"/>
        <v>0</v>
      </c>
      <c r="N189" s="26">
        <f t="shared" si="38"/>
        <v>0</v>
      </c>
      <c r="O189" s="40">
        <f t="shared" si="39"/>
        <v>0</v>
      </c>
      <c r="P189">
        <f t="shared" si="36"/>
        <v>-1795590</v>
      </c>
    </row>
    <row r="190" spans="2:16" x14ac:dyDescent="0.3">
      <c r="B190" s="38">
        <v>43653</v>
      </c>
      <c r="C190" s="3">
        <v>15675500</v>
      </c>
      <c r="D190" s="3">
        <v>11756625</v>
      </c>
      <c r="E190" s="3">
        <v>4789736</v>
      </c>
      <c r="F190" s="3">
        <v>11321195</v>
      </c>
      <c r="G190" s="25">
        <f t="shared" si="30"/>
        <v>43543056</v>
      </c>
      <c r="H190" s="39">
        <f t="shared" si="32"/>
        <v>-161604</v>
      </c>
      <c r="I190" s="26">
        <f t="shared" si="33"/>
        <v>-121203</v>
      </c>
      <c r="J190" s="26">
        <f t="shared" si="34"/>
        <v>-49379</v>
      </c>
      <c r="K190" s="40">
        <f t="shared" si="35"/>
        <v>-116713</v>
      </c>
      <c r="L190" s="39">
        <f t="shared" si="31"/>
        <v>0</v>
      </c>
      <c r="M190" s="26">
        <f t="shared" si="37"/>
        <v>0</v>
      </c>
      <c r="N190" s="26">
        <f t="shared" si="38"/>
        <v>0</v>
      </c>
      <c r="O190" s="40">
        <f t="shared" si="39"/>
        <v>0</v>
      </c>
      <c r="P190">
        <f t="shared" si="36"/>
        <v>-448899</v>
      </c>
    </row>
    <row r="191" spans="2:16" x14ac:dyDescent="0.3">
      <c r="B191" s="38">
        <v>43654</v>
      </c>
      <c r="C191" s="3">
        <v>7661877</v>
      </c>
      <c r="D191" s="3">
        <v>5746408</v>
      </c>
      <c r="E191" s="3">
        <v>2341129</v>
      </c>
      <c r="F191" s="3">
        <v>5533578</v>
      </c>
      <c r="G191" s="25">
        <f t="shared" si="30"/>
        <v>21282992</v>
      </c>
      <c r="H191" s="39">
        <f t="shared" si="32"/>
        <v>-78183</v>
      </c>
      <c r="I191" s="26">
        <f t="shared" si="33"/>
        <v>-58637</v>
      </c>
      <c r="J191" s="26">
        <f t="shared" si="34"/>
        <v>-23889</v>
      </c>
      <c r="K191" s="40">
        <f t="shared" si="35"/>
        <v>-56465</v>
      </c>
      <c r="L191" s="39">
        <f t="shared" si="31"/>
        <v>0</v>
      </c>
      <c r="M191" s="26">
        <f t="shared" si="37"/>
        <v>0</v>
      </c>
      <c r="N191" s="26">
        <f t="shared" si="38"/>
        <v>0</v>
      </c>
      <c r="O191" s="40">
        <f t="shared" si="39"/>
        <v>0</v>
      </c>
      <c r="P191">
        <f t="shared" si="36"/>
        <v>-217174</v>
      </c>
    </row>
    <row r="192" spans="2:16" x14ac:dyDescent="0.3">
      <c r="B192" s="38">
        <v>43655</v>
      </c>
      <c r="C192" s="3">
        <v>8209154</v>
      </c>
      <c r="D192" s="3">
        <v>6156866</v>
      </c>
      <c r="E192" s="3">
        <v>2508352</v>
      </c>
      <c r="F192" s="3">
        <v>5928833</v>
      </c>
      <c r="G192" s="25">
        <f t="shared" si="30"/>
        <v>22803205</v>
      </c>
      <c r="H192" s="39">
        <f t="shared" si="32"/>
        <v>0</v>
      </c>
      <c r="I192" s="26">
        <f t="shared" si="33"/>
        <v>0</v>
      </c>
      <c r="J192" s="26">
        <f t="shared" si="34"/>
        <v>0</v>
      </c>
      <c r="K192" s="40">
        <f t="shared" si="35"/>
        <v>0</v>
      </c>
      <c r="L192" s="39">
        <f t="shared" si="31"/>
        <v>312730</v>
      </c>
      <c r="M192" s="26">
        <f t="shared" si="37"/>
        <v>234548</v>
      </c>
      <c r="N192" s="26">
        <f t="shared" si="38"/>
        <v>95556</v>
      </c>
      <c r="O192" s="40">
        <f t="shared" si="39"/>
        <v>225860</v>
      </c>
      <c r="P192">
        <f t="shared" si="36"/>
        <v>868694</v>
      </c>
    </row>
    <row r="193" spans="2:16" x14ac:dyDescent="0.3">
      <c r="B193" s="38">
        <v>43656</v>
      </c>
      <c r="C193" s="3">
        <v>8209154</v>
      </c>
      <c r="D193" s="3">
        <v>6156866</v>
      </c>
      <c r="E193" s="3">
        <v>2508352</v>
      </c>
      <c r="F193" s="3">
        <v>5928833</v>
      </c>
      <c r="G193" s="25">
        <f t="shared" si="30"/>
        <v>22803205</v>
      </c>
      <c r="H193" s="39">
        <f t="shared" si="32"/>
        <v>0</v>
      </c>
      <c r="I193" s="26">
        <f t="shared" si="33"/>
        <v>0</v>
      </c>
      <c r="J193" s="26">
        <f t="shared" si="34"/>
        <v>0</v>
      </c>
      <c r="K193" s="40">
        <f t="shared" si="35"/>
        <v>0</v>
      </c>
      <c r="L193" s="39">
        <f t="shared" si="31"/>
        <v>234547</v>
      </c>
      <c r="M193" s="26">
        <f t="shared" si="37"/>
        <v>175911</v>
      </c>
      <c r="N193" s="26">
        <f t="shared" si="38"/>
        <v>71667</v>
      </c>
      <c r="O193" s="40">
        <f t="shared" si="39"/>
        <v>169395</v>
      </c>
      <c r="P193">
        <f t="shared" si="36"/>
        <v>651520</v>
      </c>
    </row>
    <row r="194" spans="2:16" x14ac:dyDescent="0.3">
      <c r="B194" s="38">
        <v>43657</v>
      </c>
      <c r="C194" s="3">
        <v>7740060</v>
      </c>
      <c r="D194" s="3">
        <v>5805045</v>
      </c>
      <c r="E194" s="3">
        <v>2365018</v>
      </c>
      <c r="F194" s="3">
        <v>5590043</v>
      </c>
      <c r="G194" s="25">
        <f t="shared" si="30"/>
        <v>21500166</v>
      </c>
      <c r="H194" s="39">
        <f t="shared" si="32"/>
        <v>-312729</v>
      </c>
      <c r="I194" s="26">
        <f t="shared" si="33"/>
        <v>-234547</v>
      </c>
      <c r="J194" s="26">
        <f t="shared" si="34"/>
        <v>-95556</v>
      </c>
      <c r="K194" s="40">
        <f t="shared" si="35"/>
        <v>-225860</v>
      </c>
      <c r="L194" s="39">
        <f t="shared" si="31"/>
        <v>0</v>
      </c>
      <c r="M194" s="26">
        <f t="shared" si="37"/>
        <v>0</v>
      </c>
      <c r="N194" s="26">
        <f t="shared" si="38"/>
        <v>0</v>
      </c>
      <c r="O194" s="40">
        <f t="shared" si="39"/>
        <v>0</v>
      </c>
      <c r="P194">
        <f t="shared" si="36"/>
        <v>-868692</v>
      </c>
    </row>
    <row r="195" spans="2:16" x14ac:dyDescent="0.3">
      <c r="B195" s="38">
        <v>43658</v>
      </c>
      <c r="C195" s="3">
        <v>7505512</v>
      </c>
      <c r="D195" s="3">
        <v>5629134</v>
      </c>
      <c r="E195" s="3">
        <v>2293351</v>
      </c>
      <c r="F195" s="3">
        <v>5420648</v>
      </c>
      <c r="G195" s="25">
        <f t="shared" ref="G195:G258" si="40">SUM(C195:F195)</f>
        <v>20848645</v>
      </c>
      <c r="H195" s="39">
        <f t="shared" si="32"/>
        <v>0</v>
      </c>
      <c r="I195" s="26">
        <f t="shared" si="33"/>
        <v>0</v>
      </c>
      <c r="J195" s="26">
        <f t="shared" si="34"/>
        <v>0</v>
      </c>
      <c r="K195" s="40">
        <f t="shared" si="35"/>
        <v>0</v>
      </c>
      <c r="L195" s="39">
        <f t="shared" si="31"/>
        <v>78182</v>
      </c>
      <c r="M195" s="26">
        <f t="shared" si="37"/>
        <v>58637</v>
      </c>
      <c r="N195" s="26">
        <f t="shared" si="38"/>
        <v>23889</v>
      </c>
      <c r="O195" s="40">
        <f t="shared" si="39"/>
        <v>56465</v>
      </c>
      <c r="P195">
        <f t="shared" si="36"/>
        <v>217173</v>
      </c>
    </row>
    <row r="196" spans="2:16" x14ac:dyDescent="0.3">
      <c r="B196" s="38">
        <v>43659</v>
      </c>
      <c r="C196" s="3">
        <v>16160310</v>
      </c>
      <c r="D196" s="3">
        <v>12120232</v>
      </c>
      <c r="E196" s="3">
        <v>4937872</v>
      </c>
      <c r="F196" s="3">
        <v>11671335</v>
      </c>
      <c r="G196" s="25">
        <f t="shared" si="40"/>
        <v>44889749</v>
      </c>
      <c r="H196" s="39">
        <f t="shared" si="32"/>
        <v>0</v>
      </c>
      <c r="I196" s="26">
        <f t="shared" si="33"/>
        <v>0</v>
      </c>
      <c r="J196" s="26">
        <f t="shared" si="34"/>
        <v>0</v>
      </c>
      <c r="K196" s="40">
        <f t="shared" si="35"/>
        <v>0</v>
      </c>
      <c r="L196" s="39">
        <f t="shared" si="31"/>
        <v>0</v>
      </c>
      <c r="M196" s="26">
        <f t="shared" si="37"/>
        <v>0</v>
      </c>
      <c r="N196" s="26">
        <f t="shared" si="38"/>
        <v>0</v>
      </c>
      <c r="O196" s="40">
        <f t="shared" si="39"/>
        <v>0</v>
      </c>
      <c r="P196">
        <f t="shared" si="36"/>
        <v>0</v>
      </c>
    </row>
    <row r="197" spans="2:16" x14ac:dyDescent="0.3">
      <c r="B197" s="38">
        <v>43660</v>
      </c>
      <c r="C197" s="3">
        <v>15513897</v>
      </c>
      <c r="D197" s="3">
        <v>11635423</v>
      </c>
      <c r="E197" s="3">
        <v>4740357</v>
      </c>
      <c r="F197" s="3">
        <v>11204481</v>
      </c>
      <c r="G197" s="25">
        <f t="shared" si="40"/>
        <v>43094158</v>
      </c>
      <c r="H197" s="39">
        <f t="shared" si="32"/>
        <v>-161603</v>
      </c>
      <c r="I197" s="26">
        <f t="shared" si="33"/>
        <v>-121202</v>
      </c>
      <c r="J197" s="26">
        <f t="shared" si="34"/>
        <v>-49379</v>
      </c>
      <c r="K197" s="40">
        <f t="shared" si="35"/>
        <v>-116714</v>
      </c>
      <c r="L197" s="39">
        <f t="shared" si="31"/>
        <v>0</v>
      </c>
      <c r="M197" s="26">
        <f t="shared" si="37"/>
        <v>0</v>
      </c>
      <c r="N197" s="26">
        <f t="shared" si="38"/>
        <v>0</v>
      </c>
      <c r="O197" s="40">
        <f t="shared" si="39"/>
        <v>0</v>
      </c>
      <c r="P197">
        <f t="shared" si="36"/>
        <v>-448898</v>
      </c>
    </row>
    <row r="198" spans="2:16" x14ac:dyDescent="0.3">
      <c r="B198" s="38">
        <v>43661</v>
      </c>
      <c r="C198" s="3">
        <v>7740060</v>
      </c>
      <c r="D198" s="3">
        <v>5805045</v>
      </c>
      <c r="E198" s="3">
        <v>2365018</v>
      </c>
      <c r="F198" s="3">
        <v>5590043</v>
      </c>
      <c r="G198" s="25">
        <f t="shared" si="40"/>
        <v>21500166</v>
      </c>
      <c r="H198" s="39">
        <f t="shared" si="32"/>
        <v>0</v>
      </c>
      <c r="I198" s="26">
        <f t="shared" si="33"/>
        <v>0</v>
      </c>
      <c r="J198" s="26">
        <f t="shared" si="34"/>
        <v>0</v>
      </c>
      <c r="K198" s="40">
        <f t="shared" si="35"/>
        <v>0</v>
      </c>
      <c r="L198" s="39">
        <f t="shared" si="31"/>
        <v>78183</v>
      </c>
      <c r="M198" s="26">
        <f t="shared" si="37"/>
        <v>58637</v>
      </c>
      <c r="N198" s="26">
        <f t="shared" si="38"/>
        <v>23889</v>
      </c>
      <c r="O198" s="40">
        <f t="shared" si="39"/>
        <v>56465</v>
      </c>
      <c r="P198">
        <f t="shared" si="36"/>
        <v>217174</v>
      </c>
    </row>
    <row r="199" spans="2:16" x14ac:dyDescent="0.3">
      <c r="B199" s="38">
        <v>43662</v>
      </c>
      <c r="C199" s="3">
        <v>7427330</v>
      </c>
      <c r="D199" s="3">
        <v>5570497</v>
      </c>
      <c r="E199" s="3">
        <v>2269462</v>
      </c>
      <c r="F199" s="3">
        <v>5364183</v>
      </c>
      <c r="G199" s="25">
        <f t="shared" si="40"/>
        <v>20631472</v>
      </c>
      <c r="H199" s="39">
        <f t="shared" si="32"/>
        <v>-781824</v>
      </c>
      <c r="I199" s="26">
        <f t="shared" si="33"/>
        <v>-586369</v>
      </c>
      <c r="J199" s="26">
        <f t="shared" si="34"/>
        <v>-238890</v>
      </c>
      <c r="K199" s="40">
        <f t="shared" si="35"/>
        <v>-564650</v>
      </c>
      <c r="L199" s="39">
        <f t="shared" si="31"/>
        <v>0</v>
      </c>
      <c r="M199" s="26">
        <f t="shared" si="37"/>
        <v>0</v>
      </c>
      <c r="N199" s="26">
        <f t="shared" si="38"/>
        <v>0</v>
      </c>
      <c r="O199" s="40">
        <f t="shared" si="39"/>
        <v>0</v>
      </c>
      <c r="P199">
        <f t="shared" si="36"/>
        <v>-2171733</v>
      </c>
    </row>
    <row r="200" spans="2:16" x14ac:dyDescent="0.3">
      <c r="B200" s="38">
        <v>43663</v>
      </c>
      <c r="C200" s="3">
        <v>7740060</v>
      </c>
      <c r="D200" s="3">
        <v>5805045</v>
      </c>
      <c r="E200" s="3">
        <v>2365018</v>
      </c>
      <c r="F200" s="3">
        <v>5590043</v>
      </c>
      <c r="G200" s="25">
        <f t="shared" si="40"/>
        <v>21500166</v>
      </c>
      <c r="H200" s="39">
        <f t="shared" si="32"/>
        <v>-469094</v>
      </c>
      <c r="I200" s="26">
        <f t="shared" si="33"/>
        <v>-351821</v>
      </c>
      <c r="J200" s="26">
        <f t="shared" si="34"/>
        <v>-143334</v>
      </c>
      <c r="K200" s="40">
        <f t="shared" si="35"/>
        <v>-338790</v>
      </c>
      <c r="L200" s="39">
        <f t="shared" si="31"/>
        <v>0</v>
      </c>
      <c r="M200" s="26">
        <f t="shared" si="37"/>
        <v>0</v>
      </c>
      <c r="N200" s="26">
        <f t="shared" si="38"/>
        <v>0</v>
      </c>
      <c r="O200" s="40">
        <f t="shared" si="39"/>
        <v>0</v>
      </c>
      <c r="P200">
        <f t="shared" si="36"/>
        <v>-1303039</v>
      </c>
    </row>
    <row r="201" spans="2:16" x14ac:dyDescent="0.3">
      <c r="B201" s="38">
        <v>43664</v>
      </c>
      <c r="C201" s="3">
        <v>7974607</v>
      </c>
      <c r="D201" s="3">
        <v>5980955</v>
      </c>
      <c r="E201" s="3">
        <v>2436685</v>
      </c>
      <c r="F201" s="3">
        <v>5759438</v>
      </c>
      <c r="G201" s="25">
        <f t="shared" si="40"/>
        <v>22151685</v>
      </c>
      <c r="H201" s="39">
        <f t="shared" si="32"/>
        <v>0</v>
      </c>
      <c r="I201" s="26">
        <f t="shared" si="33"/>
        <v>0</v>
      </c>
      <c r="J201" s="26">
        <f t="shared" si="34"/>
        <v>0</v>
      </c>
      <c r="K201" s="40">
        <f t="shared" si="35"/>
        <v>0</v>
      </c>
      <c r="L201" s="39">
        <f t="shared" si="31"/>
        <v>234547</v>
      </c>
      <c r="M201" s="26">
        <f t="shared" si="37"/>
        <v>175910</v>
      </c>
      <c r="N201" s="26">
        <f t="shared" si="38"/>
        <v>71667</v>
      </c>
      <c r="O201" s="40">
        <f t="shared" si="39"/>
        <v>169395</v>
      </c>
      <c r="P201">
        <f t="shared" si="36"/>
        <v>651519</v>
      </c>
    </row>
    <row r="202" spans="2:16" x14ac:dyDescent="0.3">
      <c r="B202" s="38">
        <v>43665</v>
      </c>
      <c r="C202" s="3">
        <v>8130972</v>
      </c>
      <c r="D202" s="3">
        <v>6098229</v>
      </c>
      <c r="E202" s="3">
        <v>2484463</v>
      </c>
      <c r="F202" s="3">
        <v>5872368</v>
      </c>
      <c r="G202" s="25">
        <f t="shared" si="40"/>
        <v>22586032</v>
      </c>
      <c r="H202" s="39">
        <f t="shared" si="32"/>
        <v>0</v>
      </c>
      <c r="I202" s="26">
        <f t="shared" si="33"/>
        <v>0</v>
      </c>
      <c r="J202" s="26">
        <f t="shared" si="34"/>
        <v>0</v>
      </c>
      <c r="K202" s="40">
        <f t="shared" si="35"/>
        <v>0</v>
      </c>
      <c r="L202" s="39">
        <f t="shared" ref="L202:L265" si="41">IF(C202&gt;C195,C202-C195,0)</f>
        <v>625460</v>
      </c>
      <c r="M202" s="26">
        <f t="shared" si="37"/>
        <v>469095</v>
      </c>
      <c r="N202" s="26">
        <f t="shared" si="38"/>
        <v>191112</v>
      </c>
      <c r="O202" s="40">
        <f t="shared" si="39"/>
        <v>451720</v>
      </c>
      <c r="P202">
        <f t="shared" si="36"/>
        <v>1737387</v>
      </c>
    </row>
    <row r="203" spans="2:16" x14ac:dyDescent="0.3">
      <c r="B203" s="38">
        <v>43666</v>
      </c>
      <c r="C203" s="3">
        <v>15998707</v>
      </c>
      <c r="D203" s="3">
        <v>11999030</v>
      </c>
      <c r="E203" s="3">
        <v>4888493</v>
      </c>
      <c r="F203" s="3">
        <v>11554621</v>
      </c>
      <c r="G203" s="25">
        <f t="shared" si="40"/>
        <v>44440851</v>
      </c>
      <c r="H203" s="39">
        <f t="shared" ref="H203:H266" si="42">IF(C203&lt;C196,C203-C196,0)</f>
        <v>-161603</v>
      </c>
      <c r="I203" s="26">
        <f t="shared" ref="I203:I266" si="43">IF(D203&lt;D196,D203-D196,0)</f>
        <v>-121202</v>
      </c>
      <c r="J203" s="26">
        <f t="shared" ref="J203:J266" si="44">IF(E203&lt;E196,E203-E196,0)</f>
        <v>-49379</v>
      </c>
      <c r="K203" s="40">
        <f t="shared" ref="K203:K266" si="45">IF(F203&lt;F196,F203-F196,0)</f>
        <v>-116714</v>
      </c>
      <c r="L203" s="39">
        <f t="shared" si="41"/>
        <v>0</v>
      </c>
      <c r="M203" s="26">
        <f t="shared" si="37"/>
        <v>0</v>
      </c>
      <c r="N203" s="26">
        <f t="shared" si="38"/>
        <v>0</v>
      </c>
      <c r="O203" s="40">
        <f t="shared" si="39"/>
        <v>0</v>
      </c>
      <c r="P203">
        <f t="shared" ref="P203:P266" si="46">G203-G196</f>
        <v>-448898</v>
      </c>
    </row>
    <row r="204" spans="2:16" x14ac:dyDescent="0.3">
      <c r="B204" s="38">
        <v>43667</v>
      </c>
      <c r="C204" s="3">
        <v>15352294</v>
      </c>
      <c r="D204" s="3">
        <v>11514221</v>
      </c>
      <c r="E204" s="3">
        <v>4690978</v>
      </c>
      <c r="F204" s="3">
        <v>11087768</v>
      </c>
      <c r="G204" s="25">
        <f t="shared" si="40"/>
        <v>42645261</v>
      </c>
      <c r="H204" s="39">
        <f t="shared" si="42"/>
        <v>-161603</v>
      </c>
      <c r="I204" s="26">
        <f t="shared" si="43"/>
        <v>-121202</v>
      </c>
      <c r="J204" s="26">
        <f t="shared" si="44"/>
        <v>-49379</v>
      </c>
      <c r="K204" s="40">
        <f t="shared" si="45"/>
        <v>-116713</v>
      </c>
      <c r="L204" s="39">
        <f t="shared" si="41"/>
        <v>0</v>
      </c>
      <c r="M204" s="26">
        <f t="shared" si="37"/>
        <v>0</v>
      </c>
      <c r="N204" s="26">
        <f t="shared" si="38"/>
        <v>0</v>
      </c>
      <c r="O204" s="40">
        <f t="shared" si="39"/>
        <v>0</v>
      </c>
      <c r="P204">
        <f t="shared" si="46"/>
        <v>-448897</v>
      </c>
    </row>
    <row r="205" spans="2:16" x14ac:dyDescent="0.3">
      <c r="B205" s="38">
        <v>43668</v>
      </c>
      <c r="C205" s="3">
        <v>7740060</v>
      </c>
      <c r="D205" s="3">
        <v>5805045</v>
      </c>
      <c r="E205" s="3">
        <v>2365018</v>
      </c>
      <c r="F205" s="3">
        <v>5590043</v>
      </c>
      <c r="G205" s="25">
        <f t="shared" si="40"/>
        <v>21500166</v>
      </c>
      <c r="H205" s="39">
        <f t="shared" si="42"/>
        <v>0</v>
      </c>
      <c r="I205" s="26">
        <f t="shared" si="43"/>
        <v>0</v>
      </c>
      <c r="J205" s="26">
        <f t="shared" si="44"/>
        <v>0</v>
      </c>
      <c r="K205" s="40">
        <f t="shared" si="45"/>
        <v>0</v>
      </c>
      <c r="L205" s="39">
        <f t="shared" si="41"/>
        <v>0</v>
      </c>
      <c r="M205" s="26">
        <f t="shared" si="37"/>
        <v>0</v>
      </c>
      <c r="N205" s="26">
        <f t="shared" si="38"/>
        <v>0</v>
      </c>
      <c r="O205" s="40">
        <f t="shared" si="39"/>
        <v>0</v>
      </c>
      <c r="P205">
        <f t="shared" si="46"/>
        <v>0</v>
      </c>
    </row>
    <row r="206" spans="2:16" x14ac:dyDescent="0.3">
      <c r="B206" s="38">
        <v>43669</v>
      </c>
      <c r="C206" s="3">
        <v>7661877</v>
      </c>
      <c r="D206" s="3">
        <v>5746408</v>
      </c>
      <c r="E206" s="3">
        <v>2341129</v>
      </c>
      <c r="F206" s="3">
        <v>5533578</v>
      </c>
      <c r="G206" s="25">
        <f t="shared" si="40"/>
        <v>21282992</v>
      </c>
      <c r="H206" s="39">
        <f t="shared" si="42"/>
        <v>0</v>
      </c>
      <c r="I206" s="26">
        <f t="shared" si="43"/>
        <v>0</v>
      </c>
      <c r="J206" s="26">
        <f t="shared" si="44"/>
        <v>0</v>
      </c>
      <c r="K206" s="40">
        <f t="shared" si="45"/>
        <v>0</v>
      </c>
      <c r="L206" s="39">
        <f t="shared" si="41"/>
        <v>234547</v>
      </c>
      <c r="M206" s="26">
        <f t="shared" si="37"/>
        <v>175911</v>
      </c>
      <c r="N206" s="26">
        <f t="shared" si="38"/>
        <v>71667</v>
      </c>
      <c r="O206" s="40">
        <f t="shared" si="39"/>
        <v>169395</v>
      </c>
      <c r="P206">
        <f t="shared" si="46"/>
        <v>651520</v>
      </c>
    </row>
    <row r="207" spans="2:16" x14ac:dyDescent="0.3">
      <c r="B207" s="38">
        <v>43670</v>
      </c>
      <c r="C207" s="3">
        <v>7896424</v>
      </c>
      <c r="D207" s="3">
        <v>5922318</v>
      </c>
      <c r="E207" s="3">
        <v>2412796</v>
      </c>
      <c r="F207" s="3">
        <v>5702973</v>
      </c>
      <c r="G207" s="25">
        <f t="shared" si="40"/>
        <v>21934511</v>
      </c>
      <c r="H207" s="39">
        <f t="shared" si="42"/>
        <v>0</v>
      </c>
      <c r="I207" s="26">
        <f t="shared" si="43"/>
        <v>0</v>
      </c>
      <c r="J207" s="26">
        <f t="shared" si="44"/>
        <v>0</v>
      </c>
      <c r="K207" s="40">
        <f t="shared" si="45"/>
        <v>0</v>
      </c>
      <c r="L207" s="39">
        <f t="shared" si="41"/>
        <v>156364</v>
      </c>
      <c r="M207" s="26">
        <f t="shared" si="37"/>
        <v>117273</v>
      </c>
      <c r="N207" s="26">
        <f t="shared" si="38"/>
        <v>47778</v>
      </c>
      <c r="O207" s="40">
        <f t="shared" si="39"/>
        <v>112930</v>
      </c>
      <c r="P207">
        <f t="shared" si="46"/>
        <v>434345</v>
      </c>
    </row>
    <row r="208" spans="2:16" x14ac:dyDescent="0.3">
      <c r="B208" s="38">
        <v>43671</v>
      </c>
      <c r="C208" s="3">
        <v>7427330</v>
      </c>
      <c r="D208" s="3">
        <v>5570497</v>
      </c>
      <c r="E208" s="3">
        <v>2269462</v>
      </c>
      <c r="F208" s="3">
        <v>5364183</v>
      </c>
      <c r="G208" s="25">
        <f t="shared" si="40"/>
        <v>20631472</v>
      </c>
      <c r="H208" s="39">
        <f t="shared" si="42"/>
        <v>-547277</v>
      </c>
      <c r="I208" s="26">
        <f t="shared" si="43"/>
        <v>-410458</v>
      </c>
      <c r="J208" s="26">
        <f t="shared" si="44"/>
        <v>-167223</v>
      </c>
      <c r="K208" s="40">
        <f t="shared" si="45"/>
        <v>-395255</v>
      </c>
      <c r="L208" s="39">
        <f t="shared" si="41"/>
        <v>0</v>
      </c>
      <c r="M208" s="26">
        <f t="shared" si="37"/>
        <v>0</v>
      </c>
      <c r="N208" s="26">
        <f t="shared" si="38"/>
        <v>0</v>
      </c>
      <c r="O208" s="40">
        <f t="shared" si="39"/>
        <v>0</v>
      </c>
      <c r="P208">
        <f t="shared" si="46"/>
        <v>-1520213</v>
      </c>
    </row>
    <row r="209" spans="2:16" x14ac:dyDescent="0.3">
      <c r="B209" s="38">
        <v>43672</v>
      </c>
      <c r="C209" s="3">
        <v>7583695</v>
      </c>
      <c r="D209" s="3">
        <v>5687771</v>
      </c>
      <c r="E209" s="3">
        <v>2317240</v>
      </c>
      <c r="F209" s="3">
        <v>5477113</v>
      </c>
      <c r="G209" s="25">
        <f t="shared" si="40"/>
        <v>21065819</v>
      </c>
      <c r="H209" s="39">
        <f t="shared" si="42"/>
        <v>-547277</v>
      </c>
      <c r="I209" s="26">
        <f t="shared" si="43"/>
        <v>-410458</v>
      </c>
      <c r="J209" s="26">
        <f t="shared" si="44"/>
        <v>-167223</v>
      </c>
      <c r="K209" s="40">
        <f t="shared" si="45"/>
        <v>-395255</v>
      </c>
      <c r="L209" s="39">
        <f t="shared" si="41"/>
        <v>0</v>
      </c>
      <c r="M209" s="26">
        <f t="shared" si="37"/>
        <v>0</v>
      </c>
      <c r="N209" s="26">
        <f t="shared" si="38"/>
        <v>0</v>
      </c>
      <c r="O209" s="40">
        <f t="shared" si="39"/>
        <v>0</v>
      </c>
      <c r="P209">
        <f t="shared" si="46"/>
        <v>-1520213</v>
      </c>
    </row>
    <row r="210" spans="2:16" x14ac:dyDescent="0.3">
      <c r="B210" s="38">
        <v>43673</v>
      </c>
      <c r="C210" s="3">
        <v>16160310</v>
      </c>
      <c r="D210" s="3">
        <v>12120232</v>
      </c>
      <c r="E210" s="3">
        <v>4937872</v>
      </c>
      <c r="F210" s="3">
        <v>11671335</v>
      </c>
      <c r="G210" s="25">
        <f t="shared" si="40"/>
        <v>44889749</v>
      </c>
      <c r="H210" s="39">
        <f t="shared" si="42"/>
        <v>0</v>
      </c>
      <c r="I210" s="26">
        <f t="shared" si="43"/>
        <v>0</v>
      </c>
      <c r="J210" s="26">
        <f t="shared" si="44"/>
        <v>0</v>
      </c>
      <c r="K210" s="40">
        <f t="shared" si="45"/>
        <v>0</v>
      </c>
      <c r="L210" s="39">
        <f t="shared" si="41"/>
        <v>161603</v>
      </c>
      <c r="M210" s="26">
        <f t="shared" si="37"/>
        <v>121202</v>
      </c>
      <c r="N210" s="26">
        <f t="shared" si="38"/>
        <v>49379</v>
      </c>
      <c r="O210" s="40">
        <f t="shared" si="39"/>
        <v>116714</v>
      </c>
      <c r="P210">
        <f t="shared" si="46"/>
        <v>448898</v>
      </c>
    </row>
    <row r="211" spans="2:16" x14ac:dyDescent="0.3">
      <c r="B211" s="38">
        <v>43674</v>
      </c>
      <c r="C211" s="3">
        <v>15675500</v>
      </c>
      <c r="D211" s="3">
        <v>11756625</v>
      </c>
      <c r="E211" s="3">
        <v>4789736</v>
      </c>
      <c r="F211" s="3">
        <v>11321195</v>
      </c>
      <c r="G211" s="25">
        <f t="shared" si="40"/>
        <v>43543056</v>
      </c>
      <c r="H211" s="39">
        <f t="shared" si="42"/>
        <v>0</v>
      </c>
      <c r="I211" s="26">
        <f t="shared" si="43"/>
        <v>0</v>
      </c>
      <c r="J211" s="26">
        <f t="shared" si="44"/>
        <v>0</v>
      </c>
      <c r="K211" s="40">
        <f t="shared" si="45"/>
        <v>0</v>
      </c>
      <c r="L211" s="39">
        <f t="shared" si="41"/>
        <v>323206</v>
      </c>
      <c r="M211" s="26">
        <f t="shared" si="37"/>
        <v>242404</v>
      </c>
      <c r="N211" s="26">
        <f t="shared" si="38"/>
        <v>98758</v>
      </c>
      <c r="O211" s="40">
        <f t="shared" si="39"/>
        <v>233427</v>
      </c>
      <c r="P211">
        <f t="shared" si="46"/>
        <v>897795</v>
      </c>
    </row>
    <row r="212" spans="2:16" x14ac:dyDescent="0.3">
      <c r="B212" s="38">
        <v>43675</v>
      </c>
      <c r="C212" s="3">
        <v>7740060</v>
      </c>
      <c r="D212" s="3">
        <v>5805045</v>
      </c>
      <c r="E212" s="3">
        <v>2365018</v>
      </c>
      <c r="F212" s="3">
        <v>5590043</v>
      </c>
      <c r="G212" s="25">
        <f t="shared" si="40"/>
        <v>21500166</v>
      </c>
      <c r="H212" s="39">
        <f t="shared" si="42"/>
        <v>0</v>
      </c>
      <c r="I212" s="26">
        <f t="shared" si="43"/>
        <v>0</v>
      </c>
      <c r="J212" s="26">
        <f t="shared" si="44"/>
        <v>0</v>
      </c>
      <c r="K212" s="40">
        <f t="shared" si="45"/>
        <v>0</v>
      </c>
      <c r="L212" s="39">
        <f t="shared" si="41"/>
        <v>0</v>
      </c>
      <c r="M212" s="26">
        <f t="shared" si="37"/>
        <v>0</v>
      </c>
      <c r="N212" s="26">
        <f t="shared" si="38"/>
        <v>0</v>
      </c>
      <c r="O212" s="40">
        <f t="shared" si="39"/>
        <v>0</v>
      </c>
      <c r="P212">
        <f t="shared" si="46"/>
        <v>0</v>
      </c>
    </row>
    <row r="213" spans="2:16" x14ac:dyDescent="0.3">
      <c r="B213" s="38">
        <v>43676</v>
      </c>
      <c r="C213" s="3">
        <v>7505512</v>
      </c>
      <c r="D213" s="3">
        <v>5629134</v>
      </c>
      <c r="E213" s="3">
        <v>2293351</v>
      </c>
      <c r="F213" s="3">
        <v>5420648</v>
      </c>
      <c r="G213" s="25">
        <f t="shared" si="40"/>
        <v>20848645</v>
      </c>
      <c r="H213" s="39">
        <f t="shared" si="42"/>
        <v>-156365</v>
      </c>
      <c r="I213" s="26">
        <f t="shared" si="43"/>
        <v>-117274</v>
      </c>
      <c r="J213" s="26">
        <f t="shared" si="44"/>
        <v>-47778</v>
      </c>
      <c r="K213" s="40">
        <f t="shared" si="45"/>
        <v>-112930</v>
      </c>
      <c r="L213" s="39">
        <f t="shared" si="41"/>
        <v>0</v>
      </c>
      <c r="M213" s="26">
        <f t="shared" si="37"/>
        <v>0</v>
      </c>
      <c r="N213" s="26">
        <f t="shared" si="38"/>
        <v>0</v>
      </c>
      <c r="O213" s="40">
        <f t="shared" si="39"/>
        <v>0</v>
      </c>
      <c r="P213">
        <f t="shared" si="46"/>
        <v>-434347</v>
      </c>
    </row>
    <row r="214" spans="2:16" x14ac:dyDescent="0.3">
      <c r="B214" s="38">
        <v>43677</v>
      </c>
      <c r="C214" s="3">
        <v>8052789</v>
      </c>
      <c r="D214" s="3">
        <v>6039592</v>
      </c>
      <c r="E214" s="3">
        <v>2460574</v>
      </c>
      <c r="F214" s="3">
        <v>5815903</v>
      </c>
      <c r="G214" s="25">
        <f t="shared" si="40"/>
        <v>22368858</v>
      </c>
      <c r="H214" s="39">
        <f t="shared" si="42"/>
        <v>0</v>
      </c>
      <c r="I214" s="26">
        <f t="shared" si="43"/>
        <v>0</v>
      </c>
      <c r="J214" s="26">
        <f t="shared" si="44"/>
        <v>0</v>
      </c>
      <c r="K214" s="40">
        <f t="shared" si="45"/>
        <v>0</v>
      </c>
      <c r="L214" s="39">
        <f t="shared" si="41"/>
        <v>156365</v>
      </c>
      <c r="M214" s="26">
        <f t="shared" si="37"/>
        <v>117274</v>
      </c>
      <c r="N214" s="26">
        <f t="shared" si="38"/>
        <v>47778</v>
      </c>
      <c r="O214" s="40">
        <f t="shared" si="39"/>
        <v>112930</v>
      </c>
      <c r="P214">
        <f t="shared" si="46"/>
        <v>434347</v>
      </c>
    </row>
    <row r="215" spans="2:16" x14ac:dyDescent="0.3">
      <c r="B215" s="38">
        <v>43678</v>
      </c>
      <c r="C215" s="3">
        <v>7974607</v>
      </c>
      <c r="D215" s="3">
        <v>5980955</v>
      </c>
      <c r="E215" s="3">
        <v>2436685</v>
      </c>
      <c r="F215" s="3">
        <v>5759438</v>
      </c>
      <c r="G215" s="25">
        <f t="shared" si="40"/>
        <v>22151685</v>
      </c>
      <c r="H215" s="39">
        <f t="shared" si="42"/>
        <v>0</v>
      </c>
      <c r="I215" s="26">
        <f t="shared" si="43"/>
        <v>0</v>
      </c>
      <c r="J215" s="26">
        <f t="shared" si="44"/>
        <v>0</v>
      </c>
      <c r="K215" s="40">
        <f t="shared" si="45"/>
        <v>0</v>
      </c>
      <c r="L215" s="39">
        <f t="shared" si="41"/>
        <v>547277</v>
      </c>
      <c r="M215" s="26">
        <f t="shared" si="37"/>
        <v>410458</v>
      </c>
      <c r="N215" s="26">
        <f t="shared" si="38"/>
        <v>167223</v>
      </c>
      <c r="O215" s="40">
        <f t="shared" si="39"/>
        <v>395255</v>
      </c>
      <c r="P215">
        <f t="shared" si="46"/>
        <v>1520213</v>
      </c>
    </row>
    <row r="216" spans="2:16" x14ac:dyDescent="0.3">
      <c r="B216" s="38">
        <v>43679</v>
      </c>
      <c r="C216" s="3">
        <v>8209154</v>
      </c>
      <c r="D216" s="3">
        <v>6156866</v>
      </c>
      <c r="E216" s="3">
        <v>2508352</v>
      </c>
      <c r="F216" s="3">
        <v>5928833</v>
      </c>
      <c r="G216" s="25">
        <f t="shared" si="40"/>
        <v>22803205</v>
      </c>
      <c r="H216" s="39">
        <f t="shared" si="42"/>
        <v>0</v>
      </c>
      <c r="I216" s="26">
        <f t="shared" si="43"/>
        <v>0</v>
      </c>
      <c r="J216" s="26">
        <f t="shared" si="44"/>
        <v>0</v>
      </c>
      <c r="K216" s="40">
        <f t="shared" si="45"/>
        <v>0</v>
      </c>
      <c r="L216" s="39">
        <f t="shared" si="41"/>
        <v>625459</v>
      </c>
      <c r="M216" s="26">
        <f t="shared" si="37"/>
        <v>469095</v>
      </c>
      <c r="N216" s="26">
        <f t="shared" si="38"/>
        <v>191112</v>
      </c>
      <c r="O216" s="40">
        <f t="shared" si="39"/>
        <v>451720</v>
      </c>
      <c r="P216">
        <f t="shared" si="46"/>
        <v>1737386</v>
      </c>
    </row>
    <row r="217" spans="2:16" x14ac:dyDescent="0.3">
      <c r="B217" s="38">
        <v>43680</v>
      </c>
      <c r="C217" s="3">
        <v>16321913</v>
      </c>
      <c r="D217" s="3">
        <v>12241435</v>
      </c>
      <c r="E217" s="3">
        <v>4987251</v>
      </c>
      <c r="F217" s="3">
        <v>11788048</v>
      </c>
      <c r="G217" s="25">
        <f t="shared" si="40"/>
        <v>45338647</v>
      </c>
      <c r="H217" s="39">
        <f t="shared" si="42"/>
        <v>0</v>
      </c>
      <c r="I217" s="26">
        <f t="shared" si="43"/>
        <v>0</v>
      </c>
      <c r="J217" s="26">
        <f t="shared" si="44"/>
        <v>0</v>
      </c>
      <c r="K217" s="40">
        <f t="shared" si="45"/>
        <v>0</v>
      </c>
      <c r="L217" s="39">
        <f t="shared" si="41"/>
        <v>161603</v>
      </c>
      <c r="M217" s="26">
        <f t="shared" si="37"/>
        <v>121203</v>
      </c>
      <c r="N217" s="26">
        <f t="shared" si="38"/>
        <v>49379</v>
      </c>
      <c r="O217" s="40">
        <f t="shared" si="39"/>
        <v>116713</v>
      </c>
      <c r="P217">
        <f t="shared" si="46"/>
        <v>448898</v>
      </c>
    </row>
    <row r="218" spans="2:16" x14ac:dyDescent="0.3">
      <c r="B218" s="38">
        <v>43681</v>
      </c>
      <c r="C218" s="3">
        <v>15837104</v>
      </c>
      <c r="D218" s="3">
        <v>11877828</v>
      </c>
      <c r="E218" s="3">
        <v>4839115</v>
      </c>
      <c r="F218" s="3">
        <v>11437908</v>
      </c>
      <c r="G218" s="25">
        <f t="shared" si="40"/>
        <v>43991955</v>
      </c>
      <c r="H218" s="39">
        <f t="shared" si="42"/>
        <v>0</v>
      </c>
      <c r="I218" s="26">
        <f t="shared" si="43"/>
        <v>0</v>
      </c>
      <c r="J218" s="26">
        <f t="shared" si="44"/>
        <v>0</v>
      </c>
      <c r="K218" s="40">
        <f t="shared" si="45"/>
        <v>0</v>
      </c>
      <c r="L218" s="39">
        <f t="shared" si="41"/>
        <v>161604</v>
      </c>
      <c r="M218" s="26">
        <f t="shared" si="37"/>
        <v>121203</v>
      </c>
      <c r="N218" s="26">
        <f t="shared" si="38"/>
        <v>49379</v>
      </c>
      <c r="O218" s="40">
        <f t="shared" si="39"/>
        <v>116713</v>
      </c>
      <c r="P218">
        <f t="shared" si="46"/>
        <v>448899</v>
      </c>
    </row>
    <row r="219" spans="2:16" x14ac:dyDescent="0.3">
      <c r="B219" s="38">
        <v>43682</v>
      </c>
      <c r="C219" s="3">
        <v>8052789</v>
      </c>
      <c r="D219" s="3">
        <v>6039592</v>
      </c>
      <c r="E219" s="3">
        <v>2460574</v>
      </c>
      <c r="F219" s="3">
        <v>5815903</v>
      </c>
      <c r="G219" s="25">
        <f t="shared" si="40"/>
        <v>22368858</v>
      </c>
      <c r="H219" s="39">
        <f t="shared" si="42"/>
        <v>0</v>
      </c>
      <c r="I219" s="26">
        <f t="shared" si="43"/>
        <v>0</v>
      </c>
      <c r="J219" s="26">
        <f t="shared" si="44"/>
        <v>0</v>
      </c>
      <c r="K219" s="40">
        <f t="shared" si="45"/>
        <v>0</v>
      </c>
      <c r="L219" s="39">
        <f t="shared" si="41"/>
        <v>312729</v>
      </c>
      <c r="M219" s="26">
        <f t="shared" si="37"/>
        <v>234547</v>
      </c>
      <c r="N219" s="26">
        <f t="shared" si="38"/>
        <v>95556</v>
      </c>
      <c r="O219" s="40">
        <f t="shared" si="39"/>
        <v>225860</v>
      </c>
      <c r="P219">
        <f t="shared" si="46"/>
        <v>868692</v>
      </c>
    </row>
    <row r="220" spans="2:16" x14ac:dyDescent="0.3">
      <c r="B220" s="38">
        <v>43683</v>
      </c>
      <c r="C220" s="3">
        <v>8130972</v>
      </c>
      <c r="D220" s="3">
        <v>6098229</v>
      </c>
      <c r="E220" s="3">
        <v>2484463</v>
      </c>
      <c r="F220" s="3">
        <v>5872368</v>
      </c>
      <c r="G220" s="25">
        <f t="shared" si="40"/>
        <v>22586032</v>
      </c>
      <c r="H220" s="39">
        <f t="shared" si="42"/>
        <v>0</v>
      </c>
      <c r="I220" s="26">
        <f t="shared" si="43"/>
        <v>0</v>
      </c>
      <c r="J220" s="26">
        <f t="shared" si="44"/>
        <v>0</v>
      </c>
      <c r="K220" s="40">
        <f t="shared" si="45"/>
        <v>0</v>
      </c>
      <c r="L220" s="39">
        <f t="shared" si="41"/>
        <v>625460</v>
      </c>
      <c r="M220" s="26">
        <f t="shared" si="37"/>
        <v>469095</v>
      </c>
      <c r="N220" s="26">
        <f t="shared" si="38"/>
        <v>191112</v>
      </c>
      <c r="O220" s="40">
        <f t="shared" si="39"/>
        <v>451720</v>
      </c>
      <c r="P220">
        <f t="shared" si="46"/>
        <v>1737387</v>
      </c>
    </row>
    <row r="221" spans="2:16" x14ac:dyDescent="0.3">
      <c r="B221" s="38">
        <v>43684</v>
      </c>
      <c r="C221" s="3">
        <v>8130972</v>
      </c>
      <c r="D221" s="3">
        <v>6098229</v>
      </c>
      <c r="E221" s="3">
        <v>2484463</v>
      </c>
      <c r="F221" s="3">
        <v>5872368</v>
      </c>
      <c r="G221" s="25">
        <f t="shared" si="40"/>
        <v>22586032</v>
      </c>
      <c r="H221" s="39">
        <f t="shared" si="42"/>
        <v>0</v>
      </c>
      <c r="I221" s="26">
        <f t="shared" si="43"/>
        <v>0</v>
      </c>
      <c r="J221" s="26">
        <f t="shared" si="44"/>
        <v>0</v>
      </c>
      <c r="K221" s="40">
        <f t="shared" si="45"/>
        <v>0</v>
      </c>
      <c r="L221" s="39">
        <f t="shared" si="41"/>
        <v>78183</v>
      </c>
      <c r="M221" s="26">
        <f t="shared" si="37"/>
        <v>58637</v>
      </c>
      <c r="N221" s="26">
        <f t="shared" si="38"/>
        <v>23889</v>
      </c>
      <c r="O221" s="40">
        <f t="shared" si="39"/>
        <v>56465</v>
      </c>
      <c r="P221">
        <f t="shared" si="46"/>
        <v>217174</v>
      </c>
    </row>
    <row r="222" spans="2:16" x14ac:dyDescent="0.3">
      <c r="B222" s="38">
        <v>43685</v>
      </c>
      <c r="C222" s="3">
        <v>7505512</v>
      </c>
      <c r="D222" s="3">
        <v>5629134</v>
      </c>
      <c r="E222" s="3">
        <v>2293351</v>
      </c>
      <c r="F222" s="3">
        <v>5420648</v>
      </c>
      <c r="G222" s="25">
        <f t="shared" si="40"/>
        <v>20848645</v>
      </c>
      <c r="H222" s="39">
        <f t="shared" si="42"/>
        <v>-469095</v>
      </c>
      <c r="I222" s="26">
        <f t="shared" si="43"/>
        <v>-351821</v>
      </c>
      <c r="J222" s="26">
        <f t="shared" si="44"/>
        <v>-143334</v>
      </c>
      <c r="K222" s="40">
        <f t="shared" si="45"/>
        <v>-338790</v>
      </c>
      <c r="L222" s="39">
        <f t="shared" si="41"/>
        <v>0</v>
      </c>
      <c r="M222" s="26">
        <f t="shared" si="37"/>
        <v>0</v>
      </c>
      <c r="N222" s="26">
        <f t="shared" si="38"/>
        <v>0</v>
      </c>
      <c r="O222" s="40">
        <f t="shared" si="39"/>
        <v>0</v>
      </c>
      <c r="P222">
        <f t="shared" si="46"/>
        <v>-1303040</v>
      </c>
    </row>
    <row r="223" spans="2:16" x14ac:dyDescent="0.3">
      <c r="B223" s="38">
        <v>43686</v>
      </c>
      <c r="C223" s="3">
        <v>8130972</v>
      </c>
      <c r="D223" s="3">
        <v>6098229</v>
      </c>
      <c r="E223" s="3">
        <v>2484463</v>
      </c>
      <c r="F223" s="3">
        <v>5872368</v>
      </c>
      <c r="G223" s="25">
        <f t="shared" si="40"/>
        <v>22586032</v>
      </c>
      <c r="H223" s="39">
        <f t="shared" si="42"/>
        <v>-78182</v>
      </c>
      <c r="I223" s="26">
        <f t="shared" si="43"/>
        <v>-58637</v>
      </c>
      <c r="J223" s="26">
        <f t="shared" si="44"/>
        <v>-23889</v>
      </c>
      <c r="K223" s="40">
        <f t="shared" si="45"/>
        <v>-56465</v>
      </c>
      <c r="L223" s="39">
        <f t="shared" si="41"/>
        <v>0</v>
      </c>
      <c r="M223" s="26">
        <f t="shared" ref="M223:M286" si="47">IF(D223&gt;D216,D223-D216,0)</f>
        <v>0</v>
      </c>
      <c r="N223" s="26">
        <f t="shared" ref="N223:N286" si="48">IF(E223&gt;E216,E223-E216,0)</f>
        <v>0</v>
      </c>
      <c r="O223" s="40">
        <f t="shared" ref="O223:O286" si="49">IF(F223&gt;F216,F223-F216,0)</f>
        <v>0</v>
      </c>
      <c r="P223">
        <f t="shared" si="46"/>
        <v>-217173</v>
      </c>
    </row>
    <row r="224" spans="2:16" x14ac:dyDescent="0.3">
      <c r="B224" s="38">
        <v>43687</v>
      </c>
      <c r="C224" s="3">
        <v>16806722</v>
      </c>
      <c r="D224" s="3">
        <v>12605042</v>
      </c>
      <c r="E224" s="3">
        <v>5135387</v>
      </c>
      <c r="F224" s="3">
        <v>12138188</v>
      </c>
      <c r="G224" s="25">
        <f t="shared" si="40"/>
        <v>46685339</v>
      </c>
      <c r="H224" s="39">
        <f t="shared" si="42"/>
        <v>0</v>
      </c>
      <c r="I224" s="26">
        <f t="shared" si="43"/>
        <v>0</v>
      </c>
      <c r="J224" s="26">
        <f t="shared" si="44"/>
        <v>0</v>
      </c>
      <c r="K224" s="40">
        <f t="shared" si="45"/>
        <v>0</v>
      </c>
      <c r="L224" s="39">
        <f t="shared" si="41"/>
        <v>484809</v>
      </c>
      <c r="M224" s="26">
        <f t="shared" si="47"/>
        <v>363607</v>
      </c>
      <c r="N224" s="26">
        <f t="shared" si="48"/>
        <v>148136</v>
      </c>
      <c r="O224" s="40">
        <f t="shared" si="49"/>
        <v>350140</v>
      </c>
      <c r="P224">
        <f t="shared" si="46"/>
        <v>1346692</v>
      </c>
    </row>
    <row r="225" spans="2:16" x14ac:dyDescent="0.3">
      <c r="B225" s="38">
        <v>43688</v>
      </c>
      <c r="C225" s="3">
        <v>15837104</v>
      </c>
      <c r="D225" s="3">
        <v>11877828</v>
      </c>
      <c r="E225" s="3">
        <v>4839115</v>
      </c>
      <c r="F225" s="3">
        <v>11437908</v>
      </c>
      <c r="G225" s="25">
        <f t="shared" si="40"/>
        <v>43991955</v>
      </c>
      <c r="H225" s="39">
        <f t="shared" si="42"/>
        <v>0</v>
      </c>
      <c r="I225" s="26">
        <f t="shared" si="43"/>
        <v>0</v>
      </c>
      <c r="J225" s="26">
        <f t="shared" si="44"/>
        <v>0</v>
      </c>
      <c r="K225" s="40">
        <f t="shared" si="45"/>
        <v>0</v>
      </c>
      <c r="L225" s="39">
        <f t="shared" si="41"/>
        <v>0</v>
      </c>
      <c r="M225" s="26">
        <f t="shared" si="47"/>
        <v>0</v>
      </c>
      <c r="N225" s="26">
        <f t="shared" si="48"/>
        <v>0</v>
      </c>
      <c r="O225" s="40">
        <f t="shared" si="49"/>
        <v>0</v>
      </c>
      <c r="P225">
        <f t="shared" si="46"/>
        <v>0</v>
      </c>
    </row>
    <row r="226" spans="2:16" x14ac:dyDescent="0.3">
      <c r="B226" s="38">
        <v>43689</v>
      </c>
      <c r="C226" s="3">
        <v>7427330</v>
      </c>
      <c r="D226" s="3">
        <v>5570497</v>
      </c>
      <c r="E226" s="3">
        <v>2269462</v>
      </c>
      <c r="F226" s="3">
        <v>5364183</v>
      </c>
      <c r="G226" s="25">
        <f t="shared" si="40"/>
        <v>20631472</v>
      </c>
      <c r="H226" s="39">
        <f t="shared" si="42"/>
        <v>-625459</v>
      </c>
      <c r="I226" s="26">
        <f t="shared" si="43"/>
        <v>-469095</v>
      </c>
      <c r="J226" s="26">
        <f t="shared" si="44"/>
        <v>-191112</v>
      </c>
      <c r="K226" s="40">
        <f t="shared" si="45"/>
        <v>-451720</v>
      </c>
      <c r="L226" s="39">
        <f t="shared" si="41"/>
        <v>0</v>
      </c>
      <c r="M226" s="26">
        <f t="shared" si="47"/>
        <v>0</v>
      </c>
      <c r="N226" s="26">
        <f t="shared" si="48"/>
        <v>0</v>
      </c>
      <c r="O226" s="40">
        <f t="shared" si="49"/>
        <v>0</v>
      </c>
      <c r="P226">
        <f t="shared" si="46"/>
        <v>-1737386</v>
      </c>
    </row>
    <row r="227" spans="2:16" x14ac:dyDescent="0.3">
      <c r="B227" s="38">
        <v>43690</v>
      </c>
      <c r="C227" s="3">
        <v>7505512</v>
      </c>
      <c r="D227" s="3">
        <v>5629134</v>
      </c>
      <c r="E227" s="3">
        <v>2293351</v>
      </c>
      <c r="F227" s="3">
        <v>5420648</v>
      </c>
      <c r="G227" s="25">
        <f t="shared" si="40"/>
        <v>20848645</v>
      </c>
      <c r="H227" s="39">
        <f t="shared" si="42"/>
        <v>-625460</v>
      </c>
      <c r="I227" s="26">
        <f t="shared" si="43"/>
        <v>-469095</v>
      </c>
      <c r="J227" s="26">
        <f t="shared" si="44"/>
        <v>-191112</v>
      </c>
      <c r="K227" s="40">
        <f t="shared" si="45"/>
        <v>-451720</v>
      </c>
      <c r="L227" s="39">
        <f t="shared" si="41"/>
        <v>0</v>
      </c>
      <c r="M227" s="26">
        <f t="shared" si="47"/>
        <v>0</v>
      </c>
      <c r="N227" s="26">
        <f t="shared" si="48"/>
        <v>0</v>
      </c>
      <c r="O227" s="40">
        <f t="shared" si="49"/>
        <v>0</v>
      </c>
      <c r="P227">
        <f t="shared" si="46"/>
        <v>-1737387</v>
      </c>
    </row>
    <row r="228" spans="2:16" x14ac:dyDescent="0.3">
      <c r="B228" s="38">
        <v>43691</v>
      </c>
      <c r="C228" s="3">
        <v>8130972</v>
      </c>
      <c r="D228" s="3">
        <v>6098229</v>
      </c>
      <c r="E228" s="3">
        <v>2484463</v>
      </c>
      <c r="F228" s="3">
        <v>5872368</v>
      </c>
      <c r="G228" s="25">
        <f t="shared" si="40"/>
        <v>22586032</v>
      </c>
      <c r="H228" s="39">
        <f t="shared" si="42"/>
        <v>0</v>
      </c>
      <c r="I228" s="26">
        <f t="shared" si="43"/>
        <v>0</v>
      </c>
      <c r="J228" s="26">
        <f t="shared" si="44"/>
        <v>0</v>
      </c>
      <c r="K228" s="40">
        <f t="shared" si="45"/>
        <v>0</v>
      </c>
      <c r="L228" s="39">
        <f t="shared" si="41"/>
        <v>0</v>
      </c>
      <c r="M228" s="26">
        <f t="shared" si="47"/>
        <v>0</v>
      </c>
      <c r="N228" s="26">
        <f t="shared" si="48"/>
        <v>0</v>
      </c>
      <c r="O228" s="40">
        <f t="shared" si="49"/>
        <v>0</v>
      </c>
      <c r="P228">
        <f t="shared" si="46"/>
        <v>0</v>
      </c>
    </row>
    <row r="229" spans="2:16" x14ac:dyDescent="0.3">
      <c r="B229" s="38">
        <v>43692</v>
      </c>
      <c r="C229" s="3">
        <v>7896424</v>
      </c>
      <c r="D229" s="3">
        <v>5922318</v>
      </c>
      <c r="E229" s="3">
        <v>2412796</v>
      </c>
      <c r="F229" s="3">
        <v>5702973</v>
      </c>
      <c r="G229" s="25">
        <f t="shared" si="40"/>
        <v>21934511</v>
      </c>
      <c r="H229" s="39">
        <f t="shared" si="42"/>
        <v>0</v>
      </c>
      <c r="I229" s="26">
        <f t="shared" si="43"/>
        <v>0</v>
      </c>
      <c r="J229" s="26">
        <f t="shared" si="44"/>
        <v>0</v>
      </c>
      <c r="K229" s="40">
        <f t="shared" si="45"/>
        <v>0</v>
      </c>
      <c r="L229" s="39">
        <f t="shared" si="41"/>
        <v>390912</v>
      </c>
      <c r="M229" s="26">
        <f t="shared" si="47"/>
        <v>293184</v>
      </c>
      <c r="N229" s="26">
        <f t="shared" si="48"/>
        <v>119445</v>
      </c>
      <c r="O229" s="40">
        <f t="shared" si="49"/>
        <v>282325</v>
      </c>
      <c r="P229">
        <f t="shared" si="46"/>
        <v>1085866</v>
      </c>
    </row>
    <row r="230" spans="2:16" x14ac:dyDescent="0.3">
      <c r="B230" s="38">
        <v>43693</v>
      </c>
      <c r="C230" s="3">
        <v>7661877</v>
      </c>
      <c r="D230" s="3">
        <v>5746408</v>
      </c>
      <c r="E230" s="3">
        <v>2341129</v>
      </c>
      <c r="F230" s="3">
        <v>5533578</v>
      </c>
      <c r="G230" s="25">
        <f t="shared" si="40"/>
        <v>21282992</v>
      </c>
      <c r="H230" s="39">
        <f t="shared" si="42"/>
        <v>-469095</v>
      </c>
      <c r="I230" s="26">
        <f t="shared" si="43"/>
        <v>-351821</v>
      </c>
      <c r="J230" s="26">
        <f t="shared" si="44"/>
        <v>-143334</v>
      </c>
      <c r="K230" s="40">
        <f t="shared" si="45"/>
        <v>-338790</v>
      </c>
      <c r="L230" s="39">
        <f t="shared" si="41"/>
        <v>0</v>
      </c>
      <c r="M230" s="26">
        <f t="shared" si="47"/>
        <v>0</v>
      </c>
      <c r="N230" s="26">
        <f t="shared" si="48"/>
        <v>0</v>
      </c>
      <c r="O230" s="40">
        <f t="shared" si="49"/>
        <v>0</v>
      </c>
      <c r="P230">
        <f t="shared" si="46"/>
        <v>-1303040</v>
      </c>
    </row>
    <row r="231" spans="2:16" x14ac:dyDescent="0.3">
      <c r="B231" s="38">
        <v>43694</v>
      </c>
      <c r="C231" s="3">
        <v>16806722</v>
      </c>
      <c r="D231" s="3">
        <v>12605042</v>
      </c>
      <c r="E231" s="3">
        <v>5135387</v>
      </c>
      <c r="F231" s="3">
        <v>12138188</v>
      </c>
      <c r="G231" s="25">
        <f t="shared" si="40"/>
        <v>46685339</v>
      </c>
      <c r="H231" s="39">
        <f t="shared" si="42"/>
        <v>0</v>
      </c>
      <c r="I231" s="26">
        <f t="shared" si="43"/>
        <v>0</v>
      </c>
      <c r="J231" s="26">
        <f t="shared" si="44"/>
        <v>0</v>
      </c>
      <c r="K231" s="40">
        <f t="shared" si="45"/>
        <v>0</v>
      </c>
      <c r="L231" s="39">
        <f t="shared" si="41"/>
        <v>0</v>
      </c>
      <c r="M231" s="26">
        <f t="shared" si="47"/>
        <v>0</v>
      </c>
      <c r="N231" s="26">
        <f t="shared" si="48"/>
        <v>0</v>
      </c>
      <c r="O231" s="40">
        <f t="shared" si="49"/>
        <v>0</v>
      </c>
      <c r="P231">
        <f t="shared" si="46"/>
        <v>0</v>
      </c>
    </row>
    <row r="232" spans="2:16" x14ac:dyDescent="0.3">
      <c r="B232" s="38">
        <v>43695</v>
      </c>
      <c r="C232" s="3">
        <v>16321913</v>
      </c>
      <c r="D232" s="3">
        <v>12241435</v>
      </c>
      <c r="E232" s="3">
        <v>4987251</v>
      </c>
      <c r="F232" s="3">
        <v>11788048</v>
      </c>
      <c r="G232" s="25">
        <f t="shared" si="40"/>
        <v>45338647</v>
      </c>
      <c r="H232" s="39">
        <f t="shared" si="42"/>
        <v>0</v>
      </c>
      <c r="I232" s="26">
        <f t="shared" si="43"/>
        <v>0</v>
      </c>
      <c r="J232" s="26">
        <f t="shared" si="44"/>
        <v>0</v>
      </c>
      <c r="K232" s="40">
        <f t="shared" si="45"/>
        <v>0</v>
      </c>
      <c r="L232" s="39">
        <f t="shared" si="41"/>
        <v>484809</v>
      </c>
      <c r="M232" s="26">
        <f t="shared" si="47"/>
        <v>363607</v>
      </c>
      <c r="N232" s="26">
        <f t="shared" si="48"/>
        <v>148136</v>
      </c>
      <c r="O232" s="40">
        <f t="shared" si="49"/>
        <v>350140</v>
      </c>
      <c r="P232">
        <f t="shared" si="46"/>
        <v>1346692</v>
      </c>
    </row>
    <row r="233" spans="2:16" x14ac:dyDescent="0.3">
      <c r="B233" s="38">
        <v>43696</v>
      </c>
      <c r="C233" s="3">
        <v>7583695</v>
      </c>
      <c r="D233" s="3">
        <v>5687771</v>
      </c>
      <c r="E233" s="3">
        <v>2317240</v>
      </c>
      <c r="F233" s="3">
        <v>5477113</v>
      </c>
      <c r="G233" s="25">
        <f t="shared" si="40"/>
        <v>21065819</v>
      </c>
      <c r="H233" s="39">
        <f t="shared" si="42"/>
        <v>0</v>
      </c>
      <c r="I233" s="26">
        <f t="shared" si="43"/>
        <v>0</v>
      </c>
      <c r="J233" s="26">
        <f t="shared" si="44"/>
        <v>0</v>
      </c>
      <c r="K233" s="40">
        <f t="shared" si="45"/>
        <v>0</v>
      </c>
      <c r="L233" s="39">
        <f t="shared" si="41"/>
        <v>156365</v>
      </c>
      <c r="M233" s="26">
        <f t="shared" si="47"/>
        <v>117274</v>
      </c>
      <c r="N233" s="26">
        <f t="shared" si="48"/>
        <v>47778</v>
      </c>
      <c r="O233" s="40">
        <f t="shared" si="49"/>
        <v>112930</v>
      </c>
      <c r="P233">
        <f t="shared" si="46"/>
        <v>434347</v>
      </c>
    </row>
    <row r="234" spans="2:16" x14ac:dyDescent="0.3">
      <c r="B234" s="38">
        <v>43697</v>
      </c>
      <c r="C234" s="3">
        <v>7896424</v>
      </c>
      <c r="D234" s="3">
        <v>5922318</v>
      </c>
      <c r="E234" s="3">
        <v>2412796</v>
      </c>
      <c r="F234" s="3">
        <v>5702973</v>
      </c>
      <c r="G234" s="25">
        <f t="shared" si="40"/>
        <v>21934511</v>
      </c>
      <c r="H234" s="39">
        <f t="shared" si="42"/>
        <v>0</v>
      </c>
      <c r="I234" s="26">
        <f t="shared" si="43"/>
        <v>0</v>
      </c>
      <c r="J234" s="26">
        <f t="shared" si="44"/>
        <v>0</v>
      </c>
      <c r="K234" s="40">
        <f t="shared" si="45"/>
        <v>0</v>
      </c>
      <c r="L234" s="39">
        <f t="shared" si="41"/>
        <v>390912</v>
      </c>
      <c r="M234" s="26">
        <f t="shared" si="47"/>
        <v>293184</v>
      </c>
      <c r="N234" s="26">
        <f t="shared" si="48"/>
        <v>119445</v>
      </c>
      <c r="O234" s="40">
        <f t="shared" si="49"/>
        <v>282325</v>
      </c>
      <c r="P234">
        <f t="shared" si="46"/>
        <v>1085866</v>
      </c>
    </row>
    <row r="235" spans="2:16" x14ac:dyDescent="0.3">
      <c r="B235" s="38">
        <v>43698</v>
      </c>
      <c r="C235" s="3">
        <v>8052789</v>
      </c>
      <c r="D235" s="3">
        <v>6039592</v>
      </c>
      <c r="E235" s="3">
        <v>2460574</v>
      </c>
      <c r="F235" s="3">
        <v>5815903</v>
      </c>
      <c r="G235" s="25">
        <f t="shared" si="40"/>
        <v>22368858</v>
      </c>
      <c r="H235" s="39">
        <f t="shared" si="42"/>
        <v>-78183</v>
      </c>
      <c r="I235" s="26">
        <f t="shared" si="43"/>
        <v>-58637</v>
      </c>
      <c r="J235" s="26">
        <f t="shared" si="44"/>
        <v>-23889</v>
      </c>
      <c r="K235" s="40">
        <f t="shared" si="45"/>
        <v>-56465</v>
      </c>
      <c r="L235" s="39">
        <f t="shared" si="41"/>
        <v>0</v>
      </c>
      <c r="M235" s="26">
        <f t="shared" si="47"/>
        <v>0</v>
      </c>
      <c r="N235" s="26">
        <f t="shared" si="48"/>
        <v>0</v>
      </c>
      <c r="O235" s="40">
        <f t="shared" si="49"/>
        <v>0</v>
      </c>
      <c r="P235">
        <f t="shared" si="46"/>
        <v>-217174</v>
      </c>
    </row>
    <row r="236" spans="2:16" x14ac:dyDescent="0.3">
      <c r="B236" s="38">
        <v>43699</v>
      </c>
      <c r="C236" s="3">
        <v>7896424</v>
      </c>
      <c r="D236" s="3">
        <v>5922318</v>
      </c>
      <c r="E236" s="3">
        <v>2412796</v>
      </c>
      <c r="F236" s="3">
        <v>5702973</v>
      </c>
      <c r="G236" s="25">
        <f t="shared" si="40"/>
        <v>21934511</v>
      </c>
      <c r="H236" s="39">
        <f t="shared" si="42"/>
        <v>0</v>
      </c>
      <c r="I236" s="26">
        <f t="shared" si="43"/>
        <v>0</v>
      </c>
      <c r="J236" s="26">
        <f t="shared" si="44"/>
        <v>0</v>
      </c>
      <c r="K236" s="40">
        <f t="shared" si="45"/>
        <v>0</v>
      </c>
      <c r="L236" s="39">
        <f t="shared" si="41"/>
        <v>0</v>
      </c>
      <c r="M236" s="26">
        <f t="shared" si="47"/>
        <v>0</v>
      </c>
      <c r="N236" s="26">
        <f t="shared" si="48"/>
        <v>0</v>
      </c>
      <c r="O236" s="40">
        <f t="shared" si="49"/>
        <v>0</v>
      </c>
      <c r="P236">
        <f t="shared" si="46"/>
        <v>0</v>
      </c>
    </row>
    <row r="237" spans="2:16" x14ac:dyDescent="0.3">
      <c r="B237" s="38">
        <v>43700</v>
      </c>
      <c r="C237" s="3">
        <v>7505512</v>
      </c>
      <c r="D237" s="3">
        <v>5629134</v>
      </c>
      <c r="E237" s="3">
        <v>2293351</v>
      </c>
      <c r="F237" s="3">
        <v>5420648</v>
      </c>
      <c r="G237" s="25">
        <f t="shared" si="40"/>
        <v>20848645</v>
      </c>
      <c r="H237" s="39">
        <f t="shared" si="42"/>
        <v>-156365</v>
      </c>
      <c r="I237" s="26">
        <f t="shared" si="43"/>
        <v>-117274</v>
      </c>
      <c r="J237" s="26">
        <f t="shared" si="44"/>
        <v>-47778</v>
      </c>
      <c r="K237" s="40">
        <f t="shared" si="45"/>
        <v>-112930</v>
      </c>
      <c r="L237" s="39">
        <f t="shared" si="41"/>
        <v>0</v>
      </c>
      <c r="M237" s="26">
        <f t="shared" si="47"/>
        <v>0</v>
      </c>
      <c r="N237" s="26">
        <f t="shared" si="48"/>
        <v>0</v>
      </c>
      <c r="O237" s="40">
        <f t="shared" si="49"/>
        <v>0</v>
      </c>
      <c r="P237">
        <f t="shared" si="46"/>
        <v>-434347</v>
      </c>
    </row>
    <row r="238" spans="2:16" x14ac:dyDescent="0.3">
      <c r="B238" s="38">
        <v>43701</v>
      </c>
      <c r="C238" s="3">
        <v>15513897</v>
      </c>
      <c r="D238" s="3">
        <v>11635423</v>
      </c>
      <c r="E238" s="3">
        <v>4740357</v>
      </c>
      <c r="F238" s="3">
        <v>11204481</v>
      </c>
      <c r="G238" s="25">
        <f t="shared" si="40"/>
        <v>43094158</v>
      </c>
      <c r="H238" s="39">
        <f t="shared" si="42"/>
        <v>-1292825</v>
      </c>
      <c r="I238" s="26">
        <f t="shared" si="43"/>
        <v>-969619</v>
      </c>
      <c r="J238" s="26">
        <f t="shared" si="44"/>
        <v>-395030</v>
      </c>
      <c r="K238" s="40">
        <f t="shared" si="45"/>
        <v>-933707</v>
      </c>
      <c r="L238" s="39">
        <f t="shared" si="41"/>
        <v>0</v>
      </c>
      <c r="M238" s="26">
        <f t="shared" si="47"/>
        <v>0</v>
      </c>
      <c r="N238" s="26">
        <f t="shared" si="48"/>
        <v>0</v>
      </c>
      <c r="O238" s="40">
        <f t="shared" si="49"/>
        <v>0</v>
      </c>
      <c r="P238">
        <f t="shared" si="46"/>
        <v>-3591181</v>
      </c>
    </row>
    <row r="239" spans="2:16" x14ac:dyDescent="0.3">
      <c r="B239" s="38">
        <v>43702</v>
      </c>
      <c r="C239" s="3">
        <v>15998707</v>
      </c>
      <c r="D239" s="3">
        <v>11999030</v>
      </c>
      <c r="E239" s="3">
        <v>4888493</v>
      </c>
      <c r="F239" s="3">
        <v>11554621</v>
      </c>
      <c r="G239" s="25">
        <f t="shared" si="40"/>
        <v>44440851</v>
      </c>
      <c r="H239" s="39">
        <f t="shared" si="42"/>
        <v>-323206</v>
      </c>
      <c r="I239" s="26">
        <f t="shared" si="43"/>
        <v>-242405</v>
      </c>
      <c r="J239" s="26">
        <f t="shared" si="44"/>
        <v>-98758</v>
      </c>
      <c r="K239" s="40">
        <f t="shared" si="45"/>
        <v>-233427</v>
      </c>
      <c r="L239" s="39">
        <f t="shared" si="41"/>
        <v>0</v>
      </c>
      <c r="M239" s="26">
        <f t="shared" si="47"/>
        <v>0</v>
      </c>
      <c r="N239" s="26">
        <f t="shared" si="48"/>
        <v>0</v>
      </c>
      <c r="O239" s="40">
        <f t="shared" si="49"/>
        <v>0</v>
      </c>
      <c r="P239">
        <f t="shared" si="46"/>
        <v>-897796</v>
      </c>
    </row>
    <row r="240" spans="2:16" x14ac:dyDescent="0.3">
      <c r="B240" s="38">
        <v>43703</v>
      </c>
      <c r="C240" s="3">
        <v>8052789</v>
      </c>
      <c r="D240" s="3">
        <v>6039592</v>
      </c>
      <c r="E240" s="3">
        <v>2460574</v>
      </c>
      <c r="F240" s="3">
        <v>5815903</v>
      </c>
      <c r="G240" s="25">
        <f t="shared" si="40"/>
        <v>22368858</v>
      </c>
      <c r="H240" s="39">
        <f t="shared" si="42"/>
        <v>0</v>
      </c>
      <c r="I240" s="26">
        <f t="shared" si="43"/>
        <v>0</v>
      </c>
      <c r="J240" s="26">
        <f t="shared" si="44"/>
        <v>0</v>
      </c>
      <c r="K240" s="40">
        <f t="shared" si="45"/>
        <v>0</v>
      </c>
      <c r="L240" s="39">
        <f t="shared" si="41"/>
        <v>469094</v>
      </c>
      <c r="M240" s="26">
        <f t="shared" si="47"/>
        <v>351821</v>
      </c>
      <c r="N240" s="26">
        <f t="shared" si="48"/>
        <v>143334</v>
      </c>
      <c r="O240" s="40">
        <f t="shared" si="49"/>
        <v>338790</v>
      </c>
      <c r="P240">
        <f t="shared" si="46"/>
        <v>1303039</v>
      </c>
    </row>
    <row r="241" spans="2:16" x14ac:dyDescent="0.3">
      <c r="B241" s="38">
        <v>43704</v>
      </c>
      <c r="C241" s="3">
        <v>7505512</v>
      </c>
      <c r="D241" s="3">
        <v>5629134</v>
      </c>
      <c r="E241" s="3">
        <v>2293351</v>
      </c>
      <c r="F241" s="3">
        <v>5420648</v>
      </c>
      <c r="G241" s="25">
        <f t="shared" si="40"/>
        <v>20848645</v>
      </c>
      <c r="H241" s="39">
        <f t="shared" si="42"/>
        <v>-390912</v>
      </c>
      <c r="I241" s="26">
        <f t="shared" si="43"/>
        <v>-293184</v>
      </c>
      <c r="J241" s="26">
        <f t="shared" si="44"/>
        <v>-119445</v>
      </c>
      <c r="K241" s="40">
        <f t="shared" si="45"/>
        <v>-282325</v>
      </c>
      <c r="L241" s="39">
        <f t="shared" si="41"/>
        <v>0</v>
      </c>
      <c r="M241" s="26">
        <f t="shared" si="47"/>
        <v>0</v>
      </c>
      <c r="N241" s="26">
        <f t="shared" si="48"/>
        <v>0</v>
      </c>
      <c r="O241" s="40">
        <f t="shared" si="49"/>
        <v>0</v>
      </c>
      <c r="P241">
        <f t="shared" si="46"/>
        <v>-1085866</v>
      </c>
    </row>
    <row r="242" spans="2:16" x14ac:dyDescent="0.3">
      <c r="B242" s="38">
        <v>43705</v>
      </c>
      <c r="C242" s="3">
        <v>7896424</v>
      </c>
      <c r="D242" s="3">
        <v>5922318</v>
      </c>
      <c r="E242" s="3">
        <v>2412796</v>
      </c>
      <c r="F242" s="3">
        <v>5702973</v>
      </c>
      <c r="G242" s="25">
        <f t="shared" si="40"/>
        <v>21934511</v>
      </c>
      <c r="H242" s="39">
        <f t="shared" si="42"/>
        <v>-156365</v>
      </c>
      <c r="I242" s="26">
        <f t="shared" si="43"/>
        <v>-117274</v>
      </c>
      <c r="J242" s="26">
        <f t="shared" si="44"/>
        <v>-47778</v>
      </c>
      <c r="K242" s="40">
        <f t="shared" si="45"/>
        <v>-112930</v>
      </c>
      <c r="L242" s="39">
        <f t="shared" si="41"/>
        <v>0</v>
      </c>
      <c r="M242" s="26">
        <f t="shared" si="47"/>
        <v>0</v>
      </c>
      <c r="N242" s="26">
        <f t="shared" si="48"/>
        <v>0</v>
      </c>
      <c r="O242" s="40">
        <f t="shared" si="49"/>
        <v>0</v>
      </c>
      <c r="P242">
        <f t="shared" si="46"/>
        <v>-434347</v>
      </c>
    </row>
    <row r="243" spans="2:16" x14ac:dyDescent="0.3">
      <c r="B243" s="38">
        <v>43706</v>
      </c>
      <c r="C243" s="3">
        <v>7661877</v>
      </c>
      <c r="D243" s="3">
        <v>5746408</v>
      </c>
      <c r="E243" s="3">
        <v>2341129</v>
      </c>
      <c r="F243" s="3">
        <v>5533578</v>
      </c>
      <c r="G243" s="25">
        <f t="shared" si="40"/>
        <v>21282992</v>
      </c>
      <c r="H243" s="39">
        <f t="shared" si="42"/>
        <v>-234547</v>
      </c>
      <c r="I243" s="26">
        <f t="shared" si="43"/>
        <v>-175910</v>
      </c>
      <c r="J243" s="26">
        <f t="shared" si="44"/>
        <v>-71667</v>
      </c>
      <c r="K243" s="40">
        <f t="shared" si="45"/>
        <v>-169395</v>
      </c>
      <c r="L243" s="39">
        <f t="shared" si="41"/>
        <v>0</v>
      </c>
      <c r="M243" s="26">
        <f t="shared" si="47"/>
        <v>0</v>
      </c>
      <c r="N243" s="26">
        <f t="shared" si="48"/>
        <v>0</v>
      </c>
      <c r="O243" s="40">
        <f t="shared" si="49"/>
        <v>0</v>
      </c>
      <c r="P243">
        <f t="shared" si="46"/>
        <v>-651519</v>
      </c>
    </row>
    <row r="244" spans="2:16" x14ac:dyDescent="0.3">
      <c r="B244" s="38">
        <v>43707</v>
      </c>
      <c r="C244" s="3">
        <v>7896424</v>
      </c>
      <c r="D244" s="3">
        <v>5922318</v>
      </c>
      <c r="E244" s="3">
        <v>2412796</v>
      </c>
      <c r="F244" s="3">
        <v>5702973</v>
      </c>
      <c r="G244" s="25">
        <f t="shared" si="40"/>
        <v>21934511</v>
      </c>
      <c r="H244" s="39">
        <f t="shared" si="42"/>
        <v>0</v>
      </c>
      <c r="I244" s="26">
        <f t="shared" si="43"/>
        <v>0</v>
      </c>
      <c r="J244" s="26">
        <f t="shared" si="44"/>
        <v>0</v>
      </c>
      <c r="K244" s="40">
        <f t="shared" si="45"/>
        <v>0</v>
      </c>
      <c r="L244" s="39">
        <f t="shared" si="41"/>
        <v>390912</v>
      </c>
      <c r="M244" s="26">
        <f t="shared" si="47"/>
        <v>293184</v>
      </c>
      <c r="N244" s="26">
        <f t="shared" si="48"/>
        <v>119445</v>
      </c>
      <c r="O244" s="40">
        <f t="shared" si="49"/>
        <v>282325</v>
      </c>
      <c r="P244">
        <f t="shared" si="46"/>
        <v>1085866</v>
      </c>
    </row>
    <row r="245" spans="2:16" x14ac:dyDescent="0.3">
      <c r="B245" s="38">
        <v>43708</v>
      </c>
      <c r="C245" s="3">
        <v>16321913</v>
      </c>
      <c r="D245" s="3">
        <v>12241435</v>
      </c>
      <c r="E245" s="3">
        <v>4987251</v>
      </c>
      <c r="F245" s="3">
        <v>11788048</v>
      </c>
      <c r="G245" s="25">
        <f t="shared" si="40"/>
        <v>45338647</v>
      </c>
      <c r="H245" s="39">
        <f t="shared" si="42"/>
        <v>0</v>
      </c>
      <c r="I245" s="26">
        <f t="shared" si="43"/>
        <v>0</v>
      </c>
      <c r="J245" s="26">
        <f t="shared" si="44"/>
        <v>0</v>
      </c>
      <c r="K245" s="40">
        <f t="shared" si="45"/>
        <v>0</v>
      </c>
      <c r="L245" s="39">
        <f t="shared" si="41"/>
        <v>808016</v>
      </c>
      <c r="M245" s="26">
        <f t="shared" si="47"/>
        <v>606012</v>
      </c>
      <c r="N245" s="26">
        <f t="shared" si="48"/>
        <v>246894</v>
      </c>
      <c r="O245" s="40">
        <f t="shared" si="49"/>
        <v>583567</v>
      </c>
      <c r="P245">
        <f t="shared" si="46"/>
        <v>2244489</v>
      </c>
    </row>
    <row r="246" spans="2:16" x14ac:dyDescent="0.3">
      <c r="B246" s="38">
        <v>43709</v>
      </c>
      <c r="C246" s="3">
        <v>15352294</v>
      </c>
      <c r="D246" s="3">
        <v>11514221</v>
      </c>
      <c r="E246" s="3">
        <v>4690978</v>
      </c>
      <c r="F246" s="3">
        <v>11087768</v>
      </c>
      <c r="G246" s="25">
        <f t="shared" si="40"/>
        <v>42645261</v>
      </c>
      <c r="H246" s="39">
        <f t="shared" si="42"/>
        <v>-646413</v>
      </c>
      <c r="I246" s="26">
        <f t="shared" si="43"/>
        <v>-484809</v>
      </c>
      <c r="J246" s="26">
        <f t="shared" si="44"/>
        <v>-197515</v>
      </c>
      <c r="K246" s="40">
        <f t="shared" si="45"/>
        <v>-466853</v>
      </c>
      <c r="L246" s="39">
        <f t="shared" si="41"/>
        <v>0</v>
      </c>
      <c r="M246" s="26">
        <f t="shared" si="47"/>
        <v>0</v>
      </c>
      <c r="N246" s="26">
        <f t="shared" si="48"/>
        <v>0</v>
      </c>
      <c r="O246" s="40">
        <f t="shared" si="49"/>
        <v>0</v>
      </c>
      <c r="P246">
        <f t="shared" si="46"/>
        <v>-1795590</v>
      </c>
    </row>
    <row r="247" spans="2:16" x14ac:dyDescent="0.3">
      <c r="B247" s="38">
        <v>43710</v>
      </c>
      <c r="C247" s="3">
        <v>8209154</v>
      </c>
      <c r="D247" s="3">
        <v>6156866</v>
      </c>
      <c r="E247" s="3">
        <v>2508352</v>
      </c>
      <c r="F247" s="3">
        <v>5928833</v>
      </c>
      <c r="G247" s="25">
        <f t="shared" si="40"/>
        <v>22803205</v>
      </c>
      <c r="H247" s="39">
        <f t="shared" si="42"/>
        <v>0</v>
      </c>
      <c r="I247" s="26">
        <f t="shared" si="43"/>
        <v>0</v>
      </c>
      <c r="J247" s="26">
        <f t="shared" si="44"/>
        <v>0</v>
      </c>
      <c r="K247" s="40">
        <f t="shared" si="45"/>
        <v>0</v>
      </c>
      <c r="L247" s="39">
        <f t="shared" si="41"/>
        <v>156365</v>
      </c>
      <c r="M247" s="26">
        <f t="shared" si="47"/>
        <v>117274</v>
      </c>
      <c r="N247" s="26">
        <f t="shared" si="48"/>
        <v>47778</v>
      </c>
      <c r="O247" s="40">
        <f t="shared" si="49"/>
        <v>112930</v>
      </c>
      <c r="P247">
        <f t="shared" si="46"/>
        <v>434347</v>
      </c>
    </row>
    <row r="248" spans="2:16" x14ac:dyDescent="0.3">
      <c r="B248" s="38">
        <v>43711</v>
      </c>
      <c r="C248" s="3">
        <v>8130972</v>
      </c>
      <c r="D248" s="3">
        <v>6098229</v>
      </c>
      <c r="E248" s="3">
        <v>2484463</v>
      </c>
      <c r="F248" s="3">
        <v>5872368</v>
      </c>
      <c r="G248" s="25">
        <f t="shared" si="40"/>
        <v>22586032</v>
      </c>
      <c r="H248" s="39">
        <f t="shared" si="42"/>
        <v>0</v>
      </c>
      <c r="I248" s="26">
        <f t="shared" si="43"/>
        <v>0</v>
      </c>
      <c r="J248" s="26">
        <f t="shared" si="44"/>
        <v>0</v>
      </c>
      <c r="K248" s="40">
        <f t="shared" si="45"/>
        <v>0</v>
      </c>
      <c r="L248" s="39">
        <f t="shared" si="41"/>
        <v>625460</v>
      </c>
      <c r="M248" s="26">
        <f t="shared" si="47"/>
        <v>469095</v>
      </c>
      <c r="N248" s="26">
        <f t="shared" si="48"/>
        <v>191112</v>
      </c>
      <c r="O248" s="40">
        <f t="shared" si="49"/>
        <v>451720</v>
      </c>
      <c r="P248">
        <f t="shared" si="46"/>
        <v>1737387</v>
      </c>
    </row>
    <row r="249" spans="2:16" x14ac:dyDescent="0.3">
      <c r="B249" s="38">
        <v>43712</v>
      </c>
      <c r="C249" s="3">
        <v>8052789</v>
      </c>
      <c r="D249" s="3">
        <v>6039592</v>
      </c>
      <c r="E249" s="3">
        <v>2460574</v>
      </c>
      <c r="F249" s="3">
        <v>5815903</v>
      </c>
      <c r="G249" s="25">
        <f t="shared" si="40"/>
        <v>22368858</v>
      </c>
      <c r="H249" s="39">
        <f t="shared" si="42"/>
        <v>0</v>
      </c>
      <c r="I249" s="26">
        <f t="shared" si="43"/>
        <v>0</v>
      </c>
      <c r="J249" s="26">
        <f t="shared" si="44"/>
        <v>0</v>
      </c>
      <c r="K249" s="40">
        <f t="shared" si="45"/>
        <v>0</v>
      </c>
      <c r="L249" s="39">
        <f t="shared" si="41"/>
        <v>156365</v>
      </c>
      <c r="M249" s="26">
        <f t="shared" si="47"/>
        <v>117274</v>
      </c>
      <c r="N249" s="26">
        <f t="shared" si="48"/>
        <v>47778</v>
      </c>
      <c r="O249" s="40">
        <f t="shared" si="49"/>
        <v>112930</v>
      </c>
      <c r="P249">
        <f t="shared" si="46"/>
        <v>434347</v>
      </c>
    </row>
    <row r="250" spans="2:16" x14ac:dyDescent="0.3">
      <c r="B250" s="38">
        <v>43713</v>
      </c>
      <c r="C250" s="3">
        <v>7427330</v>
      </c>
      <c r="D250" s="3">
        <v>5570497</v>
      </c>
      <c r="E250" s="3">
        <v>2269462</v>
      </c>
      <c r="F250" s="3">
        <v>5364183</v>
      </c>
      <c r="G250" s="25">
        <f t="shared" si="40"/>
        <v>20631472</v>
      </c>
      <c r="H250" s="39">
        <f t="shared" si="42"/>
        <v>-234547</v>
      </c>
      <c r="I250" s="26">
        <f t="shared" si="43"/>
        <v>-175911</v>
      </c>
      <c r="J250" s="26">
        <f t="shared" si="44"/>
        <v>-71667</v>
      </c>
      <c r="K250" s="40">
        <f t="shared" si="45"/>
        <v>-169395</v>
      </c>
      <c r="L250" s="39">
        <f t="shared" si="41"/>
        <v>0</v>
      </c>
      <c r="M250" s="26">
        <f t="shared" si="47"/>
        <v>0</v>
      </c>
      <c r="N250" s="26">
        <f t="shared" si="48"/>
        <v>0</v>
      </c>
      <c r="O250" s="40">
        <f t="shared" si="49"/>
        <v>0</v>
      </c>
      <c r="P250">
        <f t="shared" si="46"/>
        <v>-651520</v>
      </c>
    </row>
    <row r="251" spans="2:16" x14ac:dyDescent="0.3">
      <c r="B251" s="38">
        <v>43714</v>
      </c>
      <c r="C251" s="3">
        <v>7505512</v>
      </c>
      <c r="D251" s="3">
        <v>5629134</v>
      </c>
      <c r="E251" s="3">
        <v>2293351</v>
      </c>
      <c r="F251" s="3">
        <v>5420648</v>
      </c>
      <c r="G251" s="25">
        <f t="shared" si="40"/>
        <v>20848645</v>
      </c>
      <c r="H251" s="39">
        <f t="shared" si="42"/>
        <v>-390912</v>
      </c>
      <c r="I251" s="26">
        <f t="shared" si="43"/>
        <v>-293184</v>
      </c>
      <c r="J251" s="26">
        <f t="shared" si="44"/>
        <v>-119445</v>
      </c>
      <c r="K251" s="40">
        <f t="shared" si="45"/>
        <v>-282325</v>
      </c>
      <c r="L251" s="39">
        <f t="shared" si="41"/>
        <v>0</v>
      </c>
      <c r="M251" s="26">
        <f t="shared" si="47"/>
        <v>0</v>
      </c>
      <c r="N251" s="26">
        <f t="shared" si="48"/>
        <v>0</v>
      </c>
      <c r="O251" s="40">
        <f t="shared" si="49"/>
        <v>0</v>
      </c>
      <c r="P251">
        <f t="shared" si="46"/>
        <v>-1085866</v>
      </c>
    </row>
    <row r="252" spans="2:16" x14ac:dyDescent="0.3">
      <c r="B252" s="38">
        <v>43715</v>
      </c>
      <c r="C252" s="3">
        <v>16806722</v>
      </c>
      <c r="D252" s="3">
        <v>12605042</v>
      </c>
      <c r="E252" s="3">
        <v>5135387</v>
      </c>
      <c r="F252" s="3">
        <v>12138188</v>
      </c>
      <c r="G252" s="25">
        <f t="shared" si="40"/>
        <v>46685339</v>
      </c>
      <c r="H252" s="39">
        <f t="shared" si="42"/>
        <v>0</v>
      </c>
      <c r="I252" s="26">
        <f t="shared" si="43"/>
        <v>0</v>
      </c>
      <c r="J252" s="26">
        <f t="shared" si="44"/>
        <v>0</v>
      </c>
      <c r="K252" s="40">
        <f t="shared" si="45"/>
        <v>0</v>
      </c>
      <c r="L252" s="39">
        <f t="shared" si="41"/>
        <v>484809</v>
      </c>
      <c r="M252" s="26">
        <f t="shared" si="47"/>
        <v>363607</v>
      </c>
      <c r="N252" s="26">
        <f t="shared" si="48"/>
        <v>148136</v>
      </c>
      <c r="O252" s="40">
        <f t="shared" si="49"/>
        <v>350140</v>
      </c>
      <c r="P252">
        <f t="shared" si="46"/>
        <v>1346692</v>
      </c>
    </row>
    <row r="253" spans="2:16" x14ac:dyDescent="0.3">
      <c r="B253" s="38">
        <v>43716</v>
      </c>
      <c r="C253" s="3">
        <v>15513897</v>
      </c>
      <c r="D253" s="3">
        <v>11635423</v>
      </c>
      <c r="E253" s="3">
        <v>4740357</v>
      </c>
      <c r="F253" s="3">
        <v>11204481</v>
      </c>
      <c r="G253" s="25">
        <f t="shared" si="40"/>
        <v>43094158</v>
      </c>
      <c r="H253" s="39">
        <f t="shared" si="42"/>
        <v>0</v>
      </c>
      <c r="I253" s="26">
        <f t="shared" si="43"/>
        <v>0</v>
      </c>
      <c r="J253" s="26">
        <f t="shared" si="44"/>
        <v>0</v>
      </c>
      <c r="K253" s="40">
        <f t="shared" si="45"/>
        <v>0</v>
      </c>
      <c r="L253" s="39">
        <f t="shared" si="41"/>
        <v>161603</v>
      </c>
      <c r="M253" s="26">
        <f t="shared" si="47"/>
        <v>121202</v>
      </c>
      <c r="N253" s="26">
        <f t="shared" si="48"/>
        <v>49379</v>
      </c>
      <c r="O253" s="40">
        <f t="shared" si="49"/>
        <v>116713</v>
      </c>
      <c r="P253">
        <f t="shared" si="46"/>
        <v>448897</v>
      </c>
    </row>
    <row r="254" spans="2:16" x14ac:dyDescent="0.3">
      <c r="B254" s="38">
        <v>43717</v>
      </c>
      <c r="C254" s="3">
        <v>7818242</v>
      </c>
      <c r="D254" s="3">
        <v>5863681</v>
      </c>
      <c r="E254" s="3">
        <v>2388907</v>
      </c>
      <c r="F254" s="3">
        <v>5646508</v>
      </c>
      <c r="G254" s="25">
        <f t="shared" si="40"/>
        <v>21717338</v>
      </c>
      <c r="H254" s="39">
        <f t="shared" si="42"/>
        <v>-390912</v>
      </c>
      <c r="I254" s="26">
        <f t="shared" si="43"/>
        <v>-293185</v>
      </c>
      <c r="J254" s="26">
        <f t="shared" si="44"/>
        <v>-119445</v>
      </c>
      <c r="K254" s="40">
        <f t="shared" si="45"/>
        <v>-282325</v>
      </c>
      <c r="L254" s="39">
        <f t="shared" si="41"/>
        <v>0</v>
      </c>
      <c r="M254" s="26">
        <f t="shared" si="47"/>
        <v>0</v>
      </c>
      <c r="N254" s="26">
        <f t="shared" si="48"/>
        <v>0</v>
      </c>
      <c r="O254" s="40">
        <f t="shared" si="49"/>
        <v>0</v>
      </c>
      <c r="P254">
        <f t="shared" si="46"/>
        <v>-1085867</v>
      </c>
    </row>
    <row r="255" spans="2:16" x14ac:dyDescent="0.3">
      <c r="B255" s="38">
        <v>43718</v>
      </c>
      <c r="C255" s="3">
        <v>8052789</v>
      </c>
      <c r="D255" s="3">
        <v>6039592</v>
      </c>
      <c r="E255" s="3">
        <v>2460574</v>
      </c>
      <c r="F255" s="3">
        <v>5815903</v>
      </c>
      <c r="G255" s="25">
        <f t="shared" si="40"/>
        <v>22368858</v>
      </c>
      <c r="H255" s="39">
        <f t="shared" si="42"/>
        <v>-78183</v>
      </c>
      <c r="I255" s="26">
        <f t="shared" si="43"/>
        <v>-58637</v>
      </c>
      <c r="J255" s="26">
        <f t="shared" si="44"/>
        <v>-23889</v>
      </c>
      <c r="K255" s="40">
        <f t="shared" si="45"/>
        <v>-56465</v>
      </c>
      <c r="L255" s="39">
        <f t="shared" si="41"/>
        <v>0</v>
      </c>
      <c r="M255" s="26">
        <f t="shared" si="47"/>
        <v>0</v>
      </c>
      <c r="N255" s="26">
        <f t="shared" si="48"/>
        <v>0</v>
      </c>
      <c r="O255" s="40">
        <f t="shared" si="49"/>
        <v>0</v>
      </c>
      <c r="P255">
        <f t="shared" si="46"/>
        <v>-217174</v>
      </c>
    </row>
    <row r="256" spans="2:16" x14ac:dyDescent="0.3">
      <c r="B256" s="38">
        <v>43719</v>
      </c>
      <c r="C256" s="3">
        <v>7583695</v>
      </c>
      <c r="D256" s="3">
        <v>5687771</v>
      </c>
      <c r="E256" s="3">
        <v>2317240</v>
      </c>
      <c r="F256" s="3">
        <v>5477113</v>
      </c>
      <c r="G256" s="25">
        <f t="shared" si="40"/>
        <v>21065819</v>
      </c>
      <c r="H256" s="39">
        <f t="shared" si="42"/>
        <v>-469094</v>
      </c>
      <c r="I256" s="26">
        <f t="shared" si="43"/>
        <v>-351821</v>
      </c>
      <c r="J256" s="26">
        <f t="shared" si="44"/>
        <v>-143334</v>
      </c>
      <c r="K256" s="40">
        <f t="shared" si="45"/>
        <v>-338790</v>
      </c>
      <c r="L256" s="39">
        <f t="shared" si="41"/>
        <v>0</v>
      </c>
      <c r="M256" s="26">
        <f t="shared" si="47"/>
        <v>0</v>
      </c>
      <c r="N256" s="26">
        <f t="shared" si="48"/>
        <v>0</v>
      </c>
      <c r="O256" s="40">
        <f t="shared" si="49"/>
        <v>0</v>
      </c>
      <c r="P256">
        <f t="shared" si="46"/>
        <v>-1303039</v>
      </c>
    </row>
    <row r="257" spans="2:16" x14ac:dyDescent="0.3">
      <c r="B257" s="38">
        <v>43720</v>
      </c>
      <c r="C257" s="3">
        <v>7505512</v>
      </c>
      <c r="D257" s="3">
        <v>5629134</v>
      </c>
      <c r="E257" s="3">
        <v>2293351</v>
      </c>
      <c r="F257" s="3">
        <v>5420648</v>
      </c>
      <c r="G257" s="25">
        <f t="shared" si="40"/>
        <v>20848645</v>
      </c>
      <c r="H257" s="39">
        <f t="shared" si="42"/>
        <v>0</v>
      </c>
      <c r="I257" s="26">
        <f t="shared" si="43"/>
        <v>0</v>
      </c>
      <c r="J257" s="26">
        <f t="shared" si="44"/>
        <v>0</v>
      </c>
      <c r="K257" s="40">
        <f t="shared" si="45"/>
        <v>0</v>
      </c>
      <c r="L257" s="39">
        <f t="shared" si="41"/>
        <v>78182</v>
      </c>
      <c r="M257" s="26">
        <f t="shared" si="47"/>
        <v>58637</v>
      </c>
      <c r="N257" s="26">
        <f t="shared" si="48"/>
        <v>23889</v>
      </c>
      <c r="O257" s="40">
        <f t="shared" si="49"/>
        <v>56465</v>
      </c>
      <c r="P257">
        <f t="shared" si="46"/>
        <v>217173</v>
      </c>
    </row>
    <row r="258" spans="2:16" x14ac:dyDescent="0.3">
      <c r="B258" s="38">
        <v>43721</v>
      </c>
      <c r="C258" s="3">
        <v>8209154</v>
      </c>
      <c r="D258" s="3">
        <v>6156866</v>
      </c>
      <c r="E258" s="3">
        <v>2508352</v>
      </c>
      <c r="F258" s="3">
        <v>5928833</v>
      </c>
      <c r="G258" s="25">
        <f t="shared" si="40"/>
        <v>22803205</v>
      </c>
      <c r="H258" s="39">
        <f t="shared" si="42"/>
        <v>0</v>
      </c>
      <c r="I258" s="26">
        <f t="shared" si="43"/>
        <v>0</v>
      </c>
      <c r="J258" s="26">
        <f t="shared" si="44"/>
        <v>0</v>
      </c>
      <c r="K258" s="40">
        <f t="shared" si="45"/>
        <v>0</v>
      </c>
      <c r="L258" s="39">
        <f t="shared" si="41"/>
        <v>703642</v>
      </c>
      <c r="M258" s="26">
        <f t="shared" si="47"/>
        <v>527732</v>
      </c>
      <c r="N258" s="26">
        <f t="shared" si="48"/>
        <v>215001</v>
      </c>
      <c r="O258" s="40">
        <f t="shared" si="49"/>
        <v>508185</v>
      </c>
      <c r="P258">
        <f t="shared" si="46"/>
        <v>1954560</v>
      </c>
    </row>
    <row r="259" spans="2:16" x14ac:dyDescent="0.3">
      <c r="B259" s="38">
        <v>43722</v>
      </c>
      <c r="C259" s="3">
        <v>15998707</v>
      </c>
      <c r="D259" s="3">
        <v>11999030</v>
      </c>
      <c r="E259" s="3">
        <v>4888493</v>
      </c>
      <c r="F259" s="3">
        <v>11554621</v>
      </c>
      <c r="G259" s="25">
        <f t="shared" ref="G259:G322" si="50">SUM(C259:F259)</f>
        <v>44440851</v>
      </c>
      <c r="H259" s="39">
        <f t="shared" si="42"/>
        <v>-808015</v>
      </c>
      <c r="I259" s="26">
        <f t="shared" si="43"/>
        <v>-606012</v>
      </c>
      <c r="J259" s="26">
        <f t="shared" si="44"/>
        <v>-246894</v>
      </c>
      <c r="K259" s="40">
        <f t="shared" si="45"/>
        <v>-583567</v>
      </c>
      <c r="L259" s="39">
        <f t="shared" si="41"/>
        <v>0</v>
      </c>
      <c r="M259" s="26">
        <f t="shared" si="47"/>
        <v>0</v>
      </c>
      <c r="N259" s="26">
        <f t="shared" si="48"/>
        <v>0</v>
      </c>
      <c r="O259" s="40">
        <f t="shared" si="49"/>
        <v>0</v>
      </c>
      <c r="P259">
        <f t="shared" si="46"/>
        <v>-2244488</v>
      </c>
    </row>
    <row r="260" spans="2:16" x14ac:dyDescent="0.3">
      <c r="B260" s="38">
        <v>43723</v>
      </c>
      <c r="C260" s="3">
        <v>16645119</v>
      </c>
      <c r="D260" s="3">
        <v>12483839</v>
      </c>
      <c r="E260" s="3">
        <v>5086008</v>
      </c>
      <c r="F260" s="3">
        <v>12021475</v>
      </c>
      <c r="G260" s="25">
        <f t="shared" si="50"/>
        <v>46236441</v>
      </c>
      <c r="H260" s="39">
        <f t="shared" si="42"/>
        <v>0</v>
      </c>
      <c r="I260" s="26">
        <f t="shared" si="43"/>
        <v>0</v>
      </c>
      <c r="J260" s="26">
        <f t="shared" si="44"/>
        <v>0</v>
      </c>
      <c r="K260" s="40">
        <f t="shared" si="45"/>
        <v>0</v>
      </c>
      <c r="L260" s="39">
        <f t="shared" si="41"/>
        <v>1131222</v>
      </c>
      <c r="M260" s="26">
        <f t="shared" si="47"/>
        <v>848416</v>
      </c>
      <c r="N260" s="26">
        <f t="shared" si="48"/>
        <v>345651</v>
      </c>
      <c r="O260" s="40">
        <f t="shared" si="49"/>
        <v>816994</v>
      </c>
      <c r="P260">
        <f t="shared" si="46"/>
        <v>3142283</v>
      </c>
    </row>
    <row r="261" spans="2:16" x14ac:dyDescent="0.3">
      <c r="B261" s="38">
        <v>43724</v>
      </c>
      <c r="C261" s="3">
        <v>7427330</v>
      </c>
      <c r="D261" s="3">
        <v>5570497</v>
      </c>
      <c r="E261" s="3">
        <v>2269462</v>
      </c>
      <c r="F261" s="3">
        <v>5364183</v>
      </c>
      <c r="G261" s="25">
        <f t="shared" si="50"/>
        <v>20631472</v>
      </c>
      <c r="H261" s="39">
        <f t="shared" si="42"/>
        <v>-390912</v>
      </c>
      <c r="I261" s="26">
        <f t="shared" si="43"/>
        <v>-293184</v>
      </c>
      <c r="J261" s="26">
        <f t="shared" si="44"/>
        <v>-119445</v>
      </c>
      <c r="K261" s="40">
        <f t="shared" si="45"/>
        <v>-282325</v>
      </c>
      <c r="L261" s="39">
        <f t="shared" si="41"/>
        <v>0</v>
      </c>
      <c r="M261" s="26">
        <f t="shared" si="47"/>
        <v>0</v>
      </c>
      <c r="N261" s="26">
        <f t="shared" si="48"/>
        <v>0</v>
      </c>
      <c r="O261" s="40">
        <f t="shared" si="49"/>
        <v>0</v>
      </c>
      <c r="P261">
        <f t="shared" si="46"/>
        <v>-1085866</v>
      </c>
    </row>
    <row r="262" spans="2:16" x14ac:dyDescent="0.3">
      <c r="B262" s="38">
        <v>43725</v>
      </c>
      <c r="C262" s="3">
        <v>8052789</v>
      </c>
      <c r="D262" s="3">
        <v>6039592</v>
      </c>
      <c r="E262" s="3">
        <v>2460574</v>
      </c>
      <c r="F262" s="3">
        <v>5815903</v>
      </c>
      <c r="G262" s="25">
        <f t="shared" si="50"/>
        <v>22368858</v>
      </c>
      <c r="H262" s="39">
        <f t="shared" si="42"/>
        <v>0</v>
      </c>
      <c r="I262" s="26">
        <f t="shared" si="43"/>
        <v>0</v>
      </c>
      <c r="J262" s="26">
        <f t="shared" si="44"/>
        <v>0</v>
      </c>
      <c r="K262" s="40">
        <f t="shared" si="45"/>
        <v>0</v>
      </c>
      <c r="L262" s="39">
        <f t="shared" si="41"/>
        <v>0</v>
      </c>
      <c r="M262" s="26">
        <f t="shared" si="47"/>
        <v>0</v>
      </c>
      <c r="N262" s="26">
        <f t="shared" si="48"/>
        <v>0</v>
      </c>
      <c r="O262" s="40">
        <f t="shared" si="49"/>
        <v>0</v>
      </c>
      <c r="P262">
        <f t="shared" si="46"/>
        <v>0</v>
      </c>
    </row>
    <row r="263" spans="2:16" x14ac:dyDescent="0.3">
      <c r="B263" s="38">
        <v>43726</v>
      </c>
      <c r="C263" s="3">
        <v>7740060</v>
      </c>
      <c r="D263" s="3">
        <v>5805045</v>
      </c>
      <c r="E263" s="3">
        <v>2365018</v>
      </c>
      <c r="F263" s="3">
        <v>5590043</v>
      </c>
      <c r="G263" s="25">
        <f t="shared" si="50"/>
        <v>21500166</v>
      </c>
      <c r="H263" s="39">
        <f t="shared" si="42"/>
        <v>0</v>
      </c>
      <c r="I263" s="26">
        <f t="shared" si="43"/>
        <v>0</v>
      </c>
      <c r="J263" s="26">
        <f t="shared" si="44"/>
        <v>0</v>
      </c>
      <c r="K263" s="40">
        <f t="shared" si="45"/>
        <v>0</v>
      </c>
      <c r="L263" s="39">
        <f t="shared" si="41"/>
        <v>156365</v>
      </c>
      <c r="M263" s="26">
        <f t="shared" si="47"/>
        <v>117274</v>
      </c>
      <c r="N263" s="26">
        <f t="shared" si="48"/>
        <v>47778</v>
      </c>
      <c r="O263" s="40">
        <f t="shared" si="49"/>
        <v>112930</v>
      </c>
      <c r="P263">
        <f t="shared" si="46"/>
        <v>434347</v>
      </c>
    </row>
    <row r="264" spans="2:16" x14ac:dyDescent="0.3">
      <c r="B264" s="38">
        <v>43727</v>
      </c>
      <c r="C264" s="3">
        <v>7661877</v>
      </c>
      <c r="D264" s="3">
        <v>5746408</v>
      </c>
      <c r="E264" s="3">
        <v>2341129</v>
      </c>
      <c r="F264" s="3">
        <v>5533578</v>
      </c>
      <c r="G264" s="25">
        <f t="shared" si="50"/>
        <v>21282992</v>
      </c>
      <c r="H264" s="39">
        <f t="shared" si="42"/>
        <v>0</v>
      </c>
      <c r="I264" s="26">
        <f t="shared" si="43"/>
        <v>0</v>
      </c>
      <c r="J264" s="26">
        <f t="shared" si="44"/>
        <v>0</v>
      </c>
      <c r="K264" s="40">
        <f t="shared" si="45"/>
        <v>0</v>
      </c>
      <c r="L264" s="39">
        <f t="shared" si="41"/>
        <v>156365</v>
      </c>
      <c r="M264" s="26">
        <f t="shared" si="47"/>
        <v>117274</v>
      </c>
      <c r="N264" s="26">
        <f t="shared" si="48"/>
        <v>47778</v>
      </c>
      <c r="O264" s="40">
        <f t="shared" si="49"/>
        <v>112930</v>
      </c>
      <c r="P264">
        <f t="shared" si="46"/>
        <v>434347</v>
      </c>
    </row>
    <row r="265" spans="2:16" x14ac:dyDescent="0.3">
      <c r="B265" s="38">
        <v>43728</v>
      </c>
      <c r="C265" s="3">
        <v>7661877</v>
      </c>
      <c r="D265" s="3">
        <v>5746408</v>
      </c>
      <c r="E265" s="3">
        <v>2341129</v>
      </c>
      <c r="F265" s="3">
        <v>5533578</v>
      </c>
      <c r="G265" s="25">
        <f t="shared" si="50"/>
        <v>21282992</v>
      </c>
      <c r="H265" s="39">
        <f t="shared" si="42"/>
        <v>-547277</v>
      </c>
      <c r="I265" s="26">
        <f t="shared" si="43"/>
        <v>-410458</v>
      </c>
      <c r="J265" s="26">
        <f t="shared" si="44"/>
        <v>-167223</v>
      </c>
      <c r="K265" s="40">
        <f t="shared" si="45"/>
        <v>-395255</v>
      </c>
      <c r="L265" s="39">
        <f t="shared" si="41"/>
        <v>0</v>
      </c>
      <c r="M265" s="26">
        <f t="shared" si="47"/>
        <v>0</v>
      </c>
      <c r="N265" s="26">
        <f t="shared" si="48"/>
        <v>0</v>
      </c>
      <c r="O265" s="40">
        <f t="shared" si="49"/>
        <v>0</v>
      </c>
      <c r="P265">
        <f t="shared" si="46"/>
        <v>-1520213</v>
      </c>
    </row>
    <row r="266" spans="2:16" x14ac:dyDescent="0.3">
      <c r="B266" s="38">
        <v>43729</v>
      </c>
      <c r="C266" s="3">
        <v>15837104</v>
      </c>
      <c r="D266" s="3">
        <v>11877828</v>
      </c>
      <c r="E266" s="3">
        <v>4839115</v>
      </c>
      <c r="F266" s="3">
        <v>11437908</v>
      </c>
      <c r="G266" s="25">
        <f t="shared" si="50"/>
        <v>43991955</v>
      </c>
      <c r="H266" s="39">
        <f t="shared" si="42"/>
        <v>-161603</v>
      </c>
      <c r="I266" s="26">
        <f t="shared" si="43"/>
        <v>-121202</v>
      </c>
      <c r="J266" s="26">
        <f t="shared" si="44"/>
        <v>-49378</v>
      </c>
      <c r="K266" s="40">
        <f t="shared" si="45"/>
        <v>-116713</v>
      </c>
      <c r="L266" s="39">
        <f t="shared" ref="L266:L329" si="51">IF(C266&gt;C259,C266-C259,0)</f>
        <v>0</v>
      </c>
      <c r="M266" s="26">
        <f t="shared" si="47"/>
        <v>0</v>
      </c>
      <c r="N266" s="26">
        <f t="shared" si="48"/>
        <v>0</v>
      </c>
      <c r="O266" s="40">
        <f t="shared" si="49"/>
        <v>0</v>
      </c>
      <c r="P266">
        <f t="shared" si="46"/>
        <v>-448896</v>
      </c>
    </row>
    <row r="267" spans="2:16" x14ac:dyDescent="0.3">
      <c r="B267" s="38">
        <v>43730</v>
      </c>
      <c r="C267" s="3">
        <v>16483516</v>
      </c>
      <c r="D267" s="3">
        <v>12362637</v>
      </c>
      <c r="E267" s="3">
        <v>5036630</v>
      </c>
      <c r="F267" s="3">
        <v>11904761</v>
      </c>
      <c r="G267" s="25">
        <f t="shared" si="50"/>
        <v>45787544</v>
      </c>
      <c r="H267" s="39">
        <f t="shared" ref="H267:H330" si="52">IF(C267&lt;C260,C267-C260,0)</f>
        <v>-161603</v>
      </c>
      <c r="I267" s="26">
        <f t="shared" ref="I267:I330" si="53">IF(D267&lt;D260,D267-D260,0)</f>
        <v>-121202</v>
      </c>
      <c r="J267" s="26">
        <f t="shared" ref="J267:J330" si="54">IF(E267&lt;E260,E267-E260,0)</f>
        <v>-49378</v>
      </c>
      <c r="K267" s="40">
        <f t="shared" ref="K267:K330" si="55">IF(F267&lt;F260,F267-F260,0)</f>
        <v>-116714</v>
      </c>
      <c r="L267" s="39">
        <f t="shared" si="51"/>
        <v>0</v>
      </c>
      <c r="M267" s="26">
        <f t="shared" si="47"/>
        <v>0</v>
      </c>
      <c r="N267" s="26">
        <f t="shared" si="48"/>
        <v>0</v>
      </c>
      <c r="O267" s="40">
        <f t="shared" si="49"/>
        <v>0</v>
      </c>
      <c r="P267">
        <f t="shared" ref="P267:P330" si="56">G267-G260</f>
        <v>-448897</v>
      </c>
    </row>
    <row r="268" spans="2:16" x14ac:dyDescent="0.3">
      <c r="B268" s="38">
        <v>43731</v>
      </c>
      <c r="C268" s="3">
        <v>7505512</v>
      </c>
      <c r="D268" s="3">
        <v>5629134</v>
      </c>
      <c r="E268" s="3">
        <v>2293351</v>
      </c>
      <c r="F268" s="3">
        <v>5420648</v>
      </c>
      <c r="G268" s="25">
        <f t="shared" si="50"/>
        <v>20848645</v>
      </c>
      <c r="H268" s="39">
        <f t="shared" si="52"/>
        <v>0</v>
      </c>
      <c r="I268" s="26">
        <f t="shared" si="53"/>
        <v>0</v>
      </c>
      <c r="J268" s="26">
        <f t="shared" si="54"/>
        <v>0</v>
      </c>
      <c r="K268" s="40">
        <f t="shared" si="55"/>
        <v>0</v>
      </c>
      <c r="L268" s="39">
        <f t="shared" si="51"/>
        <v>78182</v>
      </c>
      <c r="M268" s="26">
        <f t="shared" si="47"/>
        <v>58637</v>
      </c>
      <c r="N268" s="26">
        <f t="shared" si="48"/>
        <v>23889</v>
      </c>
      <c r="O268" s="40">
        <f t="shared" si="49"/>
        <v>56465</v>
      </c>
      <c r="P268">
        <f t="shared" si="56"/>
        <v>217173</v>
      </c>
    </row>
    <row r="269" spans="2:16" x14ac:dyDescent="0.3">
      <c r="B269" s="38">
        <v>43732</v>
      </c>
      <c r="C269" s="3">
        <v>7896424</v>
      </c>
      <c r="D269" s="3">
        <v>5922318</v>
      </c>
      <c r="E269" s="3">
        <v>2412796</v>
      </c>
      <c r="F269" s="3">
        <v>5702973</v>
      </c>
      <c r="G269" s="25">
        <f t="shared" si="50"/>
        <v>21934511</v>
      </c>
      <c r="H269" s="39">
        <f t="shared" si="52"/>
        <v>-156365</v>
      </c>
      <c r="I269" s="26">
        <f t="shared" si="53"/>
        <v>-117274</v>
      </c>
      <c r="J269" s="26">
        <f t="shared" si="54"/>
        <v>-47778</v>
      </c>
      <c r="K269" s="40">
        <f t="shared" si="55"/>
        <v>-112930</v>
      </c>
      <c r="L269" s="39">
        <f t="shared" si="51"/>
        <v>0</v>
      </c>
      <c r="M269" s="26">
        <f t="shared" si="47"/>
        <v>0</v>
      </c>
      <c r="N269" s="26">
        <f t="shared" si="48"/>
        <v>0</v>
      </c>
      <c r="O269" s="40">
        <f t="shared" si="49"/>
        <v>0</v>
      </c>
      <c r="P269">
        <f t="shared" si="56"/>
        <v>-434347</v>
      </c>
    </row>
    <row r="270" spans="2:16" x14ac:dyDescent="0.3">
      <c r="B270" s="38">
        <v>43733</v>
      </c>
      <c r="C270" s="3">
        <v>7661877</v>
      </c>
      <c r="D270" s="3">
        <v>5746408</v>
      </c>
      <c r="E270" s="3">
        <v>2341129</v>
      </c>
      <c r="F270" s="3">
        <v>5533578</v>
      </c>
      <c r="G270" s="25">
        <f t="shared" si="50"/>
        <v>21282992</v>
      </c>
      <c r="H270" s="39">
        <f t="shared" si="52"/>
        <v>-78183</v>
      </c>
      <c r="I270" s="26">
        <f t="shared" si="53"/>
        <v>-58637</v>
      </c>
      <c r="J270" s="26">
        <f t="shared" si="54"/>
        <v>-23889</v>
      </c>
      <c r="K270" s="40">
        <f t="shared" si="55"/>
        <v>-56465</v>
      </c>
      <c r="L270" s="39">
        <f t="shared" si="51"/>
        <v>0</v>
      </c>
      <c r="M270" s="26">
        <f t="shared" si="47"/>
        <v>0</v>
      </c>
      <c r="N270" s="26">
        <f t="shared" si="48"/>
        <v>0</v>
      </c>
      <c r="O270" s="40">
        <f t="shared" si="49"/>
        <v>0</v>
      </c>
      <c r="P270">
        <f t="shared" si="56"/>
        <v>-217174</v>
      </c>
    </row>
    <row r="271" spans="2:16" x14ac:dyDescent="0.3">
      <c r="B271" s="38">
        <v>43734</v>
      </c>
      <c r="C271" s="3">
        <v>8052789</v>
      </c>
      <c r="D271" s="3">
        <v>6039592</v>
      </c>
      <c r="E271" s="3">
        <v>2460574</v>
      </c>
      <c r="F271" s="3">
        <v>5815903</v>
      </c>
      <c r="G271" s="25">
        <f t="shared" si="50"/>
        <v>22368858</v>
      </c>
      <c r="H271" s="39">
        <f t="shared" si="52"/>
        <v>0</v>
      </c>
      <c r="I271" s="26">
        <f t="shared" si="53"/>
        <v>0</v>
      </c>
      <c r="J271" s="26">
        <f t="shared" si="54"/>
        <v>0</v>
      </c>
      <c r="K271" s="40">
        <f t="shared" si="55"/>
        <v>0</v>
      </c>
      <c r="L271" s="39">
        <f t="shared" si="51"/>
        <v>390912</v>
      </c>
      <c r="M271" s="26">
        <f t="shared" si="47"/>
        <v>293184</v>
      </c>
      <c r="N271" s="26">
        <f t="shared" si="48"/>
        <v>119445</v>
      </c>
      <c r="O271" s="40">
        <f t="shared" si="49"/>
        <v>282325</v>
      </c>
      <c r="P271">
        <f t="shared" si="56"/>
        <v>1085866</v>
      </c>
    </row>
    <row r="272" spans="2:16" x14ac:dyDescent="0.3">
      <c r="B272" s="38">
        <v>43735</v>
      </c>
      <c r="C272" s="3">
        <v>7505512</v>
      </c>
      <c r="D272" s="3">
        <v>5629134</v>
      </c>
      <c r="E272" s="3">
        <v>2293351</v>
      </c>
      <c r="F272" s="3">
        <v>5420648</v>
      </c>
      <c r="G272" s="25">
        <f t="shared" si="50"/>
        <v>20848645</v>
      </c>
      <c r="H272" s="39">
        <f t="shared" si="52"/>
        <v>-156365</v>
      </c>
      <c r="I272" s="26">
        <f t="shared" si="53"/>
        <v>-117274</v>
      </c>
      <c r="J272" s="26">
        <f t="shared" si="54"/>
        <v>-47778</v>
      </c>
      <c r="K272" s="40">
        <f t="shared" si="55"/>
        <v>-112930</v>
      </c>
      <c r="L272" s="39">
        <f t="shared" si="51"/>
        <v>0</v>
      </c>
      <c r="M272" s="26">
        <f t="shared" si="47"/>
        <v>0</v>
      </c>
      <c r="N272" s="26">
        <f t="shared" si="48"/>
        <v>0</v>
      </c>
      <c r="O272" s="40">
        <f t="shared" si="49"/>
        <v>0</v>
      </c>
      <c r="P272">
        <f t="shared" si="56"/>
        <v>-434347</v>
      </c>
    </row>
    <row r="273" spans="2:16" x14ac:dyDescent="0.3">
      <c r="B273" s="38">
        <v>43736</v>
      </c>
      <c r="C273" s="3">
        <v>15837104</v>
      </c>
      <c r="D273" s="3">
        <v>11877828</v>
      </c>
      <c r="E273" s="3">
        <v>4839115</v>
      </c>
      <c r="F273" s="3">
        <v>11437908</v>
      </c>
      <c r="G273" s="25">
        <f t="shared" si="50"/>
        <v>43991955</v>
      </c>
      <c r="H273" s="39">
        <f t="shared" si="52"/>
        <v>0</v>
      </c>
      <c r="I273" s="26">
        <f t="shared" si="53"/>
        <v>0</v>
      </c>
      <c r="J273" s="26">
        <f t="shared" si="54"/>
        <v>0</v>
      </c>
      <c r="K273" s="40">
        <f t="shared" si="55"/>
        <v>0</v>
      </c>
      <c r="L273" s="39">
        <f t="shared" si="51"/>
        <v>0</v>
      </c>
      <c r="M273" s="26">
        <f t="shared" si="47"/>
        <v>0</v>
      </c>
      <c r="N273" s="26">
        <f t="shared" si="48"/>
        <v>0</v>
      </c>
      <c r="O273" s="40">
        <f t="shared" si="49"/>
        <v>0</v>
      </c>
      <c r="P273">
        <f t="shared" si="56"/>
        <v>0</v>
      </c>
    </row>
    <row r="274" spans="2:16" x14ac:dyDescent="0.3">
      <c r="B274" s="38">
        <v>43737</v>
      </c>
      <c r="C274" s="3">
        <v>15352294</v>
      </c>
      <c r="D274" s="3">
        <v>11514221</v>
      </c>
      <c r="E274" s="3">
        <v>4690978</v>
      </c>
      <c r="F274" s="3">
        <v>11087768</v>
      </c>
      <c r="G274" s="25">
        <f t="shared" si="50"/>
        <v>42645261</v>
      </c>
      <c r="H274" s="39">
        <f t="shared" si="52"/>
        <v>-1131222</v>
      </c>
      <c r="I274" s="26">
        <f t="shared" si="53"/>
        <v>-848416</v>
      </c>
      <c r="J274" s="26">
        <f t="shared" si="54"/>
        <v>-345652</v>
      </c>
      <c r="K274" s="40">
        <f t="shared" si="55"/>
        <v>-816993</v>
      </c>
      <c r="L274" s="39">
        <f t="shared" si="51"/>
        <v>0</v>
      </c>
      <c r="M274" s="26">
        <f t="shared" si="47"/>
        <v>0</v>
      </c>
      <c r="N274" s="26">
        <f t="shared" si="48"/>
        <v>0</v>
      </c>
      <c r="O274" s="40">
        <f t="shared" si="49"/>
        <v>0</v>
      </c>
      <c r="P274">
        <f t="shared" si="56"/>
        <v>-3142283</v>
      </c>
    </row>
    <row r="275" spans="2:16" x14ac:dyDescent="0.3">
      <c r="B275" s="38">
        <v>43738</v>
      </c>
      <c r="C275" s="3">
        <v>7818242</v>
      </c>
      <c r="D275" s="3">
        <v>5863681</v>
      </c>
      <c r="E275" s="3">
        <v>2388907</v>
      </c>
      <c r="F275" s="3">
        <v>5646508</v>
      </c>
      <c r="G275" s="25">
        <f t="shared" si="50"/>
        <v>21717338</v>
      </c>
      <c r="H275" s="39">
        <f t="shared" si="52"/>
        <v>0</v>
      </c>
      <c r="I275" s="26">
        <f t="shared" si="53"/>
        <v>0</v>
      </c>
      <c r="J275" s="26">
        <f t="shared" si="54"/>
        <v>0</v>
      </c>
      <c r="K275" s="40">
        <f t="shared" si="55"/>
        <v>0</v>
      </c>
      <c r="L275" s="39">
        <f t="shared" si="51"/>
        <v>312730</v>
      </c>
      <c r="M275" s="26">
        <f t="shared" si="47"/>
        <v>234547</v>
      </c>
      <c r="N275" s="26">
        <f t="shared" si="48"/>
        <v>95556</v>
      </c>
      <c r="O275" s="40">
        <f t="shared" si="49"/>
        <v>225860</v>
      </c>
      <c r="P275">
        <f t="shared" si="56"/>
        <v>868693</v>
      </c>
    </row>
    <row r="276" spans="2:16" x14ac:dyDescent="0.3">
      <c r="B276" s="38">
        <v>43739</v>
      </c>
      <c r="C276" s="3">
        <v>7896424</v>
      </c>
      <c r="D276" s="3">
        <v>5922318</v>
      </c>
      <c r="E276" s="3">
        <v>2412796</v>
      </c>
      <c r="F276" s="3">
        <v>5702973</v>
      </c>
      <c r="G276" s="25">
        <f t="shared" si="50"/>
        <v>21934511</v>
      </c>
      <c r="H276" s="39">
        <f t="shared" si="52"/>
        <v>0</v>
      </c>
      <c r="I276" s="26">
        <f t="shared" si="53"/>
        <v>0</v>
      </c>
      <c r="J276" s="26">
        <f t="shared" si="54"/>
        <v>0</v>
      </c>
      <c r="K276" s="40">
        <f t="shared" si="55"/>
        <v>0</v>
      </c>
      <c r="L276" s="39">
        <f t="shared" si="51"/>
        <v>0</v>
      </c>
      <c r="M276" s="26">
        <f t="shared" si="47"/>
        <v>0</v>
      </c>
      <c r="N276" s="26">
        <f t="shared" si="48"/>
        <v>0</v>
      </c>
      <c r="O276" s="40">
        <f t="shared" si="49"/>
        <v>0</v>
      </c>
      <c r="P276">
        <f t="shared" si="56"/>
        <v>0</v>
      </c>
    </row>
    <row r="277" spans="2:16" x14ac:dyDescent="0.3">
      <c r="B277" s="38">
        <v>43740</v>
      </c>
      <c r="C277" s="3">
        <v>7740060</v>
      </c>
      <c r="D277" s="3">
        <v>5805045</v>
      </c>
      <c r="E277" s="3">
        <v>2365018</v>
      </c>
      <c r="F277" s="3">
        <v>5590043</v>
      </c>
      <c r="G277" s="25">
        <f t="shared" si="50"/>
        <v>21500166</v>
      </c>
      <c r="H277" s="39">
        <f t="shared" si="52"/>
        <v>0</v>
      </c>
      <c r="I277" s="26">
        <f t="shared" si="53"/>
        <v>0</v>
      </c>
      <c r="J277" s="26">
        <f t="shared" si="54"/>
        <v>0</v>
      </c>
      <c r="K277" s="40">
        <f t="shared" si="55"/>
        <v>0</v>
      </c>
      <c r="L277" s="39">
        <f t="shared" si="51"/>
        <v>78183</v>
      </c>
      <c r="M277" s="26">
        <f t="shared" si="47"/>
        <v>58637</v>
      </c>
      <c r="N277" s="26">
        <f t="shared" si="48"/>
        <v>23889</v>
      </c>
      <c r="O277" s="40">
        <f t="shared" si="49"/>
        <v>56465</v>
      </c>
      <c r="P277">
        <f t="shared" si="56"/>
        <v>217174</v>
      </c>
    </row>
    <row r="278" spans="2:16" x14ac:dyDescent="0.3">
      <c r="B278" s="38">
        <v>43741</v>
      </c>
      <c r="C278" s="3">
        <v>7661877</v>
      </c>
      <c r="D278" s="3">
        <v>5746408</v>
      </c>
      <c r="E278" s="3">
        <v>2341129</v>
      </c>
      <c r="F278" s="3">
        <v>5533578</v>
      </c>
      <c r="G278" s="25">
        <f t="shared" si="50"/>
        <v>21282992</v>
      </c>
      <c r="H278" s="39">
        <f t="shared" si="52"/>
        <v>-390912</v>
      </c>
      <c r="I278" s="26">
        <f t="shared" si="53"/>
        <v>-293184</v>
      </c>
      <c r="J278" s="26">
        <f t="shared" si="54"/>
        <v>-119445</v>
      </c>
      <c r="K278" s="40">
        <f t="shared" si="55"/>
        <v>-282325</v>
      </c>
      <c r="L278" s="39">
        <f t="shared" si="51"/>
        <v>0</v>
      </c>
      <c r="M278" s="26">
        <f t="shared" si="47"/>
        <v>0</v>
      </c>
      <c r="N278" s="26">
        <f t="shared" si="48"/>
        <v>0</v>
      </c>
      <c r="O278" s="40">
        <f t="shared" si="49"/>
        <v>0</v>
      </c>
      <c r="P278">
        <f t="shared" si="56"/>
        <v>-1085866</v>
      </c>
    </row>
    <row r="279" spans="2:16" x14ac:dyDescent="0.3">
      <c r="B279" s="38">
        <v>43742</v>
      </c>
      <c r="C279" s="3">
        <v>7583695</v>
      </c>
      <c r="D279" s="3">
        <v>5687771</v>
      </c>
      <c r="E279" s="3">
        <v>2317240</v>
      </c>
      <c r="F279" s="3">
        <v>5477113</v>
      </c>
      <c r="G279" s="25">
        <f t="shared" si="50"/>
        <v>21065819</v>
      </c>
      <c r="H279" s="39">
        <f t="shared" si="52"/>
        <v>0</v>
      </c>
      <c r="I279" s="26">
        <f t="shared" si="53"/>
        <v>0</v>
      </c>
      <c r="J279" s="26">
        <f t="shared" si="54"/>
        <v>0</v>
      </c>
      <c r="K279" s="40">
        <f t="shared" si="55"/>
        <v>0</v>
      </c>
      <c r="L279" s="39">
        <f t="shared" si="51"/>
        <v>78183</v>
      </c>
      <c r="M279" s="26">
        <f t="shared" si="47"/>
        <v>58637</v>
      </c>
      <c r="N279" s="26">
        <f t="shared" si="48"/>
        <v>23889</v>
      </c>
      <c r="O279" s="40">
        <f t="shared" si="49"/>
        <v>56465</v>
      </c>
      <c r="P279">
        <f t="shared" si="56"/>
        <v>217174</v>
      </c>
    </row>
    <row r="280" spans="2:16" x14ac:dyDescent="0.3">
      <c r="B280" s="38">
        <v>43743</v>
      </c>
      <c r="C280" s="3">
        <v>16645119</v>
      </c>
      <c r="D280" s="3">
        <v>12483839</v>
      </c>
      <c r="E280" s="3">
        <v>5086008</v>
      </c>
      <c r="F280" s="3">
        <v>12021475</v>
      </c>
      <c r="G280" s="25">
        <f t="shared" si="50"/>
        <v>46236441</v>
      </c>
      <c r="H280" s="39">
        <f t="shared" si="52"/>
        <v>0</v>
      </c>
      <c r="I280" s="26">
        <f t="shared" si="53"/>
        <v>0</v>
      </c>
      <c r="J280" s="26">
        <f t="shared" si="54"/>
        <v>0</v>
      </c>
      <c r="K280" s="40">
        <f t="shared" si="55"/>
        <v>0</v>
      </c>
      <c r="L280" s="39">
        <f t="shared" si="51"/>
        <v>808015</v>
      </c>
      <c r="M280" s="26">
        <f t="shared" si="47"/>
        <v>606011</v>
      </c>
      <c r="N280" s="26">
        <f t="shared" si="48"/>
        <v>246893</v>
      </c>
      <c r="O280" s="40">
        <f t="shared" si="49"/>
        <v>583567</v>
      </c>
      <c r="P280">
        <f t="shared" si="56"/>
        <v>2244486</v>
      </c>
    </row>
    <row r="281" spans="2:16" x14ac:dyDescent="0.3">
      <c r="B281" s="38">
        <v>43744</v>
      </c>
      <c r="C281" s="3">
        <v>15675500</v>
      </c>
      <c r="D281" s="3">
        <v>11756625</v>
      </c>
      <c r="E281" s="3">
        <v>4789736</v>
      </c>
      <c r="F281" s="3">
        <v>11321195</v>
      </c>
      <c r="G281" s="25">
        <f t="shared" si="50"/>
        <v>43543056</v>
      </c>
      <c r="H281" s="39">
        <f t="shared" si="52"/>
        <v>0</v>
      </c>
      <c r="I281" s="26">
        <f t="shared" si="53"/>
        <v>0</v>
      </c>
      <c r="J281" s="26">
        <f t="shared" si="54"/>
        <v>0</v>
      </c>
      <c r="K281" s="40">
        <f t="shared" si="55"/>
        <v>0</v>
      </c>
      <c r="L281" s="39">
        <f t="shared" si="51"/>
        <v>323206</v>
      </c>
      <c r="M281" s="26">
        <f t="shared" si="47"/>
        <v>242404</v>
      </c>
      <c r="N281" s="26">
        <f t="shared" si="48"/>
        <v>98758</v>
      </c>
      <c r="O281" s="40">
        <f t="shared" si="49"/>
        <v>233427</v>
      </c>
      <c r="P281">
        <f t="shared" si="56"/>
        <v>897795</v>
      </c>
    </row>
    <row r="282" spans="2:16" x14ac:dyDescent="0.3">
      <c r="B282" s="38">
        <v>43745</v>
      </c>
      <c r="C282" s="3">
        <v>7740060</v>
      </c>
      <c r="D282" s="3">
        <v>5805045</v>
      </c>
      <c r="E282" s="3">
        <v>2365018</v>
      </c>
      <c r="F282" s="3">
        <v>5590043</v>
      </c>
      <c r="G282" s="25">
        <f t="shared" si="50"/>
        <v>21500166</v>
      </c>
      <c r="H282" s="39">
        <f t="shared" si="52"/>
        <v>-78182</v>
      </c>
      <c r="I282" s="26">
        <f t="shared" si="53"/>
        <v>-58636</v>
      </c>
      <c r="J282" s="26">
        <f t="shared" si="54"/>
        <v>-23889</v>
      </c>
      <c r="K282" s="40">
        <f t="shared" si="55"/>
        <v>-56465</v>
      </c>
      <c r="L282" s="39">
        <f t="shared" si="51"/>
        <v>0</v>
      </c>
      <c r="M282" s="26">
        <f t="shared" si="47"/>
        <v>0</v>
      </c>
      <c r="N282" s="26">
        <f t="shared" si="48"/>
        <v>0</v>
      </c>
      <c r="O282" s="40">
        <f t="shared" si="49"/>
        <v>0</v>
      </c>
      <c r="P282">
        <f t="shared" si="56"/>
        <v>-217172</v>
      </c>
    </row>
    <row r="283" spans="2:16" x14ac:dyDescent="0.3">
      <c r="B283" s="38">
        <v>43746</v>
      </c>
      <c r="C283" s="3">
        <v>8052789</v>
      </c>
      <c r="D283" s="3">
        <v>6039592</v>
      </c>
      <c r="E283" s="3">
        <v>2460574</v>
      </c>
      <c r="F283" s="3">
        <v>5815903</v>
      </c>
      <c r="G283" s="25">
        <f t="shared" si="50"/>
        <v>22368858</v>
      </c>
      <c r="H283" s="39">
        <f t="shared" si="52"/>
        <v>0</v>
      </c>
      <c r="I283" s="26">
        <f t="shared" si="53"/>
        <v>0</v>
      </c>
      <c r="J283" s="26">
        <f t="shared" si="54"/>
        <v>0</v>
      </c>
      <c r="K283" s="40">
        <f t="shared" si="55"/>
        <v>0</v>
      </c>
      <c r="L283" s="39">
        <f t="shared" si="51"/>
        <v>156365</v>
      </c>
      <c r="M283" s="26">
        <f t="shared" si="47"/>
        <v>117274</v>
      </c>
      <c r="N283" s="26">
        <f t="shared" si="48"/>
        <v>47778</v>
      </c>
      <c r="O283" s="40">
        <f t="shared" si="49"/>
        <v>112930</v>
      </c>
      <c r="P283">
        <f t="shared" si="56"/>
        <v>434347</v>
      </c>
    </row>
    <row r="284" spans="2:16" x14ac:dyDescent="0.3">
      <c r="B284" s="38">
        <v>43747</v>
      </c>
      <c r="C284" s="3">
        <v>7427330</v>
      </c>
      <c r="D284" s="3">
        <v>5570497</v>
      </c>
      <c r="E284" s="3">
        <v>2269462</v>
      </c>
      <c r="F284" s="3">
        <v>5364183</v>
      </c>
      <c r="G284" s="25">
        <f t="shared" si="50"/>
        <v>20631472</v>
      </c>
      <c r="H284" s="39">
        <f t="shared" si="52"/>
        <v>-312730</v>
      </c>
      <c r="I284" s="26">
        <f t="shared" si="53"/>
        <v>-234548</v>
      </c>
      <c r="J284" s="26">
        <f t="shared" si="54"/>
        <v>-95556</v>
      </c>
      <c r="K284" s="40">
        <f t="shared" si="55"/>
        <v>-225860</v>
      </c>
      <c r="L284" s="39">
        <f t="shared" si="51"/>
        <v>0</v>
      </c>
      <c r="M284" s="26">
        <f t="shared" si="47"/>
        <v>0</v>
      </c>
      <c r="N284" s="26">
        <f t="shared" si="48"/>
        <v>0</v>
      </c>
      <c r="O284" s="40">
        <f t="shared" si="49"/>
        <v>0</v>
      </c>
      <c r="P284">
        <f t="shared" si="56"/>
        <v>-868694</v>
      </c>
    </row>
    <row r="285" spans="2:16" x14ac:dyDescent="0.3">
      <c r="B285" s="38">
        <v>43748</v>
      </c>
      <c r="C285" s="3">
        <v>7661877</v>
      </c>
      <c r="D285" s="3">
        <v>5746408</v>
      </c>
      <c r="E285" s="3">
        <v>2341129</v>
      </c>
      <c r="F285" s="3">
        <v>5533578</v>
      </c>
      <c r="G285" s="25">
        <f t="shared" si="50"/>
        <v>21282992</v>
      </c>
      <c r="H285" s="39">
        <f t="shared" si="52"/>
        <v>0</v>
      </c>
      <c r="I285" s="26">
        <f t="shared" si="53"/>
        <v>0</v>
      </c>
      <c r="J285" s="26">
        <f t="shared" si="54"/>
        <v>0</v>
      </c>
      <c r="K285" s="40">
        <f t="shared" si="55"/>
        <v>0</v>
      </c>
      <c r="L285" s="39">
        <f t="shared" si="51"/>
        <v>0</v>
      </c>
      <c r="M285" s="26">
        <f t="shared" si="47"/>
        <v>0</v>
      </c>
      <c r="N285" s="26">
        <f t="shared" si="48"/>
        <v>0</v>
      </c>
      <c r="O285" s="40">
        <f t="shared" si="49"/>
        <v>0</v>
      </c>
      <c r="P285">
        <f t="shared" si="56"/>
        <v>0</v>
      </c>
    </row>
    <row r="286" spans="2:16" x14ac:dyDescent="0.3">
      <c r="B286" s="38">
        <v>43749</v>
      </c>
      <c r="C286" s="3">
        <v>7661877</v>
      </c>
      <c r="D286" s="3">
        <v>5746408</v>
      </c>
      <c r="E286" s="3">
        <v>2341129</v>
      </c>
      <c r="F286" s="3">
        <v>5533578</v>
      </c>
      <c r="G286" s="25">
        <f t="shared" si="50"/>
        <v>21282992</v>
      </c>
      <c r="H286" s="39">
        <f t="shared" si="52"/>
        <v>0</v>
      </c>
      <c r="I286" s="26">
        <f t="shared" si="53"/>
        <v>0</v>
      </c>
      <c r="J286" s="26">
        <f t="shared" si="54"/>
        <v>0</v>
      </c>
      <c r="K286" s="40">
        <f t="shared" si="55"/>
        <v>0</v>
      </c>
      <c r="L286" s="39">
        <f t="shared" si="51"/>
        <v>78182</v>
      </c>
      <c r="M286" s="26">
        <f t="shared" si="47"/>
        <v>58637</v>
      </c>
      <c r="N286" s="26">
        <f t="shared" si="48"/>
        <v>23889</v>
      </c>
      <c r="O286" s="40">
        <f t="shared" si="49"/>
        <v>56465</v>
      </c>
      <c r="P286">
        <f t="shared" si="56"/>
        <v>217173</v>
      </c>
    </row>
    <row r="287" spans="2:16" x14ac:dyDescent="0.3">
      <c r="B287" s="38">
        <v>43750</v>
      </c>
      <c r="C287" s="3">
        <v>16321913</v>
      </c>
      <c r="D287" s="3">
        <v>12241435</v>
      </c>
      <c r="E287" s="3">
        <v>4987251</v>
      </c>
      <c r="F287" s="3">
        <v>11788048</v>
      </c>
      <c r="G287" s="25">
        <f t="shared" si="50"/>
        <v>45338647</v>
      </c>
      <c r="H287" s="39">
        <f t="shared" si="52"/>
        <v>-323206</v>
      </c>
      <c r="I287" s="26">
        <f t="shared" si="53"/>
        <v>-242404</v>
      </c>
      <c r="J287" s="26">
        <f t="shared" si="54"/>
        <v>-98757</v>
      </c>
      <c r="K287" s="40">
        <f t="shared" si="55"/>
        <v>-233427</v>
      </c>
      <c r="L287" s="39">
        <f t="shared" si="51"/>
        <v>0</v>
      </c>
      <c r="M287" s="26">
        <f t="shared" ref="M287:M350" si="57">IF(D287&gt;D280,D287-D280,0)</f>
        <v>0</v>
      </c>
      <c r="N287" s="26">
        <f t="shared" ref="N287:N350" si="58">IF(E287&gt;E280,E287-E280,0)</f>
        <v>0</v>
      </c>
      <c r="O287" s="40">
        <f t="shared" ref="O287:O350" si="59">IF(F287&gt;F280,F287-F280,0)</f>
        <v>0</v>
      </c>
      <c r="P287">
        <f t="shared" si="56"/>
        <v>-897794</v>
      </c>
    </row>
    <row r="288" spans="2:16" x14ac:dyDescent="0.3">
      <c r="B288" s="38">
        <v>43751</v>
      </c>
      <c r="C288" s="3">
        <v>15675500</v>
      </c>
      <c r="D288" s="3">
        <v>11756625</v>
      </c>
      <c r="E288" s="3">
        <v>4789736</v>
      </c>
      <c r="F288" s="3">
        <v>11321195</v>
      </c>
      <c r="G288" s="25">
        <f t="shared" si="50"/>
        <v>43543056</v>
      </c>
      <c r="H288" s="39">
        <f t="shared" si="52"/>
        <v>0</v>
      </c>
      <c r="I288" s="26">
        <f t="shared" si="53"/>
        <v>0</v>
      </c>
      <c r="J288" s="26">
        <f t="shared" si="54"/>
        <v>0</v>
      </c>
      <c r="K288" s="40">
        <f t="shared" si="55"/>
        <v>0</v>
      </c>
      <c r="L288" s="39">
        <f t="shared" si="51"/>
        <v>0</v>
      </c>
      <c r="M288" s="26">
        <f t="shared" si="57"/>
        <v>0</v>
      </c>
      <c r="N288" s="26">
        <f t="shared" si="58"/>
        <v>0</v>
      </c>
      <c r="O288" s="40">
        <f t="shared" si="59"/>
        <v>0</v>
      </c>
      <c r="P288">
        <f t="shared" si="56"/>
        <v>0</v>
      </c>
    </row>
    <row r="289" spans="2:16" x14ac:dyDescent="0.3">
      <c r="B289" s="38">
        <v>43752</v>
      </c>
      <c r="C289" s="3">
        <v>7505512</v>
      </c>
      <c r="D289" s="3">
        <v>5629134</v>
      </c>
      <c r="E289" s="3">
        <v>2293351</v>
      </c>
      <c r="F289" s="3">
        <v>5420648</v>
      </c>
      <c r="G289" s="25">
        <f t="shared" si="50"/>
        <v>20848645</v>
      </c>
      <c r="H289" s="39">
        <f t="shared" si="52"/>
        <v>-234548</v>
      </c>
      <c r="I289" s="26">
        <f t="shared" si="53"/>
        <v>-175911</v>
      </c>
      <c r="J289" s="26">
        <f t="shared" si="54"/>
        <v>-71667</v>
      </c>
      <c r="K289" s="40">
        <f t="shared" si="55"/>
        <v>-169395</v>
      </c>
      <c r="L289" s="39">
        <f t="shared" si="51"/>
        <v>0</v>
      </c>
      <c r="M289" s="26">
        <f t="shared" si="57"/>
        <v>0</v>
      </c>
      <c r="N289" s="26">
        <f t="shared" si="58"/>
        <v>0</v>
      </c>
      <c r="O289" s="40">
        <f t="shared" si="59"/>
        <v>0</v>
      </c>
      <c r="P289">
        <f t="shared" si="56"/>
        <v>-651521</v>
      </c>
    </row>
    <row r="290" spans="2:16" x14ac:dyDescent="0.3">
      <c r="B290" s="38">
        <v>43753</v>
      </c>
      <c r="C290" s="3">
        <v>7896424</v>
      </c>
      <c r="D290" s="3">
        <v>5922318</v>
      </c>
      <c r="E290" s="3">
        <v>2412796</v>
      </c>
      <c r="F290" s="3">
        <v>5702973</v>
      </c>
      <c r="G290" s="25">
        <f t="shared" si="50"/>
        <v>21934511</v>
      </c>
      <c r="H290" s="39">
        <f t="shared" si="52"/>
        <v>-156365</v>
      </c>
      <c r="I290" s="26">
        <f t="shared" si="53"/>
        <v>-117274</v>
      </c>
      <c r="J290" s="26">
        <f t="shared" si="54"/>
        <v>-47778</v>
      </c>
      <c r="K290" s="40">
        <f t="shared" si="55"/>
        <v>-112930</v>
      </c>
      <c r="L290" s="39">
        <f t="shared" si="51"/>
        <v>0</v>
      </c>
      <c r="M290" s="26">
        <f t="shared" si="57"/>
        <v>0</v>
      </c>
      <c r="N290" s="26">
        <f t="shared" si="58"/>
        <v>0</v>
      </c>
      <c r="O290" s="40">
        <f t="shared" si="59"/>
        <v>0</v>
      </c>
      <c r="P290">
        <f t="shared" si="56"/>
        <v>-434347</v>
      </c>
    </row>
    <row r="291" spans="2:16" x14ac:dyDescent="0.3">
      <c r="B291" s="38">
        <v>43754</v>
      </c>
      <c r="C291" s="3">
        <v>7427330</v>
      </c>
      <c r="D291" s="3">
        <v>5570497</v>
      </c>
      <c r="E291" s="3">
        <v>2269462</v>
      </c>
      <c r="F291" s="3">
        <v>5364183</v>
      </c>
      <c r="G291" s="25">
        <f t="shared" si="50"/>
        <v>20631472</v>
      </c>
      <c r="H291" s="39">
        <f t="shared" si="52"/>
        <v>0</v>
      </c>
      <c r="I291" s="26">
        <f t="shared" si="53"/>
        <v>0</v>
      </c>
      <c r="J291" s="26">
        <f t="shared" si="54"/>
        <v>0</v>
      </c>
      <c r="K291" s="40">
        <f t="shared" si="55"/>
        <v>0</v>
      </c>
      <c r="L291" s="39">
        <f t="shared" si="51"/>
        <v>0</v>
      </c>
      <c r="M291" s="26">
        <f t="shared" si="57"/>
        <v>0</v>
      </c>
      <c r="N291" s="26">
        <f t="shared" si="58"/>
        <v>0</v>
      </c>
      <c r="O291" s="40">
        <f t="shared" si="59"/>
        <v>0</v>
      </c>
      <c r="P291">
        <f t="shared" si="56"/>
        <v>0</v>
      </c>
    </row>
    <row r="292" spans="2:16" x14ac:dyDescent="0.3">
      <c r="B292" s="38">
        <v>43755</v>
      </c>
      <c r="C292" s="3">
        <v>7974607</v>
      </c>
      <c r="D292" s="3">
        <v>5980955</v>
      </c>
      <c r="E292" s="3">
        <v>2436685</v>
      </c>
      <c r="F292" s="3">
        <v>5759438</v>
      </c>
      <c r="G292" s="25">
        <f t="shared" si="50"/>
        <v>22151685</v>
      </c>
      <c r="H292" s="39">
        <f t="shared" si="52"/>
        <v>0</v>
      </c>
      <c r="I292" s="26">
        <f t="shared" si="53"/>
        <v>0</v>
      </c>
      <c r="J292" s="26">
        <f t="shared" si="54"/>
        <v>0</v>
      </c>
      <c r="K292" s="40">
        <f t="shared" si="55"/>
        <v>0</v>
      </c>
      <c r="L292" s="39">
        <f t="shared" si="51"/>
        <v>312730</v>
      </c>
      <c r="M292" s="26">
        <f t="shared" si="57"/>
        <v>234547</v>
      </c>
      <c r="N292" s="26">
        <f t="shared" si="58"/>
        <v>95556</v>
      </c>
      <c r="O292" s="40">
        <f t="shared" si="59"/>
        <v>225860</v>
      </c>
      <c r="P292">
        <f t="shared" si="56"/>
        <v>868693</v>
      </c>
    </row>
    <row r="293" spans="2:16" x14ac:dyDescent="0.3">
      <c r="B293" s="38">
        <v>43756</v>
      </c>
      <c r="C293" s="3">
        <v>7505512</v>
      </c>
      <c r="D293" s="3">
        <v>5629134</v>
      </c>
      <c r="E293" s="3">
        <v>2293351</v>
      </c>
      <c r="F293" s="3">
        <v>5420648</v>
      </c>
      <c r="G293" s="25">
        <f t="shared" si="50"/>
        <v>20848645</v>
      </c>
      <c r="H293" s="39">
        <f t="shared" si="52"/>
        <v>-156365</v>
      </c>
      <c r="I293" s="26">
        <f t="shared" si="53"/>
        <v>-117274</v>
      </c>
      <c r="J293" s="26">
        <f t="shared" si="54"/>
        <v>-47778</v>
      </c>
      <c r="K293" s="40">
        <f t="shared" si="55"/>
        <v>-112930</v>
      </c>
      <c r="L293" s="39">
        <f t="shared" si="51"/>
        <v>0</v>
      </c>
      <c r="M293" s="26">
        <f t="shared" si="57"/>
        <v>0</v>
      </c>
      <c r="N293" s="26">
        <f t="shared" si="58"/>
        <v>0</v>
      </c>
      <c r="O293" s="40">
        <f t="shared" si="59"/>
        <v>0</v>
      </c>
      <c r="P293">
        <f t="shared" si="56"/>
        <v>-434347</v>
      </c>
    </row>
    <row r="294" spans="2:16" x14ac:dyDescent="0.3">
      <c r="B294" s="38">
        <v>43757</v>
      </c>
      <c r="C294" s="3">
        <v>16645119</v>
      </c>
      <c r="D294" s="3">
        <v>12483839</v>
      </c>
      <c r="E294" s="3">
        <v>5086008</v>
      </c>
      <c r="F294" s="3">
        <v>12021475</v>
      </c>
      <c r="G294" s="25">
        <f t="shared" si="50"/>
        <v>46236441</v>
      </c>
      <c r="H294" s="39">
        <f t="shared" si="52"/>
        <v>0</v>
      </c>
      <c r="I294" s="26">
        <f t="shared" si="53"/>
        <v>0</v>
      </c>
      <c r="J294" s="26">
        <f t="shared" si="54"/>
        <v>0</v>
      </c>
      <c r="K294" s="40">
        <f t="shared" si="55"/>
        <v>0</v>
      </c>
      <c r="L294" s="39">
        <f t="shared" si="51"/>
        <v>323206</v>
      </c>
      <c r="M294" s="26">
        <f t="shared" si="57"/>
        <v>242404</v>
      </c>
      <c r="N294" s="26">
        <f t="shared" si="58"/>
        <v>98757</v>
      </c>
      <c r="O294" s="40">
        <f t="shared" si="59"/>
        <v>233427</v>
      </c>
      <c r="P294">
        <f t="shared" si="56"/>
        <v>897794</v>
      </c>
    </row>
    <row r="295" spans="2:16" x14ac:dyDescent="0.3">
      <c r="B295" s="38">
        <v>43758</v>
      </c>
      <c r="C295" s="3">
        <v>15513897</v>
      </c>
      <c r="D295" s="3">
        <v>11635423</v>
      </c>
      <c r="E295" s="3">
        <v>4740357</v>
      </c>
      <c r="F295" s="3">
        <v>11204481</v>
      </c>
      <c r="G295" s="25">
        <f t="shared" si="50"/>
        <v>43094158</v>
      </c>
      <c r="H295" s="39">
        <f t="shared" si="52"/>
        <v>-161603</v>
      </c>
      <c r="I295" s="26">
        <f t="shared" si="53"/>
        <v>-121202</v>
      </c>
      <c r="J295" s="26">
        <f t="shared" si="54"/>
        <v>-49379</v>
      </c>
      <c r="K295" s="40">
        <f t="shared" si="55"/>
        <v>-116714</v>
      </c>
      <c r="L295" s="39">
        <f t="shared" si="51"/>
        <v>0</v>
      </c>
      <c r="M295" s="26">
        <f t="shared" si="57"/>
        <v>0</v>
      </c>
      <c r="N295" s="26">
        <f t="shared" si="58"/>
        <v>0</v>
      </c>
      <c r="O295" s="40">
        <f t="shared" si="59"/>
        <v>0</v>
      </c>
      <c r="P295">
        <f t="shared" si="56"/>
        <v>-448898</v>
      </c>
    </row>
    <row r="296" spans="2:16" x14ac:dyDescent="0.3">
      <c r="B296" s="38">
        <v>43759</v>
      </c>
      <c r="C296" s="3">
        <v>8209154</v>
      </c>
      <c r="D296" s="3">
        <v>6156866</v>
      </c>
      <c r="E296" s="3">
        <v>2508352</v>
      </c>
      <c r="F296" s="3">
        <v>5928833</v>
      </c>
      <c r="G296" s="25">
        <f t="shared" si="50"/>
        <v>22803205</v>
      </c>
      <c r="H296" s="39">
        <f t="shared" si="52"/>
        <v>0</v>
      </c>
      <c r="I296" s="26">
        <f t="shared" si="53"/>
        <v>0</v>
      </c>
      <c r="J296" s="26">
        <f t="shared" si="54"/>
        <v>0</v>
      </c>
      <c r="K296" s="40">
        <f t="shared" si="55"/>
        <v>0</v>
      </c>
      <c r="L296" s="39">
        <f t="shared" si="51"/>
        <v>703642</v>
      </c>
      <c r="M296" s="26">
        <f t="shared" si="57"/>
        <v>527732</v>
      </c>
      <c r="N296" s="26">
        <f t="shared" si="58"/>
        <v>215001</v>
      </c>
      <c r="O296" s="40">
        <f t="shared" si="59"/>
        <v>508185</v>
      </c>
      <c r="P296">
        <f t="shared" si="56"/>
        <v>1954560</v>
      </c>
    </row>
    <row r="297" spans="2:16" x14ac:dyDescent="0.3">
      <c r="B297" s="38">
        <v>43760</v>
      </c>
      <c r="C297" s="3">
        <v>7818242</v>
      </c>
      <c r="D297" s="3">
        <v>5863681</v>
      </c>
      <c r="E297" s="3">
        <v>2388907</v>
      </c>
      <c r="F297" s="3">
        <v>5646508</v>
      </c>
      <c r="G297" s="25">
        <f t="shared" si="50"/>
        <v>21717338</v>
      </c>
      <c r="H297" s="39">
        <f t="shared" si="52"/>
        <v>-78182</v>
      </c>
      <c r="I297" s="26">
        <f t="shared" si="53"/>
        <v>-58637</v>
      </c>
      <c r="J297" s="26">
        <f t="shared" si="54"/>
        <v>-23889</v>
      </c>
      <c r="K297" s="40">
        <f t="shared" si="55"/>
        <v>-56465</v>
      </c>
      <c r="L297" s="39">
        <f t="shared" si="51"/>
        <v>0</v>
      </c>
      <c r="M297" s="26">
        <f t="shared" si="57"/>
        <v>0</v>
      </c>
      <c r="N297" s="26">
        <f t="shared" si="58"/>
        <v>0</v>
      </c>
      <c r="O297" s="40">
        <f t="shared" si="59"/>
        <v>0</v>
      </c>
      <c r="P297">
        <f t="shared" si="56"/>
        <v>-217173</v>
      </c>
    </row>
    <row r="298" spans="2:16" x14ac:dyDescent="0.3">
      <c r="B298" s="38">
        <v>43761</v>
      </c>
      <c r="C298" s="3">
        <v>7818242</v>
      </c>
      <c r="D298" s="3">
        <v>5863681</v>
      </c>
      <c r="E298" s="3">
        <v>2388907</v>
      </c>
      <c r="F298" s="3">
        <v>5646508</v>
      </c>
      <c r="G298" s="25">
        <f t="shared" si="50"/>
        <v>21717338</v>
      </c>
      <c r="H298" s="39">
        <f t="shared" si="52"/>
        <v>0</v>
      </c>
      <c r="I298" s="26">
        <f t="shared" si="53"/>
        <v>0</v>
      </c>
      <c r="J298" s="26">
        <f t="shared" si="54"/>
        <v>0</v>
      </c>
      <c r="K298" s="40">
        <f t="shared" si="55"/>
        <v>0</v>
      </c>
      <c r="L298" s="39">
        <f t="shared" si="51"/>
        <v>390912</v>
      </c>
      <c r="M298" s="26">
        <f t="shared" si="57"/>
        <v>293184</v>
      </c>
      <c r="N298" s="26">
        <f t="shared" si="58"/>
        <v>119445</v>
      </c>
      <c r="O298" s="40">
        <f t="shared" si="59"/>
        <v>282325</v>
      </c>
      <c r="P298">
        <f t="shared" si="56"/>
        <v>1085866</v>
      </c>
    </row>
    <row r="299" spans="2:16" x14ac:dyDescent="0.3">
      <c r="B299" s="38">
        <v>43762</v>
      </c>
      <c r="C299" s="3">
        <v>7583695</v>
      </c>
      <c r="D299" s="3">
        <v>5687771</v>
      </c>
      <c r="E299" s="3">
        <v>2317240</v>
      </c>
      <c r="F299" s="3">
        <v>5477113</v>
      </c>
      <c r="G299" s="25">
        <f t="shared" si="50"/>
        <v>21065819</v>
      </c>
      <c r="H299" s="39">
        <f t="shared" si="52"/>
        <v>-390912</v>
      </c>
      <c r="I299" s="26">
        <f t="shared" si="53"/>
        <v>-293184</v>
      </c>
      <c r="J299" s="26">
        <f t="shared" si="54"/>
        <v>-119445</v>
      </c>
      <c r="K299" s="40">
        <f t="shared" si="55"/>
        <v>-282325</v>
      </c>
      <c r="L299" s="39">
        <f t="shared" si="51"/>
        <v>0</v>
      </c>
      <c r="M299" s="26">
        <f t="shared" si="57"/>
        <v>0</v>
      </c>
      <c r="N299" s="26">
        <f t="shared" si="58"/>
        <v>0</v>
      </c>
      <c r="O299" s="40">
        <f t="shared" si="59"/>
        <v>0</v>
      </c>
      <c r="P299">
        <f t="shared" si="56"/>
        <v>-1085866</v>
      </c>
    </row>
    <row r="300" spans="2:16" x14ac:dyDescent="0.3">
      <c r="B300" s="38">
        <v>43763</v>
      </c>
      <c r="C300" s="3">
        <v>7740060</v>
      </c>
      <c r="D300" s="3">
        <v>5805045</v>
      </c>
      <c r="E300" s="3">
        <v>2365018</v>
      </c>
      <c r="F300" s="3">
        <v>5590043</v>
      </c>
      <c r="G300" s="25">
        <f t="shared" si="50"/>
        <v>21500166</v>
      </c>
      <c r="H300" s="39">
        <f t="shared" si="52"/>
        <v>0</v>
      </c>
      <c r="I300" s="26">
        <f t="shared" si="53"/>
        <v>0</v>
      </c>
      <c r="J300" s="26">
        <f t="shared" si="54"/>
        <v>0</v>
      </c>
      <c r="K300" s="40">
        <f t="shared" si="55"/>
        <v>0</v>
      </c>
      <c r="L300" s="39">
        <f t="shared" si="51"/>
        <v>234548</v>
      </c>
      <c r="M300" s="26">
        <f t="shared" si="57"/>
        <v>175911</v>
      </c>
      <c r="N300" s="26">
        <f t="shared" si="58"/>
        <v>71667</v>
      </c>
      <c r="O300" s="40">
        <f t="shared" si="59"/>
        <v>169395</v>
      </c>
      <c r="P300">
        <f t="shared" si="56"/>
        <v>651521</v>
      </c>
    </row>
    <row r="301" spans="2:16" x14ac:dyDescent="0.3">
      <c r="B301" s="38">
        <v>43764</v>
      </c>
      <c r="C301" s="3">
        <v>15837104</v>
      </c>
      <c r="D301" s="3">
        <v>11877828</v>
      </c>
      <c r="E301" s="3">
        <v>4839115</v>
      </c>
      <c r="F301" s="3">
        <v>11437908</v>
      </c>
      <c r="G301" s="25">
        <f t="shared" si="50"/>
        <v>43991955</v>
      </c>
      <c r="H301" s="39">
        <f t="shared" si="52"/>
        <v>-808015</v>
      </c>
      <c r="I301" s="26">
        <f t="shared" si="53"/>
        <v>-606011</v>
      </c>
      <c r="J301" s="26">
        <f t="shared" si="54"/>
        <v>-246893</v>
      </c>
      <c r="K301" s="40">
        <f t="shared" si="55"/>
        <v>-583567</v>
      </c>
      <c r="L301" s="39">
        <f t="shared" si="51"/>
        <v>0</v>
      </c>
      <c r="M301" s="26">
        <f t="shared" si="57"/>
        <v>0</v>
      </c>
      <c r="N301" s="26">
        <f t="shared" si="58"/>
        <v>0</v>
      </c>
      <c r="O301" s="40">
        <f t="shared" si="59"/>
        <v>0</v>
      </c>
      <c r="P301">
        <f t="shared" si="56"/>
        <v>-2244486</v>
      </c>
    </row>
    <row r="302" spans="2:16" x14ac:dyDescent="0.3">
      <c r="B302" s="38">
        <v>43765</v>
      </c>
      <c r="C302" s="3">
        <v>15513897</v>
      </c>
      <c r="D302" s="3">
        <v>11635423</v>
      </c>
      <c r="E302" s="3">
        <v>4740357</v>
      </c>
      <c r="F302" s="3">
        <v>11204481</v>
      </c>
      <c r="G302" s="25">
        <f t="shared" si="50"/>
        <v>43094158</v>
      </c>
      <c r="H302" s="39">
        <f t="shared" si="52"/>
        <v>0</v>
      </c>
      <c r="I302" s="26">
        <f t="shared" si="53"/>
        <v>0</v>
      </c>
      <c r="J302" s="26">
        <f t="shared" si="54"/>
        <v>0</v>
      </c>
      <c r="K302" s="40">
        <f t="shared" si="55"/>
        <v>0</v>
      </c>
      <c r="L302" s="39">
        <f t="shared" si="51"/>
        <v>0</v>
      </c>
      <c r="M302" s="26">
        <f t="shared" si="57"/>
        <v>0</v>
      </c>
      <c r="N302" s="26">
        <f t="shared" si="58"/>
        <v>0</v>
      </c>
      <c r="O302" s="40">
        <f t="shared" si="59"/>
        <v>0</v>
      </c>
      <c r="P302">
        <f t="shared" si="56"/>
        <v>0</v>
      </c>
    </row>
    <row r="303" spans="2:16" x14ac:dyDescent="0.3">
      <c r="B303" s="38">
        <v>43766</v>
      </c>
      <c r="C303" s="3">
        <v>7583695</v>
      </c>
      <c r="D303" s="3">
        <v>5687771</v>
      </c>
      <c r="E303" s="3">
        <v>2317240</v>
      </c>
      <c r="F303" s="3">
        <v>5477113</v>
      </c>
      <c r="G303" s="25">
        <f t="shared" si="50"/>
        <v>21065819</v>
      </c>
      <c r="H303" s="39">
        <f t="shared" si="52"/>
        <v>-625459</v>
      </c>
      <c r="I303" s="26">
        <f t="shared" si="53"/>
        <v>-469095</v>
      </c>
      <c r="J303" s="26">
        <f t="shared" si="54"/>
        <v>-191112</v>
      </c>
      <c r="K303" s="40">
        <f t="shared" si="55"/>
        <v>-451720</v>
      </c>
      <c r="L303" s="39">
        <f t="shared" si="51"/>
        <v>0</v>
      </c>
      <c r="M303" s="26">
        <f t="shared" si="57"/>
        <v>0</v>
      </c>
      <c r="N303" s="26">
        <f t="shared" si="58"/>
        <v>0</v>
      </c>
      <c r="O303" s="40">
        <f t="shared" si="59"/>
        <v>0</v>
      </c>
      <c r="P303">
        <f t="shared" si="56"/>
        <v>-1737386</v>
      </c>
    </row>
    <row r="304" spans="2:16" x14ac:dyDescent="0.3">
      <c r="B304" s="38">
        <v>43767</v>
      </c>
      <c r="C304" s="3">
        <v>7974607</v>
      </c>
      <c r="D304" s="3">
        <v>5980955</v>
      </c>
      <c r="E304" s="3">
        <v>2436685</v>
      </c>
      <c r="F304" s="3">
        <v>5759438</v>
      </c>
      <c r="G304" s="25">
        <f t="shared" si="50"/>
        <v>22151685</v>
      </c>
      <c r="H304" s="39">
        <f t="shared" si="52"/>
        <v>0</v>
      </c>
      <c r="I304" s="26">
        <f t="shared" si="53"/>
        <v>0</v>
      </c>
      <c r="J304" s="26">
        <f t="shared" si="54"/>
        <v>0</v>
      </c>
      <c r="K304" s="40">
        <f t="shared" si="55"/>
        <v>0</v>
      </c>
      <c r="L304" s="39">
        <f t="shared" si="51"/>
        <v>156365</v>
      </c>
      <c r="M304" s="26">
        <f t="shared" si="57"/>
        <v>117274</v>
      </c>
      <c r="N304" s="26">
        <f t="shared" si="58"/>
        <v>47778</v>
      </c>
      <c r="O304" s="40">
        <f t="shared" si="59"/>
        <v>112930</v>
      </c>
      <c r="P304">
        <f t="shared" si="56"/>
        <v>434347</v>
      </c>
    </row>
    <row r="305" spans="2:16" x14ac:dyDescent="0.3">
      <c r="B305" s="38">
        <v>43768</v>
      </c>
      <c r="C305" s="3">
        <v>7740060</v>
      </c>
      <c r="D305" s="3">
        <v>5805045</v>
      </c>
      <c r="E305" s="3">
        <v>2365018</v>
      </c>
      <c r="F305" s="3">
        <v>5590043</v>
      </c>
      <c r="G305" s="25">
        <f t="shared" si="50"/>
        <v>21500166</v>
      </c>
      <c r="H305" s="39">
        <f t="shared" si="52"/>
        <v>-78182</v>
      </c>
      <c r="I305" s="26">
        <f t="shared" si="53"/>
        <v>-58636</v>
      </c>
      <c r="J305" s="26">
        <f t="shared" si="54"/>
        <v>-23889</v>
      </c>
      <c r="K305" s="40">
        <f t="shared" si="55"/>
        <v>-56465</v>
      </c>
      <c r="L305" s="39">
        <f t="shared" si="51"/>
        <v>0</v>
      </c>
      <c r="M305" s="26">
        <f t="shared" si="57"/>
        <v>0</v>
      </c>
      <c r="N305" s="26">
        <f t="shared" si="58"/>
        <v>0</v>
      </c>
      <c r="O305" s="40">
        <f t="shared" si="59"/>
        <v>0</v>
      </c>
      <c r="P305">
        <f t="shared" si="56"/>
        <v>-217172</v>
      </c>
    </row>
    <row r="306" spans="2:16" x14ac:dyDescent="0.3">
      <c r="B306" s="38">
        <v>43769</v>
      </c>
      <c r="C306" s="3">
        <v>7427330</v>
      </c>
      <c r="D306" s="3">
        <v>5570497</v>
      </c>
      <c r="E306" s="3">
        <v>2269462</v>
      </c>
      <c r="F306" s="3">
        <v>5364183</v>
      </c>
      <c r="G306" s="25">
        <f t="shared" si="50"/>
        <v>20631472</v>
      </c>
      <c r="H306" s="39">
        <f t="shared" si="52"/>
        <v>-156365</v>
      </c>
      <c r="I306" s="26">
        <f t="shared" si="53"/>
        <v>-117274</v>
      </c>
      <c r="J306" s="26">
        <f t="shared" si="54"/>
        <v>-47778</v>
      </c>
      <c r="K306" s="40">
        <f t="shared" si="55"/>
        <v>-112930</v>
      </c>
      <c r="L306" s="39">
        <f t="shared" si="51"/>
        <v>0</v>
      </c>
      <c r="M306" s="26">
        <f t="shared" si="57"/>
        <v>0</v>
      </c>
      <c r="N306" s="26">
        <f t="shared" si="58"/>
        <v>0</v>
      </c>
      <c r="O306" s="40">
        <f t="shared" si="59"/>
        <v>0</v>
      </c>
      <c r="P306">
        <f t="shared" si="56"/>
        <v>-434347</v>
      </c>
    </row>
    <row r="307" spans="2:16" x14ac:dyDescent="0.3">
      <c r="B307" s="38">
        <v>43770</v>
      </c>
      <c r="C307" s="3">
        <v>7583695</v>
      </c>
      <c r="D307" s="3">
        <v>5687771</v>
      </c>
      <c r="E307" s="3">
        <v>2317240</v>
      </c>
      <c r="F307" s="3">
        <v>5477113</v>
      </c>
      <c r="G307" s="25">
        <f t="shared" si="50"/>
        <v>21065819</v>
      </c>
      <c r="H307" s="39">
        <f t="shared" si="52"/>
        <v>-156365</v>
      </c>
      <c r="I307" s="26">
        <f t="shared" si="53"/>
        <v>-117274</v>
      </c>
      <c r="J307" s="26">
        <f t="shared" si="54"/>
        <v>-47778</v>
      </c>
      <c r="K307" s="40">
        <f t="shared" si="55"/>
        <v>-112930</v>
      </c>
      <c r="L307" s="39">
        <f t="shared" si="51"/>
        <v>0</v>
      </c>
      <c r="M307" s="26">
        <f t="shared" si="57"/>
        <v>0</v>
      </c>
      <c r="N307" s="26">
        <f t="shared" si="58"/>
        <v>0</v>
      </c>
      <c r="O307" s="40">
        <f t="shared" si="59"/>
        <v>0</v>
      </c>
      <c r="P307">
        <f t="shared" si="56"/>
        <v>-434347</v>
      </c>
    </row>
    <row r="308" spans="2:16" x14ac:dyDescent="0.3">
      <c r="B308" s="38">
        <v>43771</v>
      </c>
      <c r="C308" s="3">
        <v>15352294</v>
      </c>
      <c r="D308" s="3">
        <v>11514221</v>
      </c>
      <c r="E308" s="3">
        <v>4690978</v>
      </c>
      <c r="F308" s="3">
        <v>11087768</v>
      </c>
      <c r="G308" s="25">
        <f t="shared" si="50"/>
        <v>42645261</v>
      </c>
      <c r="H308" s="39">
        <f t="shared" si="52"/>
        <v>-484810</v>
      </c>
      <c r="I308" s="26">
        <f t="shared" si="53"/>
        <v>-363607</v>
      </c>
      <c r="J308" s="26">
        <f t="shared" si="54"/>
        <v>-148137</v>
      </c>
      <c r="K308" s="40">
        <f t="shared" si="55"/>
        <v>-350140</v>
      </c>
      <c r="L308" s="39">
        <f t="shared" si="51"/>
        <v>0</v>
      </c>
      <c r="M308" s="26">
        <f t="shared" si="57"/>
        <v>0</v>
      </c>
      <c r="N308" s="26">
        <f t="shared" si="58"/>
        <v>0</v>
      </c>
      <c r="O308" s="40">
        <f t="shared" si="59"/>
        <v>0</v>
      </c>
      <c r="P308">
        <f t="shared" si="56"/>
        <v>-1346694</v>
      </c>
    </row>
    <row r="309" spans="2:16" x14ac:dyDescent="0.3">
      <c r="B309" s="38">
        <v>43772</v>
      </c>
      <c r="C309" s="3">
        <v>16483516</v>
      </c>
      <c r="D309" s="3">
        <v>12362637</v>
      </c>
      <c r="E309" s="3">
        <v>5036630</v>
      </c>
      <c r="F309" s="3">
        <v>11904761</v>
      </c>
      <c r="G309" s="25">
        <f t="shared" si="50"/>
        <v>45787544</v>
      </c>
      <c r="H309" s="39">
        <f t="shared" si="52"/>
        <v>0</v>
      </c>
      <c r="I309" s="26">
        <f t="shared" si="53"/>
        <v>0</v>
      </c>
      <c r="J309" s="26">
        <f t="shared" si="54"/>
        <v>0</v>
      </c>
      <c r="K309" s="40">
        <f t="shared" si="55"/>
        <v>0</v>
      </c>
      <c r="L309" s="39">
        <f t="shared" si="51"/>
        <v>969619</v>
      </c>
      <c r="M309" s="26">
        <f t="shared" si="57"/>
        <v>727214</v>
      </c>
      <c r="N309" s="26">
        <f t="shared" si="58"/>
        <v>296273</v>
      </c>
      <c r="O309" s="40">
        <f t="shared" si="59"/>
        <v>700280</v>
      </c>
      <c r="P309">
        <f t="shared" si="56"/>
        <v>2693386</v>
      </c>
    </row>
    <row r="310" spans="2:16" x14ac:dyDescent="0.3">
      <c r="B310" s="38">
        <v>43773</v>
      </c>
      <c r="C310" s="3">
        <v>7661877</v>
      </c>
      <c r="D310" s="3">
        <v>5746408</v>
      </c>
      <c r="E310" s="3">
        <v>2341129</v>
      </c>
      <c r="F310" s="3">
        <v>5533578</v>
      </c>
      <c r="G310" s="25">
        <f t="shared" si="50"/>
        <v>21282992</v>
      </c>
      <c r="H310" s="39">
        <f t="shared" si="52"/>
        <v>0</v>
      </c>
      <c r="I310" s="26">
        <f t="shared" si="53"/>
        <v>0</v>
      </c>
      <c r="J310" s="26">
        <f t="shared" si="54"/>
        <v>0</v>
      </c>
      <c r="K310" s="40">
        <f t="shared" si="55"/>
        <v>0</v>
      </c>
      <c r="L310" s="39">
        <f t="shared" si="51"/>
        <v>78182</v>
      </c>
      <c r="M310" s="26">
        <f t="shared" si="57"/>
        <v>58637</v>
      </c>
      <c r="N310" s="26">
        <f t="shared" si="58"/>
        <v>23889</v>
      </c>
      <c r="O310" s="40">
        <f t="shared" si="59"/>
        <v>56465</v>
      </c>
      <c r="P310">
        <f t="shared" si="56"/>
        <v>217173</v>
      </c>
    </row>
    <row r="311" spans="2:16" x14ac:dyDescent="0.3">
      <c r="B311" s="38">
        <v>43774</v>
      </c>
      <c r="C311" s="3">
        <v>7505512</v>
      </c>
      <c r="D311" s="3">
        <v>5629134</v>
      </c>
      <c r="E311" s="3">
        <v>2293351</v>
      </c>
      <c r="F311" s="3">
        <v>5420648</v>
      </c>
      <c r="G311" s="25">
        <f t="shared" si="50"/>
        <v>20848645</v>
      </c>
      <c r="H311" s="39">
        <f t="shared" si="52"/>
        <v>-469095</v>
      </c>
      <c r="I311" s="26">
        <f t="shared" si="53"/>
        <v>-351821</v>
      </c>
      <c r="J311" s="26">
        <f t="shared" si="54"/>
        <v>-143334</v>
      </c>
      <c r="K311" s="40">
        <f t="shared" si="55"/>
        <v>-338790</v>
      </c>
      <c r="L311" s="39">
        <f t="shared" si="51"/>
        <v>0</v>
      </c>
      <c r="M311" s="26">
        <f t="shared" si="57"/>
        <v>0</v>
      </c>
      <c r="N311" s="26">
        <f t="shared" si="58"/>
        <v>0</v>
      </c>
      <c r="O311" s="40">
        <f t="shared" si="59"/>
        <v>0</v>
      </c>
      <c r="P311">
        <f t="shared" si="56"/>
        <v>-1303040</v>
      </c>
    </row>
    <row r="312" spans="2:16" x14ac:dyDescent="0.3">
      <c r="B312" s="38">
        <v>43775</v>
      </c>
      <c r="C312" s="3">
        <v>7740060</v>
      </c>
      <c r="D312" s="3">
        <v>5805045</v>
      </c>
      <c r="E312" s="3">
        <v>2365018</v>
      </c>
      <c r="F312" s="3">
        <v>5590043</v>
      </c>
      <c r="G312" s="25">
        <f t="shared" si="50"/>
        <v>21500166</v>
      </c>
      <c r="H312" s="39">
        <f t="shared" si="52"/>
        <v>0</v>
      </c>
      <c r="I312" s="26">
        <f t="shared" si="53"/>
        <v>0</v>
      </c>
      <c r="J312" s="26">
        <f t="shared" si="54"/>
        <v>0</v>
      </c>
      <c r="K312" s="40">
        <f t="shared" si="55"/>
        <v>0</v>
      </c>
      <c r="L312" s="39">
        <f t="shared" si="51"/>
        <v>0</v>
      </c>
      <c r="M312" s="26">
        <f t="shared" si="57"/>
        <v>0</v>
      </c>
      <c r="N312" s="26">
        <f t="shared" si="58"/>
        <v>0</v>
      </c>
      <c r="O312" s="40">
        <f t="shared" si="59"/>
        <v>0</v>
      </c>
      <c r="P312">
        <f t="shared" si="56"/>
        <v>0</v>
      </c>
    </row>
    <row r="313" spans="2:16" x14ac:dyDescent="0.3">
      <c r="B313" s="38">
        <v>43776</v>
      </c>
      <c r="C313" s="3">
        <v>7505512</v>
      </c>
      <c r="D313" s="3">
        <v>5629134</v>
      </c>
      <c r="E313" s="3">
        <v>2293351</v>
      </c>
      <c r="F313" s="3">
        <v>5420648</v>
      </c>
      <c r="G313" s="25">
        <f t="shared" si="50"/>
        <v>20848645</v>
      </c>
      <c r="H313" s="39">
        <f t="shared" si="52"/>
        <v>0</v>
      </c>
      <c r="I313" s="26">
        <f t="shared" si="53"/>
        <v>0</v>
      </c>
      <c r="J313" s="26">
        <f t="shared" si="54"/>
        <v>0</v>
      </c>
      <c r="K313" s="40">
        <f t="shared" si="55"/>
        <v>0</v>
      </c>
      <c r="L313" s="39">
        <f t="shared" si="51"/>
        <v>78182</v>
      </c>
      <c r="M313" s="26">
        <f t="shared" si="57"/>
        <v>58637</v>
      </c>
      <c r="N313" s="26">
        <f t="shared" si="58"/>
        <v>23889</v>
      </c>
      <c r="O313" s="40">
        <f t="shared" si="59"/>
        <v>56465</v>
      </c>
      <c r="P313">
        <f t="shared" si="56"/>
        <v>217173</v>
      </c>
    </row>
    <row r="314" spans="2:16" x14ac:dyDescent="0.3">
      <c r="B314" s="38">
        <v>43777</v>
      </c>
      <c r="C314" s="3">
        <v>7583695</v>
      </c>
      <c r="D314" s="3">
        <v>5687771</v>
      </c>
      <c r="E314" s="3">
        <v>2317240</v>
      </c>
      <c r="F314" s="3">
        <v>5477113</v>
      </c>
      <c r="G314" s="25">
        <f t="shared" si="50"/>
        <v>21065819</v>
      </c>
      <c r="H314" s="39">
        <f t="shared" si="52"/>
        <v>0</v>
      </c>
      <c r="I314" s="26">
        <f t="shared" si="53"/>
        <v>0</v>
      </c>
      <c r="J314" s="26">
        <f t="shared" si="54"/>
        <v>0</v>
      </c>
      <c r="K314" s="40">
        <f t="shared" si="55"/>
        <v>0</v>
      </c>
      <c r="L314" s="39">
        <f t="shared" si="51"/>
        <v>0</v>
      </c>
      <c r="M314" s="26">
        <f t="shared" si="57"/>
        <v>0</v>
      </c>
      <c r="N314" s="26">
        <f t="shared" si="58"/>
        <v>0</v>
      </c>
      <c r="O314" s="40">
        <f t="shared" si="59"/>
        <v>0</v>
      </c>
      <c r="P314">
        <f t="shared" si="56"/>
        <v>0</v>
      </c>
    </row>
    <row r="315" spans="2:16" x14ac:dyDescent="0.3">
      <c r="B315" s="38">
        <v>43778</v>
      </c>
      <c r="C315" s="3">
        <v>16483516</v>
      </c>
      <c r="D315" s="3">
        <v>12362637</v>
      </c>
      <c r="E315" s="3">
        <v>5036630</v>
      </c>
      <c r="F315" s="3">
        <v>11904761</v>
      </c>
      <c r="G315" s="25">
        <f t="shared" si="50"/>
        <v>45787544</v>
      </c>
      <c r="H315" s="39">
        <f t="shared" si="52"/>
        <v>0</v>
      </c>
      <c r="I315" s="26">
        <f t="shared" si="53"/>
        <v>0</v>
      </c>
      <c r="J315" s="26">
        <f t="shared" si="54"/>
        <v>0</v>
      </c>
      <c r="K315" s="40">
        <f t="shared" si="55"/>
        <v>0</v>
      </c>
      <c r="L315" s="39">
        <f t="shared" si="51"/>
        <v>1131222</v>
      </c>
      <c r="M315" s="26">
        <f t="shared" si="57"/>
        <v>848416</v>
      </c>
      <c r="N315" s="26">
        <f t="shared" si="58"/>
        <v>345652</v>
      </c>
      <c r="O315" s="40">
        <f t="shared" si="59"/>
        <v>816993</v>
      </c>
      <c r="P315">
        <f t="shared" si="56"/>
        <v>3142283</v>
      </c>
    </row>
    <row r="316" spans="2:16" x14ac:dyDescent="0.3">
      <c r="B316" s="38">
        <v>43779</v>
      </c>
      <c r="C316" s="3">
        <v>16968325</v>
      </c>
      <c r="D316" s="3">
        <v>12726244</v>
      </c>
      <c r="E316" s="3">
        <v>5184766</v>
      </c>
      <c r="F316" s="3">
        <v>12254901</v>
      </c>
      <c r="G316" s="25">
        <f t="shared" si="50"/>
        <v>47134236</v>
      </c>
      <c r="H316" s="39">
        <f t="shared" si="52"/>
        <v>0</v>
      </c>
      <c r="I316" s="26">
        <f t="shared" si="53"/>
        <v>0</v>
      </c>
      <c r="J316" s="26">
        <f t="shared" si="54"/>
        <v>0</v>
      </c>
      <c r="K316" s="40">
        <f t="shared" si="55"/>
        <v>0</v>
      </c>
      <c r="L316" s="39">
        <f t="shared" si="51"/>
        <v>484809</v>
      </c>
      <c r="M316" s="26">
        <f t="shared" si="57"/>
        <v>363607</v>
      </c>
      <c r="N316" s="26">
        <f t="shared" si="58"/>
        <v>148136</v>
      </c>
      <c r="O316" s="40">
        <f t="shared" si="59"/>
        <v>350140</v>
      </c>
      <c r="P316">
        <f t="shared" si="56"/>
        <v>1346692</v>
      </c>
    </row>
    <row r="317" spans="2:16" x14ac:dyDescent="0.3">
      <c r="B317" s="38">
        <v>43780</v>
      </c>
      <c r="C317" s="3">
        <v>7740060</v>
      </c>
      <c r="D317" s="3">
        <v>5805045</v>
      </c>
      <c r="E317" s="3">
        <v>2365018</v>
      </c>
      <c r="F317" s="3">
        <v>5590043</v>
      </c>
      <c r="G317" s="25">
        <f t="shared" si="50"/>
        <v>21500166</v>
      </c>
      <c r="H317" s="39">
        <f t="shared" si="52"/>
        <v>0</v>
      </c>
      <c r="I317" s="26">
        <f t="shared" si="53"/>
        <v>0</v>
      </c>
      <c r="J317" s="26">
        <f t="shared" si="54"/>
        <v>0</v>
      </c>
      <c r="K317" s="40">
        <f t="shared" si="55"/>
        <v>0</v>
      </c>
      <c r="L317" s="39">
        <f t="shared" si="51"/>
        <v>78183</v>
      </c>
      <c r="M317" s="26">
        <f t="shared" si="57"/>
        <v>58637</v>
      </c>
      <c r="N317" s="26">
        <f t="shared" si="58"/>
        <v>23889</v>
      </c>
      <c r="O317" s="40">
        <f t="shared" si="59"/>
        <v>56465</v>
      </c>
      <c r="P317">
        <f t="shared" si="56"/>
        <v>217174</v>
      </c>
    </row>
    <row r="318" spans="2:16" x14ac:dyDescent="0.3">
      <c r="B318" s="38">
        <v>43781</v>
      </c>
      <c r="C318" s="3">
        <v>7427330</v>
      </c>
      <c r="D318" s="3">
        <v>5570497</v>
      </c>
      <c r="E318" s="3">
        <v>2269462</v>
      </c>
      <c r="F318" s="3">
        <v>5364183</v>
      </c>
      <c r="G318" s="25">
        <f t="shared" si="50"/>
        <v>20631472</v>
      </c>
      <c r="H318" s="39">
        <f t="shared" si="52"/>
        <v>-78182</v>
      </c>
      <c r="I318" s="26">
        <f t="shared" si="53"/>
        <v>-58637</v>
      </c>
      <c r="J318" s="26">
        <f t="shared" si="54"/>
        <v>-23889</v>
      </c>
      <c r="K318" s="40">
        <f t="shared" si="55"/>
        <v>-56465</v>
      </c>
      <c r="L318" s="39">
        <f t="shared" si="51"/>
        <v>0</v>
      </c>
      <c r="M318" s="26">
        <f t="shared" si="57"/>
        <v>0</v>
      </c>
      <c r="N318" s="26">
        <f t="shared" si="58"/>
        <v>0</v>
      </c>
      <c r="O318" s="40">
        <f t="shared" si="59"/>
        <v>0</v>
      </c>
      <c r="P318">
        <f t="shared" si="56"/>
        <v>-217173</v>
      </c>
    </row>
    <row r="319" spans="2:16" x14ac:dyDescent="0.3">
      <c r="B319" s="38">
        <v>43782</v>
      </c>
      <c r="C319" s="3">
        <v>7740060</v>
      </c>
      <c r="D319" s="3">
        <v>5805045</v>
      </c>
      <c r="E319" s="3">
        <v>2365018</v>
      </c>
      <c r="F319" s="3">
        <v>5590043</v>
      </c>
      <c r="G319" s="25">
        <f t="shared" si="50"/>
        <v>21500166</v>
      </c>
      <c r="H319" s="39">
        <f t="shared" si="52"/>
        <v>0</v>
      </c>
      <c r="I319" s="26">
        <f t="shared" si="53"/>
        <v>0</v>
      </c>
      <c r="J319" s="26">
        <f t="shared" si="54"/>
        <v>0</v>
      </c>
      <c r="K319" s="40">
        <f t="shared" si="55"/>
        <v>0</v>
      </c>
      <c r="L319" s="39">
        <f t="shared" si="51"/>
        <v>0</v>
      </c>
      <c r="M319" s="26">
        <f t="shared" si="57"/>
        <v>0</v>
      </c>
      <c r="N319" s="26">
        <f t="shared" si="58"/>
        <v>0</v>
      </c>
      <c r="O319" s="40">
        <f t="shared" si="59"/>
        <v>0</v>
      </c>
      <c r="P319">
        <f t="shared" si="56"/>
        <v>0</v>
      </c>
    </row>
    <row r="320" spans="2:16" x14ac:dyDescent="0.3">
      <c r="B320" s="38">
        <v>43783</v>
      </c>
      <c r="C320" s="3">
        <v>7505512</v>
      </c>
      <c r="D320" s="3">
        <v>5629134</v>
      </c>
      <c r="E320" s="3">
        <v>2293351</v>
      </c>
      <c r="F320" s="3">
        <v>5420648</v>
      </c>
      <c r="G320" s="25">
        <f t="shared" si="50"/>
        <v>20848645</v>
      </c>
      <c r="H320" s="39">
        <f t="shared" si="52"/>
        <v>0</v>
      </c>
      <c r="I320" s="26">
        <f t="shared" si="53"/>
        <v>0</v>
      </c>
      <c r="J320" s="26">
        <f t="shared" si="54"/>
        <v>0</v>
      </c>
      <c r="K320" s="40">
        <f t="shared" si="55"/>
        <v>0</v>
      </c>
      <c r="L320" s="39">
        <f t="shared" si="51"/>
        <v>0</v>
      </c>
      <c r="M320" s="26">
        <f t="shared" si="57"/>
        <v>0</v>
      </c>
      <c r="N320" s="26">
        <f t="shared" si="58"/>
        <v>0</v>
      </c>
      <c r="O320" s="40">
        <f t="shared" si="59"/>
        <v>0</v>
      </c>
      <c r="P320">
        <f t="shared" si="56"/>
        <v>0</v>
      </c>
    </row>
    <row r="321" spans="2:16" x14ac:dyDescent="0.3">
      <c r="B321" s="38">
        <v>43784</v>
      </c>
      <c r="C321" s="3">
        <v>7818242</v>
      </c>
      <c r="D321" s="3">
        <v>5863681</v>
      </c>
      <c r="E321" s="3">
        <v>2388907</v>
      </c>
      <c r="F321" s="3">
        <v>5646508</v>
      </c>
      <c r="G321" s="25">
        <f t="shared" si="50"/>
        <v>21717338</v>
      </c>
      <c r="H321" s="39">
        <f t="shared" si="52"/>
        <v>0</v>
      </c>
      <c r="I321" s="26">
        <f t="shared" si="53"/>
        <v>0</v>
      </c>
      <c r="J321" s="26">
        <f t="shared" si="54"/>
        <v>0</v>
      </c>
      <c r="K321" s="40">
        <f t="shared" si="55"/>
        <v>0</v>
      </c>
      <c r="L321" s="39">
        <f t="shared" si="51"/>
        <v>234547</v>
      </c>
      <c r="M321" s="26">
        <f t="shared" si="57"/>
        <v>175910</v>
      </c>
      <c r="N321" s="26">
        <f t="shared" si="58"/>
        <v>71667</v>
      </c>
      <c r="O321" s="40">
        <f t="shared" si="59"/>
        <v>169395</v>
      </c>
      <c r="P321">
        <f t="shared" si="56"/>
        <v>651519</v>
      </c>
    </row>
    <row r="322" spans="2:16" x14ac:dyDescent="0.3">
      <c r="B322" s="38">
        <v>43785</v>
      </c>
      <c r="C322" s="3">
        <v>16968325</v>
      </c>
      <c r="D322" s="3">
        <v>12726244</v>
      </c>
      <c r="E322" s="3">
        <v>5184766</v>
      </c>
      <c r="F322" s="3">
        <v>12254901</v>
      </c>
      <c r="G322" s="25">
        <f t="shared" si="50"/>
        <v>47134236</v>
      </c>
      <c r="H322" s="39">
        <f t="shared" si="52"/>
        <v>0</v>
      </c>
      <c r="I322" s="26">
        <f t="shared" si="53"/>
        <v>0</v>
      </c>
      <c r="J322" s="26">
        <f t="shared" si="54"/>
        <v>0</v>
      </c>
      <c r="K322" s="40">
        <f t="shared" si="55"/>
        <v>0</v>
      </c>
      <c r="L322" s="39">
        <f t="shared" si="51"/>
        <v>484809</v>
      </c>
      <c r="M322" s="26">
        <f t="shared" si="57"/>
        <v>363607</v>
      </c>
      <c r="N322" s="26">
        <f t="shared" si="58"/>
        <v>148136</v>
      </c>
      <c r="O322" s="40">
        <f t="shared" si="59"/>
        <v>350140</v>
      </c>
      <c r="P322">
        <f t="shared" si="56"/>
        <v>1346692</v>
      </c>
    </row>
    <row r="323" spans="2:16" x14ac:dyDescent="0.3">
      <c r="B323" s="38">
        <v>43786</v>
      </c>
      <c r="C323" s="3">
        <v>15837104</v>
      </c>
      <c r="D323" s="3">
        <v>11877828</v>
      </c>
      <c r="E323" s="3">
        <v>4839115</v>
      </c>
      <c r="F323" s="3">
        <v>11437908</v>
      </c>
      <c r="G323" s="25">
        <f t="shared" ref="G323:G368" si="60">SUM(C323:F323)</f>
        <v>43991955</v>
      </c>
      <c r="H323" s="39">
        <f t="shared" si="52"/>
        <v>-1131221</v>
      </c>
      <c r="I323" s="26">
        <f t="shared" si="53"/>
        <v>-848416</v>
      </c>
      <c r="J323" s="26">
        <f t="shared" si="54"/>
        <v>-345651</v>
      </c>
      <c r="K323" s="40">
        <f t="shared" si="55"/>
        <v>-816993</v>
      </c>
      <c r="L323" s="39">
        <f t="shared" si="51"/>
        <v>0</v>
      </c>
      <c r="M323" s="26">
        <f t="shared" si="57"/>
        <v>0</v>
      </c>
      <c r="N323" s="26">
        <f t="shared" si="58"/>
        <v>0</v>
      </c>
      <c r="O323" s="40">
        <f t="shared" si="59"/>
        <v>0</v>
      </c>
      <c r="P323">
        <f t="shared" si="56"/>
        <v>-3142281</v>
      </c>
    </row>
    <row r="324" spans="2:16" x14ac:dyDescent="0.3">
      <c r="B324" s="38">
        <v>43787</v>
      </c>
      <c r="C324" s="3">
        <v>8209154</v>
      </c>
      <c r="D324" s="3">
        <v>6156866</v>
      </c>
      <c r="E324" s="3">
        <v>2508352</v>
      </c>
      <c r="F324" s="3">
        <v>5928833</v>
      </c>
      <c r="G324" s="25">
        <f t="shared" si="60"/>
        <v>22803205</v>
      </c>
      <c r="H324" s="39">
        <f t="shared" si="52"/>
        <v>0</v>
      </c>
      <c r="I324" s="26">
        <f t="shared" si="53"/>
        <v>0</v>
      </c>
      <c r="J324" s="26">
        <f t="shared" si="54"/>
        <v>0</v>
      </c>
      <c r="K324" s="40">
        <f t="shared" si="55"/>
        <v>0</v>
      </c>
      <c r="L324" s="39">
        <f t="shared" si="51"/>
        <v>469094</v>
      </c>
      <c r="M324" s="26">
        <f t="shared" si="57"/>
        <v>351821</v>
      </c>
      <c r="N324" s="26">
        <f t="shared" si="58"/>
        <v>143334</v>
      </c>
      <c r="O324" s="40">
        <f t="shared" si="59"/>
        <v>338790</v>
      </c>
      <c r="P324">
        <f t="shared" si="56"/>
        <v>1303039</v>
      </c>
    </row>
    <row r="325" spans="2:16" x14ac:dyDescent="0.3">
      <c r="B325" s="38">
        <v>43788</v>
      </c>
      <c r="C325" s="3">
        <v>7661877</v>
      </c>
      <c r="D325" s="3">
        <v>5746408</v>
      </c>
      <c r="E325" s="3">
        <v>2341129</v>
      </c>
      <c r="F325" s="3">
        <v>5533578</v>
      </c>
      <c r="G325" s="25">
        <f t="shared" si="60"/>
        <v>21282992</v>
      </c>
      <c r="H325" s="39">
        <f t="shared" si="52"/>
        <v>0</v>
      </c>
      <c r="I325" s="26">
        <f t="shared" si="53"/>
        <v>0</v>
      </c>
      <c r="J325" s="26">
        <f t="shared" si="54"/>
        <v>0</v>
      </c>
      <c r="K325" s="40">
        <f t="shared" si="55"/>
        <v>0</v>
      </c>
      <c r="L325" s="39">
        <f t="shared" si="51"/>
        <v>234547</v>
      </c>
      <c r="M325" s="26">
        <f t="shared" si="57"/>
        <v>175911</v>
      </c>
      <c r="N325" s="26">
        <f t="shared" si="58"/>
        <v>71667</v>
      </c>
      <c r="O325" s="40">
        <f t="shared" si="59"/>
        <v>169395</v>
      </c>
      <c r="P325">
        <f t="shared" si="56"/>
        <v>651520</v>
      </c>
    </row>
    <row r="326" spans="2:16" x14ac:dyDescent="0.3">
      <c r="B326" s="38">
        <v>43789</v>
      </c>
      <c r="C326" s="3">
        <v>8052789</v>
      </c>
      <c r="D326" s="3">
        <v>6039592</v>
      </c>
      <c r="E326" s="3">
        <v>2460574</v>
      </c>
      <c r="F326" s="3">
        <v>5815903</v>
      </c>
      <c r="G326" s="25">
        <f t="shared" si="60"/>
        <v>22368858</v>
      </c>
      <c r="H326" s="39">
        <f t="shared" si="52"/>
        <v>0</v>
      </c>
      <c r="I326" s="26">
        <f t="shared" si="53"/>
        <v>0</v>
      </c>
      <c r="J326" s="26">
        <f t="shared" si="54"/>
        <v>0</v>
      </c>
      <c r="K326" s="40">
        <f t="shared" si="55"/>
        <v>0</v>
      </c>
      <c r="L326" s="39">
        <f t="shared" si="51"/>
        <v>312729</v>
      </c>
      <c r="M326" s="26">
        <f t="shared" si="57"/>
        <v>234547</v>
      </c>
      <c r="N326" s="26">
        <f t="shared" si="58"/>
        <v>95556</v>
      </c>
      <c r="O326" s="40">
        <f t="shared" si="59"/>
        <v>225860</v>
      </c>
      <c r="P326">
        <f t="shared" si="56"/>
        <v>868692</v>
      </c>
    </row>
    <row r="327" spans="2:16" x14ac:dyDescent="0.3">
      <c r="B327" s="38">
        <v>43790</v>
      </c>
      <c r="C327" s="3">
        <v>7661877</v>
      </c>
      <c r="D327" s="3">
        <v>5746408</v>
      </c>
      <c r="E327" s="3">
        <v>2341129</v>
      </c>
      <c r="F327" s="3">
        <v>5533578</v>
      </c>
      <c r="G327" s="25">
        <f t="shared" si="60"/>
        <v>21282992</v>
      </c>
      <c r="H327" s="39">
        <f t="shared" si="52"/>
        <v>0</v>
      </c>
      <c r="I327" s="26">
        <f t="shared" si="53"/>
        <v>0</v>
      </c>
      <c r="J327" s="26">
        <f t="shared" si="54"/>
        <v>0</v>
      </c>
      <c r="K327" s="40">
        <f t="shared" si="55"/>
        <v>0</v>
      </c>
      <c r="L327" s="39">
        <f t="shared" si="51"/>
        <v>156365</v>
      </c>
      <c r="M327" s="26">
        <f t="shared" si="57"/>
        <v>117274</v>
      </c>
      <c r="N327" s="26">
        <f t="shared" si="58"/>
        <v>47778</v>
      </c>
      <c r="O327" s="40">
        <f t="shared" si="59"/>
        <v>112930</v>
      </c>
      <c r="P327">
        <f t="shared" si="56"/>
        <v>434347</v>
      </c>
    </row>
    <row r="328" spans="2:16" x14ac:dyDescent="0.3">
      <c r="B328" s="38">
        <v>43791</v>
      </c>
      <c r="C328" s="3">
        <v>8209154</v>
      </c>
      <c r="D328" s="3">
        <v>6156866</v>
      </c>
      <c r="E328" s="3">
        <v>2508352</v>
      </c>
      <c r="F328" s="3">
        <v>5928833</v>
      </c>
      <c r="G328" s="25">
        <f t="shared" si="60"/>
        <v>22803205</v>
      </c>
      <c r="H328" s="39">
        <f t="shared" si="52"/>
        <v>0</v>
      </c>
      <c r="I328" s="26">
        <f t="shared" si="53"/>
        <v>0</v>
      </c>
      <c r="J328" s="26">
        <f t="shared" si="54"/>
        <v>0</v>
      </c>
      <c r="K328" s="40">
        <f t="shared" si="55"/>
        <v>0</v>
      </c>
      <c r="L328" s="39">
        <f t="shared" si="51"/>
        <v>390912</v>
      </c>
      <c r="M328" s="26">
        <f t="shared" si="57"/>
        <v>293185</v>
      </c>
      <c r="N328" s="26">
        <f t="shared" si="58"/>
        <v>119445</v>
      </c>
      <c r="O328" s="40">
        <f t="shared" si="59"/>
        <v>282325</v>
      </c>
      <c r="P328">
        <f t="shared" si="56"/>
        <v>1085867</v>
      </c>
    </row>
    <row r="329" spans="2:16" x14ac:dyDescent="0.3">
      <c r="B329" s="38">
        <v>43792</v>
      </c>
      <c r="C329" s="3">
        <v>16483516</v>
      </c>
      <c r="D329" s="3">
        <v>12362637</v>
      </c>
      <c r="E329" s="3">
        <v>5036630</v>
      </c>
      <c r="F329" s="3">
        <v>11904761</v>
      </c>
      <c r="G329" s="25">
        <f t="shared" si="60"/>
        <v>45787544</v>
      </c>
      <c r="H329" s="39">
        <f t="shared" si="52"/>
        <v>-484809</v>
      </c>
      <c r="I329" s="26">
        <f t="shared" si="53"/>
        <v>-363607</v>
      </c>
      <c r="J329" s="26">
        <f t="shared" si="54"/>
        <v>-148136</v>
      </c>
      <c r="K329" s="40">
        <f t="shared" si="55"/>
        <v>-350140</v>
      </c>
      <c r="L329" s="39">
        <f t="shared" si="51"/>
        <v>0</v>
      </c>
      <c r="M329" s="26">
        <f t="shared" si="57"/>
        <v>0</v>
      </c>
      <c r="N329" s="26">
        <f t="shared" si="58"/>
        <v>0</v>
      </c>
      <c r="O329" s="40">
        <f t="shared" si="59"/>
        <v>0</v>
      </c>
      <c r="P329">
        <f t="shared" si="56"/>
        <v>-1346692</v>
      </c>
    </row>
    <row r="330" spans="2:16" x14ac:dyDescent="0.3">
      <c r="B330" s="38">
        <v>43793</v>
      </c>
      <c r="C330" s="3">
        <v>16645119</v>
      </c>
      <c r="D330" s="3">
        <v>12483839</v>
      </c>
      <c r="E330" s="3">
        <v>5086008</v>
      </c>
      <c r="F330" s="3">
        <v>12021475</v>
      </c>
      <c r="G330" s="25">
        <f t="shared" si="60"/>
        <v>46236441</v>
      </c>
      <c r="H330" s="39">
        <f t="shared" si="52"/>
        <v>0</v>
      </c>
      <c r="I330" s="26">
        <f t="shared" si="53"/>
        <v>0</v>
      </c>
      <c r="J330" s="26">
        <f t="shared" si="54"/>
        <v>0</v>
      </c>
      <c r="K330" s="40">
        <f t="shared" si="55"/>
        <v>0</v>
      </c>
      <c r="L330" s="39">
        <f t="shared" ref="L330:L368" si="61">IF(C330&gt;C323,C330-C323,0)</f>
        <v>808015</v>
      </c>
      <c r="M330" s="26">
        <f t="shared" si="57"/>
        <v>606011</v>
      </c>
      <c r="N330" s="26">
        <f t="shared" si="58"/>
        <v>246893</v>
      </c>
      <c r="O330" s="40">
        <f t="shared" si="59"/>
        <v>583567</v>
      </c>
      <c r="P330">
        <f t="shared" si="56"/>
        <v>2244486</v>
      </c>
    </row>
    <row r="331" spans="2:16" x14ac:dyDescent="0.3">
      <c r="B331" s="38">
        <v>43794</v>
      </c>
      <c r="C331" s="3">
        <v>7974607</v>
      </c>
      <c r="D331" s="3">
        <v>5980955</v>
      </c>
      <c r="E331" s="3">
        <v>2436685</v>
      </c>
      <c r="F331" s="3">
        <v>5759438</v>
      </c>
      <c r="G331" s="25">
        <f t="shared" si="60"/>
        <v>22151685</v>
      </c>
      <c r="H331" s="39">
        <f t="shared" ref="H331:H368" si="62">IF(C331&lt;C324,C331-C324,0)</f>
        <v>-234547</v>
      </c>
      <c r="I331" s="26">
        <f t="shared" ref="I331:I368" si="63">IF(D331&lt;D324,D331-D324,0)</f>
        <v>-175911</v>
      </c>
      <c r="J331" s="26">
        <f t="shared" ref="J331:J368" si="64">IF(E331&lt;E324,E331-E324,0)</f>
        <v>-71667</v>
      </c>
      <c r="K331" s="40">
        <f t="shared" ref="K331:K368" si="65">IF(F331&lt;F324,F331-F324,0)</f>
        <v>-169395</v>
      </c>
      <c r="L331" s="39">
        <f t="shared" si="61"/>
        <v>0</v>
      </c>
      <c r="M331" s="26">
        <f t="shared" si="57"/>
        <v>0</v>
      </c>
      <c r="N331" s="26">
        <f t="shared" si="58"/>
        <v>0</v>
      </c>
      <c r="O331" s="40">
        <f t="shared" si="59"/>
        <v>0</v>
      </c>
      <c r="P331">
        <f t="shared" ref="P331:P368" si="66">G331-G324</f>
        <v>-651520</v>
      </c>
    </row>
    <row r="332" spans="2:16" x14ac:dyDescent="0.3">
      <c r="B332" s="38">
        <v>43795</v>
      </c>
      <c r="C332" s="3">
        <v>7583695</v>
      </c>
      <c r="D332" s="3">
        <v>5687771</v>
      </c>
      <c r="E332" s="3">
        <v>2317240</v>
      </c>
      <c r="F332" s="3">
        <v>5477113</v>
      </c>
      <c r="G332" s="25">
        <f t="shared" si="60"/>
        <v>21065819</v>
      </c>
      <c r="H332" s="39">
        <f t="shared" si="62"/>
        <v>-78182</v>
      </c>
      <c r="I332" s="26">
        <f t="shared" si="63"/>
        <v>-58637</v>
      </c>
      <c r="J332" s="26">
        <f t="shared" si="64"/>
        <v>-23889</v>
      </c>
      <c r="K332" s="40">
        <f t="shared" si="65"/>
        <v>-56465</v>
      </c>
      <c r="L332" s="39">
        <f t="shared" si="61"/>
        <v>0</v>
      </c>
      <c r="M332" s="26">
        <f t="shared" si="57"/>
        <v>0</v>
      </c>
      <c r="N332" s="26">
        <f t="shared" si="58"/>
        <v>0</v>
      </c>
      <c r="O332" s="40">
        <f t="shared" si="59"/>
        <v>0</v>
      </c>
      <c r="P332">
        <f t="shared" si="66"/>
        <v>-217173</v>
      </c>
    </row>
    <row r="333" spans="2:16" x14ac:dyDescent="0.3">
      <c r="B333" s="38">
        <v>43796</v>
      </c>
      <c r="C333" s="3">
        <v>8209154</v>
      </c>
      <c r="D333" s="3">
        <v>6156866</v>
      </c>
      <c r="E333" s="3">
        <v>2508352</v>
      </c>
      <c r="F333" s="3">
        <v>5928833</v>
      </c>
      <c r="G333" s="25">
        <f t="shared" si="60"/>
        <v>22803205</v>
      </c>
      <c r="H333" s="39">
        <f t="shared" si="62"/>
        <v>0</v>
      </c>
      <c r="I333" s="26">
        <f t="shared" si="63"/>
        <v>0</v>
      </c>
      <c r="J333" s="26">
        <f t="shared" si="64"/>
        <v>0</v>
      </c>
      <c r="K333" s="40">
        <f t="shared" si="65"/>
        <v>0</v>
      </c>
      <c r="L333" s="39">
        <f t="shared" si="61"/>
        <v>156365</v>
      </c>
      <c r="M333" s="26">
        <f t="shared" si="57"/>
        <v>117274</v>
      </c>
      <c r="N333" s="26">
        <f t="shared" si="58"/>
        <v>47778</v>
      </c>
      <c r="O333" s="40">
        <f t="shared" si="59"/>
        <v>112930</v>
      </c>
      <c r="P333">
        <f t="shared" si="66"/>
        <v>434347</v>
      </c>
    </row>
    <row r="334" spans="2:16" x14ac:dyDescent="0.3">
      <c r="B334" s="38">
        <v>43797</v>
      </c>
      <c r="C334" s="3">
        <v>8209154</v>
      </c>
      <c r="D334" s="3">
        <v>6156866</v>
      </c>
      <c r="E334" s="3">
        <v>2508352</v>
      </c>
      <c r="F334" s="3">
        <v>5928833</v>
      </c>
      <c r="G334" s="25">
        <f t="shared" si="60"/>
        <v>22803205</v>
      </c>
      <c r="H334" s="39">
        <f t="shared" si="62"/>
        <v>0</v>
      </c>
      <c r="I334" s="26">
        <f t="shared" si="63"/>
        <v>0</v>
      </c>
      <c r="J334" s="26">
        <f t="shared" si="64"/>
        <v>0</v>
      </c>
      <c r="K334" s="40">
        <f t="shared" si="65"/>
        <v>0</v>
      </c>
      <c r="L334" s="39">
        <f t="shared" si="61"/>
        <v>547277</v>
      </c>
      <c r="M334" s="26">
        <f t="shared" si="57"/>
        <v>410458</v>
      </c>
      <c r="N334" s="26">
        <f t="shared" si="58"/>
        <v>167223</v>
      </c>
      <c r="O334" s="40">
        <f t="shared" si="59"/>
        <v>395255</v>
      </c>
      <c r="P334">
        <f t="shared" si="66"/>
        <v>1520213</v>
      </c>
    </row>
    <row r="335" spans="2:16" x14ac:dyDescent="0.3">
      <c r="B335" s="38">
        <v>43798</v>
      </c>
      <c r="C335" s="3">
        <v>7818242</v>
      </c>
      <c r="D335" s="3">
        <v>5863681</v>
      </c>
      <c r="E335" s="3">
        <v>2388907</v>
      </c>
      <c r="F335" s="3">
        <v>5646508</v>
      </c>
      <c r="G335" s="25">
        <f t="shared" si="60"/>
        <v>21717338</v>
      </c>
      <c r="H335" s="39">
        <f t="shared" si="62"/>
        <v>-390912</v>
      </c>
      <c r="I335" s="26">
        <f t="shared" si="63"/>
        <v>-293185</v>
      </c>
      <c r="J335" s="26">
        <f t="shared" si="64"/>
        <v>-119445</v>
      </c>
      <c r="K335" s="40">
        <f t="shared" si="65"/>
        <v>-282325</v>
      </c>
      <c r="L335" s="39">
        <f t="shared" si="61"/>
        <v>0</v>
      </c>
      <c r="M335" s="26">
        <f t="shared" si="57"/>
        <v>0</v>
      </c>
      <c r="N335" s="26">
        <f t="shared" si="58"/>
        <v>0</v>
      </c>
      <c r="O335" s="40">
        <f t="shared" si="59"/>
        <v>0</v>
      </c>
      <c r="P335">
        <f t="shared" si="66"/>
        <v>-1085867</v>
      </c>
    </row>
    <row r="336" spans="2:16" x14ac:dyDescent="0.3">
      <c r="B336" s="38">
        <v>43799</v>
      </c>
      <c r="C336" s="3">
        <v>16968325</v>
      </c>
      <c r="D336" s="3">
        <v>12726244</v>
      </c>
      <c r="E336" s="3">
        <v>5184766</v>
      </c>
      <c r="F336" s="3">
        <v>12254901</v>
      </c>
      <c r="G336" s="25">
        <f t="shared" si="60"/>
        <v>47134236</v>
      </c>
      <c r="H336" s="39">
        <f t="shared" si="62"/>
        <v>0</v>
      </c>
      <c r="I336" s="26">
        <f t="shared" si="63"/>
        <v>0</v>
      </c>
      <c r="J336" s="26">
        <f t="shared" si="64"/>
        <v>0</v>
      </c>
      <c r="K336" s="40">
        <f t="shared" si="65"/>
        <v>0</v>
      </c>
      <c r="L336" s="39">
        <f t="shared" si="61"/>
        <v>484809</v>
      </c>
      <c r="M336" s="26">
        <f t="shared" si="57"/>
        <v>363607</v>
      </c>
      <c r="N336" s="26">
        <f t="shared" si="58"/>
        <v>148136</v>
      </c>
      <c r="O336" s="40">
        <f t="shared" si="59"/>
        <v>350140</v>
      </c>
      <c r="P336">
        <f t="shared" si="66"/>
        <v>1346692</v>
      </c>
    </row>
    <row r="337" spans="2:16" x14ac:dyDescent="0.3">
      <c r="B337" s="38">
        <v>43800</v>
      </c>
      <c r="C337" s="3">
        <v>16806722</v>
      </c>
      <c r="D337" s="3">
        <v>12605042</v>
      </c>
      <c r="E337" s="3">
        <v>5135387</v>
      </c>
      <c r="F337" s="3">
        <v>12138188</v>
      </c>
      <c r="G337" s="25">
        <f t="shared" si="60"/>
        <v>46685339</v>
      </c>
      <c r="H337" s="39">
        <f t="shared" si="62"/>
        <v>0</v>
      </c>
      <c r="I337" s="26">
        <f t="shared" si="63"/>
        <v>0</v>
      </c>
      <c r="J337" s="26">
        <f t="shared" si="64"/>
        <v>0</v>
      </c>
      <c r="K337" s="40">
        <f t="shared" si="65"/>
        <v>0</v>
      </c>
      <c r="L337" s="39">
        <f t="shared" si="61"/>
        <v>161603</v>
      </c>
      <c r="M337" s="26">
        <f t="shared" si="57"/>
        <v>121203</v>
      </c>
      <c r="N337" s="26">
        <f t="shared" si="58"/>
        <v>49379</v>
      </c>
      <c r="O337" s="40">
        <f t="shared" si="59"/>
        <v>116713</v>
      </c>
      <c r="P337">
        <f t="shared" si="66"/>
        <v>448898</v>
      </c>
    </row>
    <row r="338" spans="2:16" x14ac:dyDescent="0.3">
      <c r="B338" s="38">
        <v>43801</v>
      </c>
      <c r="C338" s="3">
        <v>7740060</v>
      </c>
      <c r="D338" s="3">
        <v>5805045</v>
      </c>
      <c r="E338" s="3">
        <v>2365018</v>
      </c>
      <c r="F338" s="3">
        <v>5590043</v>
      </c>
      <c r="G338" s="25">
        <f t="shared" si="60"/>
        <v>21500166</v>
      </c>
      <c r="H338" s="39">
        <f t="shared" si="62"/>
        <v>-234547</v>
      </c>
      <c r="I338" s="26">
        <f t="shared" si="63"/>
        <v>-175910</v>
      </c>
      <c r="J338" s="26">
        <f t="shared" si="64"/>
        <v>-71667</v>
      </c>
      <c r="K338" s="40">
        <f t="shared" si="65"/>
        <v>-169395</v>
      </c>
      <c r="L338" s="39">
        <f t="shared" si="61"/>
        <v>0</v>
      </c>
      <c r="M338" s="26">
        <f t="shared" si="57"/>
        <v>0</v>
      </c>
      <c r="N338" s="26">
        <f t="shared" si="58"/>
        <v>0</v>
      </c>
      <c r="O338" s="40">
        <f t="shared" si="59"/>
        <v>0</v>
      </c>
      <c r="P338">
        <f t="shared" si="66"/>
        <v>-651519</v>
      </c>
    </row>
    <row r="339" spans="2:16" x14ac:dyDescent="0.3">
      <c r="B339" s="38">
        <v>43802</v>
      </c>
      <c r="C339" s="3">
        <v>7505512</v>
      </c>
      <c r="D339" s="3">
        <v>5629134</v>
      </c>
      <c r="E339" s="3">
        <v>2293351</v>
      </c>
      <c r="F339" s="3">
        <v>5420648</v>
      </c>
      <c r="G339" s="25">
        <f t="shared" si="60"/>
        <v>20848645</v>
      </c>
      <c r="H339" s="39">
        <f t="shared" si="62"/>
        <v>-78183</v>
      </c>
      <c r="I339" s="26">
        <f t="shared" si="63"/>
        <v>-58637</v>
      </c>
      <c r="J339" s="26">
        <f t="shared" si="64"/>
        <v>-23889</v>
      </c>
      <c r="K339" s="40">
        <f t="shared" si="65"/>
        <v>-56465</v>
      </c>
      <c r="L339" s="39">
        <f t="shared" si="61"/>
        <v>0</v>
      </c>
      <c r="M339" s="26">
        <f t="shared" si="57"/>
        <v>0</v>
      </c>
      <c r="N339" s="26">
        <f t="shared" si="58"/>
        <v>0</v>
      </c>
      <c r="O339" s="40">
        <f t="shared" si="59"/>
        <v>0</v>
      </c>
      <c r="P339">
        <f t="shared" si="66"/>
        <v>-217174</v>
      </c>
    </row>
    <row r="340" spans="2:16" x14ac:dyDescent="0.3">
      <c r="B340" s="38">
        <v>43803</v>
      </c>
      <c r="C340" s="3">
        <v>8052789</v>
      </c>
      <c r="D340" s="3">
        <v>6039592</v>
      </c>
      <c r="E340" s="3">
        <v>2460574</v>
      </c>
      <c r="F340" s="3">
        <v>5815903</v>
      </c>
      <c r="G340" s="25">
        <f t="shared" si="60"/>
        <v>22368858</v>
      </c>
      <c r="H340" s="39">
        <f t="shared" si="62"/>
        <v>-156365</v>
      </c>
      <c r="I340" s="26">
        <f t="shared" si="63"/>
        <v>-117274</v>
      </c>
      <c r="J340" s="26">
        <f t="shared" si="64"/>
        <v>-47778</v>
      </c>
      <c r="K340" s="40">
        <f t="shared" si="65"/>
        <v>-112930</v>
      </c>
      <c r="L340" s="39">
        <f t="shared" si="61"/>
        <v>0</v>
      </c>
      <c r="M340" s="26">
        <f t="shared" si="57"/>
        <v>0</v>
      </c>
      <c r="N340" s="26">
        <f t="shared" si="58"/>
        <v>0</v>
      </c>
      <c r="O340" s="40">
        <f t="shared" si="59"/>
        <v>0</v>
      </c>
      <c r="P340">
        <f t="shared" si="66"/>
        <v>-434347</v>
      </c>
    </row>
    <row r="341" spans="2:16" x14ac:dyDescent="0.3">
      <c r="B341" s="38">
        <v>43804</v>
      </c>
      <c r="C341" s="3">
        <v>8130972</v>
      </c>
      <c r="D341" s="3">
        <v>6098229</v>
      </c>
      <c r="E341" s="3">
        <v>2484463</v>
      </c>
      <c r="F341" s="3">
        <v>5872368</v>
      </c>
      <c r="G341" s="25">
        <f t="shared" si="60"/>
        <v>22586032</v>
      </c>
      <c r="H341" s="39">
        <f t="shared" si="62"/>
        <v>-78182</v>
      </c>
      <c r="I341" s="26">
        <f t="shared" si="63"/>
        <v>-58637</v>
      </c>
      <c r="J341" s="26">
        <f t="shared" si="64"/>
        <v>-23889</v>
      </c>
      <c r="K341" s="40">
        <f t="shared" si="65"/>
        <v>-56465</v>
      </c>
      <c r="L341" s="39">
        <f t="shared" si="61"/>
        <v>0</v>
      </c>
      <c r="M341" s="26">
        <f t="shared" si="57"/>
        <v>0</v>
      </c>
      <c r="N341" s="26">
        <f t="shared" si="58"/>
        <v>0</v>
      </c>
      <c r="O341" s="40">
        <f t="shared" si="59"/>
        <v>0</v>
      </c>
      <c r="P341">
        <f t="shared" si="66"/>
        <v>-217173</v>
      </c>
    </row>
    <row r="342" spans="2:16" x14ac:dyDescent="0.3">
      <c r="B342" s="38">
        <v>43805</v>
      </c>
      <c r="C342" s="3">
        <v>7583695</v>
      </c>
      <c r="D342" s="3">
        <v>5687771</v>
      </c>
      <c r="E342" s="3">
        <v>2317240</v>
      </c>
      <c r="F342" s="3">
        <v>5477113</v>
      </c>
      <c r="G342" s="25">
        <f t="shared" si="60"/>
        <v>21065819</v>
      </c>
      <c r="H342" s="39">
        <f t="shared" si="62"/>
        <v>-234547</v>
      </c>
      <c r="I342" s="26">
        <f t="shared" si="63"/>
        <v>-175910</v>
      </c>
      <c r="J342" s="26">
        <f t="shared" si="64"/>
        <v>-71667</v>
      </c>
      <c r="K342" s="40">
        <f t="shared" si="65"/>
        <v>-169395</v>
      </c>
      <c r="L342" s="39">
        <f t="shared" si="61"/>
        <v>0</v>
      </c>
      <c r="M342" s="26">
        <f t="shared" si="57"/>
        <v>0</v>
      </c>
      <c r="N342" s="26">
        <f t="shared" si="58"/>
        <v>0</v>
      </c>
      <c r="O342" s="40">
        <f t="shared" si="59"/>
        <v>0</v>
      </c>
      <c r="P342">
        <f t="shared" si="66"/>
        <v>-651519</v>
      </c>
    </row>
    <row r="343" spans="2:16" x14ac:dyDescent="0.3">
      <c r="B343" s="38">
        <v>43806</v>
      </c>
      <c r="C343" s="3">
        <v>15837104</v>
      </c>
      <c r="D343" s="3">
        <v>11877828</v>
      </c>
      <c r="E343" s="3">
        <v>4839115</v>
      </c>
      <c r="F343" s="3">
        <v>11437908</v>
      </c>
      <c r="G343" s="25">
        <f t="shared" si="60"/>
        <v>43991955</v>
      </c>
      <c r="H343" s="39">
        <f t="shared" si="62"/>
        <v>-1131221</v>
      </c>
      <c r="I343" s="26">
        <f t="shared" si="63"/>
        <v>-848416</v>
      </c>
      <c r="J343" s="26">
        <f t="shared" si="64"/>
        <v>-345651</v>
      </c>
      <c r="K343" s="40">
        <f t="shared" si="65"/>
        <v>-816993</v>
      </c>
      <c r="L343" s="39">
        <f t="shared" si="61"/>
        <v>0</v>
      </c>
      <c r="M343" s="26">
        <f t="shared" si="57"/>
        <v>0</v>
      </c>
      <c r="N343" s="26">
        <f t="shared" si="58"/>
        <v>0</v>
      </c>
      <c r="O343" s="40">
        <f t="shared" si="59"/>
        <v>0</v>
      </c>
      <c r="P343">
        <f t="shared" si="66"/>
        <v>-3142281</v>
      </c>
    </row>
    <row r="344" spans="2:16" x14ac:dyDescent="0.3">
      <c r="B344" s="38">
        <v>43807</v>
      </c>
      <c r="C344" s="3">
        <v>15837104</v>
      </c>
      <c r="D344" s="3">
        <v>11877828</v>
      </c>
      <c r="E344" s="3">
        <v>4839115</v>
      </c>
      <c r="F344" s="3">
        <v>11437908</v>
      </c>
      <c r="G344" s="25">
        <f t="shared" si="60"/>
        <v>43991955</v>
      </c>
      <c r="H344" s="39">
        <f t="shared" si="62"/>
        <v>-969618</v>
      </c>
      <c r="I344" s="26">
        <f t="shared" si="63"/>
        <v>-727214</v>
      </c>
      <c r="J344" s="26">
        <f t="shared" si="64"/>
        <v>-296272</v>
      </c>
      <c r="K344" s="40">
        <f t="shared" si="65"/>
        <v>-700280</v>
      </c>
      <c r="L344" s="39">
        <f t="shared" si="61"/>
        <v>0</v>
      </c>
      <c r="M344" s="26">
        <f t="shared" si="57"/>
        <v>0</v>
      </c>
      <c r="N344" s="26">
        <f t="shared" si="58"/>
        <v>0</v>
      </c>
      <c r="O344" s="40">
        <f t="shared" si="59"/>
        <v>0</v>
      </c>
      <c r="P344">
        <f t="shared" si="66"/>
        <v>-2693384</v>
      </c>
    </row>
    <row r="345" spans="2:16" x14ac:dyDescent="0.3">
      <c r="B345" s="38">
        <v>43808</v>
      </c>
      <c r="C345" s="3">
        <v>8130972</v>
      </c>
      <c r="D345" s="3">
        <v>6098229</v>
      </c>
      <c r="E345" s="3">
        <v>2484463</v>
      </c>
      <c r="F345" s="3">
        <v>5872368</v>
      </c>
      <c r="G345" s="25">
        <f t="shared" si="60"/>
        <v>22586032</v>
      </c>
      <c r="H345" s="39">
        <f t="shared" si="62"/>
        <v>0</v>
      </c>
      <c r="I345" s="26">
        <f t="shared" si="63"/>
        <v>0</v>
      </c>
      <c r="J345" s="26">
        <f t="shared" si="64"/>
        <v>0</v>
      </c>
      <c r="K345" s="40">
        <f t="shared" si="65"/>
        <v>0</v>
      </c>
      <c r="L345" s="39">
        <f t="shared" si="61"/>
        <v>390912</v>
      </c>
      <c r="M345" s="26">
        <f t="shared" si="57"/>
        <v>293184</v>
      </c>
      <c r="N345" s="26">
        <f t="shared" si="58"/>
        <v>119445</v>
      </c>
      <c r="O345" s="40">
        <f t="shared" si="59"/>
        <v>282325</v>
      </c>
      <c r="P345">
        <f t="shared" si="66"/>
        <v>1085866</v>
      </c>
    </row>
    <row r="346" spans="2:16" x14ac:dyDescent="0.3">
      <c r="B346" s="38">
        <v>43809</v>
      </c>
      <c r="C346" s="3">
        <v>7740060</v>
      </c>
      <c r="D346" s="3">
        <v>5805045</v>
      </c>
      <c r="E346" s="3">
        <v>2365018</v>
      </c>
      <c r="F346" s="3">
        <v>5590043</v>
      </c>
      <c r="G346" s="25">
        <f t="shared" si="60"/>
        <v>21500166</v>
      </c>
      <c r="H346" s="39">
        <f t="shared" si="62"/>
        <v>0</v>
      </c>
      <c r="I346" s="26">
        <f t="shared" si="63"/>
        <v>0</v>
      </c>
      <c r="J346" s="26">
        <f t="shared" si="64"/>
        <v>0</v>
      </c>
      <c r="K346" s="40">
        <f t="shared" si="65"/>
        <v>0</v>
      </c>
      <c r="L346" s="39">
        <f t="shared" si="61"/>
        <v>234548</v>
      </c>
      <c r="M346" s="26">
        <f t="shared" si="57"/>
        <v>175911</v>
      </c>
      <c r="N346" s="26">
        <f t="shared" si="58"/>
        <v>71667</v>
      </c>
      <c r="O346" s="40">
        <f t="shared" si="59"/>
        <v>169395</v>
      </c>
      <c r="P346">
        <f t="shared" si="66"/>
        <v>651521</v>
      </c>
    </row>
    <row r="347" spans="2:16" x14ac:dyDescent="0.3">
      <c r="B347" s="38">
        <v>43810</v>
      </c>
      <c r="C347" s="3">
        <v>8130972</v>
      </c>
      <c r="D347" s="3">
        <v>6098229</v>
      </c>
      <c r="E347" s="3">
        <v>2484463</v>
      </c>
      <c r="F347" s="3">
        <v>5872368</v>
      </c>
      <c r="G347" s="25">
        <f t="shared" si="60"/>
        <v>22586032</v>
      </c>
      <c r="H347" s="39">
        <f t="shared" si="62"/>
        <v>0</v>
      </c>
      <c r="I347" s="26">
        <f t="shared" si="63"/>
        <v>0</v>
      </c>
      <c r="J347" s="26">
        <f t="shared" si="64"/>
        <v>0</v>
      </c>
      <c r="K347" s="40">
        <f t="shared" si="65"/>
        <v>0</v>
      </c>
      <c r="L347" s="39">
        <f t="shared" si="61"/>
        <v>78183</v>
      </c>
      <c r="M347" s="26">
        <f t="shared" si="57"/>
        <v>58637</v>
      </c>
      <c r="N347" s="26">
        <f t="shared" si="58"/>
        <v>23889</v>
      </c>
      <c r="O347" s="40">
        <f t="shared" si="59"/>
        <v>56465</v>
      </c>
      <c r="P347">
        <f t="shared" si="66"/>
        <v>217174</v>
      </c>
    </row>
    <row r="348" spans="2:16" x14ac:dyDescent="0.3">
      <c r="B348" s="38">
        <v>43811</v>
      </c>
      <c r="C348" s="3">
        <v>7896424</v>
      </c>
      <c r="D348" s="3">
        <v>5922318</v>
      </c>
      <c r="E348" s="3">
        <v>2412796</v>
      </c>
      <c r="F348" s="3">
        <v>5702973</v>
      </c>
      <c r="G348" s="25">
        <f t="shared" si="60"/>
        <v>21934511</v>
      </c>
      <c r="H348" s="39">
        <f t="shared" si="62"/>
        <v>-234548</v>
      </c>
      <c r="I348" s="26">
        <f t="shared" si="63"/>
        <v>-175911</v>
      </c>
      <c r="J348" s="26">
        <f t="shared" si="64"/>
        <v>-71667</v>
      </c>
      <c r="K348" s="40">
        <f t="shared" si="65"/>
        <v>-169395</v>
      </c>
      <c r="L348" s="39">
        <f t="shared" si="61"/>
        <v>0</v>
      </c>
      <c r="M348" s="26">
        <f t="shared" si="57"/>
        <v>0</v>
      </c>
      <c r="N348" s="26">
        <f t="shared" si="58"/>
        <v>0</v>
      </c>
      <c r="O348" s="40">
        <f t="shared" si="59"/>
        <v>0</v>
      </c>
      <c r="P348">
        <f t="shared" si="66"/>
        <v>-651521</v>
      </c>
    </row>
    <row r="349" spans="2:16" x14ac:dyDescent="0.3">
      <c r="B349" s="38">
        <v>43812</v>
      </c>
      <c r="C349" s="3">
        <v>8209154</v>
      </c>
      <c r="D349" s="3">
        <v>6156866</v>
      </c>
      <c r="E349" s="3">
        <v>2508352</v>
      </c>
      <c r="F349" s="3">
        <v>5928833</v>
      </c>
      <c r="G349" s="25">
        <f t="shared" si="60"/>
        <v>22803205</v>
      </c>
      <c r="H349" s="39">
        <f t="shared" si="62"/>
        <v>0</v>
      </c>
      <c r="I349" s="26">
        <f t="shared" si="63"/>
        <v>0</v>
      </c>
      <c r="J349" s="26">
        <f t="shared" si="64"/>
        <v>0</v>
      </c>
      <c r="K349" s="40">
        <f t="shared" si="65"/>
        <v>0</v>
      </c>
      <c r="L349" s="39">
        <f t="shared" si="61"/>
        <v>625459</v>
      </c>
      <c r="M349" s="26">
        <f t="shared" si="57"/>
        <v>469095</v>
      </c>
      <c r="N349" s="26">
        <f t="shared" si="58"/>
        <v>191112</v>
      </c>
      <c r="O349" s="40">
        <f t="shared" si="59"/>
        <v>451720</v>
      </c>
      <c r="P349">
        <f t="shared" si="66"/>
        <v>1737386</v>
      </c>
    </row>
    <row r="350" spans="2:16" x14ac:dyDescent="0.3">
      <c r="B350" s="38">
        <v>43813</v>
      </c>
      <c r="C350" s="3">
        <v>16483516</v>
      </c>
      <c r="D350" s="3">
        <v>12362637</v>
      </c>
      <c r="E350" s="3">
        <v>5036630</v>
      </c>
      <c r="F350" s="3">
        <v>11904761</v>
      </c>
      <c r="G350" s="25">
        <f t="shared" si="60"/>
        <v>45787544</v>
      </c>
      <c r="H350" s="39">
        <f t="shared" si="62"/>
        <v>0</v>
      </c>
      <c r="I350" s="26">
        <f t="shared" si="63"/>
        <v>0</v>
      </c>
      <c r="J350" s="26">
        <f t="shared" si="64"/>
        <v>0</v>
      </c>
      <c r="K350" s="40">
        <f t="shared" si="65"/>
        <v>0</v>
      </c>
      <c r="L350" s="39">
        <f t="shared" si="61"/>
        <v>646412</v>
      </c>
      <c r="M350" s="26">
        <f t="shared" si="57"/>
        <v>484809</v>
      </c>
      <c r="N350" s="26">
        <f t="shared" si="58"/>
        <v>197515</v>
      </c>
      <c r="O350" s="40">
        <f t="shared" si="59"/>
        <v>466853</v>
      </c>
      <c r="P350">
        <f t="shared" si="66"/>
        <v>1795589</v>
      </c>
    </row>
    <row r="351" spans="2:16" x14ac:dyDescent="0.3">
      <c r="B351" s="38">
        <v>43814</v>
      </c>
      <c r="C351" s="3">
        <v>15513897</v>
      </c>
      <c r="D351" s="3">
        <v>11635423</v>
      </c>
      <c r="E351" s="3">
        <v>4740357</v>
      </c>
      <c r="F351" s="3">
        <v>11204481</v>
      </c>
      <c r="G351" s="25">
        <f t="shared" si="60"/>
        <v>43094158</v>
      </c>
      <c r="H351" s="39">
        <f t="shared" si="62"/>
        <v>-323207</v>
      </c>
      <c r="I351" s="26">
        <f t="shared" si="63"/>
        <v>-242405</v>
      </c>
      <c r="J351" s="26">
        <f t="shared" si="64"/>
        <v>-98758</v>
      </c>
      <c r="K351" s="40">
        <f t="shared" si="65"/>
        <v>-233427</v>
      </c>
      <c r="L351" s="39">
        <f t="shared" si="61"/>
        <v>0</v>
      </c>
      <c r="M351" s="26">
        <f t="shared" ref="M351:M368" si="67">IF(D351&gt;D344,D351-D344,0)</f>
        <v>0</v>
      </c>
      <c r="N351" s="26">
        <f t="shared" ref="N351:N368" si="68">IF(E351&gt;E344,E351-E344,0)</f>
        <v>0</v>
      </c>
      <c r="O351" s="40">
        <f t="shared" ref="O351:O368" si="69">IF(F351&gt;F344,F351-F344,0)</f>
        <v>0</v>
      </c>
      <c r="P351">
        <f t="shared" si="66"/>
        <v>-897797</v>
      </c>
    </row>
    <row r="352" spans="2:16" x14ac:dyDescent="0.3">
      <c r="B352" s="38">
        <v>43815</v>
      </c>
      <c r="C352" s="3">
        <v>7661877</v>
      </c>
      <c r="D352" s="3">
        <v>5746408</v>
      </c>
      <c r="E352" s="3">
        <v>2341129</v>
      </c>
      <c r="F352" s="3">
        <v>5533578</v>
      </c>
      <c r="G352" s="25">
        <f t="shared" si="60"/>
        <v>21282992</v>
      </c>
      <c r="H352" s="39">
        <f t="shared" si="62"/>
        <v>-469095</v>
      </c>
      <c r="I352" s="26">
        <f t="shared" si="63"/>
        <v>-351821</v>
      </c>
      <c r="J352" s="26">
        <f t="shared" si="64"/>
        <v>-143334</v>
      </c>
      <c r="K352" s="40">
        <f t="shared" si="65"/>
        <v>-338790</v>
      </c>
      <c r="L352" s="39">
        <f t="shared" si="61"/>
        <v>0</v>
      </c>
      <c r="M352" s="26">
        <f t="shared" si="67"/>
        <v>0</v>
      </c>
      <c r="N352" s="26">
        <f t="shared" si="68"/>
        <v>0</v>
      </c>
      <c r="O352" s="40">
        <f t="shared" si="69"/>
        <v>0</v>
      </c>
      <c r="P352">
        <f t="shared" si="66"/>
        <v>-1303040</v>
      </c>
    </row>
    <row r="353" spans="2:16" x14ac:dyDescent="0.3">
      <c r="B353" s="38">
        <v>43816</v>
      </c>
      <c r="C353" s="3">
        <v>7583695</v>
      </c>
      <c r="D353" s="3">
        <v>5687771</v>
      </c>
      <c r="E353" s="3">
        <v>2317240</v>
      </c>
      <c r="F353" s="3">
        <v>5477113</v>
      </c>
      <c r="G353" s="25">
        <f t="shared" si="60"/>
        <v>21065819</v>
      </c>
      <c r="H353" s="39">
        <f t="shared" si="62"/>
        <v>-156365</v>
      </c>
      <c r="I353" s="26">
        <f t="shared" si="63"/>
        <v>-117274</v>
      </c>
      <c r="J353" s="26">
        <f t="shared" si="64"/>
        <v>-47778</v>
      </c>
      <c r="K353" s="40">
        <f t="shared" si="65"/>
        <v>-112930</v>
      </c>
      <c r="L353" s="39">
        <f t="shared" si="61"/>
        <v>0</v>
      </c>
      <c r="M353" s="26">
        <f t="shared" si="67"/>
        <v>0</v>
      </c>
      <c r="N353" s="26">
        <f t="shared" si="68"/>
        <v>0</v>
      </c>
      <c r="O353" s="40">
        <f t="shared" si="69"/>
        <v>0</v>
      </c>
      <c r="P353">
        <f t="shared" si="66"/>
        <v>-434347</v>
      </c>
    </row>
    <row r="354" spans="2:16" x14ac:dyDescent="0.3">
      <c r="B354" s="38">
        <v>43817</v>
      </c>
      <c r="C354" s="3">
        <v>8052789</v>
      </c>
      <c r="D354" s="3">
        <v>6039592</v>
      </c>
      <c r="E354" s="3">
        <v>2460574</v>
      </c>
      <c r="F354" s="3">
        <v>5815903</v>
      </c>
      <c r="G354" s="25">
        <f t="shared" si="60"/>
        <v>22368858</v>
      </c>
      <c r="H354" s="39">
        <f t="shared" si="62"/>
        <v>-78183</v>
      </c>
      <c r="I354" s="26">
        <f t="shared" si="63"/>
        <v>-58637</v>
      </c>
      <c r="J354" s="26">
        <f t="shared" si="64"/>
        <v>-23889</v>
      </c>
      <c r="K354" s="40">
        <f t="shared" si="65"/>
        <v>-56465</v>
      </c>
      <c r="L354" s="39">
        <f t="shared" si="61"/>
        <v>0</v>
      </c>
      <c r="M354" s="26">
        <f t="shared" si="67"/>
        <v>0</v>
      </c>
      <c r="N354" s="26">
        <f t="shared" si="68"/>
        <v>0</v>
      </c>
      <c r="O354" s="40">
        <f t="shared" si="69"/>
        <v>0</v>
      </c>
      <c r="P354">
        <f t="shared" si="66"/>
        <v>-217174</v>
      </c>
    </row>
    <row r="355" spans="2:16" x14ac:dyDescent="0.3">
      <c r="B355" s="38">
        <v>43818</v>
      </c>
      <c r="C355" s="3">
        <v>7583695</v>
      </c>
      <c r="D355" s="3">
        <v>5687771</v>
      </c>
      <c r="E355" s="3">
        <v>2317240</v>
      </c>
      <c r="F355" s="3">
        <v>5477113</v>
      </c>
      <c r="G355" s="25">
        <f t="shared" si="60"/>
        <v>21065819</v>
      </c>
      <c r="H355" s="39">
        <f t="shared" si="62"/>
        <v>-312729</v>
      </c>
      <c r="I355" s="26">
        <f t="shared" si="63"/>
        <v>-234547</v>
      </c>
      <c r="J355" s="26">
        <f t="shared" si="64"/>
        <v>-95556</v>
      </c>
      <c r="K355" s="40">
        <f t="shared" si="65"/>
        <v>-225860</v>
      </c>
      <c r="L355" s="39">
        <f t="shared" si="61"/>
        <v>0</v>
      </c>
      <c r="M355" s="26">
        <f t="shared" si="67"/>
        <v>0</v>
      </c>
      <c r="N355" s="26">
        <f t="shared" si="68"/>
        <v>0</v>
      </c>
      <c r="O355" s="40">
        <f t="shared" si="69"/>
        <v>0</v>
      </c>
      <c r="P355">
        <f t="shared" si="66"/>
        <v>-868692</v>
      </c>
    </row>
    <row r="356" spans="2:16" x14ac:dyDescent="0.3">
      <c r="B356" s="38">
        <v>43819</v>
      </c>
      <c r="C356" s="3">
        <v>7974607</v>
      </c>
      <c r="D356" s="3">
        <v>5980955</v>
      </c>
      <c r="E356" s="3">
        <v>2436685</v>
      </c>
      <c r="F356" s="3">
        <v>5759438</v>
      </c>
      <c r="G356" s="25">
        <f t="shared" si="60"/>
        <v>22151685</v>
      </c>
      <c r="H356" s="39">
        <f t="shared" si="62"/>
        <v>-234547</v>
      </c>
      <c r="I356" s="26">
        <f t="shared" si="63"/>
        <v>-175911</v>
      </c>
      <c r="J356" s="26">
        <f t="shared" si="64"/>
        <v>-71667</v>
      </c>
      <c r="K356" s="40">
        <f t="shared" si="65"/>
        <v>-169395</v>
      </c>
      <c r="L356" s="39">
        <f t="shared" si="61"/>
        <v>0</v>
      </c>
      <c r="M356" s="26">
        <f t="shared" si="67"/>
        <v>0</v>
      </c>
      <c r="N356" s="26">
        <f t="shared" si="68"/>
        <v>0</v>
      </c>
      <c r="O356" s="40">
        <f t="shared" si="69"/>
        <v>0</v>
      </c>
      <c r="P356">
        <f t="shared" si="66"/>
        <v>-651520</v>
      </c>
    </row>
    <row r="357" spans="2:16" x14ac:dyDescent="0.3">
      <c r="B357" s="38">
        <v>43820</v>
      </c>
      <c r="C357" s="3">
        <v>16645119</v>
      </c>
      <c r="D357" s="3">
        <v>12483839</v>
      </c>
      <c r="E357" s="3">
        <v>5086008</v>
      </c>
      <c r="F357" s="3">
        <v>12021475</v>
      </c>
      <c r="G357" s="25">
        <f t="shared" si="60"/>
        <v>46236441</v>
      </c>
      <c r="H357" s="39">
        <f t="shared" si="62"/>
        <v>0</v>
      </c>
      <c r="I357" s="26">
        <f t="shared" si="63"/>
        <v>0</v>
      </c>
      <c r="J357" s="26">
        <f t="shared" si="64"/>
        <v>0</v>
      </c>
      <c r="K357" s="40">
        <f t="shared" si="65"/>
        <v>0</v>
      </c>
      <c r="L357" s="39">
        <f t="shared" si="61"/>
        <v>161603</v>
      </c>
      <c r="M357" s="26">
        <f t="shared" si="67"/>
        <v>121202</v>
      </c>
      <c r="N357" s="26">
        <f t="shared" si="68"/>
        <v>49378</v>
      </c>
      <c r="O357" s="40">
        <f t="shared" si="69"/>
        <v>116714</v>
      </c>
      <c r="P357">
        <f t="shared" si="66"/>
        <v>448897</v>
      </c>
    </row>
    <row r="358" spans="2:16" x14ac:dyDescent="0.3">
      <c r="B358" s="38">
        <v>43821</v>
      </c>
      <c r="C358" s="3">
        <v>15513897</v>
      </c>
      <c r="D358" s="3">
        <v>11635423</v>
      </c>
      <c r="E358" s="3">
        <v>4740357</v>
      </c>
      <c r="F358" s="3">
        <v>11204481</v>
      </c>
      <c r="G358" s="25">
        <f t="shared" si="60"/>
        <v>43094158</v>
      </c>
      <c r="H358" s="39">
        <f t="shared" si="62"/>
        <v>0</v>
      </c>
      <c r="I358" s="26">
        <f t="shared" si="63"/>
        <v>0</v>
      </c>
      <c r="J358" s="26">
        <f t="shared" si="64"/>
        <v>0</v>
      </c>
      <c r="K358" s="40">
        <f t="shared" si="65"/>
        <v>0</v>
      </c>
      <c r="L358" s="39">
        <f t="shared" si="61"/>
        <v>0</v>
      </c>
      <c r="M358" s="26">
        <f t="shared" si="67"/>
        <v>0</v>
      </c>
      <c r="N358" s="26">
        <f t="shared" si="68"/>
        <v>0</v>
      </c>
      <c r="O358" s="40">
        <f t="shared" si="69"/>
        <v>0</v>
      </c>
      <c r="P358">
        <f t="shared" si="66"/>
        <v>0</v>
      </c>
    </row>
    <row r="359" spans="2:16" x14ac:dyDescent="0.3">
      <c r="B359" s="38">
        <v>43822</v>
      </c>
      <c r="C359" s="3">
        <v>7740060</v>
      </c>
      <c r="D359" s="3">
        <v>5805045</v>
      </c>
      <c r="E359" s="3">
        <v>2365018</v>
      </c>
      <c r="F359" s="3">
        <v>5590043</v>
      </c>
      <c r="G359" s="25">
        <f t="shared" si="60"/>
        <v>21500166</v>
      </c>
      <c r="H359" s="39">
        <f t="shared" si="62"/>
        <v>0</v>
      </c>
      <c r="I359" s="26">
        <f t="shared" si="63"/>
        <v>0</v>
      </c>
      <c r="J359" s="26">
        <f t="shared" si="64"/>
        <v>0</v>
      </c>
      <c r="K359" s="40">
        <f t="shared" si="65"/>
        <v>0</v>
      </c>
      <c r="L359" s="39">
        <f t="shared" si="61"/>
        <v>78183</v>
      </c>
      <c r="M359" s="26">
        <f t="shared" si="67"/>
        <v>58637</v>
      </c>
      <c r="N359" s="26">
        <f t="shared" si="68"/>
        <v>23889</v>
      </c>
      <c r="O359" s="40">
        <f t="shared" si="69"/>
        <v>56465</v>
      </c>
      <c r="P359">
        <f t="shared" si="66"/>
        <v>217174</v>
      </c>
    </row>
    <row r="360" spans="2:16" x14ac:dyDescent="0.3">
      <c r="B360" s="38">
        <v>43823</v>
      </c>
      <c r="C360" s="3">
        <v>7661877</v>
      </c>
      <c r="D360" s="3">
        <v>5746408</v>
      </c>
      <c r="E360" s="3">
        <v>2341129</v>
      </c>
      <c r="F360" s="3">
        <v>5533578</v>
      </c>
      <c r="G360" s="25">
        <f t="shared" si="60"/>
        <v>21282992</v>
      </c>
      <c r="H360" s="39">
        <f t="shared" si="62"/>
        <v>0</v>
      </c>
      <c r="I360" s="26">
        <f t="shared" si="63"/>
        <v>0</v>
      </c>
      <c r="J360" s="26">
        <f t="shared" si="64"/>
        <v>0</v>
      </c>
      <c r="K360" s="40">
        <f t="shared" si="65"/>
        <v>0</v>
      </c>
      <c r="L360" s="39">
        <f t="shared" si="61"/>
        <v>78182</v>
      </c>
      <c r="M360" s="26">
        <f t="shared" si="67"/>
        <v>58637</v>
      </c>
      <c r="N360" s="26">
        <f t="shared" si="68"/>
        <v>23889</v>
      </c>
      <c r="O360" s="40">
        <f t="shared" si="69"/>
        <v>56465</v>
      </c>
      <c r="P360">
        <f t="shared" si="66"/>
        <v>217173</v>
      </c>
    </row>
    <row r="361" spans="2:16" x14ac:dyDescent="0.3">
      <c r="B361" s="38">
        <v>43824</v>
      </c>
      <c r="C361" s="3">
        <v>7427330</v>
      </c>
      <c r="D361" s="3">
        <v>5570497</v>
      </c>
      <c r="E361" s="3">
        <v>2269462</v>
      </c>
      <c r="F361" s="3">
        <v>5364183</v>
      </c>
      <c r="G361" s="25">
        <f t="shared" si="60"/>
        <v>20631472</v>
      </c>
      <c r="H361" s="39">
        <f t="shared" si="62"/>
        <v>-625459</v>
      </c>
      <c r="I361" s="26">
        <f t="shared" si="63"/>
        <v>-469095</v>
      </c>
      <c r="J361" s="26">
        <f t="shared" si="64"/>
        <v>-191112</v>
      </c>
      <c r="K361" s="40">
        <f t="shared" si="65"/>
        <v>-451720</v>
      </c>
      <c r="L361" s="39">
        <f t="shared" si="61"/>
        <v>0</v>
      </c>
      <c r="M361" s="26">
        <f t="shared" si="67"/>
        <v>0</v>
      </c>
      <c r="N361" s="26">
        <f t="shared" si="68"/>
        <v>0</v>
      </c>
      <c r="O361" s="40">
        <f t="shared" si="69"/>
        <v>0</v>
      </c>
      <c r="P361">
        <f t="shared" si="66"/>
        <v>-1737386</v>
      </c>
    </row>
    <row r="362" spans="2:16" x14ac:dyDescent="0.3">
      <c r="B362" s="38">
        <v>43825</v>
      </c>
      <c r="C362" s="3">
        <v>7427330</v>
      </c>
      <c r="D362" s="3">
        <v>5570497</v>
      </c>
      <c r="E362" s="3">
        <v>2269462</v>
      </c>
      <c r="F362" s="3">
        <v>5364183</v>
      </c>
      <c r="G362" s="25">
        <f t="shared" si="60"/>
        <v>20631472</v>
      </c>
      <c r="H362" s="39">
        <f t="shared" si="62"/>
        <v>-156365</v>
      </c>
      <c r="I362" s="26">
        <f t="shared" si="63"/>
        <v>-117274</v>
      </c>
      <c r="J362" s="26">
        <f t="shared" si="64"/>
        <v>-47778</v>
      </c>
      <c r="K362" s="40">
        <f t="shared" si="65"/>
        <v>-112930</v>
      </c>
      <c r="L362" s="39">
        <f t="shared" si="61"/>
        <v>0</v>
      </c>
      <c r="M362" s="26">
        <f t="shared" si="67"/>
        <v>0</v>
      </c>
      <c r="N362" s="26">
        <f t="shared" si="68"/>
        <v>0</v>
      </c>
      <c r="O362" s="40">
        <f t="shared" si="69"/>
        <v>0</v>
      </c>
      <c r="P362">
        <f t="shared" si="66"/>
        <v>-434347</v>
      </c>
    </row>
    <row r="363" spans="2:16" x14ac:dyDescent="0.3">
      <c r="B363" s="38">
        <v>43826</v>
      </c>
      <c r="C363" s="3">
        <v>8052789</v>
      </c>
      <c r="D363" s="3">
        <v>6039592</v>
      </c>
      <c r="E363" s="3">
        <v>2460574</v>
      </c>
      <c r="F363" s="3">
        <v>5815903</v>
      </c>
      <c r="G363" s="25">
        <f t="shared" si="60"/>
        <v>22368858</v>
      </c>
      <c r="H363" s="39">
        <f t="shared" si="62"/>
        <v>0</v>
      </c>
      <c r="I363" s="26">
        <f t="shared" si="63"/>
        <v>0</v>
      </c>
      <c r="J363" s="26">
        <f t="shared" si="64"/>
        <v>0</v>
      </c>
      <c r="K363" s="40">
        <f t="shared" si="65"/>
        <v>0</v>
      </c>
      <c r="L363" s="39">
        <f t="shared" si="61"/>
        <v>78182</v>
      </c>
      <c r="M363" s="26">
        <f t="shared" si="67"/>
        <v>58637</v>
      </c>
      <c r="N363" s="26">
        <f t="shared" si="68"/>
        <v>23889</v>
      </c>
      <c r="O363" s="40">
        <f t="shared" si="69"/>
        <v>56465</v>
      </c>
      <c r="P363">
        <f t="shared" si="66"/>
        <v>217173</v>
      </c>
    </row>
    <row r="364" spans="2:16" x14ac:dyDescent="0.3">
      <c r="B364" s="38">
        <v>43827</v>
      </c>
      <c r="C364" s="3">
        <v>16321913</v>
      </c>
      <c r="D364" s="3">
        <v>12241435</v>
      </c>
      <c r="E364" s="3">
        <v>4987251</v>
      </c>
      <c r="F364" s="3">
        <v>11788048</v>
      </c>
      <c r="G364" s="25">
        <f t="shared" si="60"/>
        <v>45338647</v>
      </c>
      <c r="H364" s="39">
        <f t="shared" si="62"/>
        <v>-323206</v>
      </c>
      <c r="I364" s="26">
        <f t="shared" si="63"/>
        <v>-242404</v>
      </c>
      <c r="J364" s="26">
        <f t="shared" si="64"/>
        <v>-98757</v>
      </c>
      <c r="K364" s="40">
        <f t="shared" si="65"/>
        <v>-233427</v>
      </c>
      <c r="L364" s="39">
        <f t="shared" si="61"/>
        <v>0</v>
      </c>
      <c r="M364" s="26">
        <f t="shared" si="67"/>
        <v>0</v>
      </c>
      <c r="N364" s="26">
        <f t="shared" si="68"/>
        <v>0</v>
      </c>
      <c r="O364" s="40">
        <f t="shared" si="69"/>
        <v>0</v>
      </c>
      <c r="P364">
        <f t="shared" si="66"/>
        <v>-897794</v>
      </c>
    </row>
    <row r="365" spans="2:16" x14ac:dyDescent="0.3">
      <c r="B365" s="38">
        <v>43828</v>
      </c>
      <c r="C365" s="3">
        <v>15675500</v>
      </c>
      <c r="D365" s="3">
        <v>11756625</v>
      </c>
      <c r="E365" s="3">
        <v>4789736</v>
      </c>
      <c r="F365" s="3">
        <v>11321195</v>
      </c>
      <c r="G365" s="25">
        <f t="shared" si="60"/>
        <v>43543056</v>
      </c>
      <c r="H365" s="39">
        <f t="shared" si="62"/>
        <v>0</v>
      </c>
      <c r="I365" s="26">
        <f t="shared" si="63"/>
        <v>0</v>
      </c>
      <c r="J365" s="26">
        <f t="shared" si="64"/>
        <v>0</v>
      </c>
      <c r="K365" s="40">
        <f t="shared" si="65"/>
        <v>0</v>
      </c>
      <c r="L365" s="39">
        <f t="shared" si="61"/>
        <v>161603</v>
      </c>
      <c r="M365" s="26">
        <f t="shared" si="67"/>
        <v>121202</v>
      </c>
      <c r="N365" s="26">
        <f t="shared" si="68"/>
        <v>49379</v>
      </c>
      <c r="O365" s="40">
        <f t="shared" si="69"/>
        <v>116714</v>
      </c>
      <c r="P365">
        <f t="shared" si="66"/>
        <v>448898</v>
      </c>
    </row>
    <row r="366" spans="2:16" x14ac:dyDescent="0.3">
      <c r="B366" s="38">
        <v>43829</v>
      </c>
      <c r="C366" s="3">
        <v>7974607</v>
      </c>
      <c r="D366" s="3">
        <v>5980955</v>
      </c>
      <c r="E366" s="3">
        <v>2436685</v>
      </c>
      <c r="F366" s="3">
        <v>5759438</v>
      </c>
      <c r="G366" s="25">
        <f t="shared" si="60"/>
        <v>22151685</v>
      </c>
      <c r="H366" s="39">
        <f t="shared" si="62"/>
        <v>0</v>
      </c>
      <c r="I366" s="26">
        <f t="shared" si="63"/>
        <v>0</v>
      </c>
      <c r="J366" s="26">
        <f t="shared" si="64"/>
        <v>0</v>
      </c>
      <c r="K366" s="40">
        <f t="shared" si="65"/>
        <v>0</v>
      </c>
      <c r="L366" s="39">
        <f t="shared" si="61"/>
        <v>234547</v>
      </c>
      <c r="M366" s="26">
        <f t="shared" si="67"/>
        <v>175910</v>
      </c>
      <c r="N366" s="26">
        <f t="shared" si="68"/>
        <v>71667</v>
      </c>
      <c r="O366" s="40">
        <f t="shared" si="69"/>
        <v>169395</v>
      </c>
      <c r="P366">
        <f t="shared" si="66"/>
        <v>651519</v>
      </c>
    </row>
    <row r="367" spans="2:16" x14ac:dyDescent="0.3">
      <c r="B367" s="38">
        <v>43830</v>
      </c>
      <c r="C367" s="3">
        <v>7896424</v>
      </c>
      <c r="D367" s="3">
        <v>5922318</v>
      </c>
      <c r="E367" s="3">
        <v>2412796</v>
      </c>
      <c r="F367" s="3">
        <v>5702973</v>
      </c>
      <c r="G367" s="25">
        <f t="shared" si="60"/>
        <v>21934511</v>
      </c>
      <c r="H367" s="39">
        <f t="shared" si="62"/>
        <v>0</v>
      </c>
      <c r="I367" s="26">
        <f t="shared" si="63"/>
        <v>0</v>
      </c>
      <c r="J367" s="26">
        <f t="shared" si="64"/>
        <v>0</v>
      </c>
      <c r="K367" s="40">
        <f t="shared" si="65"/>
        <v>0</v>
      </c>
      <c r="L367" s="39">
        <f t="shared" si="61"/>
        <v>234547</v>
      </c>
      <c r="M367" s="26">
        <f t="shared" si="67"/>
        <v>175910</v>
      </c>
      <c r="N367" s="26">
        <f t="shared" si="68"/>
        <v>71667</v>
      </c>
      <c r="O367" s="40">
        <f t="shared" si="69"/>
        <v>169395</v>
      </c>
      <c r="P367">
        <f t="shared" si="66"/>
        <v>651519</v>
      </c>
    </row>
    <row r="368" spans="2:16" x14ac:dyDescent="0.3">
      <c r="B368" s="38">
        <v>43831</v>
      </c>
      <c r="C368" s="3">
        <v>7818242</v>
      </c>
      <c r="D368" s="3">
        <v>5863681</v>
      </c>
      <c r="E368" s="3">
        <v>2388907</v>
      </c>
      <c r="F368" s="3">
        <v>5646508</v>
      </c>
      <c r="G368" s="25">
        <f t="shared" si="60"/>
        <v>21717338</v>
      </c>
      <c r="H368" s="39">
        <f t="shared" si="62"/>
        <v>0</v>
      </c>
      <c r="I368" s="26">
        <f t="shared" si="63"/>
        <v>0</v>
      </c>
      <c r="J368" s="26">
        <f t="shared" si="64"/>
        <v>0</v>
      </c>
      <c r="K368" s="40">
        <f t="shared" si="65"/>
        <v>0</v>
      </c>
      <c r="L368" s="39">
        <f t="shared" si="61"/>
        <v>390912</v>
      </c>
      <c r="M368" s="26">
        <f t="shared" si="67"/>
        <v>293184</v>
      </c>
      <c r="N368" s="26">
        <f t="shared" si="68"/>
        <v>119445</v>
      </c>
      <c r="O368" s="40">
        <f t="shared" si="69"/>
        <v>282325</v>
      </c>
      <c r="P368">
        <f t="shared" si="66"/>
        <v>1085866</v>
      </c>
    </row>
    <row r="369" spans="2:16" x14ac:dyDescent="0.3">
      <c r="B369" s="41">
        <f>SUBTOTAL(103,Table1[Date])</f>
        <v>366</v>
      </c>
      <c r="C369" s="25">
        <f>SUBTOTAL(109,Table1[Facebook])</f>
        <v>3715375627</v>
      </c>
      <c r="D369" s="25">
        <f>SUBTOTAL(109,Table1[Youtube])</f>
        <v>2780999222</v>
      </c>
      <c r="E369" s="25">
        <f>SUBTOTAL(109,Table1[Twitter])</f>
        <v>1152000384</v>
      </c>
      <c r="F369" s="25">
        <f>SUBTOTAL(109,Table1[Others])</f>
        <v>2681678540</v>
      </c>
      <c r="G369" s="25">
        <f>SUBTOTAL(109,Table1[Total])</f>
        <v>10330053773</v>
      </c>
      <c r="H369" s="65">
        <f>SUBTOTAL(109,Table1[Facebook2])</f>
        <v>-78227147</v>
      </c>
      <c r="I369" s="66">
        <f>SUBTOTAL(109,Table1[Youtube3])</f>
        <v>-55700544</v>
      </c>
      <c r="J369" s="66">
        <f>SUBTOTAL(109,Table1[Twitter4])</f>
        <v>-38545007</v>
      </c>
      <c r="K369" s="67">
        <f>SUBTOTAL(109,Table1[Others5])</f>
        <v>-51142767</v>
      </c>
      <c r="L369" s="65">
        <f>SUBTOTAL(109,Table1[Facebook6])</f>
        <v>79431314</v>
      </c>
      <c r="M369" s="66">
        <f>SUBTOTAL(109,Table1[Youtube7])</f>
        <v>56603668</v>
      </c>
      <c r="N369" s="66">
        <f>SUBTOTAL(109,Table1[Twitter8])</f>
        <v>38912947</v>
      </c>
      <c r="O369" s="67">
        <f>SUBTOTAL(109,Table1[Others9])</f>
        <v>52012442</v>
      </c>
      <c r="P369">
        <f>SUBTOTAL(109,Table1[Total Differencw])</f>
        <v>3344906</v>
      </c>
    </row>
  </sheetData>
  <mergeCells count="2">
    <mergeCell ref="H1:K1"/>
    <mergeCell ref="L1:O1"/>
  </mergeCells>
  <pageMargins left="0.7" right="0.7" top="0.75" bottom="0.75" header="0.3" footer="0.3"/>
  <ignoredErrors>
    <ignoredError sqref="G3 G4:G34 G107:G112 G113:G131 G132:G165 G166:G214 G215:G361 G362:G368 G35:G48 G96:G106 G73:G79 G80:G83 G84:G95 G49:G72" formulaRange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>
    <tabColor theme="7"/>
  </sheetPr>
  <dimension ref="B1:T368"/>
  <sheetViews>
    <sheetView workbookViewId="0">
      <pane ySplit="1" topLeftCell="A2" activePane="bottomLeft" state="frozen"/>
      <selection activeCell="B1" sqref="B1"/>
      <selection pane="bottomLeft" activeCell="A5" sqref="A5"/>
    </sheetView>
  </sheetViews>
  <sheetFormatPr defaultColWidth="11.19921875" defaultRowHeight="15.6" x14ac:dyDescent="0.3"/>
  <cols>
    <col min="2" max="2" width="10.09765625" bestFit="1" customWidth="1"/>
    <col min="3" max="3" width="16.69921875" bestFit="1" customWidth="1"/>
    <col min="4" max="4" width="14.5" bestFit="1" customWidth="1"/>
    <col min="5" max="5" width="23" style="7" bestFit="1" customWidth="1"/>
    <col min="6" max="6" width="12.296875" bestFit="1" customWidth="1"/>
    <col min="7" max="8" width="20.3984375" bestFit="1" customWidth="1"/>
    <col min="9" max="9" width="24.19921875" bestFit="1" customWidth="1"/>
    <col min="10" max="10" width="20.5" bestFit="1" customWidth="1"/>
    <col min="11" max="11" width="20.3984375" bestFit="1" customWidth="1"/>
    <col min="12" max="12" width="19" bestFit="1" customWidth="1"/>
    <col min="13" max="13" width="20.3984375" bestFit="1" customWidth="1"/>
    <col min="14" max="14" width="18" customWidth="1"/>
    <col min="15" max="15" width="16.59765625" style="7" bestFit="1" customWidth="1"/>
    <col min="16" max="16" width="21.69921875" bestFit="1" customWidth="1"/>
    <col min="17" max="17" width="32.59765625" style="7" bestFit="1" customWidth="1"/>
    <col min="18" max="18" width="15.69921875" bestFit="1" customWidth="1"/>
    <col min="19" max="19" width="19.8984375" bestFit="1" customWidth="1"/>
    <col min="20" max="20" width="15" hidden="1" customWidth="1"/>
  </cols>
  <sheetData>
    <row r="1" spans="2:20" ht="38.4" customHeight="1" x14ac:dyDescent="0.3">
      <c r="B1" s="82" t="s">
        <v>0</v>
      </c>
      <c r="C1" s="83" t="s">
        <v>63</v>
      </c>
      <c r="D1" s="165" t="s">
        <v>10</v>
      </c>
      <c r="E1" s="166" t="s">
        <v>194</v>
      </c>
      <c r="F1" s="165" t="s">
        <v>11</v>
      </c>
      <c r="G1" s="165" t="s">
        <v>195</v>
      </c>
      <c r="H1" s="165" t="s">
        <v>12</v>
      </c>
      <c r="I1" s="165" t="s">
        <v>196</v>
      </c>
      <c r="J1" s="165" t="s">
        <v>197</v>
      </c>
      <c r="K1" s="165" t="s">
        <v>198</v>
      </c>
      <c r="L1" s="165" t="s">
        <v>13</v>
      </c>
      <c r="M1" s="165" t="s">
        <v>199</v>
      </c>
      <c r="N1" s="167" t="s">
        <v>14</v>
      </c>
      <c r="O1" s="166" t="s">
        <v>200</v>
      </c>
      <c r="P1" s="164" t="s">
        <v>15</v>
      </c>
      <c r="Q1" s="166" t="s">
        <v>201</v>
      </c>
      <c r="R1" s="172" t="s">
        <v>16</v>
      </c>
      <c r="S1" s="166" t="s">
        <v>202</v>
      </c>
      <c r="T1" s="84" t="s">
        <v>87</v>
      </c>
    </row>
    <row r="2" spans="2:20" x14ac:dyDescent="0.3">
      <c r="B2" s="38">
        <v>43466</v>
      </c>
      <c r="C2" s="80">
        <v>43466</v>
      </c>
      <c r="D2" s="3">
        <v>385075</v>
      </c>
      <c r="E2" s="4"/>
      <c r="F2" s="4">
        <v>0.17</v>
      </c>
      <c r="G2" s="4"/>
      <c r="H2" s="3">
        <v>37</v>
      </c>
      <c r="I2" s="3"/>
      <c r="J2" s="3">
        <v>22</v>
      </c>
      <c r="K2" s="168"/>
      <c r="L2" s="3">
        <v>26</v>
      </c>
      <c r="M2" s="3"/>
      <c r="N2" s="3">
        <v>364</v>
      </c>
      <c r="O2" s="4"/>
      <c r="P2" s="3">
        <v>32</v>
      </c>
      <c r="Q2" s="81"/>
      <c r="R2" s="81">
        <v>0.95</v>
      </c>
      <c r="T2" s="64" t="e">
        <f>VLOOKUP(Table6[[#This Row],[Date]],Table2[#All],1,FALSE)</f>
        <v>#N/A</v>
      </c>
    </row>
    <row r="3" spans="2:20" x14ac:dyDescent="0.3">
      <c r="B3" s="38">
        <v>43467</v>
      </c>
      <c r="C3" s="80">
        <v>43467</v>
      </c>
      <c r="D3" s="3">
        <v>388232</v>
      </c>
      <c r="E3" s="4"/>
      <c r="F3" s="4">
        <v>0.19</v>
      </c>
      <c r="G3" s="4"/>
      <c r="H3" s="3">
        <v>31</v>
      </c>
      <c r="I3" s="3"/>
      <c r="J3" s="3">
        <v>17</v>
      </c>
      <c r="K3" s="168"/>
      <c r="L3" s="3">
        <v>28</v>
      </c>
      <c r="M3" s="3"/>
      <c r="N3" s="3">
        <v>360</v>
      </c>
      <c r="O3" s="4"/>
      <c r="P3" s="3">
        <v>35</v>
      </c>
      <c r="Q3" s="81"/>
      <c r="R3" s="81">
        <v>0.95</v>
      </c>
      <c r="T3" s="64" t="e">
        <f>VLOOKUP(Table6[[#This Row],[Date]],Table2[#All],1,FALSE)</f>
        <v>#N/A</v>
      </c>
    </row>
    <row r="4" spans="2:20" x14ac:dyDescent="0.3">
      <c r="B4" s="38">
        <v>43468</v>
      </c>
      <c r="C4" s="80">
        <v>43468</v>
      </c>
      <c r="D4" s="3">
        <v>399964</v>
      </c>
      <c r="E4" s="4"/>
      <c r="F4" s="4">
        <v>0.18</v>
      </c>
      <c r="G4" s="4"/>
      <c r="H4" s="3">
        <v>30</v>
      </c>
      <c r="I4" s="3"/>
      <c r="J4" s="3">
        <v>22</v>
      </c>
      <c r="K4" s="168"/>
      <c r="L4" s="3">
        <v>29</v>
      </c>
      <c r="M4" s="3"/>
      <c r="N4" s="3">
        <v>370</v>
      </c>
      <c r="O4" s="4"/>
      <c r="P4" s="3">
        <v>31</v>
      </c>
      <c r="Q4" s="81"/>
      <c r="R4" s="81">
        <v>0.94</v>
      </c>
      <c r="T4" s="64" t="e">
        <f>VLOOKUP(Table6[[#This Row],[Date]],Table2[#All],1,FALSE)</f>
        <v>#N/A</v>
      </c>
    </row>
    <row r="5" spans="2:20" x14ac:dyDescent="0.3">
      <c r="B5" s="38">
        <v>43469</v>
      </c>
      <c r="C5" s="80">
        <v>43469</v>
      </c>
      <c r="D5" s="3">
        <v>408471</v>
      </c>
      <c r="E5" s="4"/>
      <c r="F5" s="4">
        <v>0.17</v>
      </c>
      <c r="G5" s="4"/>
      <c r="H5" s="3">
        <v>30</v>
      </c>
      <c r="I5" s="3"/>
      <c r="J5" s="3">
        <v>19</v>
      </c>
      <c r="K5" s="168"/>
      <c r="L5" s="3">
        <v>26</v>
      </c>
      <c r="M5" s="3"/>
      <c r="N5" s="3">
        <v>386</v>
      </c>
      <c r="O5" s="4"/>
      <c r="P5" s="3">
        <v>40</v>
      </c>
      <c r="Q5" s="81"/>
      <c r="R5" s="81">
        <v>0.94</v>
      </c>
      <c r="T5" s="64" t="e">
        <f>VLOOKUP(Table6[[#This Row],[Date]],Table2[#All],1,FALSE)</f>
        <v>#N/A</v>
      </c>
    </row>
    <row r="6" spans="2:20" x14ac:dyDescent="0.3">
      <c r="B6" s="38">
        <v>43470</v>
      </c>
      <c r="C6" s="80">
        <v>43470</v>
      </c>
      <c r="D6" s="3">
        <v>384771</v>
      </c>
      <c r="E6" s="4"/>
      <c r="F6" s="4">
        <v>0.19</v>
      </c>
      <c r="G6" s="4"/>
      <c r="H6" s="3">
        <v>31</v>
      </c>
      <c r="I6" s="3"/>
      <c r="J6" s="3">
        <v>22</v>
      </c>
      <c r="K6" s="168"/>
      <c r="L6" s="3">
        <v>27</v>
      </c>
      <c r="M6" s="3"/>
      <c r="N6" s="3">
        <v>390</v>
      </c>
      <c r="O6" s="4"/>
      <c r="P6" s="3">
        <v>33</v>
      </c>
      <c r="Q6" s="81"/>
      <c r="R6" s="81">
        <v>0.92</v>
      </c>
      <c r="T6" s="64" t="e">
        <f>VLOOKUP(Table6[[#This Row],[Date]],Table2[#All],1,FALSE)</f>
        <v>#N/A</v>
      </c>
    </row>
    <row r="7" spans="2:20" x14ac:dyDescent="0.3">
      <c r="B7" s="38">
        <v>43471</v>
      </c>
      <c r="C7" s="80">
        <v>43471</v>
      </c>
      <c r="D7" s="3">
        <v>390787</v>
      </c>
      <c r="E7" s="4"/>
      <c r="F7" s="4">
        <v>0.19</v>
      </c>
      <c r="G7" s="4"/>
      <c r="H7" s="3">
        <v>33</v>
      </c>
      <c r="I7" s="3"/>
      <c r="J7" s="3">
        <v>18</v>
      </c>
      <c r="K7" s="168"/>
      <c r="L7" s="3">
        <v>26</v>
      </c>
      <c r="M7" s="3"/>
      <c r="N7" s="3">
        <v>360</v>
      </c>
      <c r="O7" s="4"/>
      <c r="P7" s="3">
        <v>36</v>
      </c>
      <c r="Q7" s="81"/>
      <c r="R7" s="81">
        <v>0.93</v>
      </c>
      <c r="T7" s="64" t="e">
        <f>VLOOKUP(Table6[[#This Row],[Date]],Table2[#All],1,FALSE)</f>
        <v>#N/A</v>
      </c>
    </row>
    <row r="8" spans="2:20" x14ac:dyDescent="0.3">
      <c r="B8" s="38">
        <v>43472</v>
      </c>
      <c r="C8" s="80">
        <v>43472</v>
      </c>
      <c r="D8" s="3">
        <v>388351</v>
      </c>
      <c r="E8" s="4"/>
      <c r="F8" s="4">
        <v>0.18</v>
      </c>
      <c r="G8" s="4"/>
      <c r="H8" s="3">
        <v>36</v>
      </c>
      <c r="I8" s="3"/>
      <c r="J8" s="3">
        <v>19</v>
      </c>
      <c r="K8" s="168"/>
      <c r="L8" s="3">
        <v>30</v>
      </c>
      <c r="M8" s="3"/>
      <c r="N8" s="3">
        <v>381</v>
      </c>
      <c r="O8" s="4"/>
      <c r="P8" s="3">
        <v>34</v>
      </c>
      <c r="Q8" s="81"/>
      <c r="R8" s="81">
        <v>0.93</v>
      </c>
      <c r="T8" s="64" t="e">
        <f>VLOOKUP(Table6[[#This Row],[Date]],Table2[#All],1,FALSE)</f>
        <v>#N/A</v>
      </c>
    </row>
    <row r="9" spans="2:20" x14ac:dyDescent="0.3">
      <c r="B9" s="38">
        <v>43473</v>
      </c>
      <c r="C9" s="80">
        <v>43473</v>
      </c>
      <c r="D9" s="3">
        <v>387624</v>
      </c>
      <c r="E9" s="4">
        <f>(Table6[[#This Row],[Count of restaurants]]/D2)-1</f>
        <v>6.6194897097968664E-3</v>
      </c>
      <c r="F9" s="4">
        <v>0.17</v>
      </c>
      <c r="G9" s="112">
        <f>(Table6[[#This Row],[Average Discount]]/F2)-1</f>
        <v>0</v>
      </c>
      <c r="H9" s="3">
        <v>39</v>
      </c>
      <c r="I9" s="112">
        <f>(Table6[[#This Row],[Out of stock Items per restaurant]]/H2)-1</f>
        <v>5.4054054054053946E-2</v>
      </c>
      <c r="J9" s="3">
        <v>22</v>
      </c>
      <c r="K9" s="169">
        <f>(Table6[[#This Row],[Average Packaging charges]]/J2)-1</f>
        <v>0</v>
      </c>
      <c r="L9" s="3">
        <v>25</v>
      </c>
      <c r="M9" s="112">
        <f>(Table6[[#This Row],[Average Delivery Charges]]/L2)-1</f>
        <v>-3.8461538461538436E-2</v>
      </c>
      <c r="N9" s="3">
        <v>359</v>
      </c>
      <c r="O9" s="4">
        <f>(Table6[[#This Row],[Avg Cost for two]]/N2)-1</f>
        <v>-1.3736263736263687E-2</v>
      </c>
      <c r="P9" s="3">
        <v>37</v>
      </c>
      <c r="Q9" s="81">
        <f>(Table6[[#This Row],[Number of images per restaurant]]/P2)-1</f>
        <v>0.15625</v>
      </c>
      <c r="R9" s="81">
        <v>0.95</v>
      </c>
      <c r="S9" s="10">
        <f>(Table6[[#This Row],[Success Rate of payments]]/R2)-1</f>
        <v>0</v>
      </c>
      <c r="T9" s="64" t="e">
        <f>VLOOKUP(Table6[[#This Row],[Date]],Table2[#All],1,FALSE)</f>
        <v>#N/A</v>
      </c>
    </row>
    <row r="10" spans="2:20" x14ac:dyDescent="0.3">
      <c r="B10" s="38">
        <v>43474</v>
      </c>
      <c r="C10" s="80">
        <v>43474</v>
      </c>
      <c r="D10" s="3">
        <v>399127</v>
      </c>
      <c r="E10" s="4">
        <f>(Table6[[#This Row],[Count of restaurants]]/D3)-1</f>
        <v>2.8063116899173624E-2</v>
      </c>
      <c r="F10" s="4">
        <v>0.18</v>
      </c>
      <c r="G10" s="112">
        <f>(Table6[[#This Row],[Average Discount]]/F3)-1</f>
        <v>-5.2631578947368474E-2</v>
      </c>
      <c r="H10" s="3">
        <v>40</v>
      </c>
      <c r="I10" s="112">
        <f>(Table6[[#This Row],[Out of stock Items per restaurant]]/H3)-1</f>
        <v>0.29032258064516125</v>
      </c>
      <c r="J10" s="3">
        <v>22</v>
      </c>
      <c r="K10" s="169">
        <f>(Table6[[#This Row],[Average Packaging charges]]/J3)-1</f>
        <v>0.29411764705882359</v>
      </c>
      <c r="L10" s="3">
        <v>30</v>
      </c>
      <c r="M10" s="112">
        <f>(Table6[[#This Row],[Average Delivery Charges]]/L3)-1</f>
        <v>7.1428571428571397E-2</v>
      </c>
      <c r="N10" s="3">
        <v>359</v>
      </c>
      <c r="O10" s="4">
        <f>(Table6[[#This Row],[Avg Cost for two]]/N3)-1</f>
        <v>-2.7777777777777679E-3</v>
      </c>
      <c r="P10" s="3">
        <v>38</v>
      </c>
      <c r="Q10" s="81">
        <f>(Table6[[#This Row],[Number of images per restaurant]]/P3)-1</f>
        <v>8.5714285714285632E-2</v>
      </c>
      <c r="R10" s="81">
        <v>0.93</v>
      </c>
      <c r="S10" s="10">
        <f>(Table6[[#This Row],[Success Rate of payments]]/R3)-1</f>
        <v>-2.1052631578947323E-2</v>
      </c>
      <c r="T10" s="64" t="e">
        <f>VLOOKUP(Table6[[#This Row],[Date]],Table2[#All],1,FALSE)</f>
        <v>#N/A</v>
      </c>
    </row>
    <row r="11" spans="2:20" x14ac:dyDescent="0.3">
      <c r="B11" s="38">
        <v>43475</v>
      </c>
      <c r="C11" s="80">
        <v>43475</v>
      </c>
      <c r="D11" s="3">
        <v>400812</v>
      </c>
      <c r="E11" s="4">
        <f>(Table6[[#This Row],[Count of restaurants]]/D4)-1</f>
        <v>2.1201908171735173E-3</v>
      </c>
      <c r="F11" s="4">
        <v>0.19</v>
      </c>
      <c r="G11" s="112">
        <f>(Table6[[#This Row],[Average Discount]]/F4)-1</f>
        <v>5.555555555555558E-2</v>
      </c>
      <c r="H11" s="3">
        <v>32</v>
      </c>
      <c r="I11" s="112">
        <f>(Table6[[#This Row],[Out of stock Items per restaurant]]/H4)-1</f>
        <v>6.6666666666666652E-2</v>
      </c>
      <c r="J11" s="3">
        <v>22</v>
      </c>
      <c r="K11" s="169">
        <f>(Table6[[#This Row],[Average Packaging charges]]/J4)-1</f>
        <v>0</v>
      </c>
      <c r="L11" s="3">
        <v>27</v>
      </c>
      <c r="M11" s="112">
        <f>(Table6[[#This Row],[Average Delivery Charges]]/L4)-1</f>
        <v>-6.8965517241379337E-2</v>
      </c>
      <c r="N11" s="3">
        <v>399</v>
      </c>
      <c r="O11" s="4">
        <f>(Table6[[#This Row],[Avg Cost for two]]/N4)-1</f>
        <v>7.8378378378378466E-2</v>
      </c>
      <c r="P11" s="3">
        <v>34</v>
      </c>
      <c r="Q11" s="81">
        <f>(Table6[[#This Row],[Number of images per restaurant]]/P4)-1</f>
        <v>9.6774193548387011E-2</v>
      </c>
      <c r="R11" s="81">
        <v>0.92</v>
      </c>
      <c r="S11" s="10">
        <f>(Table6[[#This Row],[Success Rate of payments]]/R4)-1</f>
        <v>-2.1276595744680771E-2</v>
      </c>
      <c r="T11" s="64">
        <f>VLOOKUP(Table6[[#This Row],[Date]],Table2[#All],1,FALSE)</f>
        <v>43475</v>
      </c>
    </row>
    <row r="12" spans="2:20" x14ac:dyDescent="0.3">
      <c r="B12" s="38">
        <v>43476</v>
      </c>
      <c r="C12" s="80">
        <v>43476</v>
      </c>
      <c r="D12" s="3">
        <v>382806</v>
      </c>
      <c r="E12" s="4">
        <f>(Table6[[#This Row],[Count of restaurants]]/D5)-1</f>
        <v>-6.2831877905653033E-2</v>
      </c>
      <c r="F12" s="4">
        <v>0.19</v>
      </c>
      <c r="G12" s="112">
        <f>(Table6[[#This Row],[Average Discount]]/F5)-1</f>
        <v>0.11764705882352944</v>
      </c>
      <c r="H12" s="3">
        <v>36</v>
      </c>
      <c r="I12" s="112">
        <f>(Table6[[#This Row],[Out of stock Items per restaurant]]/H5)-1</f>
        <v>0.19999999999999996</v>
      </c>
      <c r="J12" s="3">
        <v>17</v>
      </c>
      <c r="K12" s="169">
        <f>(Table6[[#This Row],[Average Packaging charges]]/J5)-1</f>
        <v>-0.10526315789473684</v>
      </c>
      <c r="L12" s="3">
        <v>26</v>
      </c>
      <c r="M12" s="112">
        <f>(Table6[[#This Row],[Average Delivery Charges]]/L5)-1</f>
        <v>0</v>
      </c>
      <c r="N12" s="3">
        <v>392</v>
      </c>
      <c r="O12" s="4">
        <f>(Table6[[#This Row],[Avg Cost for two]]/N5)-1</f>
        <v>1.5544041450777257E-2</v>
      </c>
      <c r="P12" s="3">
        <v>38</v>
      </c>
      <c r="Q12" s="81">
        <f>(Table6[[#This Row],[Number of images per restaurant]]/P5)-1</f>
        <v>-5.0000000000000044E-2</v>
      </c>
      <c r="R12" s="81">
        <v>0.91</v>
      </c>
      <c r="S12" s="10">
        <f>(Table6[[#This Row],[Success Rate of payments]]/R5)-1</f>
        <v>-3.1914893617021156E-2</v>
      </c>
      <c r="T12" s="64" t="e">
        <f>VLOOKUP(Table6[[#This Row],[Date]],Table2[#All],1,FALSE)</f>
        <v>#N/A</v>
      </c>
    </row>
    <row r="13" spans="2:20" x14ac:dyDescent="0.3">
      <c r="B13" s="38">
        <v>43477</v>
      </c>
      <c r="C13" s="80">
        <v>43477</v>
      </c>
      <c r="D13" s="3">
        <v>406488</v>
      </c>
      <c r="E13" s="4">
        <f>(Table6[[#This Row],[Count of restaurants]]/D6)-1</f>
        <v>5.6441363824196733E-2</v>
      </c>
      <c r="F13" s="4">
        <v>0.18</v>
      </c>
      <c r="G13" s="112">
        <f>(Table6[[#This Row],[Average Discount]]/F6)-1</f>
        <v>-5.2631578947368474E-2</v>
      </c>
      <c r="H13" s="3">
        <v>37</v>
      </c>
      <c r="I13" s="112">
        <f>(Table6[[#This Row],[Out of stock Items per restaurant]]/H6)-1</f>
        <v>0.19354838709677424</v>
      </c>
      <c r="J13" s="3">
        <v>21</v>
      </c>
      <c r="K13" s="169">
        <f>(Table6[[#This Row],[Average Packaging charges]]/J6)-1</f>
        <v>-4.5454545454545414E-2</v>
      </c>
      <c r="L13" s="3">
        <v>30</v>
      </c>
      <c r="M13" s="112">
        <f>(Table6[[#This Row],[Average Delivery Charges]]/L6)-1</f>
        <v>0.11111111111111116</v>
      </c>
      <c r="N13" s="3">
        <v>363</v>
      </c>
      <c r="O13" s="4">
        <f>(Table6[[#This Row],[Avg Cost for two]]/N6)-1</f>
        <v>-6.9230769230769207E-2</v>
      </c>
      <c r="P13" s="3">
        <v>33</v>
      </c>
      <c r="Q13" s="81">
        <f>(Table6[[#This Row],[Number of images per restaurant]]/P6)-1</f>
        <v>0</v>
      </c>
      <c r="R13" s="81">
        <v>0.95</v>
      </c>
      <c r="S13" s="10">
        <f>(Table6[[#This Row],[Success Rate of payments]]/R6)-1</f>
        <v>3.2608695652173836E-2</v>
      </c>
      <c r="T13" s="64" t="e">
        <f>VLOOKUP(Table6[[#This Row],[Date]],Table2[#All],1,FALSE)</f>
        <v>#N/A</v>
      </c>
    </row>
    <row r="14" spans="2:20" x14ac:dyDescent="0.3">
      <c r="B14" s="38">
        <v>43478</v>
      </c>
      <c r="C14" s="80">
        <v>43478</v>
      </c>
      <c r="D14" s="3">
        <v>402450</v>
      </c>
      <c r="E14" s="4">
        <f>(Table6[[#This Row],[Count of restaurants]]/D7)-1</f>
        <v>2.9844902721943178E-2</v>
      </c>
      <c r="F14" s="4">
        <v>0.17</v>
      </c>
      <c r="G14" s="112">
        <f>(Table6[[#This Row],[Average Discount]]/F7)-1</f>
        <v>-0.10526315789473684</v>
      </c>
      <c r="H14" s="3">
        <v>34</v>
      </c>
      <c r="I14" s="112">
        <f>(Table6[[#This Row],[Out of stock Items per restaurant]]/H7)-1</f>
        <v>3.0303030303030276E-2</v>
      </c>
      <c r="J14" s="3">
        <v>20</v>
      </c>
      <c r="K14" s="169">
        <f>(Table6[[#This Row],[Average Packaging charges]]/J7)-1</f>
        <v>0.11111111111111116</v>
      </c>
      <c r="L14" s="3">
        <v>28</v>
      </c>
      <c r="M14" s="112">
        <f>(Table6[[#This Row],[Average Delivery Charges]]/L7)-1</f>
        <v>7.6923076923076872E-2</v>
      </c>
      <c r="N14" s="3">
        <v>390</v>
      </c>
      <c r="O14" s="4">
        <f>(Table6[[#This Row],[Avg Cost for two]]/N7)-1</f>
        <v>8.3333333333333259E-2</v>
      </c>
      <c r="P14" s="3">
        <v>37</v>
      </c>
      <c r="Q14" s="81">
        <f>(Table6[[#This Row],[Number of images per restaurant]]/P7)-1</f>
        <v>2.7777777777777679E-2</v>
      </c>
      <c r="R14" s="81">
        <v>0.92</v>
      </c>
      <c r="S14" s="10">
        <f>(Table6[[#This Row],[Success Rate of payments]]/R7)-1</f>
        <v>-1.0752688172043001E-2</v>
      </c>
      <c r="T14" s="64" t="e">
        <f>VLOOKUP(Table6[[#This Row],[Date]],Table2[#All],1,FALSE)</f>
        <v>#N/A</v>
      </c>
    </row>
    <row r="15" spans="2:20" x14ac:dyDescent="0.3">
      <c r="B15" s="38">
        <v>43479</v>
      </c>
      <c r="C15" s="80">
        <v>43479</v>
      </c>
      <c r="D15" s="3">
        <v>392554</v>
      </c>
      <c r="E15" s="4">
        <f>(Table6[[#This Row],[Count of restaurants]]/D8)-1</f>
        <v>1.0822683603235239E-2</v>
      </c>
      <c r="F15" s="4">
        <v>0.19</v>
      </c>
      <c r="G15" s="112">
        <f>(Table6[[#This Row],[Average Discount]]/F8)-1</f>
        <v>5.555555555555558E-2</v>
      </c>
      <c r="H15" s="3">
        <v>36</v>
      </c>
      <c r="I15" s="112">
        <f>(Table6[[#This Row],[Out of stock Items per restaurant]]/H8)-1</f>
        <v>0</v>
      </c>
      <c r="J15" s="3">
        <v>21</v>
      </c>
      <c r="K15" s="169">
        <f>(Table6[[#This Row],[Average Packaging charges]]/J8)-1</f>
        <v>0.10526315789473695</v>
      </c>
      <c r="L15" s="3">
        <v>27</v>
      </c>
      <c r="M15" s="112">
        <f>(Table6[[#This Row],[Average Delivery Charges]]/L8)-1</f>
        <v>-9.9999999999999978E-2</v>
      </c>
      <c r="N15" s="3">
        <v>395</v>
      </c>
      <c r="O15" s="4">
        <f>(Table6[[#This Row],[Avg Cost for two]]/N8)-1</f>
        <v>3.6745406824147064E-2</v>
      </c>
      <c r="P15" s="3">
        <v>31</v>
      </c>
      <c r="Q15" s="81">
        <f>(Table6[[#This Row],[Number of images per restaurant]]/P8)-1</f>
        <v>-8.8235294117647078E-2</v>
      </c>
      <c r="R15" s="81">
        <v>0.94</v>
      </c>
      <c r="S15" s="10">
        <f>(Table6[[#This Row],[Success Rate of payments]]/R8)-1</f>
        <v>1.0752688172043001E-2</v>
      </c>
      <c r="T15" s="64" t="e">
        <f>VLOOKUP(Table6[[#This Row],[Date]],Table2[#All],1,FALSE)</f>
        <v>#N/A</v>
      </c>
    </row>
    <row r="16" spans="2:20" x14ac:dyDescent="0.3">
      <c r="B16" s="38">
        <v>43480</v>
      </c>
      <c r="C16" s="80">
        <v>43480</v>
      </c>
      <c r="D16" s="3">
        <v>407211</v>
      </c>
      <c r="E16" s="4">
        <f>(Table6[[#This Row],[Count of restaurants]]/D9)-1</f>
        <v>5.0530926877592641E-2</v>
      </c>
      <c r="F16" s="4">
        <v>0.17</v>
      </c>
      <c r="G16" s="112">
        <f>(Table6[[#This Row],[Average Discount]]/F9)-1</f>
        <v>0</v>
      </c>
      <c r="H16" s="3">
        <v>36</v>
      </c>
      <c r="I16" s="112">
        <f>(Table6[[#This Row],[Out of stock Items per restaurant]]/H9)-1</f>
        <v>-7.6923076923076872E-2</v>
      </c>
      <c r="J16" s="3">
        <v>19</v>
      </c>
      <c r="K16" s="169">
        <f>(Table6[[#This Row],[Average Packaging charges]]/J9)-1</f>
        <v>-0.13636363636363635</v>
      </c>
      <c r="L16" s="3">
        <v>29</v>
      </c>
      <c r="M16" s="112">
        <f>(Table6[[#This Row],[Average Delivery Charges]]/L9)-1</f>
        <v>0.15999999999999992</v>
      </c>
      <c r="N16" s="3">
        <v>362</v>
      </c>
      <c r="O16" s="4">
        <f>(Table6[[#This Row],[Avg Cost for two]]/N9)-1</f>
        <v>8.3565459610028814E-3</v>
      </c>
      <c r="P16" s="3">
        <v>32</v>
      </c>
      <c r="Q16" s="81">
        <f>(Table6[[#This Row],[Number of images per restaurant]]/P9)-1</f>
        <v>-0.13513513513513509</v>
      </c>
      <c r="R16" s="81">
        <v>0.91</v>
      </c>
      <c r="S16" s="10">
        <f>(Table6[[#This Row],[Success Rate of payments]]/R9)-1</f>
        <v>-4.2105263157894646E-2</v>
      </c>
      <c r="T16" s="64" t="e">
        <f>VLOOKUP(Table6[[#This Row],[Date]],Table2[#All],1,FALSE)</f>
        <v>#N/A</v>
      </c>
    </row>
    <row r="17" spans="2:20" x14ac:dyDescent="0.3">
      <c r="B17" s="38">
        <v>43481</v>
      </c>
      <c r="C17" s="80">
        <v>43481</v>
      </c>
      <c r="D17" s="3">
        <v>404264</v>
      </c>
      <c r="E17" s="4">
        <f>(Table6[[#This Row],[Count of restaurants]]/D10)-1</f>
        <v>1.2870590062812104E-2</v>
      </c>
      <c r="F17" s="4">
        <v>0.18</v>
      </c>
      <c r="G17" s="112">
        <f>(Table6[[#This Row],[Average Discount]]/F10)-1</f>
        <v>0</v>
      </c>
      <c r="H17" s="3">
        <v>30</v>
      </c>
      <c r="I17" s="112">
        <f>(Table6[[#This Row],[Out of stock Items per restaurant]]/H10)-1</f>
        <v>-0.25</v>
      </c>
      <c r="J17" s="3">
        <v>18</v>
      </c>
      <c r="K17" s="169">
        <f>(Table6[[#This Row],[Average Packaging charges]]/J10)-1</f>
        <v>-0.18181818181818177</v>
      </c>
      <c r="L17" s="3">
        <v>25</v>
      </c>
      <c r="M17" s="112">
        <f>(Table6[[#This Row],[Average Delivery Charges]]/L10)-1</f>
        <v>-0.16666666666666663</v>
      </c>
      <c r="N17" s="3">
        <v>382</v>
      </c>
      <c r="O17" s="4">
        <f>(Table6[[#This Row],[Avg Cost for two]]/N10)-1</f>
        <v>6.4066852367687943E-2</v>
      </c>
      <c r="P17" s="3">
        <v>31</v>
      </c>
      <c r="Q17" s="81">
        <f>(Table6[[#This Row],[Number of images per restaurant]]/P10)-1</f>
        <v>-0.18421052631578949</v>
      </c>
      <c r="R17" s="81">
        <v>0.91</v>
      </c>
      <c r="S17" s="10">
        <f>(Table6[[#This Row],[Success Rate of payments]]/R10)-1</f>
        <v>-2.1505376344086002E-2</v>
      </c>
      <c r="T17" s="64" t="e">
        <f>VLOOKUP(Table6[[#This Row],[Date]],Table2[#All],1,FALSE)</f>
        <v>#N/A</v>
      </c>
    </row>
    <row r="18" spans="2:20" x14ac:dyDescent="0.3">
      <c r="B18" s="38">
        <v>43482</v>
      </c>
      <c r="C18" s="80">
        <v>43482</v>
      </c>
      <c r="D18" s="3">
        <v>404417</v>
      </c>
      <c r="E18" s="4">
        <f>(Table6[[#This Row],[Count of restaurants]]/D11)-1</f>
        <v>8.9942416893706856E-3</v>
      </c>
      <c r="F18" s="4">
        <v>0.17</v>
      </c>
      <c r="G18" s="112">
        <f>(Table6[[#This Row],[Average Discount]]/F11)-1</f>
        <v>-0.10526315789473684</v>
      </c>
      <c r="H18" s="3">
        <v>36</v>
      </c>
      <c r="I18" s="112">
        <f>(Table6[[#This Row],[Out of stock Items per restaurant]]/H11)-1</f>
        <v>0.125</v>
      </c>
      <c r="J18" s="3">
        <v>19</v>
      </c>
      <c r="K18" s="169">
        <f>(Table6[[#This Row],[Average Packaging charges]]/J11)-1</f>
        <v>-0.13636363636363635</v>
      </c>
      <c r="L18" s="3">
        <v>26</v>
      </c>
      <c r="M18" s="112">
        <f>(Table6[[#This Row],[Average Delivery Charges]]/L11)-1</f>
        <v>-3.703703703703709E-2</v>
      </c>
      <c r="N18" s="3">
        <v>365</v>
      </c>
      <c r="O18" s="4">
        <f>(Table6[[#This Row],[Avg Cost for two]]/N11)-1</f>
        <v>-8.5213032581453629E-2</v>
      </c>
      <c r="P18" s="3">
        <v>31</v>
      </c>
      <c r="Q18" s="81">
        <f>(Table6[[#This Row],[Number of images per restaurant]]/P11)-1</f>
        <v>-8.8235294117647078E-2</v>
      </c>
      <c r="R18" s="81">
        <v>0.95</v>
      </c>
      <c r="S18" s="10">
        <f>(Table6[[#This Row],[Success Rate of payments]]/R11)-1</f>
        <v>3.2608695652173836E-2</v>
      </c>
      <c r="T18" s="64">
        <f>VLOOKUP(Table6[[#This Row],[Date]],Table2[#All],1,FALSE)</f>
        <v>43482</v>
      </c>
    </row>
    <row r="19" spans="2:20" x14ac:dyDescent="0.3">
      <c r="B19" s="38">
        <v>43483</v>
      </c>
      <c r="C19" s="80">
        <v>43483</v>
      </c>
      <c r="D19" s="3">
        <v>404715</v>
      </c>
      <c r="E19" s="4">
        <f>(Table6[[#This Row],[Count of restaurants]]/D12)-1</f>
        <v>5.7232645256343861E-2</v>
      </c>
      <c r="F19" s="4">
        <v>0.18</v>
      </c>
      <c r="G19" s="112">
        <f>(Table6[[#This Row],[Average Discount]]/F12)-1</f>
        <v>-5.2631578947368474E-2</v>
      </c>
      <c r="H19" s="3">
        <v>31</v>
      </c>
      <c r="I19" s="112">
        <f>(Table6[[#This Row],[Out of stock Items per restaurant]]/H12)-1</f>
        <v>-0.13888888888888884</v>
      </c>
      <c r="J19" s="3">
        <v>20</v>
      </c>
      <c r="K19" s="169">
        <f>(Table6[[#This Row],[Average Packaging charges]]/J12)-1</f>
        <v>0.17647058823529416</v>
      </c>
      <c r="L19" s="3">
        <v>25</v>
      </c>
      <c r="M19" s="112">
        <f>(Table6[[#This Row],[Average Delivery Charges]]/L12)-1</f>
        <v>-3.8461538461538436E-2</v>
      </c>
      <c r="N19" s="3">
        <v>374</v>
      </c>
      <c r="O19" s="4">
        <f>(Table6[[#This Row],[Avg Cost for two]]/N12)-1</f>
        <v>-4.5918367346938771E-2</v>
      </c>
      <c r="P19" s="3">
        <v>33</v>
      </c>
      <c r="Q19" s="81">
        <f>(Table6[[#This Row],[Number of images per restaurant]]/P12)-1</f>
        <v>-0.13157894736842102</v>
      </c>
      <c r="R19" s="81">
        <v>0.91</v>
      </c>
      <c r="S19" s="10">
        <f>(Table6[[#This Row],[Success Rate of payments]]/R12)-1</f>
        <v>0</v>
      </c>
      <c r="T19" s="64" t="e">
        <f>VLOOKUP(Table6[[#This Row],[Date]],Table2[#All],1,FALSE)</f>
        <v>#N/A</v>
      </c>
    </row>
    <row r="20" spans="2:20" x14ac:dyDescent="0.3">
      <c r="B20" s="38">
        <v>43484</v>
      </c>
      <c r="C20" s="80">
        <v>43484</v>
      </c>
      <c r="D20" s="3">
        <v>409719</v>
      </c>
      <c r="E20" s="4">
        <f>(Table6[[#This Row],[Count of restaurants]]/D13)-1</f>
        <v>7.9485741276494881E-3</v>
      </c>
      <c r="F20" s="4">
        <v>0.17</v>
      </c>
      <c r="G20" s="112">
        <f>(Table6[[#This Row],[Average Discount]]/F13)-1</f>
        <v>-5.5555555555555469E-2</v>
      </c>
      <c r="H20" s="3">
        <v>37</v>
      </c>
      <c r="I20" s="112">
        <f>(Table6[[#This Row],[Out of stock Items per restaurant]]/H13)-1</f>
        <v>0</v>
      </c>
      <c r="J20" s="3">
        <v>19</v>
      </c>
      <c r="K20" s="169">
        <f>(Table6[[#This Row],[Average Packaging charges]]/J13)-1</f>
        <v>-9.5238095238095233E-2</v>
      </c>
      <c r="L20" s="3">
        <v>27</v>
      </c>
      <c r="M20" s="112">
        <f>(Table6[[#This Row],[Average Delivery Charges]]/L13)-1</f>
        <v>-9.9999999999999978E-2</v>
      </c>
      <c r="N20" s="3">
        <v>384</v>
      </c>
      <c r="O20" s="4">
        <f>(Table6[[#This Row],[Avg Cost for two]]/N13)-1</f>
        <v>5.7851239669421517E-2</v>
      </c>
      <c r="P20" s="3">
        <v>39</v>
      </c>
      <c r="Q20" s="81">
        <f>(Table6[[#This Row],[Number of images per restaurant]]/P13)-1</f>
        <v>0.18181818181818188</v>
      </c>
      <c r="R20" s="81">
        <v>0.95</v>
      </c>
      <c r="S20" s="10">
        <f>(Table6[[#This Row],[Success Rate of payments]]/R13)-1</f>
        <v>0</v>
      </c>
      <c r="T20" s="64" t="e">
        <f>VLOOKUP(Table6[[#This Row],[Date]],Table2[#All],1,FALSE)</f>
        <v>#N/A</v>
      </c>
    </row>
    <row r="21" spans="2:20" x14ac:dyDescent="0.3">
      <c r="B21" s="38">
        <v>43485</v>
      </c>
      <c r="C21" s="80">
        <v>43485</v>
      </c>
      <c r="D21" s="3">
        <v>389363</v>
      </c>
      <c r="E21" s="4">
        <f>(Table6[[#This Row],[Count of restaurants]]/D14)-1</f>
        <v>-3.2518325257795966E-2</v>
      </c>
      <c r="F21" s="4">
        <v>0.17</v>
      </c>
      <c r="G21" s="112">
        <f>(Table6[[#This Row],[Average Discount]]/F14)-1</f>
        <v>0</v>
      </c>
      <c r="H21" s="3">
        <v>40</v>
      </c>
      <c r="I21" s="112">
        <f>(Table6[[#This Row],[Out of stock Items per restaurant]]/H14)-1</f>
        <v>0.17647058823529416</v>
      </c>
      <c r="J21" s="3">
        <v>22</v>
      </c>
      <c r="K21" s="169">
        <f>(Table6[[#This Row],[Average Packaging charges]]/J14)-1</f>
        <v>0.10000000000000009</v>
      </c>
      <c r="L21" s="3">
        <v>29</v>
      </c>
      <c r="M21" s="112">
        <f>(Table6[[#This Row],[Average Delivery Charges]]/L14)-1</f>
        <v>3.5714285714285809E-2</v>
      </c>
      <c r="N21" s="3">
        <v>364</v>
      </c>
      <c r="O21" s="4">
        <f>(Table6[[#This Row],[Avg Cost for two]]/N14)-1</f>
        <v>-6.6666666666666652E-2</v>
      </c>
      <c r="P21" s="3">
        <v>32</v>
      </c>
      <c r="Q21" s="81">
        <f>(Table6[[#This Row],[Number of images per restaurant]]/P14)-1</f>
        <v>-0.13513513513513509</v>
      </c>
      <c r="R21" s="81">
        <v>0.91</v>
      </c>
      <c r="S21" s="10">
        <f>(Table6[[#This Row],[Success Rate of payments]]/R14)-1</f>
        <v>-1.0869565217391353E-2</v>
      </c>
      <c r="T21" s="64" t="e">
        <f>VLOOKUP(Table6[[#This Row],[Date]],Table2[#All],1,FALSE)</f>
        <v>#N/A</v>
      </c>
    </row>
    <row r="22" spans="2:20" x14ac:dyDescent="0.3">
      <c r="B22" s="38">
        <v>43486</v>
      </c>
      <c r="C22" s="80">
        <v>43486</v>
      </c>
      <c r="D22" s="3">
        <v>388430</v>
      </c>
      <c r="E22" s="4">
        <f>(Table6[[#This Row],[Count of restaurants]]/D15)-1</f>
        <v>-1.0505561018356757E-2</v>
      </c>
      <c r="F22" s="4">
        <v>0.19</v>
      </c>
      <c r="G22" s="112">
        <f>(Table6[[#This Row],[Average Discount]]/F15)-1</f>
        <v>0</v>
      </c>
      <c r="H22" s="3">
        <v>39</v>
      </c>
      <c r="I22" s="112">
        <f>(Table6[[#This Row],[Out of stock Items per restaurant]]/H15)-1</f>
        <v>8.3333333333333259E-2</v>
      </c>
      <c r="J22" s="3">
        <v>21</v>
      </c>
      <c r="K22" s="169">
        <f>(Table6[[#This Row],[Average Packaging charges]]/J15)-1</f>
        <v>0</v>
      </c>
      <c r="L22" s="3">
        <v>30</v>
      </c>
      <c r="M22" s="112">
        <f>(Table6[[#This Row],[Average Delivery Charges]]/L15)-1</f>
        <v>0.11111111111111116</v>
      </c>
      <c r="N22" s="3">
        <v>389</v>
      </c>
      <c r="O22" s="4">
        <f>(Table6[[#This Row],[Avg Cost for two]]/N15)-1</f>
        <v>-1.5189873417721489E-2</v>
      </c>
      <c r="P22" s="3">
        <v>37</v>
      </c>
      <c r="Q22" s="81">
        <f>(Table6[[#This Row],[Number of images per restaurant]]/P15)-1</f>
        <v>0.19354838709677424</v>
      </c>
      <c r="R22" s="81">
        <v>0.92</v>
      </c>
      <c r="S22" s="10">
        <f>(Table6[[#This Row],[Success Rate of payments]]/R15)-1</f>
        <v>-2.1276595744680771E-2</v>
      </c>
      <c r="T22" s="64">
        <f>VLOOKUP(Table6[[#This Row],[Date]],Table2[#All],1,FALSE)</f>
        <v>43486</v>
      </c>
    </row>
    <row r="23" spans="2:20" x14ac:dyDescent="0.3">
      <c r="B23" s="38">
        <v>43487</v>
      </c>
      <c r="C23" s="80">
        <v>43487</v>
      </c>
      <c r="D23" s="3">
        <v>383015</v>
      </c>
      <c r="E23" s="4">
        <f>(Table6[[#This Row],[Count of restaurants]]/D16)-1</f>
        <v>-5.9418827094552928E-2</v>
      </c>
      <c r="F23" s="4">
        <v>0.18</v>
      </c>
      <c r="G23" s="112">
        <f>(Table6[[#This Row],[Average Discount]]/F16)-1</f>
        <v>5.8823529411764497E-2</v>
      </c>
      <c r="H23" s="3">
        <v>35</v>
      </c>
      <c r="I23" s="112">
        <f>(Table6[[#This Row],[Out of stock Items per restaurant]]/H16)-1</f>
        <v>-2.777777777777779E-2</v>
      </c>
      <c r="J23" s="3">
        <v>17</v>
      </c>
      <c r="K23" s="169">
        <f>(Table6[[#This Row],[Average Packaging charges]]/J16)-1</f>
        <v>-0.10526315789473684</v>
      </c>
      <c r="L23" s="3">
        <v>28</v>
      </c>
      <c r="M23" s="112">
        <f>(Table6[[#This Row],[Average Delivery Charges]]/L16)-1</f>
        <v>-3.4482758620689613E-2</v>
      </c>
      <c r="N23" s="3">
        <v>379</v>
      </c>
      <c r="O23" s="4">
        <f>(Table6[[#This Row],[Avg Cost for two]]/N16)-1</f>
        <v>4.6961325966850875E-2</v>
      </c>
      <c r="P23" s="3">
        <v>33</v>
      </c>
      <c r="Q23" s="81">
        <f>(Table6[[#This Row],[Number of images per restaurant]]/P16)-1</f>
        <v>3.125E-2</v>
      </c>
      <c r="R23" s="81">
        <v>0.94</v>
      </c>
      <c r="S23" s="10">
        <f>(Table6[[#This Row],[Success Rate of payments]]/R16)-1</f>
        <v>3.296703296703285E-2</v>
      </c>
      <c r="T23" s="64">
        <f>VLOOKUP(Table6[[#This Row],[Date]],Table2[#All],1,FALSE)</f>
        <v>43487</v>
      </c>
    </row>
    <row r="24" spans="2:20" x14ac:dyDescent="0.3">
      <c r="B24" s="38">
        <v>43488</v>
      </c>
      <c r="C24" s="80">
        <v>43488</v>
      </c>
      <c r="D24" s="3">
        <v>394426</v>
      </c>
      <c r="E24" s="4">
        <f>(Table6[[#This Row],[Count of restaurants]]/D17)-1</f>
        <v>-2.4335582688540192E-2</v>
      </c>
      <c r="F24" s="4">
        <v>0.18</v>
      </c>
      <c r="G24" s="112">
        <f>(Table6[[#This Row],[Average Discount]]/F17)-1</f>
        <v>0</v>
      </c>
      <c r="H24" s="3">
        <v>36</v>
      </c>
      <c r="I24" s="112">
        <f>(Table6[[#This Row],[Out of stock Items per restaurant]]/H17)-1</f>
        <v>0.19999999999999996</v>
      </c>
      <c r="J24" s="3">
        <v>20</v>
      </c>
      <c r="K24" s="169">
        <f>(Table6[[#This Row],[Average Packaging charges]]/J17)-1</f>
        <v>0.11111111111111116</v>
      </c>
      <c r="L24" s="3">
        <v>25</v>
      </c>
      <c r="M24" s="112">
        <f>(Table6[[#This Row],[Average Delivery Charges]]/L17)-1</f>
        <v>0</v>
      </c>
      <c r="N24" s="3">
        <v>395</v>
      </c>
      <c r="O24" s="4">
        <f>(Table6[[#This Row],[Avg Cost for two]]/N17)-1</f>
        <v>3.4031413612565453E-2</v>
      </c>
      <c r="P24" s="3">
        <v>32</v>
      </c>
      <c r="Q24" s="81">
        <f>(Table6[[#This Row],[Number of images per restaurant]]/P17)-1</f>
        <v>3.2258064516129004E-2</v>
      </c>
      <c r="R24" s="81">
        <v>0.95</v>
      </c>
      <c r="S24" s="10">
        <f>(Table6[[#This Row],[Success Rate of payments]]/R17)-1</f>
        <v>4.39560439560438E-2</v>
      </c>
      <c r="T24" s="64" t="e">
        <f>VLOOKUP(Table6[[#This Row],[Date]],Table2[#All],1,FALSE)</f>
        <v>#N/A</v>
      </c>
    </row>
    <row r="25" spans="2:20" x14ac:dyDescent="0.3">
      <c r="B25" s="38">
        <v>43489</v>
      </c>
      <c r="C25" s="80">
        <v>43489</v>
      </c>
      <c r="D25" s="3">
        <v>404477</v>
      </c>
      <c r="E25" s="4">
        <f>(Table6[[#This Row],[Count of restaurants]]/D18)-1</f>
        <v>1.4836171575383084E-4</v>
      </c>
      <c r="F25" s="4">
        <v>0.17</v>
      </c>
      <c r="G25" s="112">
        <f>(Table6[[#This Row],[Average Discount]]/F18)-1</f>
        <v>0</v>
      </c>
      <c r="H25" s="3">
        <v>33</v>
      </c>
      <c r="I25" s="112">
        <f>(Table6[[#This Row],[Out of stock Items per restaurant]]/H18)-1</f>
        <v>-8.333333333333337E-2</v>
      </c>
      <c r="J25" s="3">
        <v>19</v>
      </c>
      <c r="K25" s="169">
        <f>(Table6[[#This Row],[Average Packaging charges]]/J18)-1</f>
        <v>0</v>
      </c>
      <c r="L25" s="3">
        <v>30</v>
      </c>
      <c r="M25" s="112">
        <f>(Table6[[#This Row],[Average Delivery Charges]]/L18)-1</f>
        <v>0.15384615384615374</v>
      </c>
      <c r="N25" s="3">
        <v>383</v>
      </c>
      <c r="O25" s="4">
        <f>(Table6[[#This Row],[Avg Cost for two]]/N18)-1</f>
        <v>4.9315068493150704E-2</v>
      </c>
      <c r="P25" s="3">
        <v>37</v>
      </c>
      <c r="Q25" s="81">
        <f>(Table6[[#This Row],[Number of images per restaurant]]/P18)-1</f>
        <v>0.19354838709677424</v>
      </c>
      <c r="R25" s="81">
        <v>0.94</v>
      </c>
      <c r="S25" s="10">
        <f>(Table6[[#This Row],[Success Rate of payments]]/R18)-1</f>
        <v>-1.0526315789473717E-2</v>
      </c>
      <c r="T25" s="64" t="e">
        <f>VLOOKUP(Table6[[#This Row],[Date]],Table2[#All],1,FALSE)</f>
        <v>#N/A</v>
      </c>
    </row>
    <row r="26" spans="2:20" x14ac:dyDescent="0.3">
      <c r="B26" s="38">
        <v>43490</v>
      </c>
      <c r="C26" s="80">
        <v>43490</v>
      </c>
      <c r="D26" s="3">
        <v>395903</v>
      </c>
      <c r="E26" s="4">
        <f>(Table6[[#This Row],[Count of restaurants]]/D19)-1</f>
        <v>-2.1773346676056016E-2</v>
      </c>
      <c r="F26" s="4">
        <v>0.17</v>
      </c>
      <c r="G26" s="112">
        <f>(Table6[[#This Row],[Average Discount]]/F19)-1</f>
        <v>-5.5555555555555469E-2</v>
      </c>
      <c r="H26" s="3">
        <v>32</v>
      </c>
      <c r="I26" s="112">
        <f>(Table6[[#This Row],[Out of stock Items per restaurant]]/H19)-1</f>
        <v>3.2258064516129004E-2</v>
      </c>
      <c r="J26" s="3">
        <v>19</v>
      </c>
      <c r="K26" s="169">
        <f>(Table6[[#This Row],[Average Packaging charges]]/J19)-1</f>
        <v>-5.0000000000000044E-2</v>
      </c>
      <c r="L26" s="3">
        <v>28</v>
      </c>
      <c r="M26" s="112">
        <f>(Table6[[#This Row],[Average Delivery Charges]]/L19)-1</f>
        <v>0.12000000000000011</v>
      </c>
      <c r="N26" s="3">
        <v>365</v>
      </c>
      <c r="O26" s="4">
        <f>(Table6[[#This Row],[Avg Cost for two]]/N19)-1</f>
        <v>-2.4064171122994638E-2</v>
      </c>
      <c r="P26" s="3">
        <v>30</v>
      </c>
      <c r="Q26" s="81">
        <f>(Table6[[#This Row],[Number of images per restaurant]]/P19)-1</f>
        <v>-9.0909090909090939E-2</v>
      </c>
      <c r="R26" s="81">
        <v>0.94</v>
      </c>
      <c r="S26" s="10">
        <f>(Table6[[#This Row],[Success Rate of payments]]/R19)-1</f>
        <v>3.296703296703285E-2</v>
      </c>
      <c r="T26" s="64" t="e">
        <f>VLOOKUP(Table6[[#This Row],[Date]],Table2[#All],1,FALSE)</f>
        <v>#N/A</v>
      </c>
    </row>
    <row r="27" spans="2:20" x14ac:dyDescent="0.3">
      <c r="B27" s="38">
        <v>43491</v>
      </c>
      <c r="C27" s="80">
        <v>43491</v>
      </c>
      <c r="D27" s="3">
        <v>392190</v>
      </c>
      <c r="E27" s="4">
        <f>(Table6[[#This Row],[Count of restaurants]]/D20)-1</f>
        <v>-4.2782980530558734E-2</v>
      </c>
      <c r="F27" s="4">
        <v>0.17</v>
      </c>
      <c r="G27" s="112">
        <f>(Table6[[#This Row],[Average Discount]]/F20)-1</f>
        <v>0</v>
      </c>
      <c r="H27" s="3">
        <v>37</v>
      </c>
      <c r="I27" s="112">
        <f>(Table6[[#This Row],[Out of stock Items per restaurant]]/H20)-1</f>
        <v>0</v>
      </c>
      <c r="J27" s="3">
        <v>19</v>
      </c>
      <c r="K27" s="169">
        <f>(Table6[[#This Row],[Average Packaging charges]]/J20)-1</f>
        <v>0</v>
      </c>
      <c r="L27" s="3">
        <v>30</v>
      </c>
      <c r="M27" s="112">
        <f>(Table6[[#This Row],[Average Delivery Charges]]/L20)-1</f>
        <v>0.11111111111111116</v>
      </c>
      <c r="N27" s="3">
        <v>352</v>
      </c>
      <c r="O27" s="4">
        <f>(Table6[[#This Row],[Avg Cost for two]]/N20)-1</f>
        <v>-8.333333333333337E-2</v>
      </c>
      <c r="P27" s="3">
        <v>34</v>
      </c>
      <c r="Q27" s="81">
        <f>(Table6[[#This Row],[Number of images per restaurant]]/P20)-1</f>
        <v>-0.12820512820512819</v>
      </c>
      <c r="R27" s="81">
        <v>0.92</v>
      </c>
      <c r="S27" s="10">
        <f>(Table6[[#This Row],[Success Rate of payments]]/R20)-1</f>
        <v>-3.1578947368420929E-2</v>
      </c>
      <c r="T27" s="64" t="e">
        <f>VLOOKUP(Table6[[#This Row],[Date]],Table2[#All],1,FALSE)</f>
        <v>#N/A</v>
      </c>
    </row>
    <row r="28" spans="2:20" x14ac:dyDescent="0.3">
      <c r="B28" s="38">
        <v>43492</v>
      </c>
      <c r="C28" s="80">
        <v>43492</v>
      </c>
      <c r="D28" s="3">
        <v>393831</v>
      </c>
      <c r="E28" s="4">
        <f>(Table6[[#This Row],[Count of restaurants]]/D21)-1</f>
        <v>1.1475153006320626E-2</v>
      </c>
      <c r="F28" s="4">
        <v>0.19</v>
      </c>
      <c r="G28" s="112">
        <f>(Table6[[#This Row],[Average Discount]]/F21)-1</f>
        <v>0.11764705882352944</v>
      </c>
      <c r="H28" s="3">
        <v>30</v>
      </c>
      <c r="I28" s="112">
        <f>(Table6[[#This Row],[Out of stock Items per restaurant]]/H21)-1</f>
        <v>-0.25</v>
      </c>
      <c r="J28" s="3">
        <v>21</v>
      </c>
      <c r="K28" s="169">
        <f>(Table6[[#This Row],[Average Packaging charges]]/J21)-1</f>
        <v>-4.5454545454545414E-2</v>
      </c>
      <c r="L28" s="3">
        <v>30</v>
      </c>
      <c r="M28" s="112">
        <f>(Table6[[#This Row],[Average Delivery Charges]]/L21)-1</f>
        <v>3.4482758620689724E-2</v>
      </c>
      <c r="N28" s="3">
        <v>390</v>
      </c>
      <c r="O28" s="4">
        <f>(Table6[[#This Row],[Avg Cost for two]]/N21)-1</f>
        <v>7.1428571428571397E-2</v>
      </c>
      <c r="P28" s="3">
        <v>35</v>
      </c>
      <c r="Q28" s="81">
        <f>(Table6[[#This Row],[Number of images per restaurant]]/P21)-1</f>
        <v>9.375E-2</v>
      </c>
      <c r="R28" s="81">
        <v>0.91</v>
      </c>
      <c r="S28" s="10">
        <f>(Table6[[#This Row],[Success Rate of payments]]/R21)-1</f>
        <v>0</v>
      </c>
      <c r="T28" s="64" t="e">
        <f>VLOOKUP(Table6[[#This Row],[Date]],Table2[#All],1,FALSE)</f>
        <v>#N/A</v>
      </c>
    </row>
    <row r="29" spans="2:20" x14ac:dyDescent="0.3">
      <c r="B29" s="38">
        <v>43493</v>
      </c>
      <c r="C29" s="80">
        <v>43493</v>
      </c>
      <c r="D29" s="3">
        <v>399983</v>
      </c>
      <c r="E29" s="4">
        <f>(Table6[[#This Row],[Count of restaurants]]/D22)-1</f>
        <v>2.9742810802461106E-2</v>
      </c>
      <c r="F29" s="4">
        <v>0.19</v>
      </c>
      <c r="G29" s="112">
        <f>(Table6[[#This Row],[Average Discount]]/F22)-1</f>
        <v>0</v>
      </c>
      <c r="H29" s="3">
        <v>40</v>
      </c>
      <c r="I29" s="112">
        <f>(Table6[[#This Row],[Out of stock Items per restaurant]]/H22)-1</f>
        <v>2.564102564102555E-2</v>
      </c>
      <c r="J29" s="3">
        <v>19</v>
      </c>
      <c r="K29" s="169">
        <f>(Table6[[#This Row],[Average Packaging charges]]/J22)-1</f>
        <v>-9.5238095238095233E-2</v>
      </c>
      <c r="L29" s="3">
        <v>26</v>
      </c>
      <c r="M29" s="112">
        <f>(Table6[[#This Row],[Average Delivery Charges]]/L22)-1</f>
        <v>-0.1333333333333333</v>
      </c>
      <c r="N29" s="3">
        <v>370</v>
      </c>
      <c r="O29" s="4">
        <f>(Table6[[#This Row],[Avg Cost for two]]/N22)-1</f>
        <v>-4.8843187660668419E-2</v>
      </c>
      <c r="P29" s="3">
        <v>34</v>
      </c>
      <c r="Q29" s="81">
        <f>(Table6[[#This Row],[Number of images per restaurant]]/P22)-1</f>
        <v>-8.108108108108103E-2</v>
      </c>
      <c r="R29" s="81">
        <v>0.91</v>
      </c>
      <c r="S29" s="10">
        <f>(Table6[[#This Row],[Success Rate of payments]]/R22)-1</f>
        <v>-1.0869565217391353E-2</v>
      </c>
      <c r="T29" s="64" t="e">
        <f>VLOOKUP(Table6[[#This Row],[Date]],Table2[#All],1,FALSE)</f>
        <v>#N/A</v>
      </c>
    </row>
    <row r="30" spans="2:20" x14ac:dyDescent="0.3">
      <c r="B30" s="38">
        <v>43494</v>
      </c>
      <c r="C30" s="80">
        <v>43494</v>
      </c>
      <c r="D30" s="3">
        <v>274777</v>
      </c>
      <c r="E30" s="4">
        <f>(Table6[[#This Row],[Count of restaurants]]/D23)-1</f>
        <v>-0.28259467644870306</v>
      </c>
      <c r="F30" s="4">
        <v>0.17</v>
      </c>
      <c r="G30" s="112">
        <f>(Table6[[#This Row],[Average Discount]]/F23)-1</f>
        <v>-5.5555555555555469E-2</v>
      </c>
      <c r="H30" s="3">
        <v>31</v>
      </c>
      <c r="I30" s="112">
        <f>(Table6[[#This Row],[Out of stock Items per restaurant]]/H23)-1</f>
        <v>-0.11428571428571432</v>
      </c>
      <c r="J30" s="3">
        <v>22</v>
      </c>
      <c r="K30" s="169">
        <f>(Table6[[#This Row],[Average Packaging charges]]/J23)-1</f>
        <v>0.29411764705882359</v>
      </c>
      <c r="L30" s="3">
        <v>25</v>
      </c>
      <c r="M30" s="112">
        <f>(Table6[[#This Row],[Average Delivery Charges]]/L23)-1</f>
        <v>-0.1071428571428571</v>
      </c>
      <c r="N30" s="3">
        <v>376</v>
      </c>
      <c r="O30" s="4">
        <f>(Table6[[#This Row],[Avg Cost for two]]/N23)-1</f>
        <v>-7.9155672823219003E-3</v>
      </c>
      <c r="P30" s="3">
        <v>37</v>
      </c>
      <c r="Q30" s="81">
        <f>(Table6[[#This Row],[Number of images per restaurant]]/P23)-1</f>
        <v>0.1212121212121211</v>
      </c>
      <c r="R30" s="81">
        <v>0.94</v>
      </c>
      <c r="S30" s="10">
        <f>(Table6[[#This Row],[Success Rate of payments]]/R23)-1</f>
        <v>0</v>
      </c>
      <c r="T30" s="64">
        <f>VLOOKUP(Table6[[#This Row],[Date]],Table2[#All],1,FALSE)</f>
        <v>43494</v>
      </c>
    </row>
    <row r="31" spans="2:20" x14ac:dyDescent="0.3">
      <c r="B31" s="38">
        <v>43495</v>
      </c>
      <c r="C31" s="80">
        <v>43495</v>
      </c>
      <c r="D31" s="3">
        <v>390375</v>
      </c>
      <c r="E31" s="4">
        <f>(Table6[[#This Row],[Count of restaurants]]/D24)-1</f>
        <v>-1.0270621105099575E-2</v>
      </c>
      <c r="F31" s="4">
        <v>0.18</v>
      </c>
      <c r="G31" s="112">
        <f>(Table6[[#This Row],[Average Discount]]/F24)-1</f>
        <v>0</v>
      </c>
      <c r="H31" s="3">
        <v>37</v>
      </c>
      <c r="I31" s="112">
        <f>(Table6[[#This Row],[Out of stock Items per restaurant]]/H24)-1</f>
        <v>2.7777777777777679E-2</v>
      </c>
      <c r="J31" s="3">
        <v>18</v>
      </c>
      <c r="K31" s="169">
        <f>(Table6[[#This Row],[Average Packaging charges]]/J24)-1</f>
        <v>-9.9999999999999978E-2</v>
      </c>
      <c r="L31" s="3">
        <v>26</v>
      </c>
      <c r="M31" s="112">
        <f>(Table6[[#This Row],[Average Delivery Charges]]/L24)-1</f>
        <v>4.0000000000000036E-2</v>
      </c>
      <c r="N31" s="3">
        <v>366</v>
      </c>
      <c r="O31" s="4">
        <f>(Table6[[#This Row],[Avg Cost for two]]/N24)-1</f>
        <v>-7.3417721518987289E-2</v>
      </c>
      <c r="P31" s="3">
        <v>37</v>
      </c>
      <c r="Q31" s="81">
        <f>(Table6[[#This Row],[Number of images per restaurant]]/P24)-1</f>
        <v>0.15625</v>
      </c>
      <c r="R31" s="81">
        <v>0.93</v>
      </c>
      <c r="S31" s="10">
        <f>(Table6[[#This Row],[Success Rate of payments]]/R24)-1</f>
        <v>-2.1052631578947323E-2</v>
      </c>
      <c r="T31" s="64" t="e">
        <f>VLOOKUP(Table6[[#This Row],[Date]],Table2[#All],1,FALSE)</f>
        <v>#N/A</v>
      </c>
    </row>
    <row r="32" spans="2:20" x14ac:dyDescent="0.3">
      <c r="B32" s="38">
        <v>43496</v>
      </c>
      <c r="C32" s="80">
        <v>43496</v>
      </c>
      <c r="D32" s="3">
        <v>393482</v>
      </c>
      <c r="E32" s="4">
        <f>(Table6[[#This Row],[Count of restaurants]]/D25)-1</f>
        <v>-2.7183251458055668E-2</v>
      </c>
      <c r="F32" s="4">
        <v>0.18</v>
      </c>
      <c r="G32" s="112">
        <f>(Table6[[#This Row],[Average Discount]]/F25)-1</f>
        <v>5.8823529411764497E-2</v>
      </c>
      <c r="H32" s="3">
        <v>38</v>
      </c>
      <c r="I32" s="112">
        <f>(Table6[[#This Row],[Out of stock Items per restaurant]]/H25)-1</f>
        <v>0.1515151515151516</v>
      </c>
      <c r="J32" s="3">
        <v>18</v>
      </c>
      <c r="K32" s="169">
        <f>(Table6[[#This Row],[Average Packaging charges]]/J25)-1</f>
        <v>-5.2631578947368474E-2</v>
      </c>
      <c r="L32" s="3">
        <v>25</v>
      </c>
      <c r="M32" s="112">
        <f>(Table6[[#This Row],[Average Delivery Charges]]/L25)-1</f>
        <v>-0.16666666666666663</v>
      </c>
      <c r="N32" s="3">
        <v>354</v>
      </c>
      <c r="O32" s="4">
        <f>(Table6[[#This Row],[Avg Cost for two]]/N25)-1</f>
        <v>-7.571801566579639E-2</v>
      </c>
      <c r="P32" s="3">
        <v>33</v>
      </c>
      <c r="Q32" s="81">
        <f>(Table6[[#This Row],[Number of images per restaurant]]/P25)-1</f>
        <v>-0.10810810810810811</v>
      </c>
      <c r="R32" s="81">
        <v>0.94</v>
      </c>
      <c r="S32" s="10">
        <f>(Table6[[#This Row],[Success Rate of payments]]/R25)-1</f>
        <v>0</v>
      </c>
      <c r="T32" s="64" t="e">
        <f>VLOOKUP(Table6[[#This Row],[Date]],Table2[#All],1,FALSE)</f>
        <v>#N/A</v>
      </c>
    </row>
    <row r="33" spans="2:20" x14ac:dyDescent="0.3">
      <c r="B33" s="38">
        <v>43497</v>
      </c>
      <c r="C33" s="80">
        <v>43497</v>
      </c>
      <c r="D33" s="3">
        <v>393763</v>
      </c>
      <c r="E33" s="4">
        <f>(Table6[[#This Row],[Count of restaurants]]/D26)-1</f>
        <v>-5.405364445331351E-3</v>
      </c>
      <c r="F33" s="4">
        <v>0.18</v>
      </c>
      <c r="G33" s="112">
        <f>(Table6[[#This Row],[Average Discount]]/F26)-1</f>
        <v>5.8823529411764497E-2</v>
      </c>
      <c r="H33" s="3">
        <v>34</v>
      </c>
      <c r="I33" s="112">
        <f>(Table6[[#This Row],[Out of stock Items per restaurant]]/H26)-1</f>
        <v>6.25E-2</v>
      </c>
      <c r="J33" s="3">
        <v>17</v>
      </c>
      <c r="K33" s="169">
        <f>(Table6[[#This Row],[Average Packaging charges]]/J26)-1</f>
        <v>-0.10526315789473684</v>
      </c>
      <c r="L33" s="3">
        <v>28</v>
      </c>
      <c r="M33" s="112">
        <f>(Table6[[#This Row],[Average Delivery Charges]]/L26)-1</f>
        <v>0</v>
      </c>
      <c r="N33" s="3">
        <v>394</v>
      </c>
      <c r="O33" s="4">
        <f>(Table6[[#This Row],[Avg Cost for two]]/N26)-1</f>
        <v>7.9452054794520555E-2</v>
      </c>
      <c r="P33" s="3">
        <v>38</v>
      </c>
      <c r="Q33" s="81">
        <f>(Table6[[#This Row],[Number of images per restaurant]]/P26)-1</f>
        <v>0.26666666666666661</v>
      </c>
      <c r="R33" s="81">
        <v>0.94</v>
      </c>
      <c r="S33" s="10">
        <f>(Table6[[#This Row],[Success Rate of payments]]/R26)-1</f>
        <v>0</v>
      </c>
      <c r="T33" s="64" t="e">
        <f>VLOOKUP(Table6[[#This Row],[Date]],Table2[#All],1,FALSE)</f>
        <v>#N/A</v>
      </c>
    </row>
    <row r="34" spans="2:20" x14ac:dyDescent="0.3">
      <c r="B34" s="38">
        <v>43498</v>
      </c>
      <c r="C34" s="80">
        <v>43498</v>
      </c>
      <c r="D34" s="3">
        <v>391275</v>
      </c>
      <c r="E34" s="4">
        <f>(Table6[[#This Row],[Count of restaurants]]/D27)-1</f>
        <v>-2.3330528570335574E-3</v>
      </c>
      <c r="F34" s="4">
        <v>0.18</v>
      </c>
      <c r="G34" s="112">
        <f>(Table6[[#This Row],[Average Discount]]/F27)-1</f>
        <v>5.8823529411764497E-2</v>
      </c>
      <c r="H34" s="3">
        <v>33</v>
      </c>
      <c r="I34" s="112">
        <f>(Table6[[#This Row],[Out of stock Items per restaurant]]/H27)-1</f>
        <v>-0.10810810810810811</v>
      </c>
      <c r="J34" s="3">
        <v>20</v>
      </c>
      <c r="K34" s="169">
        <f>(Table6[[#This Row],[Average Packaging charges]]/J27)-1</f>
        <v>5.2631578947368363E-2</v>
      </c>
      <c r="L34" s="3">
        <v>27</v>
      </c>
      <c r="M34" s="112">
        <f>(Table6[[#This Row],[Average Delivery Charges]]/L27)-1</f>
        <v>-9.9999999999999978E-2</v>
      </c>
      <c r="N34" s="3">
        <v>350</v>
      </c>
      <c r="O34" s="4">
        <f>(Table6[[#This Row],[Avg Cost for two]]/N27)-1</f>
        <v>-5.6818181818182323E-3</v>
      </c>
      <c r="P34" s="3">
        <v>34</v>
      </c>
      <c r="Q34" s="81">
        <f>(Table6[[#This Row],[Number of images per restaurant]]/P27)-1</f>
        <v>0</v>
      </c>
      <c r="R34" s="81">
        <v>0.95</v>
      </c>
      <c r="S34" s="10">
        <f>(Table6[[#This Row],[Success Rate of payments]]/R27)-1</f>
        <v>3.2608695652173836E-2</v>
      </c>
      <c r="T34" s="64" t="e">
        <f>VLOOKUP(Table6[[#This Row],[Date]],Table2[#All],1,FALSE)</f>
        <v>#N/A</v>
      </c>
    </row>
    <row r="35" spans="2:20" x14ac:dyDescent="0.3">
      <c r="B35" s="38">
        <v>43499</v>
      </c>
      <c r="C35" s="80">
        <v>43499</v>
      </c>
      <c r="D35" s="3">
        <v>402690</v>
      </c>
      <c r="E35" s="4">
        <f>(Table6[[#This Row],[Count of restaurants]]/D28)-1</f>
        <v>2.2494420195464659E-2</v>
      </c>
      <c r="F35" s="4">
        <v>0.18</v>
      </c>
      <c r="G35" s="112">
        <f>(Table6[[#This Row],[Average Discount]]/F28)-1</f>
        <v>-5.2631578947368474E-2</v>
      </c>
      <c r="H35" s="3">
        <v>30</v>
      </c>
      <c r="I35" s="112">
        <f>(Table6[[#This Row],[Out of stock Items per restaurant]]/H28)-1</f>
        <v>0</v>
      </c>
      <c r="J35" s="3">
        <v>20</v>
      </c>
      <c r="K35" s="169">
        <f>(Table6[[#This Row],[Average Packaging charges]]/J28)-1</f>
        <v>-4.7619047619047672E-2</v>
      </c>
      <c r="L35" s="3">
        <v>30</v>
      </c>
      <c r="M35" s="112">
        <f>(Table6[[#This Row],[Average Delivery Charges]]/L28)-1</f>
        <v>0</v>
      </c>
      <c r="N35" s="3">
        <v>357</v>
      </c>
      <c r="O35" s="4">
        <f>(Table6[[#This Row],[Avg Cost for two]]/N28)-1</f>
        <v>-8.4615384615384648E-2</v>
      </c>
      <c r="P35" s="3">
        <v>38</v>
      </c>
      <c r="Q35" s="81">
        <f>(Table6[[#This Row],[Number of images per restaurant]]/P28)-1</f>
        <v>8.5714285714285632E-2</v>
      </c>
      <c r="R35" s="81">
        <v>0.91</v>
      </c>
      <c r="S35" s="10">
        <f>(Table6[[#This Row],[Success Rate of payments]]/R28)-1</f>
        <v>0</v>
      </c>
      <c r="T35" s="64" t="e">
        <f>VLOOKUP(Table6[[#This Row],[Date]],Table2[#All],1,FALSE)</f>
        <v>#N/A</v>
      </c>
    </row>
    <row r="36" spans="2:20" x14ac:dyDescent="0.3">
      <c r="B36" s="38">
        <v>43500</v>
      </c>
      <c r="C36" s="80">
        <v>43500</v>
      </c>
      <c r="D36" s="3">
        <v>407158</v>
      </c>
      <c r="E36" s="4">
        <f>(Table6[[#This Row],[Count of restaurants]]/D29)-1</f>
        <v>1.7938262376151037E-2</v>
      </c>
      <c r="F36" s="4">
        <v>0.17</v>
      </c>
      <c r="G36" s="112">
        <f>(Table6[[#This Row],[Average Discount]]/F29)-1</f>
        <v>-0.10526315789473684</v>
      </c>
      <c r="H36" s="3">
        <v>39</v>
      </c>
      <c r="I36" s="112">
        <f>(Table6[[#This Row],[Out of stock Items per restaurant]]/H29)-1</f>
        <v>-2.5000000000000022E-2</v>
      </c>
      <c r="J36" s="3">
        <v>17</v>
      </c>
      <c r="K36" s="169">
        <f>(Table6[[#This Row],[Average Packaging charges]]/J29)-1</f>
        <v>-0.10526315789473684</v>
      </c>
      <c r="L36" s="3">
        <v>26</v>
      </c>
      <c r="M36" s="112">
        <f>(Table6[[#This Row],[Average Delivery Charges]]/L29)-1</f>
        <v>0</v>
      </c>
      <c r="N36" s="3">
        <v>370</v>
      </c>
      <c r="O36" s="4">
        <f>(Table6[[#This Row],[Avg Cost for two]]/N29)-1</f>
        <v>0</v>
      </c>
      <c r="P36" s="3">
        <v>37</v>
      </c>
      <c r="Q36" s="81">
        <f>(Table6[[#This Row],[Number of images per restaurant]]/P29)-1</f>
        <v>8.8235294117646967E-2</v>
      </c>
      <c r="R36" s="81">
        <v>0.93</v>
      </c>
      <c r="S36" s="10">
        <f>(Table6[[#This Row],[Success Rate of payments]]/R29)-1</f>
        <v>2.19780219780219E-2</v>
      </c>
      <c r="T36" s="64" t="e">
        <f>VLOOKUP(Table6[[#This Row],[Date]],Table2[#All],1,FALSE)</f>
        <v>#N/A</v>
      </c>
    </row>
    <row r="37" spans="2:20" x14ac:dyDescent="0.3">
      <c r="B37" s="38">
        <v>43501</v>
      </c>
      <c r="C37" s="80">
        <v>43501</v>
      </c>
      <c r="D37" s="3">
        <v>408982</v>
      </c>
      <c r="E37" s="4">
        <f>(Table6[[#This Row],[Count of restaurants]]/D30)-1</f>
        <v>0.48841424136663547</v>
      </c>
      <c r="F37" s="4">
        <v>0.18</v>
      </c>
      <c r="G37" s="112">
        <f>(Table6[[#This Row],[Average Discount]]/F30)-1</f>
        <v>5.8823529411764497E-2</v>
      </c>
      <c r="H37" s="3">
        <v>30</v>
      </c>
      <c r="I37" s="112">
        <f>(Table6[[#This Row],[Out of stock Items per restaurant]]/H30)-1</f>
        <v>-3.2258064516129004E-2</v>
      </c>
      <c r="J37" s="3">
        <v>21</v>
      </c>
      <c r="K37" s="169">
        <f>(Table6[[#This Row],[Average Packaging charges]]/J30)-1</f>
        <v>-4.5454545454545414E-2</v>
      </c>
      <c r="L37" s="3">
        <v>28</v>
      </c>
      <c r="M37" s="112">
        <f>(Table6[[#This Row],[Average Delivery Charges]]/L30)-1</f>
        <v>0.12000000000000011</v>
      </c>
      <c r="N37" s="3">
        <v>371</v>
      </c>
      <c r="O37" s="4">
        <f>(Table6[[#This Row],[Avg Cost for two]]/N30)-1</f>
        <v>-1.3297872340425565E-2</v>
      </c>
      <c r="P37" s="3">
        <v>39</v>
      </c>
      <c r="Q37" s="81">
        <f>(Table6[[#This Row],[Number of images per restaurant]]/P30)-1</f>
        <v>5.4054054054053946E-2</v>
      </c>
      <c r="R37" s="81">
        <v>0.91</v>
      </c>
      <c r="S37" s="10">
        <f>(Table6[[#This Row],[Success Rate of payments]]/R30)-1</f>
        <v>-3.1914893617021156E-2</v>
      </c>
      <c r="T37" s="64">
        <f>VLOOKUP(Table6[[#This Row],[Date]],Table2[#All],1,FALSE)</f>
        <v>43501</v>
      </c>
    </row>
    <row r="38" spans="2:20" x14ac:dyDescent="0.3">
      <c r="B38" s="38">
        <v>43502</v>
      </c>
      <c r="C38" s="80">
        <v>43502</v>
      </c>
      <c r="D38" s="3">
        <v>404349</v>
      </c>
      <c r="E38" s="4">
        <f>(Table6[[#This Row],[Count of restaurants]]/D31)-1</f>
        <v>3.5796349663784754E-2</v>
      </c>
      <c r="F38" s="4">
        <v>0.18</v>
      </c>
      <c r="G38" s="112">
        <f>(Table6[[#This Row],[Average Discount]]/F31)-1</f>
        <v>0</v>
      </c>
      <c r="H38" s="3">
        <v>40</v>
      </c>
      <c r="I38" s="112">
        <f>(Table6[[#This Row],[Out of stock Items per restaurant]]/H31)-1</f>
        <v>8.1081081081081141E-2</v>
      </c>
      <c r="J38" s="3">
        <v>21</v>
      </c>
      <c r="K38" s="169">
        <f>(Table6[[#This Row],[Average Packaging charges]]/J31)-1</f>
        <v>0.16666666666666674</v>
      </c>
      <c r="L38" s="3">
        <v>28</v>
      </c>
      <c r="M38" s="112">
        <f>(Table6[[#This Row],[Average Delivery Charges]]/L31)-1</f>
        <v>7.6923076923076872E-2</v>
      </c>
      <c r="N38" s="3">
        <v>350</v>
      </c>
      <c r="O38" s="4">
        <f>(Table6[[#This Row],[Avg Cost for two]]/N31)-1</f>
        <v>-4.3715846994535568E-2</v>
      </c>
      <c r="P38" s="3">
        <v>34</v>
      </c>
      <c r="Q38" s="81">
        <f>(Table6[[#This Row],[Number of images per restaurant]]/P31)-1</f>
        <v>-8.108108108108103E-2</v>
      </c>
      <c r="R38" s="81">
        <v>0.93</v>
      </c>
      <c r="S38" s="10">
        <f>(Table6[[#This Row],[Success Rate of payments]]/R31)-1</f>
        <v>0</v>
      </c>
      <c r="T38" s="64" t="e">
        <f>VLOOKUP(Table6[[#This Row],[Date]],Table2[#All],1,FALSE)</f>
        <v>#N/A</v>
      </c>
    </row>
    <row r="39" spans="2:20" x14ac:dyDescent="0.3">
      <c r="B39" s="38">
        <v>43503</v>
      </c>
      <c r="C39" s="80">
        <v>43503</v>
      </c>
      <c r="D39" s="3">
        <v>406748</v>
      </c>
      <c r="E39" s="4">
        <f>(Table6[[#This Row],[Count of restaurants]]/D32)-1</f>
        <v>3.3714375752893488E-2</v>
      </c>
      <c r="F39" s="4">
        <v>0.17</v>
      </c>
      <c r="G39" s="112">
        <f>(Table6[[#This Row],[Average Discount]]/F32)-1</f>
        <v>-5.5555555555555469E-2</v>
      </c>
      <c r="H39" s="3">
        <v>30</v>
      </c>
      <c r="I39" s="112">
        <f>(Table6[[#This Row],[Out of stock Items per restaurant]]/H32)-1</f>
        <v>-0.21052631578947367</v>
      </c>
      <c r="J39" s="3">
        <v>20</v>
      </c>
      <c r="K39" s="169">
        <f>(Table6[[#This Row],[Average Packaging charges]]/J32)-1</f>
        <v>0.11111111111111116</v>
      </c>
      <c r="L39" s="3">
        <v>29</v>
      </c>
      <c r="M39" s="112">
        <f>(Table6[[#This Row],[Average Delivery Charges]]/L32)-1</f>
        <v>0.15999999999999992</v>
      </c>
      <c r="N39" s="3">
        <v>359</v>
      </c>
      <c r="O39" s="4">
        <f>(Table6[[#This Row],[Avg Cost for two]]/N32)-1</f>
        <v>1.4124293785310771E-2</v>
      </c>
      <c r="P39" s="3">
        <v>34</v>
      </c>
      <c r="Q39" s="81">
        <f>(Table6[[#This Row],[Number of images per restaurant]]/P32)-1</f>
        <v>3.0303030303030276E-2</v>
      </c>
      <c r="R39" s="81">
        <v>0.94</v>
      </c>
      <c r="S39" s="10">
        <f>(Table6[[#This Row],[Success Rate of payments]]/R32)-1</f>
        <v>0</v>
      </c>
      <c r="T39" s="64" t="e">
        <f>VLOOKUP(Table6[[#This Row],[Date]],Table2[#All],1,FALSE)</f>
        <v>#N/A</v>
      </c>
    </row>
    <row r="40" spans="2:20" x14ac:dyDescent="0.3">
      <c r="B40" s="38">
        <v>43504</v>
      </c>
      <c r="C40" s="80">
        <v>43504</v>
      </c>
      <c r="D40" s="3">
        <v>398421</v>
      </c>
      <c r="E40" s="4">
        <f>(Table6[[#This Row],[Count of restaurants]]/D33)-1</f>
        <v>1.1829450710198808E-2</v>
      </c>
      <c r="F40" s="4">
        <v>0.19</v>
      </c>
      <c r="G40" s="112">
        <f>(Table6[[#This Row],[Average Discount]]/F33)-1</f>
        <v>5.555555555555558E-2</v>
      </c>
      <c r="H40" s="3">
        <v>37</v>
      </c>
      <c r="I40" s="112">
        <f>(Table6[[#This Row],[Out of stock Items per restaurant]]/H33)-1</f>
        <v>8.8235294117646967E-2</v>
      </c>
      <c r="J40" s="3">
        <v>22</v>
      </c>
      <c r="K40" s="169">
        <f>(Table6[[#This Row],[Average Packaging charges]]/J33)-1</f>
        <v>0.29411764705882359</v>
      </c>
      <c r="L40" s="3">
        <v>26</v>
      </c>
      <c r="M40" s="112">
        <f>(Table6[[#This Row],[Average Delivery Charges]]/L33)-1</f>
        <v>-7.1428571428571397E-2</v>
      </c>
      <c r="N40" s="3">
        <v>378</v>
      </c>
      <c r="O40" s="4">
        <f>(Table6[[#This Row],[Avg Cost for two]]/N33)-1</f>
        <v>-4.0609137055837574E-2</v>
      </c>
      <c r="P40" s="3">
        <v>37</v>
      </c>
      <c r="Q40" s="81">
        <f>(Table6[[#This Row],[Number of images per restaurant]]/P33)-1</f>
        <v>-2.6315789473684181E-2</v>
      </c>
      <c r="R40" s="81">
        <v>0.92</v>
      </c>
      <c r="S40" s="10">
        <f>(Table6[[#This Row],[Success Rate of payments]]/R33)-1</f>
        <v>-2.1276595744680771E-2</v>
      </c>
      <c r="T40" s="64" t="e">
        <f>VLOOKUP(Table6[[#This Row],[Date]],Table2[#All],1,FALSE)</f>
        <v>#N/A</v>
      </c>
    </row>
    <row r="41" spans="2:20" x14ac:dyDescent="0.3">
      <c r="B41" s="38">
        <v>43505</v>
      </c>
      <c r="C41" s="80">
        <v>43505</v>
      </c>
      <c r="D41" s="3">
        <v>382738</v>
      </c>
      <c r="E41" s="4">
        <f>(Table6[[#This Row],[Count of restaurants]]/D34)-1</f>
        <v>-2.1818414158839672E-2</v>
      </c>
      <c r="F41" s="4">
        <v>0.18</v>
      </c>
      <c r="G41" s="112">
        <f>(Table6[[#This Row],[Average Discount]]/F34)-1</f>
        <v>0</v>
      </c>
      <c r="H41" s="3">
        <v>34</v>
      </c>
      <c r="I41" s="112">
        <f>(Table6[[#This Row],[Out of stock Items per restaurant]]/H34)-1</f>
        <v>3.0303030303030276E-2</v>
      </c>
      <c r="J41" s="3">
        <v>22</v>
      </c>
      <c r="K41" s="169">
        <f>(Table6[[#This Row],[Average Packaging charges]]/J34)-1</f>
        <v>0.10000000000000009</v>
      </c>
      <c r="L41" s="3">
        <v>26</v>
      </c>
      <c r="M41" s="112">
        <f>(Table6[[#This Row],[Average Delivery Charges]]/L34)-1</f>
        <v>-3.703703703703709E-2</v>
      </c>
      <c r="N41" s="3">
        <v>353</v>
      </c>
      <c r="O41" s="4">
        <f>(Table6[[#This Row],[Avg Cost for two]]/N34)-1</f>
        <v>8.5714285714286742E-3</v>
      </c>
      <c r="P41" s="3">
        <v>31</v>
      </c>
      <c r="Q41" s="81">
        <f>(Table6[[#This Row],[Number of images per restaurant]]/P34)-1</f>
        <v>-8.8235294117647078E-2</v>
      </c>
      <c r="R41" s="81">
        <v>0.95</v>
      </c>
      <c r="S41" s="10">
        <f>(Table6[[#This Row],[Success Rate of payments]]/R34)-1</f>
        <v>0</v>
      </c>
      <c r="T41" s="64" t="e">
        <f>VLOOKUP(Table6[[#This Row],[Date]],Table2[#All],1,FALSE)</f>
        <v>#N/A</v>
      </c>
    </row>
    <row r="42" spans="2:20" x14ac:dyDescent="0.3">
      <c r="B42" s="38">
        <v>43506</v>
      </c>
      <c r="C42" s="80">
        <v>43506</v>
      </c>
      <c r="D42" s="3">
        <v>391506</v>
      </c>
      <c r="E42" s="4">
        <f>(Table6[[#This Row],[Count of restaurants]]/D35)-1</f>
        <v>-2.7773225061461626E-2</v>
      </c>
      <c r="F42" s="4">
        <v>0.18</v>
      </c>
      <c r="G42" s="112">
        <f>(Table6[[#This Row],[Average Discount]]/F35)-1</f>
        <v>0</v>
      </c>
      <c r="H42" s="3">
        <v>38</v>
      </c>
      <c r="I42" s="112">
        <f>(Table6[[#This Row],[Out of stock Items per restaurant]]/H35)-1</f>
        <v>0.26666666666666661</v>
      </c>
      <c r="J42" s="3">
        <v>19</v>
      </c>
      <c r="K42" s="169">
        <f>(Table6[[#This Row],[Average Packaging charges]]/J35)-1</f>
        <v>-5.0000000000000044E-2</v>
      </c>
      <c r="L42" s="3">
        <v>26</v>
      </c>
      <c r="M42" s="112">
        <f>(Table6[[#This Row],[Average Delivery Charges]]/L35)-1</f>
        <v>-0.1333333333333333</v>
      </c>
      <c r="N42" s="3">
        <v>387</v>
      </c>
      <c r="O42" s="4">
        <f>(Table6[[#This Row],[Avg Cost for two]]/N35)-1</f>
        <v>8.4033613445378075E-2</v>
      </c>
      <c r="P42" s="3">
        <v>15</v>
      </c>
      <c r="Q42" s="81">
        <f>(Table6[[#This Row],[Number of images per restaurant]]/P35)-1</f>
        <v>-0.60526315789473684</v>
      </c>
      <c r="R42" s="81">
        <v>0.95</v>
      </c>
      <c r="S42" s="10">
        <f>(Table6[[#This Row],[Success Rate of payments]]/R35)-1</f>
        <v>4.39560439560438E-2</v>
      </c>
      <c r="T42" s="64" t="e">
        <f>VLOOKUP(Table6[[#This Row],[Date]],Table2[#All],1,FALSE)</f>
        <v>#N/A</v>
      </c>
    </row>
    <row r="43" spans="2:20" x14ac:dyDescent="0.3">
      <c r="B43" s="38">
        <v>43507</v>
      </c>
      <c r="C43" s="80">
        <v>43507</v>
      </c>
      <c r="D43" s="3">
        <v>393294</v>
      </c>
      <c r="E43" s="4">
        <f>(Table6[[#This Row],[Count of restaurants]]/D36)-1</f>
        <v>-3.4050663378835777E-2</v>
      </c>
      <c r="F43" s="4">
        <v>0.17</v>
      </c>
      <c r="G43" s="112">
        <f>(Table6[[#This Row],[Average Discount]]/F36)-1</f>
        <v>0</v>
      </c>
      <c r="H43" s="3">
        <v>33</v>
      </c>
      <c r="I43" s="112">
        <f>(Table6[[#This Row],[Out of stock Items per restaurant]]/H36)-1</f>
        <v>-0.15384615384615385</v>
      </c>
      <c r="J43" s="3">
        <v>20</v>
      </c>
      <c r="K43" s="169">
        <f>(Table6[[#This Row],[Average Packaging charges]]/J36)-1</f>
        <v>0.17647058823529416</v>
      </c>
      <c r="L43" s="3">
        <v>25</v>
      </c>
      <c r="M43" s="112">
        <f>(Table6[[#This Row],[Average Delivery Charges]]/L36)-1</f>
        <v>-3.8461538461538436E-2</v>
      </c>
      <c r="N43" s="3">
        <v>375</v>
      </c>
      <c r="O43" s="4">
        <f>(Table6[[#This Row],[Avg Cost for two]]/N36)-1</f>
        <v>1.3513513513513598E-2</v>
      </c>
      <c r="P43" s="3">
        <v>34</v>
      </c>
      <c r="Q43" s="81">
        <f>(Table6[[#This Row],[Number of images per restaurant]]/P36)-1</f>
        <v>-8.108108108108103E-2</v>
      </c>
      <c r="R43" s="81">
        <v>0.94</v>
      </c>
      <c r="S43" s="10">
        <f>(Table6[[#This Row],[Success Rate of payments]]/R36)-1</f>
        <v>1.0752688172043001E-2</v>
      </c>
      <c r="T43" s="64" t="e">
        <f>VLOOKUP(Table6[[#This Row],[Date]],Table2[#All],1,FALSE)</f>
        <v>#N/A</v>
      </c>
    </row>
    <row r="44" spans="2:20" x14ac:dyDescent="0.3">
      <c r="B44" s="38">
        <v>43508</v>
      </c>
      <c r="C44" s="80">
        <v>43508</v>
      </c>
      <c r="D44" s="3">
        <v>389714</v>
      </c>
      <c r="E44" s="4">
        <f>(Table6[[#This Row],[Count of restaurants]]/D37)-1</f>
        <v>-4.7112097842936906E-2</v>
      </c>
      <c r="F44" s="4">
        <v>0.17</v>
      </c>
      <c r="G44" s="112">
        <f>(Table6[[#This Row],[Average Discount]]/F37)-1</f>
        <v>-5.5555555555555469E-2</v>
      </c>
      <c r="H44" s="3">
        <v>39</v>
      </c>
      <c r="I44" s="112">
        <f>(Table6[[#This Row],[Out of stock Items per restaurant]]/H37)-1</f>
        <v>0.30000000000000004</v>
      </c>
      <c r="J44" s="3">
        <v>17</v>
      </c>
      <c r="K44" s="169">
        <f>(Table6[[#This Row],[Average Packaging charges]]/J37)-1</f>
        <v>-0.19047619047619047</v>
      </c>
      <c r="L44" s="3">
        <v>25</v>
      </c>
      <c r="M44" s="112">
        <f>(Table6[[#This Row],[Average Delivery Charges]]/L37)-1</f>
        <v>-0.1071428571428571</v>
      </c>
      <c r="N44" s="3">
        <v>354</v>
      </c>
      <c r="O44" s="4">
        <f>(Table6[[#This Row],[Avg Cost for two]]/N37)-1</f>
        <v>-4.5822102425876032E-2</v>
      </c>
      <c r="P44" s="3">
        <v>30</v>
      </c>
      <c r="Q44" s="81">
        <f>(Table6[[#This Row],[Number of images per restaurant]]/P37)-1</f>
        <v>-0.23076923076923073</v>
      </c>
      <c r="R44" s="81">
        <v>0.92</v>
      </c>
      <c r="S44" s="10">
        <f>(Table6[[#This Row],[Success Rate of payments]]/R37)-1</f>
        <v>1.098901098901095E-2</v>
      </c>
      <c r="T44" s="64" t="e">
        <f>VLOOKUP(Table6[[#This Row],[Date]],Table2[#All],1,FALSE)</f>
        <v>#N/A</v>
      </c>
    </row>
    <row r="45" spans="2:20" x14ac:dyDescent="0.3">
      <c r="B45" s="38">
        <v>43509</v>
      </c>
      <c r="C45" s="80">
        <v>43509</v>
      </c>
      <c r="D45" s="3">
        <v>401381</v>
      </c>
      <c r="E45" s="4">
        <f>(Table6[[#This Row],[Count of restaurants]]/D38)-1</f>
        <v>-7.3401937435235709E-3</v>
      </c>
      <c r="F45" s="4">
        <v>0.17</v>
      </c>
      <c r="G45" s="112">
        <f>(Table6[[#This Row],[Average Discount]]/F38)-1</f>
        <v>-5.5555555555555469E-2</v>
      </c>
      <c r="H45" s="3">
        <v>32</v>
      </c>
      <c r="I45" s="112">
        <f>(Table6[[#This Row],[Out of stock Items per restaurant]]/H38)-1</f>
        <v>-0.19999999999999996</v>
      </c>
      <c r="J45" s="3">
        <v>17</v>
      </c>
      <c r="K45" s="169">
        <f>(Table6[[#This Row],[Average Packaging charges]]/J38)-1</f>
        <v>-0.19047619047619047</v>
      </c>
      <c r="L45" s="3">
        <v>30</v>
      </c>
      <c r="M45" s="112">
        <f>(Table6[[#This Row],[Average Delivery Charges]]/L38)-1</f>
        <v>7.1428571428571397E-2</v>
      </c>
      <c r="N45" s="3">
        <v>357</v>
      </c>
      <c r="O45" s="4">
        <f>(Table6[[#This Row],[Avg Cost for two]]/N38)-1</f>
        <v>2.0000000000000018E-2</v>
      </c>
      <c r="P45" s="3">
        <v>35</v>
      </c>
      <c r="Q45" s="81">
        <f>(Table6[[#This Row],[Number of images per restaurant]]/P38)-1</f>
        <v>2.9411764705882248E-2</v>
      </c>
      <c r="R45" s="81">
        <v>0.94</v>
      </c>
      <c r="S45" s="10">
        <f>(Table6[[#This Row],[Success Rate of payments]]/R38)-1</f>
        <v>1.0752688172043001E-2</v>
      </c>
      <c r="T45" s="64" t="e">
        <f>VLOOKUP(Table6[[#This Row],[Date]],Table2[#All],1,FALSE)</f>
        <v>#N/A</v>
      </c>
    </row>
    <row r="46" spans="2:20" x14ac:dyDescent="0.3">
      <c r="B46" s="38">
        <v>43510</v>
      </c>
      <c r="C46" s="80">
        <v>43510</v>
      </c>
      <c r="D46" s="3">
        <v>406712</v>
      </c>
      <c r="E46" s="4">
        <f>(Table6[[#This Row],[Count of restaurants]]/D39)-1</f>
        <v>-8.8506888786143989E-5</v>
      </c>
      <c r="F46" s="4">
        <v>0.18</v>
      </c>
      <c r="G46" s="112">
        <f>(Table6[[#This Row],[Average Discount]]/F39)-1</f>
        <v>5.8823529411764497E-2</v>
      </c>
      <c r="H46" s="3">
        <v>40</v>
      </c>
      <c r="I46" s="112">
        <f>(Table6[[#This Row],[Out of stock Items per restaurant]]/H39)-1</f>
        <v>0.33333333333333326</v>
      </c>
      <c r="J46" s="3">
        <v>22</v>
      </c>
      <c r="K46" s="169">
        <f>(Table6[[#This Row],[Average Packaging charges]]/J39)-1</f>
        <v>0.10000000000000009</v>
      </c>
      <c r="L46" s="3">
        <v>29</v>
      </c>
      <c r="M46" s="112">
        <f>(Table6[[#This Row],[Average Delivery Charges]]/L39)-1</f>
        <v>0</v>
      </c>
      <c r="N46" s="3">
        <v>359</v>
      </c>
      <c r="O46" s="4">
        <f>(Table6[[#This Row],[Avg Cost for two]]/N39)-1</f>
        <v>0</v>
      </c>
      <c r="P46" s="3">
        <v>30</v>
      </c>
      <c r="Q46" s="81">
        <f>(Table6[[#This Row],[Number of images per restaurant]]/P39)-1</f>
        <v>-0.11764705882352944</v>
      </c>
      <c r="R46" s="81">
        <v>0.91</v>
      </c>
      <c r="S46" s="10">
        <f>(Table6[[#This Row],[Success Rate of payments]]/R39)-1</f>
        <v>-3.1914893617021156E-2</v>
      </c>
      <c r="T46" s="64" t="e">
        <f>VLOOKUP(Table6[[#This Row],[Date]],Table2[#All],1,FALSE)</f>
        <v>#N/A</v>
      </c>
    </row>
    <row r="47" spans="2:20" x14ac:dyDescent="0.3">
      <c r="B47" s="38">
        <v>43511</v>
      </c>
      <c r="C47" s="80">
        <v>43511</v>
      </c>
      <c r="D47" s="3">
        <v>397282</v>
      </c>
      <c r="E47" s="4">
        <f>(Table6[[#This Row],[Count of restaurants]]/D40)-1</f>
        <v>-2.8587850540007231E-3</v>
      </c>
      <c r="F47" s="4">
        <v>0.18</v>
      </c>
      <c r="G47" s="112">
        <f>(Table6[[#This Row],[Average Discount]]/F40)-1</f>
        <v>-5.2631578947368474E-2</v>
      </c>
      <c r="H47" s="3">
        <v>34</v>
      </c>
      <c r="I47" s="112">
        <f>(Table6[[#This Row],[Out of stock Items per restaurant]]/H40)-1</f>
        <v>-8.108108108108103E-2</v>
      </c>
      <c r="J47" s="3">
        <v>19</v>
      </c>
      <c r="K47" s="169">
        <f>(Table6[[#This Row],[Average Packaging charges]]/J40)-1</f>
        <v>-0.13636363636363635</v>
      </c>
      <c r="L47" s="3">
        <v>25</v>
      </c>
      <c r="M47" s="112">
        <f>(Table6[[#This Row],[Average Delivery Charges]]/L40)-1</f>
        <v>-3.8461538461538436E-2</v>
      </c>
      <c r="N47" s="3">
        <v>370</v>
      </c>
      <c r="O47" s="4">
        <f>(Table6[[#This Row],[Avg Cost for two]]/N40)-1</f>
        <v>-2.1164021164021163E-2</v>
      </c>
      <c r="P47" s="3">
        <v>39</v>
      </c>
      <c r="Q47" s="81">
        <f>(Table6[[#This Row],[Number of images per restaurant]]/P40)-1</f>
        <v>5.4054054054053946E-2</v>
      </c>
      <c r="R47" s="81">
        <v>0.93</v>
      </c>
      <c r="S47" s="10">
        <f>(Table6[[#This Row],[Success Rate of payments]]/R40)-1</f>
        <v>1.0869565217391353E-2</v>
      </c>
      <c r="T47" s="64" t="e">
        <f>VLOOKUP(Table6[[#This Row],[Date]],Table2[#All],1,FALSE)</f>
        <v>#N/A</v>
      </c>
    </row>
    <row r="48" spans="2:20" x14ac:dyDescent="0.3">
      <c r="B48" s="38">
        <v>43512</v>
      </c>
      <c r="C48" s="80">
        <v>43512</v>
      </c>
      <c r="D48" s="3">
        <v>382778</v>
      </c>
      <c r="E48" s="4">
        <f>(Table6[[#This Row],[Count of restaurants]]/D41)-1</f>
        <v>1.045101348702282E-4</v>
      </c>
      <c r="F48" s="4">
        <v>0.19</v>
      </c>
      <c r="G48" s="112">
        <f>(Table6[[#This Row],[Average Discount]]/F41)-1</f>
        <v>5.555555555555558E-2</v>
      </c>
      <c r="H48" s="3">
        <v>33</v>
      </c>
      <c r="I48" s="112">
        <f>(Table6[[#This Row],[Out of stock Items per restaurant]]/H41)-1</f>
        <v>-2.9411764705882359E-2</v>
      </c>
      <c r="J48" s="3">
        <v>18</v>
      </c>
      <c r="K48" s="169">
        <f>(Table6[[#This Row],[Average Packaging charges]]/J41)-1</f>
        <v>-0.18181818181818177</v>
      </c>
      <c r="L48" s="3">
        <v>26</v>
      </c>
      <c r="M48" s="112">
        <f>(Table6[[#This Row],[Average Delivery Charges]]/L41)-1</f>
        <v>0</v>
      </c>
      <c r="N48" s="3">
        <v>361</v>
      </c>
      <c r="O48" s="4">
        <f>(Table6[[#This Row],[Avg Cost for two]]/N41)-1</f>
        <v>2.2662889518413554E-2</v>
      </c>
      <c r="P48" s="3">
        <v>30</v>
      </c>
      <c r="Q48" s="81">
        <f>(Table6[[#This Row],[Number of images per restaurant]]/P41)-1</f>
        <v>-3.2258064516129004E-2</v>
      </c>
      <c r="R48" s="81">
        <v>0.91</v>
      </c>
      <c r="S48" s="10">
        <f>(Table6[[#This Row],[Success Rate of payments]]/R41)-1</f>
        <v>-4.2105263157894646E-2</v>
      </c>
      <c r="T48" s="64" t="e">
        <f>VLOOKUP(Table6[[#This Row],[Date]],Table2[#All],1,FALSE)</f>
        <v>#N/A</v>
      </c>
    </row>
    <row r="49" spans="2:20" x14ac:dyDescent="0.3">
      <c r="B49" s="38">
        <v>43513</v>
      </c>
      <c r="C49" s="80">
        <v>43513</v>
      </c>
      <c r="D49" s="3">
        <v>393504</v>
      </c>
      <c r="E49" s="4">
        <f>(Table6[[#This Row],[Count of restaurants]]/D42)-1</f>
        <v>5.1033700632940882E-3</v>
      </c>
      <c r="F49" s="4">
        <v>0.19</v>
      </c>
      <c r="G49" s="112">
        <f>(Table6[[#This Row],[Average Discount]]/F42)-1</f>
        <v>5.555555555555558E-2</v>
      </c>
      <c r="H49" s="3">
        <v>31</v>
      </c>
      <c r="I49" s="112">
        <f>(Table6[[#This Row],[Out of stock Items per restaurant]]/H42)-1</f>
        <v>-0.18421052631578949</v>
      </c>
      <c r="J49" s="3">
        <v>18</v>
      </c>
      <c r="K49" s="169">
        <f>(Table6[[#This Row],[Average Packaging charges]]/J42)-1</f>
        <v>-5.2631578947368474E-2</v>
      </c>
      <c r="L49" s="3">
        <v>30</v>
      </c>
      <c r="M49" s="112">
        <f>(Table6[[#This Row],[Average Delivery Charges]]/L42)-1</f>
        <v>0.15384615384615374</v>
      </c>
      <c r="N49" s="3">
        <v>374</v>
      </c>
      <c r="O49" s="4">
        <f>(Table6[[#This Row],[Avg Cost for two]]/N42)-1</f>
        <v>-3.3591731266149893E-2</v>
      </c>
      <c r="P49" s="3">
        <v>39</v>
      </c>
      <c r="Q49" s="81">
        <f>(Table6[[#This Row],[Number of images per restaurant]]/P42)-1</f>
        <v>1.6</v>
      </c>
      <c r="R49" s="81">
        <v>0.94</v>
      </c>
      <c r="S49" s="10">
        <f>(Table6[[#This Row],[Success Rate of payments]]/R42)-1</f>
        <v>-1.0526315789473717E-2</v>
      </c>
      <c r="T49" s="64" t="e">
        <f>VLOOKUP(Table6[[#This Row],[Date]],Table2[#All],1,FALSE)</f>
        <v>#N/A</v>
      </c>
    </row>
    <row r="50" spans="2:20" x14ac:dyDescent="0.3">
      <c r="B50" s="38">
        <v>43514</v>
      </c>
      <c r="C50" s="80">
        <v>43514</v>
      </c>
      <c r="D50" s="3">
        <v>401252</v>
      </c>
      <c r="E50" s="4">
        <f>(Table6[[#This Row],[Count of restaurants]]/D43)-1</f>
        <v>2.0234226812511746E-2</v>
      </c>
      <c r="F50" s="4">
        <v>0.17</v>
      </c>
      <c r="G50" s="112">
        <f>(Table6[[#This Row],[Average Discount]]/F43)-1</f>
        <v>0</v>
      </c>
      <c r="H50" s="3">
        <v>36</v>
      </c>
      <c r="I50" s="112">
        <f>(Table6[[#This Row],[Out of stock Items per restaurant]]/H43)-1</f>
        <v>9.0909090909090828E-2</v>
      </c>
      <c r="J50" s="3">
        <v>18</v>
      </c>
      <c r="K50" s="169">
        <f>(Table6[[#This Row],[Average Packaging charges]]/J43)-1</f>
        <v>-9.9999999999999978E-2</v>
      </c>
      <c r="L50" s="3">
        <v>27</v>
      </c>
      <c r="M50" s="112">
        <f>(Table6[[#This Row],[Average Delivery Charges]]/L43)-1</f>
        <v>8.0000000000000071E-2</v>
      </c>
      <c r="N50" s="3">
        <v>395</v>
      </c>
      <c r="O50" s="4">
        <f>(Table6[[#This Row],[Avg Cost for two]]/N43)-1</f>
        <v>5.3333333333333233E-2</v>
      </c>
      <c r="P50" s="3">
        <v>37</v>
      </c>
      <c r="Q50" s="81">
        <f>(Table6[[#This Row],[Number of images per restaurant]]/P43)-1</f>
        <v>8.8235294117646967E-2</v>
      </c>
      <c r="R50" s="81">
        <v>0.95</v>
      </c>
      <c r="S50" s="10">
        <f>(Table6[[#This Row],[Success Rate of payments]]/R43)-1</f>
        <v>1.0638297872340496E-2</v>
      </c>
      <c r="T50" s="64" t="e">
        <f>VLOOKUP(Table6[[#This Row],[Date]],Table2[#All],1,FALSE)</f>
        <v>#N/A</v>
      </c>
    </row>
    <row r="51" spans="2:20" x14ac:dyDescent="0.3">
      <c r="B51" s="38">
        <v>43515</v>
      </c>
      <c r="C51" s="80">
        <v>43515</v>
      </c>
      <c r="D51" s="3">
        <v>400903</v>
      </c>
      <c r="E51" s="4">
        <f>(Table6[[#This Row],[Count of restaurants]]/D44)-1</f>
        <v>2.871079817507205E-2</v>
      </c>
      <c r="F51" s="4">
        <v>0.18</v>
      </c>
      <c r="G51" s="112">
        <f>(Table6[[#This Row],[Average Discount]]/F44)-1</f>
        <v>5.8823529411764497E-2</v>
      </c>
      <c r="H51" s="3">
        <v>35</v>
      </c>
      <c r="I51" s="112">
        <f>(Table6[[#This Row],[Out of stock Items per restaurant]]/H44)-1</f>
        <v>-0.10256410256410253</v>
      </c>
      <c r="J51" s="3">
        <v>19</v>
      </c>
      <c r="K51" s="169">
        <f>(Table6[[#This Row],[Average Packaging charges]]/J44)-1</f>
        <v>0.11764705882352944</v>
      </c>
      <c r="L51" s="3">
        <v>29</v>
      </c>
      <c r="M51" s="112">
        <f>(Table6[[#This Row],[Average Delivery Charges]]/L44)-1</f>
        <v>0.15999999999999992</v>
      </c>
      <c r="N51" s="3">
        <v>350</v>
      </c>
      <c r="O51" s="4">
        <f>(Table6[[#This Row],[Avg Cost for two]]/N44)-1</f>
        <v>-1.1299435028248594E-2</v>
      </c>
      <c r="P51" s="3">
        <v>35</v>
      </c>
      <c r="Q51" s="81">
        <f>(Table6[[#This Row],[Number of images per restaurant]]/P44)-1</f>
        <v>0.16666666666666674</v>
      </c>
      <c r="R51" s="81">
        <v>0.92</v>
      </c>
      <c r="S51" s="10">
        <f>(Table6[[#This Row],[Success Rate of payments]]/R44)-1</f>
        <v>0</v>
      </c>
      <c r="T51" s="64">
        <f>VLOOKUP(Table6[[#This Row],[Date]],Table2[#All],1,FALSE)</f>
        <v>43515</v>
      </c>
    </row>
    <row r="52" spans="2:20" x14ac:dyDescent="0.3">
      <c r="B52" s="38">
        <v>43516</v>
      </c>
      <c r="C52" s="80">
        <v>43516</v>
      </c>
      <c r="D52" s="3">
        <v>392628</v>
      </c>
      <c r="E52" s="4">
        <f>(Table6[[#This Row],[Count of restaurants]]/D45)-1</f>
        <v>-2.180721060538493E-2</v>
      </c>
      <c r="F52" s="4">
        <v>0.18</v>
      </c>
      <c r="G52" s="112">
        <f>(Table6[[#This Row],[Average Discount]]/F45)-1</f>
        <v>5.8823529411764497E-2</v>
      </c>
      <c r="H52" s="3">
        <v>32</v>
      </c>
      <c r="I52" s="112">
        <f>(Table6[[#This Row],[Out of stock Items per restaurant]]/H45)-1</f>
        <v>0</v>
      </c>
      <c r="J52" s="3">
        <v>18</v>
      </c>
      <c r="K52" s="169">
        <f>(Table6[[#This Row],[Average Packaging charges]]/J45)-1</f>
        <v>5.8823529411764719E-2</v>
      </c>
      <c r="L52" s="3">
        <v>25</v>
      </c>
      <c r="M52" s="112">
        <f>(Table6[[#This Row],[Average Delivery Charges]]/L45)-1</f>
        <v>-0.16666666666666663</v>
      </c>
      <c r="N52" s="3">
        <v>378</v>
      </c>
      <c r="O52" s="4">
        <f>(Table6[[#This Row],[Avg Cost for two]]/N45)-1</f>
        <v>5.8823529411764719E-2</v>
      </c>
      <c r="P52" s="3">
        <v>40</v>
      </c>
      <c r="Q52" s="81">
        <f>(Table6[[#This Row],[Number of images per restaurant]]/P45)-1</f>
        <v>0.14285714285714279</v>
      </c>
      <c r="R52" s="81">
        <v>0.91</v>
      </c>
      <c r="S52" s="10">
        <f>(Table6[[#This Row],[Success Rate of payments]]/R45)-1</f>
        <v>-3.1914893617021156E-2</v>
      </c>
      <c r="T52" s="64" t="e">
        <f>VLOOKUP(Table6[[#This Row],[Date]],Table2[#All],1,FALSE)</f>
        <v>#N/A</v>
      </c>
    </row>
    <row r="53" spans="2:20" x14ac:dyDescent="0.3">
      <c r="B53" s="38">
        <v>43517</v>
      </c>
      <c r="C53" s="80">
        <v>43517</v>
      </c>
      <c r="D53" s="3">
        <v>390285</v>
      </c>
      <c r="E53" s="4">
        <f>(Table6[[#This Row],[Count of restaurants]]/D46)-1</f>
        <v>-4.0389759830051775E-2</v>
      </c>
      <c r="F53" s="4">
        <v>0.18</v>
      </c>
      <c r="G53" s="112">
        <f>(Table6[[#This Row],[Average Discount]]/F46)-1</f>
        <v>0</v>
      </c>
      <c r="H53" s="3">
        <v>36</v>
      </c>
      <c r="I53" s="112">
        <f>(Table6[[#This Row],[Out of stock Items per restaurant]]/H46)-1</f>
        <v>-9.9999999999999978E-2</v>
      </c>
      <c r="J53" s="3">
        <v>22</v>
      </c>
      <c r="K53" s="169">
        <f>(Table6[[#This Row],[Average Packaging charges]]/J46)-1</f>
        <v>0</v>
      </c>
      <c r="L53" s="3">
        <v>26</v>
      </c>
      <c r="M53" s="112">
        <f>(Table6[[#This Row],[Average Delivery Charges]]/L46)-1</f>
        <v>-0.10344827586206895</v>
      </c>
      <c r="N53" s="3">
        <v>373</v>
      </c>
      <c r="O53" s="4">
        <f>(Table6[[#This Row],[Avg Cost for two]]/N46)-1</f>
        <v>3.8997214484679743E-2</v>
      </c>
      <c r="P53" s="3">
        <v>36</v>
      </c>
      <c r="Q53" s="81">
        <f>(Table6[[#This Row],[Number of images per restaurant]]/P46)-1</f>
        <v>0.19999999999999996</v>
      </c>
      <c r="R53" s="81">
        <v>0.94</v>
      </c>
      <c r="S53" s="10">
        <f>(Table6[[#This Row],[Success Rate of payments]]/R46)-1</f>
        <v>3.296703296703285E-2</v>
      </c>
      <c r="T53" s="64" t="e">
        <f>VLOOKUP(Table6[[#This Row],[Date]],Table2[#All],1,FALSE)</f>
        <v>#N/A</v>
      </c>
    </row>
    <row r="54" spans="2:20" x14ac:dyDescent="0.3">
      <c r="B54" s="38">
        <v>43518</v>
      </c>
      <c r="C54" s="80">
        <v>43518</v>
      </c>
      <c r="D54" s="3">
        <v>407017</v>
      </c>
      <c r="E54" s="4">
        <f>(Table6[[#This Row],[Count of restaurants]]/D47)-1</f>
        <v>2.450400471201819E-2</v>
      </c>
      <c r="F54" s="4">
        <v>0.17</v>
      </c>
      <c r="G54" s="112">
        <f>(Table6[[#This Row],[Average Discount]]/F47)-1</f>
        <v>-5.5555555555555469E-2</v>
      </c>
      <c r="H54" s="3">
        <v>30</v>
      </c>
      <c r="I54" s="112">
        <f>(Table6[[#This Row],[Out of stock Items per restaurant]]/H47)-1</f>
        <v>-0.11764705882352944</v>
      </c>
      <c r="J54" s="3">
        <v>19</v>
      </c>
      <c r="K54" s="169">
        <f>(Table6[[#This Row],[Average Packaging charges]]/J47)-1</f>
        <v>0</v>
      </c>
      <c r="L54" s="3">
        <v>28</v>
      </c>
      <c r="M54" s="112">
        <f>(Table6[[#This Row],[Average Delivery Charges]]/L47)-1</f>
        <v>0.12000000000000011</v>
      </c>
      <c r="N54" s="3">
        <v>395</v>
      </c>
      <c r="O54" s="4">
        <f>(Table6[[#This Row],[Avg Cost for two]]/N47)-1</f>
        <v>6.7567567567567544E-2</v>
      </c>
      <c r="P54" s="3">
        <v>40</v>
      </c>
      <c r="Q54" s="81">
        <f>(Table6[[#This Row],[Number of images per restaurant]]/P47)-1</f>
        <v>2.564102564102555E-2</v>
      </c>
      <c r="R54" s="81">
        <v>0.94</v>
      </c>
      <c r="S54" s="10">
        <f>(Table6[[#This Row],[Success Rate of payments]]/R47)-1</f>
        <v>1.0752688172043001E-2</v>
      </c>
      <c r="T54" s="64" t="e">
        <f>VLOOKUP(Table6[[#This Row],[Date]],Table2[#All],1,FALSE)</f>
        <v>#N/A</v>
      </c>
    </row>
    <row r="55" spans="2:20" x14ac:dyDescent="0.3">
      <c r="B55" s="38">
        <v>43519</v>
      </c>
      <c r="C55" s="80">
        <v>43519</v>
      </c>
      <c r="D55" s="3">
        <v>391896</v>
      </c>
      <c r="E55" s="4">
        <f>(Table6[[#This Row],[Count of restaurants]]/D48)-1</f>
        <v>2.3820595750017048E-2</v>
      </c>
      <c r="F55" s="4">
        <v>0.18</v>
      </c>
      <c r="G55" s="112">
        <f>(Table6[[#This Row],[Average Discount]]/F48)-1</f>
        <v>-5.2631578947368474E-2</v>
      </c>
      <c r="H55" s="3">
        <v>35</v>
      </c>
      <c r="I55" s="112">
        <f>(Table6[[#This Row],[Out of stock Items per restaurant]]/H48)-1</f>
        <v>6.0606060606060552E-2</v>
      </c>
      <c r="J55" s="3">
        <v>20</v>
      </c>
      <c r="K55" s="169">
        <f>(Table6[[#This Row],[Average Packaging charges]]/J48)-1</f>
        <v>0.11111111111111116</v>
      </c>
      <c r="L55" s="3">
        <v>28</v>
      </c>
      <c r="M55" s="112">
        <f>(Table6[[#This Row],[Average Delivery Charges]]/L48)-1</f>
        <v>7.6923076923076872E-2</v>
      </c>
      <c r="N55" s="3">
        <v>360</v>
      </c>
      <c r="O55" s="4">
        <f>(Table6[[#This Row],[Avg Cost for two]]/N48)-1</f>
        <v>-2.7700831024930483E-3</v>
      </c>
      <c r="P55" s="3">
        <v>39</v>
      </c>
      <c r="Q55" s="81">
        <f>(Table6[[#This Row],[Number of images per restaurant]]/P48)-1</f>
        <v>0.30000000000000004</v>
      </c>
      <c r="R55" s="81">
        <v>0.91</v>
      </c>
      <c r="S55" s="10">
        <f>(Table6[[#This Row],[Success Rate of payments]]/R48)-1</f>
        <v>0</v>
      </c>
      <c r="T55" s="64" t="e">
        <f>VLOOKUP(Table6[[#This Row],[Date]],Table2[#All],1,FALSE)</f>
        <v>#N/A</v>
      </c>
    </row>
    <row r="56" spans="2:20" x14ac:dyDescent="0.3">
      <c r="B56" s="38">
        <v>43520</v>
      </c>
      <c r="C56" s="80">
        <v>43520</v>
      </c>
      <c r="D56" s="3">
        <v>401786</v>
      </c>
      <c r="E56" s="4">
        <f>(Table6[[#This Row],[Count of restaurants]]/D49)-1</f>
        <v>2.1046800032528346E-2</v>
      </c>
      <c r="F56" s="4">
        <v>0.17</v>
      </c>
      <c r="G56" s="112">
        <f>(Table6[[#This Row],[Average Discount]]/F49)-1</f>
        <v>-0.10526315789473684</v>
      </c>
      <c r="H56" s="3">
        <v>38</v>
      </c>
      <c r="I56" s="112">
        <f>(Table6[[#This Row],[Out of stock Items per restaurant]]/H49)-1</f>
        <v>0.22580645161290325</v>
      </c>
      <c r="J56" s="3">
        <v>19</v>
      </c>
      <c r="K56" s="169">
        <f>(Table6[[#This Row],[Average Packaging charges]]/J49)-1</f>
        <v>5.555555555555558E-2</v>
      </c>
      <c r="L56" s="3">
        <v>29</v>
      </c>
      <c r="M56" s="112">
        <f>(Table6[[#This Row],[Average Delivery Charges]]/L49)-1</f>
        <v>-3.3333333333333326E-2</v>
      </c>
      <c r="N56" s="3">
        <v>389</v>
      </c>
      <c r="O56" s="4">
        <f>(Table6[[#This Row],[Avg Cost for two]]/N49)-1</f>
        <v>4.0106951871657692E-2</v>
      </c>
      <c r="P56" s="3">
        <v>40</v>
      </c>
      <c r="Q56" s="81">
        <f>(Table6[[#This Row],[Number of images per restaurant]]/P49)-1</f>
        <v>2.564102564102555E-2</v>
      </c>
      <c r="R56" s="81">
        <v>0.91</v>
      </c>
      <c r="S56" s="10">
        <f>(Table6[[#This Row],[Success Rate of payments]]/R49)-1</f>
        <v>-3.1914893617021156E-2</v>
      </c>
      <c r="T56" s="64" t="e">
        <f>VLOOKUP(Table6[[#This Row],[Date]],Table2[#All],1,FALSE)</f>
        <v>#N/A</v>
      </c>
    </row>
    <row r="57" spans="2:20" x14ac:dyDescent="0.3">
      <c r="B57" s="38">
        <v>43521</v>
      </c>
      <c r="C57" s="80">
        <v>43521</v>
      </c>
      <c r="D57" s="3">
        <v>404294</v>
      </c>
      <c r="E57" s="4">
        <f>(Table6[[#This Row],[Count of restaurants]]/D50)-1</f>
        <v>7.5812706229501092E-3</v>
      </c>
      <c r="F57" s="4">
        <v>0.19</v>
      </c>
      <c r="G57" s="112">
        <f>(Table6[[#This Row],[Average Discount]]/F50)-1</f>
        <v>0.11764705882352944</v>
      </c>
      <c r="H57" s="3">
        <v>34</v>
      </c>
      <c r="I57" s="112">
        <f>(Table6[[#This Row],[Out of stock Items per restaurant]]/H50)-1</f>
        <v>-5.555555555555558E-2</v>
      </c>
      <c r="J57" s="3">
        <v>22</v>
      </c>
      <c r="K57" s="169">
        <f>(Table6[[#This Row],[Average Packaging charges]]/J50)-1</f>
        <v>0.22222222222222232</v>
      </c>
      <c r="L57" s="3">
        <v>26</v>
      </c>
      <c r="M57" s="112">
        <f>(Table6[[#This Row],[Average Delivery Charges]]/L50)-1</f>
        <v>-3.703703703703709E-2</v>
      </c>
      <c r="N57" s="3">
        <v>397</v>
      </c>
      <c r="O57" s="4">
        <f>(Table6[[#This Row],[Avg Cost for two]]/N50)-1</f>
        <v>5.0632911392405333E-3</v>
      </c>
      <c r="P57" s="3">
        <v>30</v>
      </c>
      <c r="Q57" s="81">
        <f>(Table6[[#This Row],[Number of images per restaurant]]/P50)-1</f>
        <v>-0.18918918918918914</v>
      </c>
      <c r="R57" s="81">
        <v>0.93</v>
      </c>
      <c r="S57" s="10">
        <f>(Table6[[#This Row],[Success Rate of payments]]/R50)-1</f>
        <v>-2.1052631578947323E-2</v>
      </c>
      <c r="T57" s="64" t="e">
        <f>VLOOKUP(Table6[[#This Row],[Date]],Table2[#All],1,FALSE)</f>
        <v>#N/A</v>
      </c>
    </row>
    <row r="58" spans="2:20" x14ac:dyDescent="0.3">
      <c r="B58" s="38">
        <v>43522</v>
      </c>
      <c r="C58" s="80">
        <v>43522</v>
      </c>
      <c r="D58" s="3">
        <v>400671</v>
      </c>
      <c r="E58" s="4">
        <f>(Table6[[#This Row],[Count of restaurants]]/D51)-1</f>
        <v>-5.7869359919981989E-4</v>
      </c>
      <c r="F58" s="4">
        <v>0.18</v>
      </c>
      <c r="G58" s="112">
        <f>(Table6[[#This Row],[Average Discount]]/F51)-1</f>
        <v>0</v>
      </c>
      <c r="H58" s="3">
        <v>33</v>
      </c>
      <c r="I58" s="112">
        <f>(Table6[[#This Row],[Out of stock Items per restaurant]]/H51)-1</f>
        <v>-5.7142857142857162E-2</v>
      </c>
      <c r="J58" s="3">
        <v>17</v>
      </c>
      <c r="K58" s="169">
        <f>(Table6[[#This Row],[Average Packaging charges]]/J51)-1</f>
        <v>-0.10526315789473684</v>
      </c>
      <c r="L58" s="3">
        <v>28</v>
      </c>
      <c r="M58" s="112">
        <f>(Table6[[#This Row],[Average Delivery Charges]]/L51)-1</f>
        <v>-3.4482758620689613E-2</v>
      </c>
      <c r="N58" s="3">
        <v>369</v>
      </c>
      <c r="O58" s="4">
        <f>(Table6[[#This Row],[Avg Cost for two]]/N51)-1</f>
        <v>5.428571428571427E-2</v>
      </c>
      <c r="P58" s="3">
        <v>40</v>
      </c>
      <c r="Q58" s="81">
        <f>(Table6[[#This Row],[Number of images per restaurant]]/P51)-1</f>
        <v>0.14285714285714279</v>
      </c>
      <c r="R58" s="81">
        <v>0.95</v>
      </c>
      <c r="S58" s="10">
        <f>(Table6[[#This Row],[Success Rate of payments]]/R51)-1</f>
        <v>3.2608695652173836E-2</v>
      </c>
      <c r="T58" s="64">
        <f>VLOOKUP(Table6[[#This Row],[Date]],Table2[#All],1,FALSE)</f>
        <v>43522</v>
      </c>
    </row>
    <row r="59" spans="2:20" x14ac:dyDescent="0.3">
      <c r="B59" s="38">
        <v>43523</v>
      </c>
      <c r="C59" s="80">
        <v>43523</v>
      </c>
      <c r="D59" s="3">
        <v>402996</v>
      </c>
      <c r="E59" s="4">
        <f>(Table6[[#This Row],[Count of restaurants]]/D52)-1</f>
        <v>2.640667502063021E-2</v>
      </c>
      <c r="F59" s="4">
        <v>0.17</v>
      </c>
      <c r="G59" s="112">
        <f>(Table6[[#This Row],[Average Discount]]/F52)-1</f>
        <v>-5.5555555555555469E-2</v>
      </c>
      <c r="H59" s="3">
        <v>38</v>
      </c>
      <c r="I59" s="112">
        <f>(Table6[[#This Row],[Out of stock Items per restaurant]]/H52)-1</f>
        <v>0.1875</v>
      </c>
      <c r="J59" s="3">
        <v>18</v>
      </c>
      <c r="K59" s="169">
        <f>(Table6[[#This Row],[Average Packaging charges]]/J52)-1</f>
        <v>0</v>
      </c>
      <c r="L59" s="3">
        <v>30</v>
      </c>
      <c r="M59" s="112">
        <f>(Table6[[#This Row],[Average Delivery Charges]]/L52)-1</f>
        <v>0.19999999999999996</v>
      </c>
      <c r="N59" s="3">
        <v>375</v>
      </c>
      <c r="O59" s="4">
        <f>(Table6[[#This Row],[Avg Cost for two]]/N52)-1</f>
        <v>-7.9365079365079083E-3</v>
      </c>
      <c r="P59" s="3">
        <v>32</v>
      </c>
      <c r="Q59" s="81">
        <f>(Table6[[#This Row],[Number of images per restaurant]]/P52)-1</f>
        <v>-0.19999999999999996</v>
      </c>
      <c r="R59" s="81">
        <v>0.95</v>
      </c>
      <c r="S59" s="10">
        <f>(Table6[[#This Row],[Success Rate of payments]]/R52)-1</f>
        <v>4.39560439560438E-2</v>
      </c>
      <c r="T59" s="64" t="e">
        <f>VLOOKUP(Table6[[#This Row],[Date]],Table2[#All],1,FALSE)</f>
        <v>#N/A</v>
      </c>
    </row>
    <row r="60" spans="2:20" x14ac:dyDescent="0.3">
      <c r="B60" s="38">
        <v>43524</v>
      </c>
      <c r="C60" s="80">
        <v>43524</v>
      </c>
      <c r="D60" s="3">
        <v>399552</v>
      </c>
      <c r="E60" s="4">
        <f>(Table6[[#This Row],[Count of restaurants]]/D53)-1</f>
        <v>2.3744186940312773E-2</v>
      </c>
      <c r="F60" s="4">
        <v>0.19</v>
      </c>
      <c r="G60" s="112">
        <f>(Table6[[#This Row],[Average Discount]]/F53)-1</f>
        <v>5.555555555555558E-2</v>
      </c>
      <c r="H60" s="3">
        <v>30</v>
      </c>
      <c r="I60" s="112">
        <f>(Table6[[#This Row],[Out of stock Items per restaurant]]/H53)-1</f>
        <v>-0.16666666666666663</v>
      </c>
      <c r="J60" s="3">
        <v>22</v>
      </c>
      <c r="K60" s="169">
        <f>(Table6[[#This Row],[Average Packaging charges]]/J53)-1</f>
        <v>0</v>
      </c>
      <c r="L60" s="3">
        <v>25</v>
      </c>
      <c r="M60" s="112">
        <f>(Table6[[#This Row],[Average Delivery Charges]]/L53)-1</f>
        <v>-3.8461538461538436E-2</v>
      </c>
      <c r="N60" s="3">
        <v>377</v>
      </c>
      <c r="O60" s="4">
        <f>(Table6[[#This Row],[Avg Cost for two]]/N53)-1</f>
        <v>1.072386058981234E-2</v>
      </c>
      <c r="P60" s="3">
        <v>38</v>
      </c>
      <c r="Q60" s="81">
        <f>(Table6[[#This Row],[Number of images per restaurant]]/P53)-1</f>
        <v>5.555555555555558E-2</v>
      </c>
      <c r="R60" s="81">
        <v>0.93</v>
      </c>
      <c r="S60" s="10">
        <f>(Table6[[#This Row],[Success Rate of payments]]/R53)-1</f>
        <v>-1.0638297872340274E-2</v>
      </c>
      <c r="T60" s="64">
        <f>VLOOKUP(Table6[[#This Row],[Date]],Table2[#All],1,FALSE)</f>
        <v>43524</v>
      </c>
    </row>
    <row r="61" spans="2:20" x14ac:dyDescent="0.3">
      <c r="B61" s="38">
        <v>43525</v>
      </c>
      <c r="C61" s="80">
        <v>43525</v>
      </c>
      <c r="D61" s="3">
        <v>406631</v>
      </c>
      <c r="E61" s="4">
        <f>(Table6[[#This Row],[Count of restaurants]]/D54)-1</f>
        <v>-9.4836333617509538E-4</v>
      </c>
      <c r="F61" s="4">
        <v>0.19</v>
      </c>
      <c r="G61" s="112">
        <f>(Table6[[#This Row],[Average Discount]]/F54)-1</f>
        <v>0.11764705882352944</v>
      </c>
      <c r="H61" s="3">
        <v>34</v>
      </c>
      <c r="I61" s="112">
        <f>(Table6[[#This Row],[Out of stock Items per restaurant]]/H54)-1</f>
        <v>0.1333333333333333</v>
      </c>
      <c r="J61" s="3">
        <v>22</v>
      </c>
      <c r="K61" s="169">
        <f>(Table6[[#This Row],[Average Packaging charges]]/J54)-1</f>
        <v>0.15789473684210531</v>
      </c>
      <c r="L61" s="3">
        <v>28</v>
      </c>
      <c r="M61" s="112">
        <f>(Table6[[#This Row],[Average Delivery Charges]]/L54)-1</f>
        <v>0</v>
      </c>
      <c r="N61" s="3">
        <v>382</v>
      </c>
      <c r="O61" s="4">
        <f>(Table6[[#This Row],[Avg Cost for two]]/N54)-1</f>
        <v>-3.2911392405063244E-2</v>
      </c>
      <c r="P61" s="3">
        <v>31</v>
      </c>
      <c r="Q61" s="81">
        <f>(Table6[[#This Row],[Number of images per restaurant]]/P54)-1</f>
        <v>-0.22499999999999998</v>
      </c>
      <c r="R61" s="81">
        <v>0.94</v>
      </c>
      <c r="S61" s="10">
        <f>(Table6[[#This Row],[Success Rate of payments]]/R54)-1</f>
        <v>0</v>
      </c>
      <c r="T61" s="64" t="e">
        <f>VLOOKUP(Table6[[#This Row],[Date]],Table2[#All],1,FALSE)</f>
        <v>#N/A</v>
      </c>
    </row>
    <row r="62" spans="2:20" x14ac:dyDescent="0.3">
      <c r="B62" s="38">
        <v>43526</v>
      </c>
      <c r="C62" s="80">
        <v>43526</v>
      </c>
      <c r="D62" s="3">
        <v>386616</v>
      </c>
      <c r="E62" s="4">
        <f>(Table6[[#This Row],[Count of restaurants]]/D55)-1</f>
        <v>-1.3472962214465034E-2</v>
      </c>
      <c r="F62" s="4">
        <v>0.18</v>
      </c>
      <c r="G62" s="112">
        <f>(Table6[[#This Row],[Average Discount]]/F55)-1</f>
        <v>0</v>
      </c>
      <c r="H62" s="3">
        <v>40</v>
      </c>
      <c r="I62" s="112">
        <f>(Table6[[#This Row],[Out of stock Items per restaurant]]/H55)-1</f>
        <v>0.14285714285714279</v>
      </c>
      <c r="J62" s="3">
        <v>18</v>
      </c>
      <c r="K62" s="169">
        <f>(Table6[[#This Row],[Average Packaging charges]]/J55)-1</f>
        <v>-9.9999999999999978E-2</v>
      </c>
      <c r="L62" s="3">
        <v>56</v>
      </c>
      <c r="M62" s="112">
        <f>(Table6[[#This Row],[Average Delivery Charges]]/L55)-1</f>
        <v>1</v>
      </c>
      <c r="N62" s="3">
        <v>399</v>
      </c>
      <c r="O62" s="4">
        <f>(Table6[[#This Row],[Avg Cost for two]]/N55)-1</f>
        <v>0.10833333333333339</v>
      </c>
      <c r="P62" s="3">
        <v>40</v>
      </c>
      <c r="Q62" s="81">
        <f>(Table6[[#This Row],[Number of images per restaurant]]/P55)-1</f>
        <v>2.564102564102555E-2</v>
      </c>
      <c r="R62" s="81">
        <v>0.95</v>
      </c>
      <c r="S62" s="10">
        <f>(Table6[[#This Row],[Success Rate of payments]]/R55)-1</f>
        <v>4.39560439560438E-2</v>
      </c>
      <c r="T62" s="64">
        <f>VLOOKUP(Table6[[#This Row],[Date]],Table2[#All],1,FALSE)</f>
        <v>43526</v>
      </c>
    </row>
    <row r="63" spans="2:20" x14ac:dyDescent="0.3">
      <c r="B63" s="38">
        <v>43527</v>
      </c>
      <c r="C63" s="80">
        <v>43527</v>
      </c>
      <c r="D63" s="3">
        <v>395246</v>
      </c>
      <c r="E63" s="4">
        <f>(Table6[[#This Row],[Count of restaurants]]/D56)-1</f>
        <v>-1.627732175834895E-2</v>
      </c>
      <c r="F63" s="4">
        <v>0.18</v>
      </c>
      <c r="G63" s="112">
        <f>(Table6[[#This Row],[Average Discount]]/F56)-1</f>
        <v>5.8823529411764497E-2</v>
      </c>
      <c r="H63" s="3">
        <v>32</v>
      </c>
      <c r="I63" s="112">
        <f>(Table6[[#This Row],[Out of stock Items per restaurant]]/H56)-1</f>
        <v>-0.15789473684210531</v>
      </c>
      <c r="J63" s="3">
        <v>21</v>
      </c>
      <c r="K63" s="169">
        <f>(Table6[[#This Row],[Average Packaging charges]]/J56)-1</f>
        <v>0.10526315789473695</v>
      </c>
      <c r="L63" s="3">
        <v>29</v>
      </c>
      <c r="M63" s="112">
        <f>(Table6[[#This Row],[Average Delivery Charges]]/L56)-1</f>
        <v>0</v>
      </c>
      <c r="N63" s="3">
        <v>355</v>
      </c>
      <c r="O63" s="4">
        <f>(Table6[[#This Row],[Avg Cost for two]]/N56)-1</f>
        <v>-8.740359897172234E-2</v>
      </c>
      <c r="P63" s="3">
        <v>35</v>
      </c>
      <c r="Q63" s="81">
        <f>(Table6[[#This Row],[Number of images per restaurant]]/P56)-1</f>
        <v>-0.125</v>
      </c>
      <c r="R63" s="81">
        <v>0.93</v>
      </c>
      <c r="S63" s="10">
        <f>(Table6[[#This Row],[Success Rate of payments]]/R56)-1</f>
        <v>2.19780219780219E-2</v>
      </c>
      <c r="T63" s="64" t="e">
        <f>VLOOKUP(Table6[[#This Row],[Date]],Table2[#All],1,FALSE)</f>
        <v>#N/A</v>
      </c>
    </row>
    <row r="64" spans="2:20" x14ac:dyDescent="0.3">
      <c r="B64" s="38">
        <v>43528</v>
      </c>
      <c r="C64" s="80">
        <v>43528</v>
      </c>
      <c r="D64" s="3">
        <v>409961</v>
      </c>
      <c r="E64" s="4">
        <f>(Table6[[#This Row],[Count of restaurants]]/D57)-1</f>
        <v>1.4017027212869904E-2</v>
      </c>
      <c r="F64" s="4">
        <v>0.17</v>
      </c>
      <c r="G64" s="112">
        <f>(Table6[[#This Row],[Average Discount]]/F57)-1</f>
        <v>-0.10526315789473684</v>
      </c>
      <c r="H64" s="3">
        <v>31</v>
      </c>
      <c r="I64" s="112">
        <f>(Table6[[#This Row],[Out of stock Items per restaurant]]/H57)-1</f>
        <v>-8.8235294117647078E-2</v>
      </c>
      <c r="J64" s="3">
        <v>19</v>
      </c>
      <c r="K64" s="169">
        <f>(Table6[[#This Row],[Average Packaging charges]]/J57)-1</f>
        <v>-0.13636363636363635</v>
      </c>
      <c r="L64" s="3">
        <v>29</v>
      </c>
      <c r="M64" s="112">
        <f>(Table6[[#This Row],[Average Delivery Charges]]/L57)-1</f>
        <v>0.11538461538461542</v>
      </c>
      <c r="N64" s="3">
        <v>372</v>
      </c>
      <c r="O64" s="4">
        <f>(Table6[[#This Row],[Avg Cost for two]]/N57)-1</f>
        <v>-6.2972292191435741E-2</v>
      </c>
      <c r="P64" s="3">
        <v>33</v>
      </c>
      <c r="Q64" s="81">
        <f>(Table6[[#This Row],[Number of images per restaurant]]/P57)-1</f>
        <v>0.10000000000000009</v>
      </c>
      <c r="R64" s="81">
        <v>0.95</v>
      </c>
      <c r="S64" s="10">
        <f>(Table6[[#This Row],[Success Rate of payments]]/R57)-1</f>
        <v>2.1505376344086002E-2</v>
      </c>
      <c r="T64" s="64" t="e">
        <f>VLOOKUP(Table6[[#This Row],[Date]],Table2[#All],1,FALSE)</f>
        <v>#N/A</v>
      </c>
    </row>
    <row r="65" spans="2:20" x14ac:dyDescent="0.3">
      <c r="B65" s="38">
        <v>43529</v>
      </c>
      <c r="C65" s="80">
        <v>43529</v>
      </c>
      <c r="D65" s="3">
        <v>396249</v>
      </c>
      <c r="E65" s="4">
        <f>(Table6[[#This Row],[Count of restaurants]]/D58)-1</f>
        <v>-1.1036486294241366E-2</v>
      </c>
      <c r="F65" s="4">
        <v>0.18</v>
      </c>
      <c r="G65" s="112">
        <f>(Table6[[#This Row],[Average Discount]]/F58)-1</f>
        <v>0</v>
      </c>
      <c r="H65" s="3">
        <v>35</v>
      </c>
      <c r="I65" s="112">
        <f>(Table6[[#This Row],[Out of stock Items per restaurant]]/H58)-1</f>
        <v>6.0606060606060552E-2</v>
      </c>
      <c r="J65" s="3">
        <v>20</v>
      </c>
      <c r="K65" s="169">
        <f>(Table6[[#This Row],[Average Packaging charges]]/J58)-1</f>
        <v>0.17647058823529416</v>
      </c>
      <c r="L65" s="3">
        <v>27</v>
      </c>
      <c r="M65" s="112">
        <f>(Table6[[#This Row],[Average Delivery Charges]]/L58)-1</f>
        <v>-3.5714285714285698E-2</v>
      </c>
      <c r="N65" s="3">
        <v>367</v>
      </c>
      <c r="O65" s="4">
        <f>(Table6[[#This Row],[Avg Cost for two]]/N58)-1</f>
        <v>-5.4200542005420349E-3</v>
      </c>
      <c r="P65" s="3">
        <v>38</v>
      </c>
      <c r="Q65" s="81">
        <f>(Table6[[#This Row],[Number of images per restaurant]]/P58)-1</f>
        <v>-5.0000000000000044E-2</v>
      </c>
      <c r="R65" s="81">
        <v>0.95</v>
      </c>
      <c r="S65" s="10">
        <f>(Table6[[#This Row],[Success Rate of payments]]/R58)-1</f>
        <v>0</v>
      </c>
      <c r="T65" s="64" t="e">
        <f>VLOOKUP(Table6[[#This Row],[Date]],Table2[#All],1,FALSE)</f>
        <v>#N/A</v>
      </c>
    </row>
    <row r="66" spans="2:20" x14ac:dyDescent="0.3">
      <c r="B66" s="38">
        <v>43530</v>
      </c>
      <c r="C66" s="80">
        <v>43530</v>
      </c>
      <c r="D66" s="3">
        <v>398589</v>
      </c>
      <c r="E66" s="4">
        <f>(Table6[[#This Row],[Count of restaurants]]/D59)-1</f>
        <v>-1.0935592412827932E-2</v>
      </c>
      <c r="F66" s="4">
        <v>0.19</v>
      </c>
      <c r="G66" s="112">
        <f>(Table6[[#This Row],[Average Discount]]/F59)-1</f>
        <v>0.11764705882352944</v>
      </c>
      <c r="H66" s="3">
        <v>39</v>
      </c>
      <c r="I66" s="112">
        <f>(Table6[[#This Row],[Out of stock Items per restaurant]]/H59)-1</f>
        <v>2.6315789473684292E-2</v>
      </c>
      <c r="J66" s="3">
        <v>22</v>
      </c>
      <c r="K66" s="169">
        <f>(Table6[[#This Row],[Average Packaging charges]]/J59)-1</f>
        <v>0.22222222222222232</v>
      </c>
      <c r="L66" s="3">
        <v>27</v>
      </c>
      <c r="M66" s="112">
        <f>(Table6[[#This Row],[Average Delivery Charges]]/L59)-1</f>
        <v>-9.9999999999999978E-2</v>
      </c>
      <c r="N66" s="3">
        <v>354</v>
      </c>
      <c r="O66" s="4">
        <f>(Table6[[#This Row],[Avg Cost for two]]/N59)-1</f>
        <v>-5.600000000000005E-2</v>
      </c>
      <c r="P66" s="3">
        <v>39</v>
      </c>
      <c r="Q66" s="81">
        <f>(Table6[[#This Row],[Number of images per restaurant]]/P59)-1</f>
        <v>0.21875</v>
      </c>
      <c r="R66" s="81">
        <v>0.95</v>
      </c>
      <c r="S66" s="10">
        <f>(Table6[[#This Row],[Success Rate of payments]]/R59)-1</f>
        <v>0</v>
      </c>
      <c r="T66" s="64" t="e">
        <f>VLOOKUP(Table6[[#This Row],[Date]],Table2[#All],1,FALSE)</f>
        <v>#N/A</v>
      </c>
    </row>
    <row r="67" spans="2:20" x14ac:dyDescent="0.3">
      <c r="B67" s="38">
        <v>43531</v>
      </c>
      <c r="C67" s="80">
        <v>43531</v>
      </c>
      <c r="D67" s="3">
        <v>398003</v>
      </c>
      <c r="E67" s="4">
        <f>(Table6[[#This Row],[Count of restaurants]]/D60)-1</f>
        <v>-3.8768420631106748E-3</v>
      </c>
      <c r="F67" s="4">
        <v>0.19</v>
      </c>
      <c r="G67" s="112">
        <f>(Table6[[#This Row],[Average Discount]]/F60)-1</f>
        <v>0</v>
      </c>
      <c r="H67" s="3">
        <v>31</v>
      </c>
      <c r="I67" s="112">
        <f>(Table6[[#This Row],[Out of stock Items per restaurant]]/H60)-1</f>
        <v>3.3333333333333437E-2</v>
      </c>
      <c r="J67" s="3">
        <v>18</v>
      </c>
      <c r="K67" s="169">
        <f>(Table6[[#This Row],[Average Packaging charges]]/J60)-1</f>
        <v>-0.18181818181818177</v>
      </c>
      <c r="L67" s="3">
        <v>29</v>
      </c>
      <c r="M67" s="112">
        <f>(Table6[[#This Row],[Average Delivery Charges]]/L60)-1</f>
        <v>0.15999999999999992</v>
      </c>
      <c r="N67" s="3">
        <v>350</v>
      </c>
      <c r="O67" s="4">
        <f>(Table6[[#This Row],[Avg Cost for two]]/N60)-1</f>
        <v>-7.1618037135278478E-2</v>
      </c>
      <c r="P67" s="3">
        <v>37</v>
      </c>
      <c r="Q67" s="81">
        <f>(Table6[[#This Row],[Number of images per restaurant]]/P60)-1</f>
        <v>-2.6315789473684181E-2</v>
      </c>
      <c r="R67" s="81">
        <v>0.94</v>
      </c>
      <c r="S67" s="10">
        <f>(Table6[[#This Row],[Success Rate of payments]]/R60)-1</f>
        <v>1.0752688172043001E-2</v>
      </c>
      <c r="T67" s="64" t="e">
        <f>VLOOKUP(Table6[[#This Row],[Date]],Table2[#All],1,FALSE)</f>
        <v>#N/A</v>
      </c>
    </row>
    <row r="68" spans="2:20" x14ac:dyDescent="0.3">
      <c r="B68" s="38">
        <v>43532</v>
      </c>
      <c r="C68" s="80">
        <v>43532</v>
      </c>
      <c r="D68" s="3">
        <v>396560</v>
      </c>
      <c r="E68" s="4">
        <f>(Table6[[#This Row],[Count of restaurants]]/D61)-1</f>
        <v>-2.4766926279599977E-2</v>
      </c>
      <c r="F68" s="4">
        <v>0.18</v>
      </c>
      <c r="G68" s="112">
        <f>(Table6[[#This Row],[Average Discount]]/F61)-1</f>
        <v>-5.2631578947368474E-2</v>
      </c>
      <c r="H68" s="3">
        <v>30</v>
      </c>
      <c r="I68" s="112">
        <f>(Table6[[#This Row],[Out of stock Items per restaurant]]/H61)-1</f>
        <v>-0.11764705882352944</v>
      </c>
      <c r="J68" s="3">
        <v>19</v>
      </c>
      <c r="K68" s="169">
        <f>(Table6[[#This Row],[Average Packaging charges]]/J61)-1</f>
        <v>-0.13636363636363635</v>
      </c>
      <c r="L68" s="3">
        <v>26</v>
      </c>
      <c r="M68" s="112">
        <f>(Table6[[#This Row],[Average Delivery Charges]]/L61)-1</f>
        <v>-7.1428571428571397E-2</v>
      </c>
      <c r="N68" s="3">
        <v>381</v>
      </c>
      <c r="O68" s="4">
        <f>(Table6[[#This Row],[Avg Cost for two]]/N61)-1</f>
        <v>-2.6178010471203939E-3</v>
      </c>
      <c r="P68" s="3">
        <v>30</v>
      </c>
      <c r="Q68" s="81">
        <f>(Table6[[#This Row],[Number of images per restaurant]]/P61)-1</f>
        <v>-3.2258064516129004E-2</v>
      </c>
      <c r="R68" s="81">
        <v>0.95</v>
      </c>
      <c r="S68" s="10">
        <f>(Table6[[#This Row],[Success Rate of payments]]/R61)-1</f>
        <v>1.0638297872340496E-2</v>
      </c>
      <c r="T68" s="64" t="e">
        <f>VLOOKUP(Table6[[#This Row],[Date]],Table2[#All],1,FALSE)</f>
        <v>#N/A</v>
      </c>
    </row>
    <row r="69" spans="2:20" x14ac:dyDescent="0.3">
      <c r="B69" s="38">
        <v>43533</v>
      </c>
      <c r="C69" s="80">
        <v>43533</v>
      </c>
      <c r="D69" s="3">
        <v>404097</v>
      </c>
      <c r="E69" s="4">
        <f>(Table6[[#This Row],[Count of restaurants]]/D62)-1</f>
        <v>4.5215407536159935E-2</v>
      </c>
      <c r="F69" s="4">
        <v>0.17</v>
      </c>
      <c r="G69" s="112">
        <f>(Table6[[#This Row],[Average Discount]]/F62)-1</f>
        <v>-5.5555555555555469E-2</v>
      </c>
      <c r="H69" s="3">
        <v>33</v>
      </c>
      <c r="I69" s="112">
        <f>(Table6[[#This Row],[Out of stock Items per restaurant]]/H62)-1</f>
        <v>-0.17500000000000004</v>
      </c>
      <c r="J69" s="3">
        <v>21</v>
      </c>
      <c r="K69" s="169">
        <f>(Table6[[#This Row],[Average Packaging charges]]/J62)-1</f>
        <v>0.16666666666666674</v>
      </c>
      <c r="L69" s="3">
        <v>28</v>
      </c>
      <c r="M69" s="112">
        <f>(Table6[[#This Row],[Average Delivery Charges]]/L62)-1</f>
        <v>-0.5</v>
      </c>
      <c r="N69" s="3">
        <v>386</v>
      </c>
      <c r="O69" s="4">
        <f>(Table6[[#This Row],[Avg Cost for two]]/N62)-1</f>
        <v>-3.2581453634085267E-2</v>
      </c>
      <c r="P69" s="3">
        <v>31</v>
      </c>
      <c r="Q69" s="81">
        <f>(Table6[[#This Row],[Number of images per restaurant]]/P62)-1</f>
        <v>-0.22499999999999998</v>
      </c>
      <c r="R69" s="81">
        <v>0.95</v>
      </c>
      <c r="S69" s="10">
        <f>(Table6[[#This Row],[Success Rate of payments]]/R62)-1</f>
        <v>0</v>
      </c>
      <c r="T69" s="64">
        <f>VLOOKUP(Table6[[#This Row],[Date]],Table2[#All],1,FALSE)</f>
        <v>43533</v>
      </c>
    </row>
    <row r="70" spans="2:20" x14ac:dyDescent="0.3">
      <c r="B70" s="38">
        <v>43534</v>
      </c>
      <c r="C70" s="80">
        <v>43534</v>
      </c>
      <c r="D70" s="3">
        <v>406619</v>
      </c>
      <c r="E70" s="4">
        <f>(Table6[[#This Row],[Count of restaurants]]/D63)-1</f>
        <v>2.8774484751268758E-2</v>
      </c>
      <c r="F70" s="4">
        <v>0.17</v>
      </c>
      <c r="G70" s="112">
        <f>(Table6[[#This Row],[Average Discount]]/F63)-1</f>
        <v>-5.5555555555555469E-2</v>
      </c>
      <c r="H70" s="3">
        <v>33</v>
      </c>
      <c r="I70" s="112">
        <f>(Table6[[#This Row],[Out of stock Items per restaurant]]/H63)-1</f>
        <v>3.125E-2</v>
      </c>
      <c r="J70" s="3">
        <v>19</v>
      </c>
      <c r="K70" s="169">
        <f>(Table6[[#This Row],[Average Packaging charges]]/J63)-1</f>
        <v>-9.5238095238095233E-2</v>
      </c>
      <c r="L70" s="3">
        <v>25</v>
      </c>
      <c r="M70" s="112">
        <f>(Table6[[#This Row],[Average Delivery Charges]]/L63)-1</f>
        <v>-0.13793103448275867</v>
      </c>
      <c r="N70" s="3">
        <v>354</v>
      </c>
      <c r="O70" s="4">
        <f>(Table6[[#This Row],[Avg Cost for two]]/N63)-1</f>
        <v>-2.8169014084507005E-3</v>
      </c>
      <c r="P70" s="3">
        <v>37</v>
      </c>
      <c r="Q70" s="81">
        <f>(Table6[[#This Row],[Number of images per restaurant]]/P63)-1</f>
        <v>5.7142857142857162E-2</v>
      </c>
      <c r="R70" s="81">
        <v>0.92</v>
      </c>
      <c r="S70" s="10">
        <f>(Table6[[#This Row],[Success Rate of payments]]/R63)-1</f>
        <v>-1.0752688172043001E-2</v>
      </c>
      <c r="T70" s="64" t="e">
        <f>VLOOKUP(Table6[[#This Row],[Date]],Table2[#All],1,FALSE)</f>
        <v>#N/A</v>
      </c>
    </row>
    <row r="71" spans="2:20" x14ac:dyDescent="0.3">
      <c r="B71" s="38">
        <v>43535</v>
      </c>
      <c r="C71" s="80">
        <v>43535</v>
      </c>
      <c r="D71" s="3">
        <v>390758</v>
      </c>
      <c r="E71" s="4">
        <f>(Table6[[#This Row],[Count of restaurants]]/D64)-1</f>
        <v>-4.6841040977068538E-2</v>
      </c>
      <c r="F71" s="4">
        <v>0.19</v>
      </c>
      <c r="G71" s="112">
        <f>(Table6[[#This Row],[Average Discount]]/F64)-1</f>
        <v>0.11764705882352944</v>
      </c>
      <c r="H71" s="3">
        <v>35</v>
      </c>
      <c r="I71" s="112">
        <f>(Table6[[#This Row],[Out of stock Items per restaurant]]/H64)-1</f>
        <v>0.12903225806451624</v>
      </c>
      <c r="J71" s="3">
        <v>21</v>
      </c>
      <c r="K71" s="169">
        <f>(Table6[[#This Row],[Average Packaging charges]]/J64)-1</f>
        <v>0.10526315789473695</v>
      </c>
      <c r="L71" s="3">
        <v>25</v>
      </c>
      <c r="M71" s="112">
        <f>(Table6[[#This Row],[Average Delivery Charges]]/L64)-1</f>
        <v>-0.13793103448275867</v>
      </c>
      <c r="N71" s="3">
        <v>378</v>
      </c>
      <c r="O71" s="4">
        <f>(Table6[[#This Row],[Avg Cost for two]]/N64)-1</f>
        <v>1.6129032258064502E-2</v>
      </c>
      <c r="P71" s="3">
        <v>36</v>
      </c>
      <c r="Q71" s="81">
        <f>(Table6[[#This Row],[Number of images per restaurant]]/P64)-1</f>
        <v>9.0909090909090828E-2</v>
      </c>
      <c r="R71" s="81">
        <v>0.93</v>
      </c>
      <c r="S71" s="10">
        <f>(Table6[[#This Row],[Success Rate of payments]]/R64)-1</f>
        <v>-2.1052631578947323E-2</v>
      </c>
      <c r="T71" s="64" t="e">
        <f>VLOOKUP(Table6[[#This Row],[Date]],Table2[#All],1,FALSE)</f>
        <v>#N/A</v>
      </c>
    </row>
    <row r="72" spans="2:20" x14ac:dyDescent="0.3">
      <c r="B72" s="38">
        <v>43536</v>
      </c>
      <c r="C72" s="80">
        <v>43536</v>
      </c>
      <c r="D72" s="3">
        <v>385418</v>
      </c>
      <c r="E72" s="4">
        <f>(Table6[[#This Row],[Count of restaurants]]/D65)-1</f>
        <v>-2.7333822924474283E-2</v>
      </c>
      <c r="F72" s="4">
        <v>0.19</v>
      </c>
      <c r="G72" s="112">
        <f>(Table6[[#This Row],[Average Discount]]/F65)-1</f>
        <v>5.555555555555558E-2</v>
      </c>
      <c r="H72" s="3">
        <v>30</v>
      </c>
      <c r="I72" s="112">
        <f>(Table6[[#This Row],[Out of stock Items per restaurant]]/H65)-1</f>
        <v>-0.1428571428571429</v>
      </c>
      <c r="J72" s="3">
        <v>19</v>
      </c>
      <c r="K72" s="169">
        <f>(Table6[[#This Row],[Average Packaging charges]]/J65)-1</f>
        <v>-5.0000000000000044E-2</v>
      </c>
      <c r="L72" s="3">
        <v>25</v>
      </c>
      <c r="M72" s="112">
        <f>(Table6[[#This Row],[Average Delivery Charges]]/L65)-1</f>
        <v>-7.407407407407407E-2</v>
      </c>
      <c r="N72" s="3">
        <v>357</v>
      </c>
      <c r="O72" s="4">
        <f>(Table6[[#This Row],[Avg Cost for two]]/N65)-1</f>
        <v>-2.7247956403269713E-2</v>
      </c>
      <c r="P72" s="3">
        <v>39</v>
      </c>
      <c r="Q72" s="81">
        <f>(Table6[[#This Row],[Number of images per restaurant]]/P65)-1</f>
        <v>2.6315789473684292E-2</v>
      </c>
      <c r="R72" s="81">
        <v>0.91</v>
      </c>
      <c r="S72" s="10">
        <f>(Table6[[#This Row],[Success Rate of payments]]/R65)-1</f>
        <v>-4.2105263157894646E-2</v>
      </c>
      <c r="T72" s="64" t="e">
        <f>VLOOKUP(Table6[[#This Row],[Date]],Table2[#All],1,FALSE)</f>
        <v>#N/A</v>
      </c>
    </row>
    <row r="73" spans="2:20" x14ac:dyDescent="0.3">
      <c r="B73" s="38">
        <v>43537</v>
      </c>
      <c r="C73" s="80">
        <v>43537</v>
      </c>
      <c r="D73" s="3">
        <v>395501</v>
      </c>
      <c r="E73" s="4">
        <f>(Table6[[#This Row],[Count of restaurants]]/D66)-1</f>
        <v>-7.7473287019962367E-3</v>
      </c>
      <c r="F73" s="4">
        <v>0.18</v>
      </c>
      <c r="G73" s="112">
        <f>(Table6[[#This Row],[Average Discount]]/F66)-1</f>
        <v>-5.2631578947368474E-2</v>
      </c>
      <c r="H73" s="3">
        <v>31</v>
      </c>
      <c r="I73" s="112">
        <f>(Table6[[#This Row],[Out of stock Items per restaurant]]/H66)-1</f>
        <v>-0.20512820512820518</v>
      </c>
      <c r="J73" s="3">
        <v>21</v>
      </c>
      <c r="K73" s="169">
        <f>(Table6[[#This Row],[Average Packaging charges]]/J66)-1</f>
        <v>-4.5454545454545414E-2</v>
      </c>
      <c r="L73" s="3">
        <v>29</v>
      </c>
      <c r="M73" s="112">
        <f>(Table6[[#This Row],[Average Delivery Charges]]/L66)-1</f>
        <v>7.4074074074074181E-2</v>
      </c>
      <c r="N73" s="3">
        <v>378</v>
      </c>
      <c r="O73" s="4">
        <f>(Table6[[#This Row],[Avg Cost for two]]/N66)-1</f>
        <v>6.7796610169491567E-2</v>
      </c>
      <c r="P73" s="3">
        <v>35</v>
      </c>
      <c r="Q73" s="81">
        <f>(Table6[[#This Row],[Number of images per restaurant]]/P66)-1</f>
        <v>-0.10256410256410253</v>
      </c>
      <c r="R73" s="81">
        <v>0.91</v>
      </c>
      <c r="S73" s="10">
        <f>(Table6[[#This Row],[Success Rate of payments]]/R66)-1</f>
        <v>-4.2105263157894646E-2</v>
      </c>
      <c r="T73" s="64" t="e">
        <f>VLOOKUP(Table6[[#This Row],[Date]],Table2[#All],1,FALSE)</f>
        <v>#N/A</v>
      </c>
    </row>
    <row r="74" spans="2:20" x14ac:dyDescent="0.3">
      <c r="B74" s="38">
        <v>43538</v>
      </c>
      <c r="C74" s="80">
        <v>43538</v>
      </c>
      <c r="D74" s="3">
        <v>396795</v>
      </c>
      <c r="E74" s="4">
        <f>(Table6[[#This Row],[Count of restaurants]]/D67)-1</f>
        <v>-3.0351530013592587E-3</v>
      </c>
      <c r="F74" s="4">
        <v>0.17</v>
      </c>
      <c r="G74" s="112">
        <f>(Table6[[#This Row],[Average Discount]]/F67)-1</f>
        <v>-0.10526315789473684</v>
      </c>
      <c r="H74" s="3">
        <v>34</v>
      </c>
      <c r="I74" s="112">
        <f>(Table6[[#This Row],[Out of stock Items per restaurant]]/H67)-1</f>
        <v>9.6774193548387011E-2</v>
      </c>
      <c r="J74" s="3">
        <v>18</v>
      </c>
      <c r="K74" s="169">
        <f>(Table6[[#This Row],[Average Packaging charges]]/J67)-1</f>
        <v>0</v>
      </c>
      <c r="L74" s="3">
        <v>28</v>
      </c>
      <c r="M74" s="112">
        <f>(Table6[[#This Row],[Average Delivery Charges]]/L67)-1</f>
        <v>-3.4482758620689613E-2</v>
      </c>
      <c r="N74" s="3">
        <v>372</v>
      </c>
      <c r="O74" s="4">
        <f>(Table6[[#This Row],[Avg Cost for two]]/N67)-1</f>
        <v>6.2857142857142945E-2</v>
      </c>
      <c r="P74" s="3">
        <v>31</v>
      </c>
      <c r="Q74" s="81">
        <f>(Table6[[#This Row],[Number of images per restaurant]]/P67)-1</f>
        <v>-0.16216216216216217</v>
      </c>
      <c r="R74" s="81">
        <v>0.94</v>
      </c>
      <c r="S74" s="10">
        <f>(Table6[[#This Row],[Success Rate of payments]]/R67)-1</f>
        <v>0</v>
      </c>
      <c r="T74" s="64" t="e">
        <f>VLOOKUP(Table6[[#This Row],[Date]],Table2[#All],1,FALSE)</f>
        <v>#N/A</v>
      </c>
    </row>
    <row r="75" spans="2:20" x14ac:dyDescent="0.3">
      <c r="B75" s="38">
        <v>43539</v>
      </c>
      <c r="C75" s="80">
        <v>43539</v>
      </c>
      <c r="D75" s="3">
        <v>381360</v>
      </c>
      <c r="E75" s="4">
        <f>(Table6[[#This Row],[Count of restaurants]]/D68)-1</f>
        <v>-3.8329634859794237E-2</v>
      </c>
      <c r="F75" s="4">
        <v>0.17</v>
      </c>
      <c r="G75" s="112">
        <f>(Table6[[#This Row],[Average Discount]]/F68)-1</f>
        <v>-5.5555555555555469E-2</v>
      </c>
      <c r="H75" s="3">
        <v>34</v>
      </c>
      <c r="I75" s="112">
        <f>(Table6[[#This Row],[Out of stock Items per restaurant]]/H68)-1</f>
        <v>0.1333333333333333</v>
      </c>
      <c r="J75" s="3">
        <v>19</v>
      </c>
      <c r="K75" s="169">
        <f>(Table6[[#This Row],[Average Packaging charges]]/J68)-1</f>
        <v>0</v>
      </c>
      <c r="L75" s="3">
        <v>27</v>
      </c>
      <c r="M75" s="112">
        <f>(Table6[[#This Row],[Average Delivery Charges]]/L68)-1</f>
        <v>3.8461538461538547E-2</v>
      </c>
      <c r="N75" s="3">
        <v>395</v>
      </c>
      <c r="O75" s="4">
        <f>(Table6[[#This Row],[Avg Cost for two]]/N68)-1</f>
        <v>3.6745406824147064E-2</v>
      </c>
      <c r="P75" s="3">
        <v>39</v>
      </c>
      <c r="Q75" s="81">
        <f>(Table6[[#This Row],[Number of images per restaurant]]/P68)-1</f>
        <v>0.30000000000000004</v>
      </c>
      <c r="R75" s="81">
        <v>0.95</v>
      </c>
      <c r="S75" s="10">
        <f>(Table6[[#This Row],[Success Rate of payments]]/R68)-1</f>
        <v>0</v>
      </c>
      <c r="T75" s="64" t="e">
        <f>VLOOKUP(Table6[[#This Row],[Date]],Table2[#All],1,FALSE)</f>
        <v>#N/A</v>
      </c>
    </row>
    <row r="76" spans="2:20" x14ac:dyDescent="0.3">
      <c r="B76" s="38">
        <v>43540</v>
      </c>
      <c r="C76" s="80">
        <v>43540</v>
      </c>
      <c r="D76" s="3">
        <v>409886</v>
      </c>
      <c r="E76" s="4">
        <f>(Table6[[#This Row],[Count of restaurants]]/D69)-1</f>
        <v>1.4325768318002918E-2</v>
      </c>
      <c r="F76" s="4">
        <v>0.17</v>
      </c>
      <c r="G76" s="112">
        <f>(Table6[[#This Row],[Average Discount]]/F69)-1</f>
        <v>0</v>
      </c>
      <c r="H76" s="3">
        <v>40</v>
      </c>
      <c r="I76" s="112">
        <f>(Table6[[#This Row],[Out of stock Items per restaurant]]/H69)-1</f>
        <v>0.21212121212121215</v>
      </c>
      <c r="J76" s="3">
        <v>19</v>
      </c>
      <c r="K76" s="169">
        <f>(Table6[[#This Row],[Average Packaging charges]]/J69)-1</f>
        <v>-9.5238095238095233E-2</v>
      </c>
      <c r="L76" s="3">
        <v>30</v>
      </c>
      <c r="M76" s="112">
        <f>(Table6[[#This Row],[Average Delivery Charges]]/L69)-1</f>
        <v>7.1428571428571397E-2</v>
      </c>
      <c r="N76" s="3">
        <v>356</v>
      </c>
      <c r="O76" s="4">
        <f>(Table6[[#This Row],[Avg Cost for two]]/N69)-1</f>
        <v>-7.7720207253886064E-2</v>
      </c>
      <c r="P76" s="3">
        <v>31</v>
      </c>
      <c r="Q76" s="81">
        <f>(Table6[[#This Row],[Number of images per restaurant]]/P69)-1</f>
        <v>0</v>
      </c>
      <c r="R76" s="81">
        <v>0.93</v>
      </c>
      <c r="S76" s="10">
        <f>(Table6[[#This Row],[Success Rate of payments]]/R69)-1</f>
        <v>-2.1052631578947323E-2</v>
      </c>
      <c r="T76" s="64" t="e">
        <f>VLOOKUP(Table6[[#This Row],[Date]],Table2[#All],1,FALSE)</f>
        <v>#N/A</v>
      </c>
    </row>
    <row r="77" spans="2:20" x14ac:dyDescent="0.3">
      <c r="B77" s="38">
        <v>43541</v>
      </c>
      <c r="C77" s="80">
        <v>43541</v>
      </c>
      <c r="D77" s="3">
        <v>395416</v>
      </c>
      <c r="E77" s="4">
        <f>(Table6[[#This Row],[Count of restaurants]]/D70)-1</f>
        <v>-2.7551590063425446E-2</v>
      </c>
      <c r="F77" s="4">
        <v>0.18</v>
      </c>
      <c r="G77" s="112">
        <f>(Table6[[#This Row],[Average Discount]]/F70)-1</f>
        <v>5.8823529411764497E-2</v>
      </c>
      <c r="H77" s="3">
        <v>36</v>
      </c>
      <c r="I77" s="112">
        <f>(Table6[[#This Row],[Out of stock Items per restaurant]]/H70)-1</f>
        <v>9.0909090909090828E-2</v>
      </c>
      <c r="J77" s="3">
        <v>22</v>
      </c>
      <c r="K77" s="169">
        <f>(Table6[[#This Row],[Average Packaging charges]]/J70)-1</f>
        <v>0.15789473684210531</v>
      </c>
      <c r="L77" s="3">
        <v>29</v>
      </c>
      <c r="M77" s="112">
        <f>(Table6[[#This Row],[Average Delivery Charges]]/L70)-1</f>
        <v>0.15999999999999992</v>
      </c>
      <c r="N77" s="3">
        <v>382</v>
      </c>
      <c r="O77" s="4">
        <f>(Table6[[#This Row],[Avg Cost for two]]/N70)-1</f>
        <v>7.909604519774005E-2</v>
      </c>
      <c r="P77" s="3">
        <v>34</v>
      </c>
      <c r="Q77" s="81">
        <f>(Table6[[#This Row],[Number of images per restaurant]]/P70)-1</f>
        <v>-8.108108108108103E-2</v>
      </c>
      <c r="R77" s="81">
        <v>0.93</v>
      </c>
      <c r="S77" s="10">
        <f>(Table6[[#This Row],[Success Rate of payments]]/R70)-1</f>
        <v>1.0869565217391353E-2</v>
      </c>
      <c r="T77" s="64" t="e">
        <f>VLOOKUP(Table6[[#This Row],[Date]],Table2[#All],1,FALSE)</f>
        <v>#N/A</v>
      </c>
    </row>
    <row r="78" spans="2:20" x14ac:dyDescent="0.3">
      <c r="B78" s="38">
        <v>43542</v>
      </c>
      <c r="C78" s="80">
        <v>43542</v>
      </c>
      <c r="D78" s="3">
        <v>395027</v>
      </c>
      <c r="E78" s="4">
        <f>(Table6[[#This Row],[Count of restaurants]]/D71)-1</f>
        <v>1.092492028314207E-2</v>
      </c>
      <c r="F78" s="4">
        <v>0.19</v>
      </c>
      <c r="G78" s="112">
        <f>(Table6[[#This Row],[Average Discount]]/F71)-1</f>
        <v>0</v>
      </c>
      <c r="H78" s="3">
        <v>30</v>
      </c>
      <c r="I78" s="112">
        <f>(Table6[[#This Row],[Out of stock Items per restaurant]]/H71)-1</f>
        <v>-0.1428571428571429</v>
      </c>
      <c r="J78" s="3">
        <v>21</v>
      </c>
      <c r="K78" s="169">
        <f>(Table6[[#This Row],[Average Packaging charges]]/J71)-1</f>
        <v>0</v>
      </c>
      <c r="L78" s="3">
        <v>29</v>
      </c>
      <c r="M78" s="112">
        <f>(Table6[[#This Row],[Average Delivery Charges]]/L71)-1</f>
        <v>0.15999999999999992</v>
      </c>
      <c r="N78" s="3">
        <v>375</v>
      </c>
      <c r="O78" s="4">
        <f>(Table6[[#This Row],[Avg Cost for two]]/N71)-1</f>
        <v>-7.9365079365079083E-3</v>
      </c>
      <c r="P78" s="3">
        <v>37</v>
      </c>
      <c r="Q78" s="81">
        <f>(Table6[[#This Row],[Number of images per restaurant]]/P71)-1</f>
        <v>2.7777777777777679E-2</v>
      </c>
      <c r="R78" s="81">
        <v>0.95</v>
      </c>
      <c r="S78" s="10">
        <f>(Table6[[#This Row],[Success Rate of payments]]/R71)-1</f>
        <v>2.1505376344086002E-2</v>
      </c>
      <c r="T78" s="64" t="e">
        <f>VLOOKUP(Table6[[#This Row],[Date]],Table2[#All],1,FALSE)</f>
        <v>#N/A</v>
      </c>
    </row>
    <row r="79" spans="2:20" x14ac:dyDescent="0.3">
      <c r="B79" s="38">
        <v>43543</v>
      </c>
      <c r="C79" s="80">
        <v>43543</v>
      </c>
      <c r="D79" s="3">
        <v>380462</v>
      </c>
      <c r="E79" s="4">
        <f>(Table6[[#This Row],[Count of restaurants]]/D72)-1</f>
        <v>-1.2858766326430016E-2</v>
      </c>
      <c r="F79" s="4">
        <v>0.19</v>
      </c>
      <c r="G79" s="112">
        <f>(Table6[[#This Row],[Average Discount]]/F72)-1</f>
        <v>0</v>
      </c>
      <c r="H79" s="3">
        <v>37</v>
      </c>
      <c r="I79" s="112">
        <f>(Table6[[#This Row],[Out of stock Items per restaurant]]/H72)-1</f>
        <v>0.23333333333333339</v>
      </c>
      <c r="J79" s="3">
        <v>20</v>
      </c>
      <c r="K79" s="169">
        <f>(Table6[[#This Row],[Average Packaging charges]]/J72)-1</f>
        <v>5.2631578947368363E-2</v>
      </c>
      <c r="L79" s="3">
        <v>25</v>
      </c>
      <c r="M79" s="112">
        <f>(Table6[[#This Row],[Average Delivery Charges]]/L72)-1</f>
        <v>0</v>
      </c>
      <c r="N79" s="3">
        <v>400</v>
      </c>
      <c r="O79" s="4">
        <f>(Table6[[#This Row],[Avg Cost for two]]/N72)-1</f>
        <v>0.1204481792717087</v>
      </c>
      <c r="P79" s="3">
        <v>33</v>
      </c>
      <c r="Q79" s="81">
        <f>(Table6[[#This Row],[Number of images per restaurant]]/P72)-1</f>
        <v>-0.15384615384615385</v>
      </c>
      <c r="R79" s="81">
        <v>0.65</v>
      </c>
      <c r="S79" s="10">
        <f>(Table6[[#This Row],[Success Rate of payments]]/R72)-1</f>
        <v>-0.2857142857142857</v>
      </c>
      <c r="T79" s="64">
        <f>VLOOKUP(Table6[[#This Row],[Date]],Table2[#All],1,FALSE)</f>
        <v>43543</v>
      </c>
    </row>
    <row r="80" spans="2:20" x14ac:dyDescent="0.3">
      <c r="B80" s="38">
        <v>43544</v>
      </c>
      <c r="C80" s="80">
        <v>43544</v>
      </c>
      <c r="D80" s="3">
        <v>391681</v>
      </c>
      <c r="E80" s="4">
        <f>(Table6[[#This Row],[Count of restaurants]]/D73)-1</f>
        <v>-9.6586355028179804E-3</v>
      </c>
      <c r="F80" s="4">
        <v>0.18</v>
      </c>
      <c r="G80" s="112">
        <f>(Table6[[#This Row],[Average Discount]]/F73)-1</f>
        <v>0</v>
      </c>
      <c r="H80" s="3">
        <v>38</v>
      </c>
      <c r="I80" s="112">
        <f>(Table6[[#This Row],[Out of stock Items per restaurant]]/H73)-1</f>
        <v>0.22580645161290325</v>
      </c>
      <c r="J80" s="3">
        <v>21</v>
      </c>
      <c r="K80" s="169">
        <f>(Table6[[#This Row],[Average Packaging charges]]/J73)-1</f>
        <v>0</v>
      </c>
      <c r="L80" s="3">
        <v>29</v>
      </c>
      <c r="M80" s="112">
        <f>(Table6[[#This Row],[Average Delivery Charges]]/L73)-1</f>
        <v>0</v>
      </c>
      <c r="N80" s="3">
        <v>383</v>
      </c>
      <c r="O80" s="4">
        <f>(Table6[[#This Row],[Avg Cost for two]]/N73)-1</f>
        <v>1.3227513227513255E-2</v>
      </c>
      <c r="P80" s="3">
        <v>36</v>
      </c>
      <c r="Q80" s="81">
        <f>(Table6[[#This Row],[Number of images per restaurant]]/P73)-1</f>
        <v>2.857142857142847E-2</v>
      </c>
      <c r="R80" s="81">
        <v>0.93</v>
      </c>
      <c r="S80" s="10">
        <f>(Table6[[#This Row],[Success Rate of payments]]/R73)-1</f>
        <v>2.19780219780219E-2</v>
      </c>
      <c r="T80" s="64" t="e">
        <f>VLOOKUP(Table6[[#This Row],[Date]],Table2[#All],1,FALSE)</f>
        <v>#N/A</v>
      </c>
    </row>
    <row r="81" spans="2:20" x14ac:dyDescent="0.3">
      <c r="B81" s="38">
        <v>43545</v>
      </c>
      <c r="C81" s="80">
        <v>43545</v>
      </c>
      <c r="D81" s="3">
        <v>382856</v>
      </c>
      <c r="E81" s="4">
        <f>(Table6[[#This Row],[Count of restaurants]]/D74)-1</f>
        <v>-3.512897087916933E-2</v>
      </c>
      <c r="F81" s="4">
        <v>0.19</v>
      </c>
      <c r="G81" s="112">
        <f>(Table6[[#This Row],[Average Discount]]/F74)-1</f>
        <v>0.11764705882352944</v>
      </c>
      <c r="H81" s="3">
        <v>36</v>
      </c>
      <c r="I81" s="112">
        <f>(Table6[[#This Row],[Out of stock Items per restaurant]]/H74)-1</f>
        <v>5.8823529411764719E-2</v>
      </c>
      <c r="J81" s="3">
        <v>18</v>
      </c>
      <c r="K81" s="169">
        <f>(Table6[[#This Row],[Average Packaging charges]]/J74)-1</f>
        <v>0</v>
      </c>
      <c r="L81" s="3">
        <v>28</v>
      </c>
      <c r="M81" s="112">
        <f>(Table6[[#This Row],[Average Delivery Charges]]/L74)-1</f>
        <v>0</v>
      </c>
      <c r="N81" s="3">
        <v>379</v>
      </c>
      <c r="O81" s="4">
        <f>(Table6[[#This Row],[Avg Cost for two]]/N74)-1</f>
        <v>1.8817204301075252E-2</v>
      </c>
      <c r="P81" s="3">
        <v>39</v>
      </c>
      <c r="Q81" s="81">
        <f>(Table6[[#This Row],[Number of images per restaurant]]/P74)-1</f>
        <v>0.25806451612903225</v>
      </c>
      <c r="R81" s="81">
        <v>0.95</v>
      </c>
      <c r="S81" s="10">
        <f>(Table6[[#This Row],[Success Rate of payments]]/R74)-1</f>
        <v>1.0638297872340496E-2</v>
      </c>
      <c r="T81" s="64" t="e">
        <f>VLOOKUP(Table6[[#This Row],[Date]],Table2[#All],1,FALSE)</f>
        <v>#N/A</v>
      </c>
    </row>
    <row r="82" spans="2:20" x14ac:dyDescent="0.3">
      <c r="B82" s="38">
        <v>43546</v>
      </c>
      <c r="C82" s="80">
        <v>43546</v>
      </c>
      <c r="D82" s="3">
        <v>395181</v>
      </c>
      <c r="E82" s="4">
        <f>(Table6[[#This Row],[Count of restaurants]]/D75)-1</f>
        <v>3.6241346758967952E-2</v>
      </c>
      <c r="F82" s="4">
        <v>0.17</v>
      </c>
      <c r="G82" s="112">
        <f>(Table6[[#This Row],[Average Discount]]/F75)-1</f>
        <v>0</v>
      </c>
      <c r="H82" s="3">
        <v>40</v>
      </c>
      <c r="I82" s="112">
        <f>(Table6[[#This Row],[Out of stock Items per restaurant]]/H75)-1</f>
        <v>0.17647058823529416</v>
      </c>
      <c r="J82" s="3">
        <v>17</v>
      </c>
      <c r="K82" s="169">
        <f>(Table6[[#This Row],[Average Packaging charges]]/J75)-1</f>
        <v>-0.10526315789473684</v>
      </c>
      <c r="L82" s="3">
        <v>27</v>
      </c>
      <c r="M82" s="112">
        <f>(Table6[[#This Row],[Average Delivery Charges]]/L75)-1</f>
        <v>0</v>
      </c>
      <c r="N82" s="3">
        <v>379</v>
      </c>
      <c r="O82" s="4">
        <f>(Table6[[#This Row],[Avg Cost for two]]/N75)-1</f>
        <v>-4.0506329113924044E-2</v>
      </c>
      <c r="P82" s="3">
        <v>32</v>
      </c>
      <c r="Q82" s="81">
        <f>(Table6[[#This Row],[Number of images per restaurant]]/P75)-1</f>
        <v>-0.17948717948717952</v>
      </c>
      <c r="R82" s="81">
        <v>0.95</v>
      </c>
      <c r="S82" s="10">
        <f>(Table6[[#This Row],[Success Rate of payments]]/R75)-1</f>
        <v>0</v>
      </c>
      <c r="T82" s="64" t="e">
        <f>VLOOKUP(Table6[[#This Row],[Date]],Table2[#All],1,FALSE)</f>
        <v>#N/A</v>
      </c>
    </row>
    <row r="83" spans="2:20" x14ac:dyDescent="0.3">
      <c r="B83" s="38">
        <v>43547</v>
      </c>
      <c r="C83" s="80">
        <v>43547</v>
      </c>
      <c r="D83" s="3">
        <v>397192</v>
      </c>
      <c r="E83" s="4">
        <f>(Table6[[#This Row],[Count of restaurants]]/D76)-1</f>
        <v>-3.0969586665560711E-2</v>
      </c>
      <c r="F83" s="4">
        <v>0.17</v>
      </c>
      <c r="G83" s="112">
        <f>(Table6[[#This Row],[Average Discount]]/F76)-1</f>
        <v>0</v>
      </c>
      <c r="H83" s="3">
        <v>38</v>
      </c>
      <c r="I83" s="112">
        <f>(Table6[[#This Row],[Out of stock Items per restaurant]]/H76)-1</f>
        <v>-5.0000000000000044E-2</v>
      </c>
      <c r="J83" s="3">
        <v>20</v>
      </c>
      <c r="K83" s="169">
        <f>(Table6[[#This Row],[Average Packaging charges]]/J76)-1</f>
        <v>5.2631578947368363E-2</v>
      </c>
      <c r="L83" s="3">
        <v>30</v>
      </c>
      <c r="M83" s="112">
        <f>(Table6[[#This Row],[Average Delivery Charges]]/L76)-1</f>
        <v>0</v>
      </c>
      <c r="N83" s="3">
        <v>386</v>
      </c>
      <c r="O83" s="4">
        <f>(Table6[[#This Row],[Avg Cost for two]]/N76)-1</f>
        <v>8.4269662921348409E-2</v>
      </c>
      <c r="P83" s="3">
        <v>34</v>
      </c>
      <c r="Q83" s="81">
        <f>(Table6[[#This Row],[Number of images per restaurant]]/P76)-1</f>
        <v>9.6774193548387011E-2</v>
      </c>
      <c r="R83" s="81">
        <v>0.92</v>
      </c>
      <c r="S83" s="10">
        <f>(Table6[[#This Row],[Success Rate of payments]]/R76)-1</f>
        <v>-1.0752688172043001E-2</v>
      </c>
      <c r="T83" s="64" t="e">
        <f>VLOOKUP(Table6[[#This Row],[Date]],Table2[#All],1,FALSE)</f>
        <v>#N/A</v>
      </c>
    </row>
    <row r="84" spans="2:20" x14ac:dyDescent="0.3">
      <c r="B84" s="38">
        <v>43548</v>
      </c>
      <c r="C84" s="80">
        <v>43548</v>
      </c>
      <c r="D84" s="3">
        <v>401966</v>
      </c>
      <c r="E84" s="4">
        <f>(Table6[[#This Row],[Count of restaurants]]/D77)-1</f>
        <v>1.656483298601974E-2</v>
      </c>
      <c r="F84" s="4">
        <v>0.17</v>
      </c>
      <c r="G84" s="112">
        <f>(Table6[[#This Row],[Average Discount]]/F77)-1</f>
        <v>-5.5555555555555469E-2</v>
      </c>
      <c r="H84" s="3">
        <v>38</v>
      </c>
      <c r="I84" s="112">
        <f>(Table6[[#This Row],[Out of stock Items per restaurant]]/H77)-1</f>
        <v>5.555555555555558E-2</v>
      </c>
      <c r="J84" s="3">
        <v>20</v>
      </c>
      <c r="K84" s="169">
        <f>(Table6[[#This Row],[Average Packaging charges]]/J77)-1</f>
        <v>-9.0909090909090939E-2</v>
      </c>
      <c r="L84" s="3">
        <v>26</v>
      </c>
      <c r="M84" s="112">
        <f>(Table6[[#This Row],[Average Delivery Charges]]/L77)-1</f>
        <v>-0.10344827586206895</v>
      </c>
      <c r="N84" s="3">
        <v>350</v>
      </c>
      <c r="O84" s="4">
        <f>(Table6[[#This Row],[Avg Cost for two]]/N77)-1</f>
        <v>-8.376963350785338E-2</v>
      </c>
      <c r="P84" s="3">
        <v>40</v>
      </c>
      <c r="Q84" s="81">
        <f>(Table6[[#This Row],[Number of images per restaurant]]/P77)-1</f>
        <v>0.17647058823529416</v>
      </c>
      <c r="R84" s="81">
        <v>0.91</v>
      </c>
      <c r="S84" s="10">
        <f>(Table6[[#This Row],[Success Rate of payments]]/R77)-1</f>
        <v>-2.1505376344086002E-2</v>
      </c>
      <c r="T84" s="64">
        <f>VLOOKUP(Table6[[#This Row],[Date]],Table2[#All],1,FALSE)</f>
        <v>43548</v>
      </c>
    </row>
    <row r="85" spans="2:20" x14ac:dyDescent="0.3">
      <c r="B85" s="38">
        <v>43549</v>
      </c>
      <c r="C85" s="80">
        <v>43549</v>
      </c>
      <c r="D85" s="3">
        <v>382312</v>
      </c>
      <c r="E85" s="4">
        <f>(Table6[[#This Row],[Count of restaurants]]/D78)-1</f>
        <v>-3.2187673247651372E-2</v>
      </c>
      <c r="F85" s="4">
        <v>0.19</v>
      </c>
      <c r="G85" s="112">
        <f>(Table6[[#This Row],[Average Discount]]/F78)-1</f>
        <v>0</v>
      </c>
      <c r="H85" s="3">
        <v>31</v>
      </c>
      <c r="I85" s="112">
        <f>(Table6[[#This Row],[Out of stock Items per restaurant]]/H78)-1</f>
        <v>3.3333333333333437E-2</v>
      </c>
      <c r="J85" s="3">
        <v>22</v>
      </c>
      <c r="K85" s="169">
        <f>(Table6[[#This Row],[Average Packaging charges]]/J78)-1</f>
        <v>4.7619047619047672E-2</v>
      </c>
      <c r="L85" s="3">
        <v>27</v>
      </c>
      <c r="M85" s="112">
        <f>(Table6[[#This Row],[Average Delivery Charges]]/L78)-1</f>
        <v>-6.8965517241379337E-2</v>
      </c>
      <c r="N85" s="3">
        <v>390</v>
      </c>
      <c r="O85" s="4">
        <f>(Table6[[#This Row],[Avg Cost for two]]/N78)-1</f>
        <v>4.0000000000000036E-2</v>
      </c>
      <c r="P85" s="3">
        <v>32</v>
      </c>
      <c r="Q85" s="81">
        <f>(Table6[[#This Row],[Number of images per restaurant]]/P78)-1</f>
        <v>-0.13513513513513509</v>
      </c>
      <c r="R85" s="81">
        <v>0.92</v>
      </c>
      <c r="S85" s="10">
        <f>(Table6[[#This Row],[Success Rate of payments]]/R78)-1</f>
        <v>-3.1578947368420929E-2</v>
      </c>
      <c r="T85" s="64" t="e">
        <f>VLOOKUP(Table6[[#This Row],[Date]],Table2[#All],1,FALSE)</f>
        <v>#N/A</v>
      </c>
    </row>
    <row r="86" spans="2:20" x14ac:dyDescent="0.3">
      <c r="B86" s="38">
        <v>43550</v>
      </c>
      <c r="C86" s="80">
        <v>43550</v>
      </c>
      <c r="D86" s="3">
        <v>395869</v>
      </c>
      <c r="E86" s="4">
        <f>(Table6[[#This Row],[Count of restaurants]]/D79)-1</f>
        <v>4.0495502836025654E-2</v>
      </c>
      <c r="F86" s="4">
        <v>0.17</v>
      </c>
      <c r="G86" s="112">
        <f>(Table6[[#This Row],[Average Discount]]/F79)-1</f>
        <v>-0.10526315789473684</v>
      </c>
      <c r="H86" s="3">
        <v>39</v>
      </c>
      <c r="I86" s="112">
        <f>(Table6[[#This Row],[Out of stock Items per restaurant]]/H79)-1</f>
        <v>5.4054054054053946E-2</v>
      </c>
      <c r="J86" s="3">
        <v>18</v>
      </c>
      <c r="K86" s="169">
        <f>(Table6[[#This Row],[Average Packaging charges]]/J79)-1</f>
        <v>-9.9999999999999978E-2</v>
      </c>
      <c r="L86" s="3">
        <v>25</v>
      </c>
      <c r="M86" s="112">
        <f>(Table6[[#This Row],[Average Delivery Charges]]/L79)-1</f>
        <v>0</v>
      </c>
      <c r="N86" s="3">
        <v>366</v>
      </c>
      <c r="O86" s="4">
        <f>(Table6[[#This Row],[Avg Cost for two]]/N79)-1</f>
        <v>-8.4999999999999964E-2</v>
      </c>
      <c r="P86" s="3">
        <v>36</v>
      </c>
      <c r="Q86" s="81">
        <f>(Table6[[#This Row],[Number of images per restaurant]]/P79)-1</f>
        <v>9.0909090909090828E-2</v>
      </c>
      <c r="R86" s="81">
        <v>0.94</v>
      </c>
      <c r="S86" s="10">
        <f>(Table6[[#This Row],[Success Rate of payments]]/R79)-1</f>
        <v>0.44615384615384612</v>
      </c>
      <c r="T86" s="64">
        <f>VLOOKUP(Table6[[#This Row],[Date]],Table2[#All],1,FALSE)</f>
        <v>43550</v>
      </c>
    </row>
    <row r="87" spans="2:20" x14ac:dyDescent="0.3">
      <c r="B87" s="38">
        <v>43551</v>
      </c>
      <c r="C87" s="80">
        <v>43551</v>
      </c>
      <c r="D87" s="3">
        <v>408200</v>
      </c>
      <c r="E87" s="4">
        <f>(Table6[[#This Row],[Count of restaurants]]/D80)-1</f>
        <v>4.2174626800891568E-2</v>
      </c>
      <c r="F87" s="4">
        <v>0.19</v>
      </c>
      <c r="G87" s="112">
        <f>(Table6[[#This Row],[Average Discount]]/F80)-1</f>
        <v>5.555555555555558E-2</v>
      </c>
      <c r="H87" s="3">
        <v>35</v>
      </c>
      <c r="I87" s="112">
        <f>(Table6[[#This Row],[Out of stock Items per restaurant]]/H80)-1</f>
        <v>-7.8947368421052655E-2</v>
      </c>
      <c r="J87" s="3">
        <v>17</v>
      </c>
      <c r="K87" s="169">
        <f>(Table6[[#This Row],[Average Packaging charges]]/J80)-1</f>
        <v>-0.19047619047619047</v>
      </c>
      <c r="L87" s="3">
        <v>28</v>
      </c>
      <c r="M87" s="112">
        <f>(Table6[[#This Row],[Average Delivery Charges]]/L80)-1</f>
        <v>-3.4482758620689613E-2</v>
      </c>
      <c r="N87" s="3">
        <v>384</v>
      </c>
      <c r="O87" s="4">
        <f>(Table6[[#This Row],[Avg Cost for two]]/N80)-1</f>
        <v>2.6109660574411553E-3</v>
      </c>
      <c r="P87" s="3">
        <v>35</v>
      </c>
      <c r="Q87" s="81">
        <f>(Table6[[#This Row],[Number of images per restaurant]]/P80)-1</f>
        <v>-2.777777777777779E-2</v>
      </c>
      <c r="R87" s="81">
        <v>0.93</v>
      </c>
      <c r="S87" s="10">
        <f>(Table6[[#This Row],[Success Rate of payments]]/R80)-1</f>
        <v>0</v>
      </c>
      <c r="T87" s="64" t="e">
        <f>VLOOKUP(Table6[[#This Row],[Date]],Table2[#All],1,FALSE)</f>
        <v>#N/A</v>
      </c>
    </row>
    <row r="88" spans="2:20" x14ac:dyDescent="0.3">
      <c r="B88" s="38">
        <v>43552</v>
      </c>
      <c r="C88" s="80">
        <v>43552</v>
      </c>
      <c r="D88" s="3">
        <v>404886</v>
      </c>
      <c r="E88" s="4">
        <f>(Table6[[#This Row],[Count of restaurants]]/D81)-1</f>
        <v>5.7541216540944795E-2</v>
      </c>
      <c r="F88" s="4">
        <v>0.17</v>
      </c>
      <c r="G88" s="112">
        <f>(Table6[[#This Row],[Average Discount]]/F81)-1</f>
        <v>-0.10526315789473684</v>
      </c>
      <c r="H88" s="3">
        <v>35</v>
      </c>
      <c r="I88" s="112">
        <f>(Table6[[#This Row],[Out of stock Items per restaurant]]/H81)-1</f>
        <v>-2.777777777777779E-2</v>
      </c>
      <c r="J88" s="3">
        <v>18</v>
      </c>
      <c r="K88" s="169">
        <f>(Table6[[#This Row],[Average Packaging charges]]/J81)-1</f>
        <v>0</v>
      </c>
      <c r="L88" s="3">
        <v>30</v>
      </c>
      <c r="M88" s="112">
        <f>(Table6[[#This Row],[Average Delivery Charges]]/L81)-1</f>
        <v>7.1428571428571397E-2</v>
      </c>
      <c r="N88" s="3">
        <v>395</v>
      </c>
      <c r="O88" s="4">
        <f>(Table6[[#This Row],[Avg Cost for two]]/N81)-1</f>
        <v>4.2216358839050061E-2</v>
      </c>
      <c r="P88" s="3">
        <v>34</v>
      </c>
      <c r="Q88" s="81">
        <f>(Table6[[#This Row],[Number of images per restaurant]]/P81)-1</f>
        <v>-0.12820512820512819</v>
      </c>
      <c r="R88" s="81">
        <v>0.93</v>
      </c>
      <c r="S88" s="10">
        <f>(Table6[[#This Row],[Success Rate of payments]]/R81)-1</f>
        <v>-2.1052631578947323E-2</v>
      </c>
      <c r="T88" s="64" t="e">
        <f>VLOOKUP(Table6[[#This Row],[Date]],Table2[#All],1,FALSE)</f>
        <v>#N/A</v>
      </c>
    </row>
    <row r="89" spans="2:20" x14ac:dyDescent="0.3">
      <c r="B89" s="38">
        <v>43553</v>
      </c>
      <c r="C89" s="80">
        <v>43553</v>
      </c>
      <c r="D89" s="3">
        <v>389891</v>
      </c>
      <c r="E89" s="4">
        <f>(Table6[[#This Row],[Count of restaurants]]/D82)-1</f>
        <v>-1.3386271101090363E-2</v>
      </c>
      <c r="F89" s="4">
        <v>0.19</v>
      </c>
      <c r="G89" s="112">
        <f>(Table6[[#This Row],[Average Discount]]/F82)-1</f>
        <v>0.11764705882352944</v>
      </c>
      <c r="H89" s="3">
        <v>38</v>
      </c>
      <c r="I89" s="112">
        <f>(Table6[[#This Row],[Out of stock Items per restaurant]]/H82)-1</f>
        <v>-5.0000000000000044E-2</v>
      </c>
      <c r="J89" s="3">
        <v>17</v>
      </c>
      <c r="K89" s="169">
        <f>(Table6[[#This Row],[Average Packaging charges]]/J82)-1</f>
        <v>0</v>
      </c>
      <c r="L89" s="3">
        <v>25</v>
      </c>
      <c r="M89" s="112">
        <f>(Table6[[#This Row],[Average Delivery Charges]]/L82)-1</f>
        <v>-7.407407407407407E-2</v>
      </c>
      <c r="N89" s="3">
        <v>388</v>
      </c>
      <c r="O89" s="4">
        <f>(Table6[[#This Row],[Avg Cost for two]]/N82)-1</f>
        <v>2.3746701846965701E-2</v>
      </c>
      <c r="P89" s="3">
        <v>36</v>
      </c>
      <c r="Q89" s="81">
        <f>(Table6[[#This Row],[Number of images per restaurant]]/P82)-1</f>
        <v>0.125</v>
      </c>
      <c r="R89" s="81">
        <v>0.95</v>
      </c>
      <c r="S89" s="10">
        <f>(Table6[[#This Row],[Success Rate of payments]]/R82)-1</f>
        <v>0</v>
      </c>
      <c r="T89" s="64" t="e">
        <f>VLOOKUP(Table6[[#This Row],[Date]],Table2[#All],1,FALSE)</f>
        <v>#N/A</v>
      </c>
    </row>
    <row r="90" spans="2:20" x14ac:dyDescent="0.3">
      <c r="B90" s="38">
        <v>43554</v>
      </c>
      <c r="C90" s="80">
        <v>43554</v>
      </c>
      <c r="D90" s="3">
        <v>380769</v>
      </c>
      <c r="E90" s="4">
        <f>(Table6[[#This Row],[Count of restaurants]]/D83)-1</f>
        <v>-4.1347761284215245E-2</v>
      </c>
      <c r="F90" s="4">
        <v>0.18</v>
      </c>
      <c r="G90" s="112">
        <f>(Table6[[#This Row],[Average Discount]]/F83)-1</f>
        <v>5.8823529411764497E-2</v>
      </c>
      <c r="H90" s="3">
        <v>39</v>
      </c>
      <c r="I90" s="112">
        <f>(Table6[[#This Row],[Out of stock Items per restaurant]]/H83)-1</f>
        <v>2.6315789473684292E-2</v>
      </c>
      <c r="J90" s="3">
        <v>18</v>
      </c>
      <c r="K90" s="169">
        <f>(Table6[[#This Row],[Average Packaging charges]]/J83)-1</f>
        <v>-9.9999999999999978E-2</v>
      </c>
      <c r="L90" s="3">
        <v>28</v>
      </c>
      <c r="M90" s="112">
        <f>(Table6[[#This Row],[Average Delivery Charges]]/L83)-1</f>
        <v>-6.6666666666666652E-2</v>
      </c>
      <c r="N90" s="3">
        <v>354</v>
      </c>
      <c r="O90" s="4">
        <f>(Table6[[#This Row],[Avg Cost for two]]/N83)-1</f>
        <v>-8.2901554404145039E-2</v>
      </c>
      <c r="P90" s="3">
        <v>30</v>
      </c>
      <c r="Q90" s="81">
        <f>(Table6[[#This Row],[Number of images per restaurant]]/P83)-1</f>
        <v>-0.11764705882352944</v>
      </c>
      <c r="R90" s="81">
        <v>0.92</v>
      </c>
      <c r="S90" s="10">
        <f>(Table6[[#This Row],[Success Rate of payments]]/R83)-1</f>
        <v>0</v>
      </c>
      <c r="T90" s="64" t="e">
        <f>VLOOKUP(Table6[[#This Row],[Date]],Table2[#All],1,FALSE)</f>
        <v>#N/A</v>
      </c>
    </row>
    <row r="91" spans="2:20" x14ac:dyDescent="0.3">
      <c r="B91" s="38">
        <v>43555</v>
      </c>
      <c r="C91" s="80">
        <v>43555</v>
      </c>
      <c r="D91" s="3">
        <v>398067</v>
      </c>
      <c r="E91" s="4">
        <f>(Table6[[#This Row],[Count of restaurants]]/D84)-1</f>
        <v>-9.6998253583636673E-3</v>
      </c>
      <c r="F91" s="4">
        <v>0.19</v>
      </c>
      <c r="G91" s="112">
        <f>(Table6[[#This Row],[Average Discount]]/F84)-1</f>
        <v>0.11764705882352944</v>
      </c>
      <c r="H91" s="3">
        <v>36</v>
      </c>
      <c r="I91" s="112">
        <f>(Table6[[#This Row],[Out of stock Items per restaurant]]/H84)-1</f>
        <v>-5.2631578947368474E-2</v>
      </c>
      <c r="J91" s="3">
        <v>17</v>
      </c>
      <c r="K91" s="169">
        <f>(Table6[[#This Row],[Average Packaging charges]]/J84)-1</f>
        <v>-0.15000000000000002</v>
      </c>
      <c r="L91" s="3">
        <v>29</v>
      </c>
      <c r="M91" s="112">
        <f>(Table6[[#This Row],[Average Delivery Charges]]/L84)-1</f>
        <v>0.11538461538461542</v>
      </c>
      <c r="N91" s="3">
        <v>363</v>
      </c>
      <c r="O91" s="4">
        <f>(Table6[[#This Row],[Avg Cost for two]]/N84)-1</f>
        <v>3.7142857142857144E-2</v>
      </c>
      <c r="P91" s="3">
        <v>37</v>
      </c>
      <c r="Q91" s="81">
        <f>(Table6[[#This Row],[Number of images per restaurant]]/P84)-1</f>
        <v>-7.4999999999999956E-2</v>
      </c>
      <c r="R91" s="81">
        <v>0.95</v>
      </c>
      <c r="S91" s="10">
        <f>(Table6[[#This Row],[Success Rate of payments]]/R84)-1</f>
        <v>4.39560439560438E-2</v>
      </c>
      <c r="T91" s="64" t="e">
        <f>VLOOKUP(Table6[[#This Row],[Date]],Table2[#All],1,FALSE)</f>
        <v>#N/A</v>
      </c>
    </row>
    <row r="92" spans="2:20" x14ac:dyDescent="0.3">
      <c r="B92" s="38">
        <v>43556</v>
      </c>
      <c r="C92" s="80">
        <v>43556</v>
      </c>
      <c r="D92" s="3">
        <v>409072</v>
      </c>
      <c r="E92" s="4">
        <f>(Table6[[#This Row],[Count of restaurants]]/D85)-1</f>
        <v>6.9995187176965512E-2</v>
      </c>
      <c r="F92" s="4">
        <v>0.17</v>
      </c>
      <c r="G92" s="112">
        <f>(Table6[[#This Row],[Average Discount]]/F85)-1</f>
        <v>-0.10526315789473684</v>
      </c>
      <c r="H92" s="3">
        <v>36</v>
      </c>
      <c r="I92" s="112">
        <f>(Table6[[#This Row],[Out of stock Items per restaurant]]/H85)-1</f>
        <v>0.16129032258064524</v>
      </c>
      <c r="J92" s="3">
        <v>21</v>
      </c>
      <c r="K92" s="169">
        <f>(Table6[[#This Row],[Average Packaging charges]]/J85)-1</f>
        <v>-4.5454545454545414E-2</v>
      </c>
      <c r="L92" s="3">
        <v>29</v>
      </c>
      <c r="M92" s="112">
        <f>(Table6[[#This Row],[Average Delivery Charges]]/L85)-1</f>
        <v>7.4074074074074181E-2</v>
      </c>
      <c r="N92" s="3">
        <v>354</v>
      </c>
      <c r="O92" s="4">
        <f>(Table6[[#This Row],[Avg Cost for two]]/N85)-1</f>
        <v>-9.2307692307692313E-2</v>
      </c>
      <c r="P92" s="3">
        <v>35</v>
      </c>
      <c r="Q92" s="81">
        <f>(Table6[[#This Row],[Number of images per restaurant]]/P85)-1</f>
        <v>9.375E-2</v>
      </c>
      <c r="R92" s="81">
        <v>0.91</v>
      </c>
      <c r="S92" s="10">
        <f>(Table6[[#This Row],[Success Rate of payments]]/R85)-1</f>
        <v>-1.0869565217391353E-2</v>
      </c>
      <c r="T92" s="64" t="e">
        <f>VLOOKUP(Table6[[#This Row],[Date]],Table2[#All],1,FALSE)</f>
        <v>#N/A</v>
      </c>
    </row>
    <row r="93" spans="2:20" x14ac:dyDescent="0.3">
      <c r="B93" s="38">
        <v>43557</v>
      </c>
      <c r="C93" s="80">
        <v>43557</v>
      </c>
      <c r="D93" s="3">
        <v>385907</v>
      </c>
      <c r="E93" s="4">
        <f>(Table6[[#This Row],[Count of restaurants]]/D86)-1</f>
        <v>-2.5164890405664497E-2</v>
      </c>
      <c r="F93" s="4">
        <v>0.19</v>
      </c>
      <c r="G93" s="112">
        <f>(Table6[[#This Row],[Average Discount]]/F86)-1</f>
        <v>0.11764705882352944</v>
      </c>
      <c r="H93" s="3">
        <v>35</v>
      </c>
      <c r="I93" s="112">
        <f>(Table6[[#This Row],[Out of stock Items per restaurant]]/H86)-1</f>
        <v>-0.10256410256410253</v>
      </c>
      <c r="J93" s="3">
        <v>22</v>
      </c>
      <c r="K93" s="169">
        <f>(Table6[[#This Row],[Average Packaging charges]]/J86)-1</f>
        <v>0.22222222222222232</v>
      </c>
      <c r="L93" s="3">
        <v>25</v>
      </c>
      <c r="M93" s="112">
        <f>(Table6[[#This Row],[Average Delivery Charges]]/L86)-1</f>
        <v>0</v>
      </c>
      <c r="N93" s="3">
        <v>383</v>
      </c>
      <c r="O93" s="4">
        <f>(Table6[[#This Row],[Avg Cost for two]]/N86)-1</f>
        <v>4.644808743169393E-2</v>
      </c>
      <c r="P93" s="3">
        <v>33</v>
      </c>
      <c r="Q93" s="81">
        <f>(Table6[[#This Row],[Number of images per restaurant]]/P86)-1</f>
        <v>-8.333333333333337E-2</v>
      </c>
      <c r="R93" s="81">
        <v>0.95</v>
      </c>
      <c r="S93" s="10">
        <f>(Table6[[#This Row],[Success Rate of payments]]/R86)-1</f>
        <v>1.0638297872340496E-2</v>
      </c>
      <c r="T93" s="64" t="e">
        <f>VLOOKUP(Table6[[#This Row],[Date]],Table2[#All],1,FALSE)</f>
        <v>#N/A</v>
      </c>
    </row>
    <row r="94" spans="2:20" x14ac:dyDescent="0.3">
      <c r="B94" s="38">
        <v>43558</v>
      </c>
      <c r="C94" s="80">
        <v>43558</v>
      </c>
      <c r="D94" s="3">
        <v>410264</v>
      </c>
      <c r="E94" s="4">
        <f>(Table6[[#This Row],[Count of restaurants]]/D87)-1</f>
        <v>5.0563449289564577E-3</v>
      </c>
      <c r="F94" s="4">
        <v>0.17</v>
      </c>
      <c r="G94" s="112">
        <f>(Table6[[#This Row],[Average Discount]]/F87)-1</f>
        <v>-0.10526315789473684</v>
      </c>
      <c r="H94" s="3">
        <v>37</v>
      </c>
      <c r="I94" s="112">
        <f>(Table6[[#This Row],[Out of stock Items per restaurant]]/H87)-1</f>
        <v>5.7142857142857162E-2</v>
      </c>
      <c r="J94" s="3">
        <v>21</v>
      </c>
      <c r="K94" s="169">
        <f>(Table6[[#This Row],[Average Packaging charges]]/J87)-1</f>
        <v>0.23529411764705888</v>
      </c>
      <c r="L94" s="3">
        <v>28</v>
      </c>
      <c r="M94" s="112">
        <f>(Table6[[#This Row],[Average Delivery Charges]]/L87)-1</f>
        <v>0</v>
      </c>
      <c r="N94" s="3">
        <v>361</v>
      </c>
      <c r="O94" s="4">
        <f>(Table6[[#This Row],[Avg Cost for two]]/N87)-1</f>
        <v>-5.989583333333337E-2</v>
      </c>
      <c r="P94" s="3">
        <v>33</v>
      </c>
      <c r="Q94" s="81">
        <f>(Table6[[#This Row],[Number of images per restaurant]]/P87)-1</f>
        <v>-5.7142857142857162E-2</v>
      </c>
      <c r="R94" s="81">
        <v>0.91</v>
      </c>
      <c r="S94" s="10">
        <f>(Table6[[#This Row],[Success Rate of payments]]/R87)-1</f>
        <v>-2.1505376344086002E-2</v>
      </c>
      <c r="T94" s="64" t="e">
        <f>VLOOKUP(Table6[[#This Row],[Date]],Table2[#All],1,FALSE)</f>
        <v>#N/A</v>
      </c>
    </row>
    <row r="95" spans="2:20" x14ac:dyDescent="0.3">
      <c r="B95" s="38">
        <v>43559</v>
      </c>
      <c r="C95" s="80">
        <v>43559</v>
      </c>
      <c r="D95" s="3">
        <v>406272</v>
      </c>
      <c r="E95" s="4">
        <f>(Table6[[#This Row],[Count of restaurants]]/D88)-1</f>
        <v>3.423185785628613E-3</v>
      </c>
      <c r="F95" s="4">
        <v>0.1</v>
      </c>
      <c r="G95" s="112">
        <f>(Table6[[#This Row],[Average Discount]]/F88)-1</f>
        <v>-0.41176470588235292</v>
      </c>
      <c r="H95" s="3">
        <v>35</v>
      </c>
      <c r="I95" s="112">
        <f>(Table6[[#This Row],[Out of stock Items per restaurant]]/H88)-1</f>
        <v>0</v>
      </c>
      <c r="J95" s="3">
        <v>21</v>
      </c>
      <c r="K95" s="169">
        <f>(Table6[[#This Row],[Average Packaging charges]]/J88)-1</f>
        <v>0.16666666666666674</v>
      </c>
      <c r="L95" s="3">
        <v>29</v>
      </c>
      <c r="M95" s="112">
        <f>(Table6[[#This Row],[Average Delivery Charges]]/L88)-1</f>
        <v>-3.3333333333333326E-2</v>
      </c>
      <c r="N95" s="3">
        <v>388</v>
      </c>
      <c r="O95" s="4">
        <f>(Table6[[#This Row],[Avg Cost for two]]/N88)-1</f>
        <v>-1.7721518987341756E-2</v>
      </c>
      <c r="P95" s="3">
        <v>40</v>
      </c>
      <c r="Q95" s="81">
        <f>(Table6[[#This Row],[Number of images per restaurant]]/P88)-1</f>
        <v>0.17647058823529416</v>
      </c>
      <c r="R95" s="81">
        <v>0.92</v>
      </c>
      <c r="S95" s="10">
        <f>(Table6[[#This Row],[Success Rate of payments]]/R88)-1</f>
        <v>-1.0752688172043001E-2</v>
      </c>
      <c r="T95" s="64">
        <f>VLOOKUP(Table6[[#This Row],[Date]],Table2[#All],1,FALSE)</f>
        <v>43559</v>
      </c>
    </row>
    <row r="96" spans="2:20" x14ac:dyDescent="0.3">
      <c r="B96" s="38">
        <v>43560</v>
      </c>
      <c r="C96" s="80">
        <v>43560</v>
      </c>
      <c r="D96" s="3">
        <v>388271</v>
      </c>
      <c r="E96" s="4">
        <f>(Table6[[#This Row],[Count of restaurants]]/D89)-1</f>
        <v>-4.1550074251521796E-3</v>
      </c>
      <c r="F96" s="4">
        <v>0.18</v>
      </c>
      <c r="G96" s="112">
        <f>(Table6[[#This Row],[Average Discount]]/F89)-1</f>
        <v>-5.2631578947368474E-2</v>
      </c>
      <c r="H96" s="3">
        <v>34</v>
      </c>
      <c r="I96" s="112">
        <f>(Table6[[#This Row],[Out of stock Items per restaurant]]/H89)-1</f>
        <v>-0.10526315789473684</v>
      </c>
      <c r="J96" s="3">
        <v>17</v>
      </c>
      <c r="K96" s="169">
        <f>(Table6[[#This Row],[Average Packaging charges]]/J89)-1</f>
        <v>0</v>
      </c>
      <c r="L96" s="3">
        <v>28</v>
      </c>
      <c r="M96" s="112">
        <f>(Table6[[#This Row],[Average Delivery Charges]]/L89)-1</f>
        <v>0.12000000000000011</v>
      </c>
      <c r="N96" s="3">
        <v>361</v>
      </c>
      <c r="O96" s="4">
        <f>(Table6[[#This Row],[Avg Cost for two]]/N89)-1</f>
        <v>-6.9587628865979356E-2</v>
      </c>
      <c r="P96" s="3">
        <v>36</v>
      </c>
      <c r="Q96" s="81">
        <f>(Table6[[#This Row],[Number of images per restaurant]]/P89)-1</f>
        <v>0</v>
      </c>
      <c r="R96" s="81">
        <v>0.95</v>
      </c>
      <c r="S96" s="10">
        <f>(Table6[[#This Row],[Success Rate of payments]]/R89)-1</f>
        <v>0</v>
      </c>
      <c r="T96" s="64" t="e">
        <f>VLOOKUP(Table6[[#This Row],[Date]],Table2[#All],1,FALSE)</f>
        <v>#N/A</v>
      </c>
    </row>
    <row r="97" spans="2:20" x14ac:dyDescent="0.3">
      <c r="B97" s="38">
        <v>43561</v>
      </c>
      <c r="C97" s="80">
        <v>43561</v>
      </c>
      <c r="D97" s="3">
        <v>403590</v>
      </c>
      <c r="E97" s="4">
        <f>(Table6[[#This Row],[Count of restaurants]]/D90)-1</f>
        <v>5.9933975717560983E-2</v>
      </c>
      <c r="F97" s="4">
        <v>0.17</v>
      </c>
      <c r="G97" s="112">
        <f>(Table6[[#This Row],[Average Discount]]/F90)-1</f>
        <v>-5.5555555555555469E-2</v>
      </c>
      <c r="H97" s="3">
        <v>30</v>
      </c>
      <c r="I97" s="112">
        <f>(Table6[[#This Row],[Out of stock Items per restaurant]]/H90)-1</f>
        <v>-0.23076923076923073</v>
      </c>
      <c r="J97" s="3">
        <v>18</v>
      </c>
      <c r="K97" s="169">
        <f>(Table6[[#This Row],[Average Packaging charges]]/J90)-1</f>
        <v>0</v>
      </c>
      <c r="L97" s="3">
        <v>25</v>
      </c>
      <c r="M97" s="112">
        <f>(Table6[[#This Row],[Average Delivery Charges]]/L90)-1</f>
        <v>-0.1071428571428571</v>
      </c>
      <c r="N97" s="3">
        <v>363</v>
      </c>
      <c r="O97" s="4">
        <f>(Table6[[#This Row],[Avg Cost for two]]/N90)-1</f>
        <v>2.5423728813559254E-2</v>
      </c>
      <c r="P97" s="3">
        <v>30</v>
      </c>
      <c r="Q97" s="81">
        <f>(Table6[[#This Row],[Number of images per restaurant]]/P90)-1</f>
        <v>0</v>
      </c>
      <c r="R97" s="81">
        <v>0.91</v>
      </c>
      <c r="S97" s="10">
        <f>(Table6[[#This Row],[Success Rate of payments]]/R90)-1</f>
        <v>-1.0869565217391353E-2</v>
      </c>
      <c r="T97" s="64" t="e">
        <f>VLOOKUP(Table6[[#This Row],[Date]],Table2[#All],1,FALSE)</f>
        <v>#N/A</v>
      </c>
    </row>
    <row r="98" spans="2:20" x14ac:dyDescent="0.3">
      <c r="B98" s="38">
        <v>43562</v>
      </c>
      <c r="C98" s="80">
        <v>43562</v>
      </c>
      <c r="D98" s="3">
        <v>403770</v>
      </c>
      <c r="E98" s="4">
        <f>(Table6[[#This Row],[Count of restaurants]]/D91)-1</f>
        <v>1.4326733941773639E-2</v>
      </c>
      <c r="F98" s="4">
        <v>0.18</v>
      </c>
      <c r="G98" s="112">
        <f>(Table6[[#This Row],[Average Discount]]/F91)-1</f>
        <v>-5.2631578947368474E-2</v>
      </c>
      <c r="H98" s="3">
        <v>37</v>
      </c>
      <c r="I98" s="112">
        <f>(Table6[[#This Row],[Out of stock Items per restaurant]]/H91)-1</f>
        <v>2.7777777777777679E-2</v>
      </c>
      <c r="J98" s="3">
        <v>22</v>
      </c>
      <c r="K98" s="169">
        <f>(Table6[[#This Row],[Average Packaging charges]]/J91)-1</f>
        <v>0.29411764705882359</v>
      </c>
      <c r="L98" s="3">
        <v>27</v>
      </c>
      <c r="M98" s="112">
        <f>(Table6[[#This Row],[Average Delivery Charges]]/L91)-1</f>
        <v>-6.8965517241379337E-2</v>
      </c>
      <c r="N98" s="3">
        <v>391</v>
      </c>
      <c r="O98" s="4">
        <f>(Table6[[#This Row],[Avg Cost for two]]/N91)-1</f>
        <v>7.7134986225895208E-2</v>
      </c>
      <c r="P98" s="3">
        <v>31</v>
      </c>
      <c r="Q98" s="81">
        <f>(Table6[[#This Row],[Number of images per restaurant]]/P91)-1</f>
        <v>-0.16216216216216217</v>
      </c>
      <c r="R98" s="81">
        <v>0.95</v>
      </c>
      <c r="S98" s="10">
        <f>(Table6[[#This Row],[Success Rate of payments]]/R91)-1</f>
        <v>0</v>
      </c>
      <c r="T98" s="64" t="e">
        <f>VLOOKUP(Table6[[#This Row],[Date]],Table2[#All],1,FALSE)</f>
        <v>#N/A</v>
      </c>
    </row>
    <row r="99" spans="2:20" x14ac:dyDescent="0.3">
      <c r="B99" s="38">
        <v>43563</v>
      </c>
      <c r="C99" s="80">
        <v>43563</v>
      </c>
      <c r="D99" s="3">
        <v>390761</v>
      </c>
      <c r="E99" s="4">
        <f>(Table6[[#This Row],[Count of restaurants]]/D92)-1</f>
        <v>-4.4762291234794804E-2</v>
      </c>
      <c r="F99" s="4">
        <v>0.19</v>
      </c>
      <c r="G99" s="112">
        <f>(Table6[[#This Row],[Average Discount]]/F92)-1</f>
        <v>0.11764705882352944</v>
      </c>
      <c r="H99" s="3">
        <v>32</v>
      </c>
      <c r="I99" s="112">
        <f>(Table6[[#This Row],[Out of stock Items per restaurant]]/H92)-1</f>
        <v>-0.11111111111111116</v>
      </c>
      <c r="J99" s="3">
        <v>21</v>
      </c>
      <c r="K99" s="169">
        <f>(Table6[[#This Row],[Average Packaging charges]]/J92)-1</f>
        <v>0</v>
      </c>
      <c r="L99" s="3">
        <v>27</v>
      </c>
      <c r="M99" s="112">
        <f>(Table6[[#This Row],[Average Delivery Charges]]/L92)-1</f>
        <v>-6.8965517241379337E-2</v>
      </c>
      <c r="N99" s="3">
        <v>387</v>
      </c>
      <c r="O99" s="4">
        <f>(Table6[[#This Row],[Avg Cost for two]]/N92)-1</f>
        <v>9.3220338983050821E-2</v>
      </c>
      <c r="P99" s="3">
        <v>34</v>
      </c>
      <c r="Q99" s="81">
        <f>(Table6[[#This Row],[Number of images per restaurant]]/P92)-1</f>
        <v>-2.8571428571428581E-2</v>
      </c>
      <c r="R99" s="81">
        <v>0.92</v>
      </c>
      <c r="S99" s="10">
        <f>(Table6[[#This Row],[Success Rate of payments]]/R92)-1</f>
        <v>1.098901098901095E-2</v>
      </c>
      <c r="T99" s="64" t="e">
        <f>VLOOKUP(Table6[[#This Row],[Date]],Table2[#All],1,FALSE)</f>
        <v>#N/A</v>
      </c>
    </row>
    <row r="100" spans="2:20" x14ac:dyDescent="0.3">
      <c r="B100" s="38">
        <v>43564</v>
      </c>
      <c r="C100" s="80">
        <v>43564</v>
      </c>
      <c r="D100" s="3">
        <v>395003</v>
      </c>
      <c r="E100" s="4">
        <f>(Table6[[#This Row],[Count of restaurants]]/D93)-1</f>
        <v>2.3570445729152345E-2</v>
      </c>
      <c r="F100" s="4">
        <v>0.19</v>
      </c>
      <c r="G100" s="112">
        <f>(Table6[[#This Row],[Average Discount]]/F93)-1</f>
        <v>0</v>
      </c>
      <c r="H100" s="3">
        <v>34</v>
      </c>
      <c r="I100" s="112">
        <f>(Table6[[#This Row],[Out of stock Items per restaurant]]/H93)-1</f>
        <v>-2.8571428571428581E-2</v>
      </c>
      <c r="J100" s="3">
        <v>22</v>
      </c>
      <c r="K100" s="169">
        <f>(Table6[[#This Row],[Average Packaging charges]]/J93)-1</f>
        <v>0</v>
      </c>
      <c r="L100" s="3">
        <v>25</v>
      </c>
      <c r="M100" s="112">
        <f>(Table6[[#This Row],[Average Delivery Charges]]/L93)-1</f>
        <v>0</v>
      </c>
      <c r="N100" s="3">
        <v>400</v>
      </c>
      <c r="O100" s="4">
        <f>(Table6[[#This Row],[Avg Cost for two]]/N93)-1</f>
        <v>4.4386422976501416E-2</v>
      </c>
      <c r="P100" s="3">
        <v>34</v>
      </c>
      <c r="Q100" s="81">
        <f>(Table6[[#This Row],[Number of images per restaurant]]/P93)-1</f>
        <v>3.0303030303030276E-2</v>
      </c>
      <c r="R100" s="81">
        <v>0.95</v>
      </c>
      <c r="S100" s="10">
        <f>(Table6[[#This Row],[Success Rate of payments]]/R93)-1</f>
        <v>0</v>
      </c>
      <c r="T100" s="64" t="e">
        <f>VLOOKUP(Table6[[#This Row],[Date]],Table2[#All],1,FALSE)</f>
        <v>#N/A</v>
      </c>
    </row>
    <row r="101" spans="2:20" x14ac:dyDescent="0.3">
      <c r="B101" s="38">
        <v>43565</v>
      </c>
      <c r="C101" s="80">
        <v>43565</v>
      </c>
      <c r="D101" s="3">
        <v>395190</v>
      </c>
      <c r="E101" s="4">
        <f>(Table6[[#This Row],[Count of restaurants]]/D94)-1</f>
        <v>-3.674219526938749E-2</v>
      </c>
      <c r="F101" s="4">
        <v>0.19</v>
      </c>
      <c r="G101" s="112">
        <f>(Table6[[#This Row],[Average Discount]]/F94)-1</f>
        <v>0.11764705882352944</v>
      </c>
      <c r="H101" s="3">
        <v>32</v>
      </c>
      <c r="I101" s="112">
        <f>(Table6[[#This Row],[Out of stock Items per restaurant]]/H94)-1</f>
        <v>-0.13513513513513509</v>
      </c>
      <c r="J101" s="3">
        <v>20</v>
      </c>
      <c r="K101" s="169">
        <f>(Table6[[#This Row],[Average Packaging charges]]/J94)-1</f>
        <v>-4.7619047619047672E-2</v>
      </c>
      <c r="L101" s="3">
        <v>25</v>
      </c>
      <c r="M101" s="112">
        <f>(Table6[[#This Row],[Average Delivery Charges]]/L94)-1</f>
        <v>-0.1071428571428571</v>
      </c>
      <c r="N101" s="3">
        <v>384</v>
      </c>
      <c r="O101" s="4">
        <f>(Table6[[#This Row],[Avg Cost for two]]/N94)-1</f>
        <v>6.3711911357340778E-2</v>
      </c>
      <c r="P101" s="3">
        <v>30</v>
      </c>
      <c r="Q101" s="81">
        <f>(Table6[[#This Row],[Number of images per restaurant]]/P94)-1</f>
        <v>-9.0909090909090939E-2</v>
      </c>
      <c r="R101" s="81">
        <v>0.95</v>
      </c>
      <c r="S101" s="10">
        <f>(Table6[[#This Row],[Success Rate of payments]]/R94)-1</f>
        <v>4.39560439560438E-2</v>
      </c>
      <c r="T101" s="64" t="e">
        <f>VLOOKUP(Table6[[#This Row],[Date]],Table2[#All],1,FALSE)</f>
        <v>#N/A</v>
      </c>
    </row>
    <row r="102" spans="2:20" x14ac:dyDescent="0.3">
      <c r="B102" s="38">
        <v>43566</v>
      </c>
      <c r="C102" s="80">
        <v>43566</v>
      </c>
      <c r="D102" s="3">
        <v>394581</v>
      </c>
      <c r="E102" s="4">
        <f>(Table6[[#This Row],[Count of restaurants]]/D95)-1</f>
        <v>-2.8776287807183332E-2</v>
      </c>
      <c r="F102" s="4">
        <v>0.18</v>
      </c>
      <c r="G102" s="112">
        <f>(Table6[[#This Row],[Average Discount]]/F95)-1</f>
        <v>0.79999999999999982</v>
      </c>
      <c r="H102" s="3">
        <v>35</v>
      </c>
      <c r="I102" s="112">
        <f>(Table6[[#This Row],[Out of stock Items per restaurant]]/H95)-1</f>
        <v>0</v>
      </c>
      <c r="J102" s="3">
        <v>19</v>
      </c>
      <c r="K102" s="169">
        <f>(Table6[[#This Row],[Average Packaging charges]]/J95)-1</f>
        <v>-9.5238095238095233E-2</v>
      </c>
      <c r="L102" s="3">
        <v>25</v>
      </c>
      <c r="M102" s="112">
        <f>(Table6[[#This Row],[Average Delivery Charges]]/L95)-1</f>
        <v>-0.13793103448275867</v>
      </c>
      <c r="N102" s="3">
        <v>387</v>
      </c>
      <c r="O102" s="4">
        <f>(Table6[[#This Row],[Avg Cost for two]]/N95)-1</f>
        <v>-2.5773195876288568E-3</v>
      </c>
      <c r="P102" s="3">
        <v>36</v>
      </c>
      <c r="Q102" s="81">
        <f>(Table6[[#This Row],[Number of images per restaurant]]/P95)-1</f>
        <v>-9.9999999999999978E-2</v>
      </c>
      <c r="R102" s="81">
        <v>0.91</v>
      </c>
      <c r="S102" s="10">
        <f>(Table6[[#This Row],[Success Rate of payments]]/R95)-1</f>
        <v>-1.0869565217391353E-2</v>
      </c>
      <c r="T102" s="64">
        <f>VLOOKUP(Table6[[#This Row],[Date]],Table2[#All],1,FALSE)</f>
        <v>43566</v>
      </c>
    </row>
    <row r="103" spans="2:20" x14ac:dyDescent="0.3">
      <c r="B103" s="38">
        <v>43567</v>
      </c>
      <c r="C103" s="80">
        <v>43567</v>
      </c>
      <c r="D103" s="3">
        <v>406144</v>
      </c>
      <c r="E103" s="4">
        <f>(Table6[[#This Row],[Count of restaurants]]/D96)-1</f>
        <v>4.6032281576527723E-2</v>
      </c>
      <c r="F103" s="4">
        <v>0.17</v>
      </c>
      <c r="G103" s="112">
        <f>(Table6[[#This Row],[Average Discount]]/F96)-1</f>
        <v>-5.5555555555555469E-2</v>
      </c>
      <c r="H103" s="3">
        <v>32</v>
      </c>
      <c r="I103" s="112">
        <f>(Table6[[#This Row],[Out of stock Items per restaurant]]/H96)-1</f>
        <v>-5.8823529411764719E-2</v>
      </c>
      <c r="J103" s="3">
        <v>17</v>
      </c>
      <c r="K103" s="169">
        <f>(Table6[[#This Row],[Average Packaging charges]]/J96)-1</f>
        <v>0</v>
      </c>
      <c r="L103" s="3">
        <v>28</v>
      </c>
      <c r="M103" s="112">
        <f>(Table6[[#This Row],[Average Delivery Charges]]/L96)-1</f>
        <v>0</v>
      </c>
      <c r="N103" s="3">
        <v>360</v>
      </c>
      <c r="O103" s="4">
        <f>(Table6[[#This Row],[Avg Cost for two]]/N96)-1</f>
        <v>-2.7700831024930483E-3</v>
      </c>
      <c r="P103" s="3">
        <v>32</v>
      </c>
      <c r="Q103" s="81">
        <f>(Table6[[#This Row],[Number of images per restaurant]]/P96)-1</f>
        <v>-0.11111111111111116</v>
      </c>
      <c r="R103" s="81">
        <v>0.95</v>
      </c>
      <c r="S103" s="10">
        <f>(Table6[[#This Row],[Success Rate of payments]]/R96)-1</f>
        <v>0</v>
      </c>
      <c r="T103" s="64">
        <f>VLOOKUP(Table6[[#This Row],[Date]],Table2[#All],1,FALSE)</f>
        <v>43567</v>
      </c>
    </row>
    <row r="104" spans="2:20" x14ac:dyDescent="0.3">
      <c r="B104" s="38">
        <v>43568</v>
      </c>
      <c r="C104" s="80">
        <v>43568</v>
      </c>
      <c r="D104" s="3">
        <v>381621</v>
      </c>
      <c r="E104" s="4">
        <f>(Table6[[#This Row],[Count of restaurants]]/D97)-1</f>
        <v>-5.4433955251616761E-2</v>
      </c>
      <c r="F104" s="4">
        <v>0.17</v>
      </c>
      <c r="G104" s="112">
        <f>(Table6[[#This Row],[Average Discount]]/F97)-1</f>
        <v>0</v>
      </c>
      <c r="H104" s="3">
        <v>31</v>
      </c>
      <c r="I104" s="112">
        <f>(Table6[[#This Row],[Out of stock Items per restaurant]]/H97)-1</f>
        <v>3.3333333333333437E-2</v>
      </c>
      <c r="J104" s="3">
        <v>21</v>
      </c>
      <c r="K104" s="169">
        <f>(Table6[[#This Row],[Average Packaging charges]]/J97)-1</f>
        <v>0.16666666666666674</v>
      </c>
      <c r="L104" s="3">
        <v>25</v>
      </c>
      <c r="M104" s="112">
        <f>(Table6[[#This Row],[Average Delivery Charges]]/L97)-1</f>
        <v>0</v>
      </c>
      <c r="N104" s="3">
        <v>366</v>
      </c>
      <c r="O104" s="4">
        <f>(Table6[[#This Row],[Avg Cost for two]]/N97)-1</f>
        <v>8.2644628099173278E-3</v>
      </c>
      <c r="P104" s="3">
        <v>32</v>
      </c>
      <c r="Q104" s="81">
        <f>(Table6[[#This Row],[Number of images per restaurant]]/P97)-1</f>
        <v>6.6666666666666652E-2</v>
      </c>
      <c r="R104" s="81">
        <v>0.91</v>
      </c>
      <c r="S104" s="10">
        <f>(Table6[[#This Row],[Success Rate of payments]]/R97)-1</f>
        <v>0</v>
      </c>
      <c r="T104" s="64" t="e">
        <f>VLOOKUP(Table6[[#This Row],[Date]],Table2[#All],1,FALSE)</f>
        <v>#N/A</v>
      </c>
    </row>
    <row r="105" spans="2:20" x14ac:dyDescent="0.3">
      <c r="B105" s="38">
        <v>43569</v>
      </c>
      <c r="C105" s="80">
        <v>43569</v>
      </c>
      <c r="D105" s="3">
        <v>396665</v>
      </c>
      <c r="E105" s="4">
        <f>(Table6[[#This Row],[Count of restaurants]]/D98)-1</f>
        <v>-1.7596651559055876E-2</v>
      </c>
      <c r="F105" s="4">
        <v>0.17</v>
      </c>
      <c r="G105" s="112">
        <f>(Table6[[#This Row],[Average Discount]]/F98)-1</f>
        <v>-5.5555555555555469E-2</v>
      </c>
      <c r="H105" s="3">
        <v>38</v>
      </c>
      <c r="I105" s="112">
        <f>(Table6[[#This Row],[Out of stock Items per restaurant]]/H98)-1</f>
        <v>2.7027027027026973E-2</v>
      </c>
      <c r="J105" s="3">
        <v>22</v>
      </c>
      <c r="K105" s="169">
        <f>(Table6[[#This Row],[Average Packaging charges]]/J98)-1</f>
        <v>0</v>
      </c>
      <c r="L105" s="3">
        <v>29</v>
      </c>
      <c r="M105" s="112">
        <f>(Table6[[#This Row],[Average Delivery Charges]]/L98)-1</f>
        <v>7.4074074074074181E-2</v>
      </c>
      <c r="N105" s="3">
        <v>395</v>
      </c>
      <c r="O105" s="4">
        <f>(Table6[[#This Row],[Avg Cost for two]]/N98)-1</f>
        <v>1.0230179028132946E-2</v>
      </c>
      <c r="P105" s="3">
        <v>35</v>
      </c>
      <c r="Q105" s="81">
        <f>(Table6[[#This Row],[Number of images per restaurant]]/P98)-1</f>
        <v>0.12903225806451624</v>
      </c>
      <c r="R105" s="81">
        <v>0.95</v>
      </c>
      <c r="S105" s="10">
        <f>(Table6[[#This Row],[Success Rate of payments]]/R98)-1</f>
        <v>0</v>
      </c>
      <c r="T105" s="64">
        <f>VLOOKUP(Table6[[#This Row],[Date]],Table2[#All],1,FALSE)</f>
        <v>43569</v>
      </c>
    </row>
    <row r="106" spans="2:20" x14ac:dyDescent="0.3">
      <c r="B106" s="38">
        <v>43570</v>
      </c>
      <c r="C106" s="80">
        <v>43570</v>
      </c>
      <c r="D106" s="3">
        <v>406139</v>
      </c>
      <c r="E106" s="4">
        <f>(Table6[[#This Row],[Count of restaurants]]/D99)-1</f>
        <v>3.9353978518838817E-2</v>
      </c>
      <c r="F106" s="4">
        <v>0.17</v>
      </c>
      <c r="G106" s="112">
        <f>(Table6[[#This Row],[Average Discount]]/F99)-1</f>
        <v>-0.10526315789473684</v>
      </c>
      <c r="H106" s="3">
        <v>31</v>
      </c>
      <c r="I106" s="112">
        <f>(Table6[[#This Row],[Out of stock Items per restaurant]]/H99)-1</f>
        <v>-3.125E-2</v>
      </c>
      <c r="J106" s="3">
        <v>17</v>
      </c>
      <c r="K106" s="169">
        <f>(Table6[[#This Row],[Average Packaging charges]]/J99)-1</f>
        <v>-0.19047619047619047</v>
      </c>
      <c r="L106" s="3">
        <v>26</v>
      </c>
      <c r="M106" s="112">
        <f>(Table6[[#This Row],[Average Delivery Charges]]/L99)-1</f>
        <v>-3.703703703703709E-2</v>
      </c>
      <c r="N106" s="3">
        <v>360</v>
      </c>
      <c r="O106" s="4">
        <f>(Table6[[#This Row],[Avg Cost for two]]/N99)-1</f>
        <v>-6.9767441860465129E-2</v>
      </c>
      <c r="P106" s="3">
        <v>35</v>
      </c>
      <c r="Q106" s="81">
        <f>(Table6[[#This Row],[Number of images per restaurant]]/P99)-1</f>
        <v>2.9411764705882248E-2</v>
      </c>
      <c r="R106" s="81">
        <v>0.94</v>
      </c>
      <c r="S106" s="10">
        <f>(Table6[[#This Row],[Success Rate of payments]]/R99)-1</f>
        <v>2.1739130434782483E-2</v>
      </c>
      <c r="T106" s="64" t="e">
        <f>VLOOKUP(Table6[[#This Row],[Date]],Table2[#All],1,FALSE)</f>
        <v>#N/A</v>
      </c>
    </row>
    <row r="107" spans="2:20" x14ac:dyDescent="0.3">
      <c r="B107" s="38">
        <v>43571</v>
      </c>
      <c r="C107" s="80">
        <v>43571</v>
      </c>
      <c r="D107" s="3">
        <v>400491</v>
      </c>
      <c r="E107" s="4">
        <f>(Table6[[#This Row],[Count of restaurants]]/D100)-1</f>
        <v>1.3893565365326266E-2</v>
      </c>
      <c r="F107" s="4">
        <v>0.18</v>
      </c>
      <c r="G107" s="112">
        <f>(Table6[[#This Row],[Average Discount]]/F100)-1</f>
        <v>-5.2631578947368474E-2</v>
      </c>
      <c r="H107" s="3">
        <v>33</v>
      </c>
      <c r="I107" s="112">
        <f>(Table6[[#This Row],[Out of stock Items per restaurant]]/H100)-1</f>
        <v>-2.9411764705882359E-2</v>
      </c>
      <c r="J107" s="3">
        <v>22</v>
      </c>
      <c r="K107" s="169">
        <f>(Table6[[#This Row],[Average Packaging charges]]/J100)-1</f>
        <v>0</v>
      </c>
      <c r="L107" s="3">
        <v>25</v>
      </c>
      <c r="M107" s="112">
        <f>(Table6[[#This Row],[Average Delivery Charges]]/L100)-1</f>
        <v>0</v>
      </c>
      <c r="N107" s="3">
        <v>394</v>
      </c>
      <c r="O107" s="4">
        <f>(Table6[[#This Row],[Avg Cost for two]]/N100)-1</f>
        <v>-1.5000000000000013E-2</v>
      </c>
      <c r="P107" s="3">
        <v>30</v>
      </c>
      <c r="Q107" s="81">
        <f>(Table6[[#This Row],[Number of images per restaurant]]/P100)-1</f>
        <v>-0.11764705882352944</v>
      </c>
      <c r="R107" s="81">
        <v>0.92</v>
      </c>
      <c r="S107" s="10">
        <f>(Table6[[#This Row],[Success Rate of payments]]/R100)-1</f>
        <v>-3.1578947368420929E-2</v>
      </c>
      <c r="T107" s="64" t="e">
        <f>VLOOKUP(Table6[[#This Row],[Date]],Table2[#All],1,FALSE)</f>
        <v>#N/A</v>
      </c>
    </row>
    <row r="108" spans="2:20" x14ac:dyDescent="0.3">
      <c r="B108" s="38">
        <v>43572</v>
      </c>
      <c r="C108" s="80">
        <v>43572</v>
      </c>
      <c r="D108" s="3">
        <v>400313</v>
      </c>
      <c r="E108" s="4">
        <f>(Table6[[#This Row],[Count of restaurants]]/D101)-1</f>
        <v>1.2963384701029979E-2</v>
      </c>
      <c r="F108" s="4">
        <v>0.18</v>
      </c>
      <c r="G108" s="112">
        <f>(Table6[[#This Row],[Average Discount]]/F101)-1</f>
        <v>-5.2631578947368474E-2</v>
      </c>
      <c r="H108" s="3">
        <v>31</v>
      </c>
      <c r="I108" s="112">
        <f>(Table6[[#This Row],[Out of stock Items per restaurant]]/H101)-1</f>
        <v>-3.125E-2</v>
      </c>
      <c r="J108" s="3">
        <v>17</v>
      </c>
      <c r="K108" s="169">
        <f>(Table6[[#This Row],[Average Packaging charges]]/J101)-1</f>
        <v>-0.15000000000000002</v>
      </c>
      <c r="L108" s="3">
        <v>30</v>
      </c>
      <c r="M108" s="112">
        <f>(Table6[[#This Row],[Average Delivery Charges]]/L101)-1</f>
        <v>0.19999999999999996</v>
      </c>
      <c r="N108" s="3">
        <v>387</v>
      </c>
      <c r="O108" s="4">
        <f>(Table6[[#This Row],[Avg Cost for two]]/N101)-1</f>
        <v>7.8125E-3</v>
      </c>
      <c r="P108" s="3">
        <v>35</v>
      </c>
      <c r="Q108" s="81">
        <f>(Table6[[#This Row],[Number of images per restaurant]]/P101)-1</f>
        <v>0.16666666666666674</v>
      </c>
      <c r="R108" s="81">
        <v>0.92</v>
      </c>
      <c r="S108" s="10">
        <f>(Table6[[#This Row],[Success Rate of payments]]/R101)-1</f>
        <v>-3.1578947368420929E-2</v>
      </c>
      <c r="T108" s="64" t="e">
        <f>VLOOKUP(Table6[[#This Row],[Date]],Table2[#All],1,FALSE)</f>
        <v>#N/A</v>
      </c>
    </row>
    <row r="109" spans="2:20" x14ac:dyDescent="0.3">
      <c r="B109" s="38">
        <v>43573</v>
      </c>
      <c r="C109" s="80">
        <v>43573</v>
      </c>
      <c r="D109" s="3">
        <v>389107</v>
      </c>
      <c r="E109" s="4">
        <f>(Table6[[#This Row],[Count of restaurants]]/D102)-1</f>
        <v>-1.3872943704841378E-2</v>
      </c>
      <c r="F109" s="4">
        <v>0.28999999999999998</v>
      </c>
      <c r="G109" s="112">
        <f>(Table6[[#This Row],[Average Discount]]/F102)-1</f>
        <v>0.61111111111111116</v>
      </c>
      <c r="H109" s="3">
        <v>32</v>
      </c>
      <c r="I109" s="112">
        <f>(Table6[[#This Row],[Out of stock Items per restaurant]]/H102)-1</f>
        <v>-8.5714285714285743E-2</v>
      </c>
      <c r="J109" s="3">
        <v>18</v>
      </c>
      <c r="K109" s="169">
        <f>(Table6[[#This Row],[Average Packaging charges]]/J102)-1</f>
        <v>-5.2631578947368474E-2</v>
      </c>
      <c r="L109" s="3">
        <v>28</v>
      </c>
      <c r="M109" s="112">
        <f>(Table6[[#This Row],[Average Delivery Charges]]/L102)-1</f>
        <v>0.12000000000000011</v>
      </c>
      <c r="N109" s="3">
        <v>364</v>
      </c>
      <c r="O109" s="4">
        <f>(Table6[[#This Row],[Avg Cost for two]]/N102)-1</f>
        <v>-5.9431524547803649E-2</v>
      </c>
      <c r="P109" s="3">
        <v>40</v>
      </c>
      <c r="Q109" s="81">
        <f>(Table6[[#This Row],[Number of images per restaurant]]/P102)-1</f>
        <v>0.11111111111111116</v>
      </c>
      <c r="R109" s="81">
        <v>0.91</v>
      </c>
      <c r="S109" s="10">
        <f>(Table6[[#This Row],[Success Rate of payments]]/R102)-1</f>
        <v>0</v>
      </c>
      <c r="T109" s="64">
        <f>VLOOKUP(Table6[[#This Row],[Date]],Table2[#All],1,FALSE)</f>
        <v>43573</v>
      </c>
    </row>
    <row r="110" spans="2:20" x14ac:dyDescent="0.3">
      <c r="B110" s="38">
        <v>43574</v>
      </c>
      <c r="C110" s="80">
        <v>43574</v>
      </c>
      <c r="D110" s="3">
        <v>384879</v>
      </c>
      <c r="E110" s="4">
        <f>(Table6[[#This Row],[Count of restaurants]]/D103)-1</f>
        <v>-5.2358276867317977E-2</v>
      </c>
      <c r="F110" s="4">
        <v>0.18</v>
      </c>
      <c r="G110" s="112">
        <f>(Table6[[#This Row],[Average Discount]]/F103)-1</f>
        <v>5.8823529411764497E-2</v>
      </c>
      <c r="H110" s="3">
        <v>39</v>
      </c>
      <c r="I110" s="112">
        <f>(Table6[[#This Row],[Out of stock Items per restaurant]]/H103)-1</f>
        <v>0.21875</v>
      </c>
      <c r="J110" s="3">
        <v>17</v>
      </c>
      <c r="K110" s="169">
        <f>(Table6[[#This Row],[Average Packaging charges]]/J103)-1</f>
        <v>0</v>
      </c>
      <c r="L110" s="3">
        <v>27</v>
      </c>
      <c r="M110" s="112">
        <f>(Table6[[#This Row],[Average Delivery Charges]]/L103)-1</f>
        <v>-3.5714285714285698E-2</v>
      </c>
      <c r="N110" s="3">
        <v>351</v>
      </c>
      <c r="O110" s="4">
        <f>(Table6[[#This Row],[Avg Cost for two]]/N103)-1</f>
        <v>-2.5000000000000022E-2</v>
      </c>
      <c r="P110" s="3">
        <v>36</v>
      </c>
      <c r="Q110" s="81">
        <f>(Table6[[#This Row],[Number of images per restaurant]]/P103)-1</f>
        <v>0.125</v>
      </c>
      <c r="R110" s="81">
        <v>0.95</v>
      </c>
      <c r="S110" s="10">
        <f>(Table6[[#This Row],[Success Rate of payments]]/R103)-1</f>
        <v>0</v>
      </c>
      <c r="T110" s="64">
        <f>VLOOKUP(Table6[[#This Row],[Date]],Table2[#All],1,FALSE)</f>
        <v>43574</v>
      </c>
    </row>
    <row r="111" spans="2:20" x14ac:dyDescent="0.3">
      <c r="B111" s="38">
        <v>43575</v>
      </c>
      <c r="C111" s="80">
        <v>43575</v>
      </c>
      <c r="D111" s="3">
        <v>384256</v>
      </c>
      <c r="E111" s="4">
        <f>(Table6[[#This Row],[Count of restaurants]]/D104)-1</f>
        <v>6.9047562896171755E-3</v>
      </c>
      <c r="F111" s="4">
        <v>0.18</v>
      </c>
      <c r="G111" s="112">
        <f>(Table6[[#This Row],[Average Discount]]/F104)-1</f>
        <v>5.8823529411764497E-2</v>
      </c>
      <c r="H111" s="3">
        <v>35</v>
      </c>
      <c r="I111" s="112">
        <f>(Table6[[#This Row],[Out of stock Items per restaurant]]/H104)-1</f>
        <v>0.12903225806451624</v>
      </c>
      <c r="J111" s="3">
        <v>17</v>
      </c>
      <c r="K111" s="169">
        <f>(Table6[[#This Row],[Average Packaging charges]]/J104)-1</f>
        <v>-0.19047619047619047</v>
      </c>
      <c r="L111" s="3">
        <v>29</v>
      </c>
      <c r="M111" s="112">
        <f>(Table6[[#This Row],[Average Delivery Charges]]/L104)-1</f>
        <v>0.15999999999999992</v>
      </c>
      <c r="N111" s="3">
        <v>395</v>
      </c>
      <c r="O111" s="4">
        <f>(Table6[[#This Row],[Avg Cost for two]]/N104)-1</f>
        <v>7.9234972677595605E-2</v>
      </c>
      <c r="P111" s="3">
        <v>34</v>
      </c>
      <c r="Q111" s="81">
        <f>(Table6[[#This Row],[Number of images per restaurant]]/P104)-1</f>
        <v>6.25E-2</v>
      </c>
      <c r="R111" s="81">
        <v>0.94</v>
      </c>
      <c r="S111" s="10">
        <f>(Table6[[#This Row],[Success Rate of payments]]/R104)-1</f>
        <v>3.296703296703285E-2</v>
      </c>
      <c r="T111" s="64" t="e">
        <f>VLOOKUP(Table6[[#This Row],[Date]],Table2[#All],1,FALSE)</f>
        <v>#N/A</v>
      </c>
    </row>
    <row r="112" spans="2:20" x14ac:dyDescent="0.3">
      <c r="B112" s="38">
        <v>43576</v>
      </c>
      <c r="C112" s="80">
        <v>43576</v>
      </c>
      <c r="D112" s="3">
        <v>405625</v>
      </c>
      <c r="E112" s="4">
        <f>(Table6[[#This Row],[Count of restaurants]]/D105)-1</f>
        <v>2.2588330203068052E-2</v>
      </c>
      <c r="F112" s="4">
        <v>0.17</v>
      </c>
      <c r="G112" s="112">
        <f>(Table6[[#This Row],[Average Discount]]/F105)-1</f>
        <v>0</v>
      </c>
      <c r="H112" s="3">
        <v>34</v>
      </c>
      <c r="I112" s="112">
        <f>(Table6[[#This Row],[Out of stock Items per restaurant]]/H105)-1</f>
        <v>-0.10526315789473684</v>
      </c>
      <c r="J112" s="3">
        <v>18</v>
      </c>
      <c r="K112" s="169">
        <f>(Table6[[#This Row],[Average Packaging charges]]/J105)-1</f>
        <v>-0.18181818181818177</v>
      </c>
      <c r="L112" s="3">
        <v>25</v>
      </c>
      <c r="M112" s="112">
        <f>(Table6[[#This Row],[Average Delivery Charges]]/L105)-1</f>
        <v>-0.13793103448275867</v>
      </c>
      <c r="N112" s="3">
        <v>380</v>
      </c>
      <c r="O112" s="4">
        <f>(Table6[[#This Row],[Avg Cost for two]]/N105)-1</f>
        <v>-3.7974683544303778E-2</v>
      </c>
      <c r="P112" s="3">
        <v>34</v>
      </c>
      <c r="Q112" s="81">
        <f>(Table6[[#This Row],[Number of images per restaurant]]/P105)-1</f>
        <v>-2.8571428571428581E-2</v>
      </c>
      <c r="R112" s="81">
        <v>0.94</v>
      </c>
      <c r="S112" s="10">
        <f>(Table6[[#This Row],[Success Rate of payments]]/R105)-1</f>
        <v>-1.0526315789473717E-2</v>
      </c>
      <c r="T112" s="64" t="e">
        <f>VLOOKUP(Table6[[#This Row],[Date]],Table2[#All],1,FALSE)</f>
        <v>#N/A</v>
      </c>
    </row>
    <row r="113" spans="2:20" x14ac:dyDescent="0.3">
      <c r="B113" s="38">
        <v>43577</v>
      </c>
      <c r="C113" s="80">
        <v>43577</v>
      </c>
      <c r="D113" s="3">
        <v>385119</v>
      </c>
      <c r="E113" s="4">
        <f>(Table6[[#This Row],[Count of restaurants]]/D106)-1</f>
        <v>-5.1755679705716484E-2</v>
      </c>
      <c r="F113" s="4">
        <v>0.19</v>
      </c>
      <c r="G113" s="112">
        <f>(Table6[[#This Row],[Average Discount]]/F106)-1</f>
        <v>0.11764705882352944</v>
      </c>
      <c r="H113" s="3">
        <v>31</v>
      </c>
      <c r="I113" s="112">
        <f>(Table6[[#This Row],[Out of stock Items per restaurant]]/H106)-1</f>
        <v>0</v>
      </c>
      <c r="J113" s="3">
        <v>17</v>
      </c>
      <c r="K113" s="169">
        <f>(Table6[[#This Row],[Average Packaging charges]]/J106)-1</f>
        <v>0</v>
      </c>
      <c r="L113" s="3">
        <v>26</v>
      </c>
      <c r="M113" s="112">
        <f>(Table6[[#This Row],[Average Delivery Charges]]/L106)-1</f>
        <v>0</v>
      </c>
      <c r="N113" s="3">
        <v>383</v>
      </c>
      <c r="O113" s="4">
        <f>(Table6[[#This Row],[Avg Cost for two]]/N106)-1</f>
        <v>6.3888888888888884E-2</v>
      </c>
      <c r="P113" s="3">
        <v>33</v>
      </c>
      <c r="Q113" s="81">
        <f>(Table6[[#This Row],[Number of images per restaurant]]/P106)-1</f>
        <v>-5.7142857142857162E-2</v>
      </c>
      <c r="R113" s="81">
        <v>0.95</v>
      </c>
      <c r="S113" s="10">
        <f>(Table6[[#This Row],[Success Rate of payments]]/R106)-1</f>
        <v>1.0638297872340496E-2</v>
      </c>
      <c r="T113" s="64" t="e">
        <f>VLOOKUP(Table6[[#This Row],[Date]],Table2[#All],1,FALSE)</f>
        <v>#N/A</v>
      </c>
    </row>
    <row r="114" spans="2:20" x14ac:dyDescent="0.3">
      <c r="B114" s="38">
        <v>43578</v>
      </c>
      <c r="C114" s="80">
        <v>43578</v>
      </c>
      <c r="D114" s="3">
        <v>392946</v>
      </c>
      <c r="E114" s="4">
        <f>(Table6[[#This Row],[Count of restaurants]]/D107)-1</f>
        <v>-1.8839374667595554E-2</v>
      </c>
      <c r="F114" s="4">
        <v>0.18</v>
      </c>
      <c r="G114" s="112">
        <f>(Table6[[#This Row],[Average Discount]]/F107)-1</f>
        <v>0</v>
      </c>
      <c r="H114" s="3">
        <v>38</v>
      </c>
      <c r="I114" s="112">
        <f>(Table6[[#This Row],[Out of stock Items per restaurant]]/H107)-1</f>
        <v>0.1515151515151516</v>
      </c>
      <c r="J114" s="3">
        <v>21</v>
      </c>
      <c r="K114" s="169">
        <f>(Table6[[#This Row],[Average Packaging charges]]/J107)-1</f>
        <v>-4.5454545454545414E-2</v>
      </c>
      <c r="L114" s="3">
        <v>27</v>
      </c>
      <c r="M114" s="112">
        <f>(Table6[[#This Row],[Average Delivery Charges]]/L107)-1</f>
        <v>8.0000000000000071E-2</v>
      </c>
      <c r="N114" s="3">
        <v>390</v>
      </c>
      <c r="O114" s="4">
        <f>(Table6[[#This Row],[Avg Cost for two]]/N107)-1</f>
        <v>-1.0152284263959421E-2</v>
      </c>
      <c r="P114" s="3">
        <v>37</v>
      </c>
      <c r="Q114" s="81">
        <f>(Table6[[#This Row],[Number of images per restaurant]]/P107)-1</f>
        <v>0.23333333333333339</v>
      </c>
      <c r="R114" s="81">
        <v>0.93</v>
      </c>
      <c r="S114" s="10">
        <f>(Table6[[#This Row],[Success Rate of payments]]/R107)-1</f>
        <v>1.0869565217391353E-2</v>
      </c>
      <c r="T114" s="64" t="e">
        <f>VLOOKUP(Table6[[#This Row],[Date]],Table2[#All],1,FALSE)</f>
        <v>#N/A</v>
      </c>
    </row>
    <row r="115" spans="2:20" x14ac:dyDescent="0.3">
      <c r="B115" s="38">
        <v>43579</v>
      </c>
      <c r="C115" s="80">
        <v>43579</v>
      </c>
      <c r="D115" s="3">
        <v>394455</v>
      </c>
      <c r="E115" s="4">
        <f>(Table6[[#This Row],[Count of restaurants]]/D108)-1</f>
        <v>-1.4633549247713651E-2</v>
      </c>
      <c r="F115" s="4">
        <v>0.17</v>
      </c>
      <c r="G115" s="112">
        <f>(Table6[[#This Row],[Average Discount]]/F108)-1</f>
        <v>-5.5555555555555469E-2</v>
      </c>
      <c r="H115" s="3">
        <v>37</v>
      </c>
      <c r="I115" s="112">
        <f>(Table6[[#This Row],[Out of stock Items per restaurant]]/H108)-1</f>
        <v>0.19354838709677424</v>
      </c>
      <c r="J115" s="3">
        <v>18</v>
      </c>
      <c r="K115" s="169">
        <f>(Table6[[#This Row],[Average Packaging charges]]/J108)-1</f>
        <v>5.8823529411764719E-2</v>
      </c>
      <c r="L115" s="3">
        <v>25</v>
      </c>
      <c r="M115" s="112">
        <f>(Table6[[#This Row],[Average Delivery Charges]]/L108)-1</f>
        <v>-0.16666666666666663</v>
      </c>
      <c r="N115" s="3">
        <v>383</v>
      </c>
      <c r="O115" s="4">
        <f>(Table6[[#This Row],[Avg Cost for two]]/N108)-1</f>
        <v>-1.033591731266148E-2</v>
      </c>
      <c r="P115" s="3">
        <v>39</v>
      </c>
      <c r="Q115" s="81">
        <f>(Table6[[#This Row],[Number of images per restaurant]]/P108)-1</f>
        <v>0.11428571428571432</v>
      </c>
      <c r="R115" s="81">
        <v>0.94</v>
      </c>
      <c r="S115" s="10">
        <f>(Table6[[#This Row],[Success Rate of payments]]/R108)-1</f>
        <v>2.1739130434782483E-2</v>
      </c>
      <c r="T115" s="64" t="e">
        <f>VLOOKUP(Table6[[#This Row],[Date]],Table2[#All],1,FALSE)</f>
        <v>#N/A</v>
      </c>
    </row>
    <row r="116" spans="2:20" x14ac:dyDescent="0.3">
      <c r="B116" s="38">
        <v>43580</v>
      </c>
      <c r="C116" s="80">
        <v>43580</v>
      </c>
      <c r="D116" s="3">
        <v>393483</v>
      </c>
      <c r="E116" s="4">
        <f>(Table6[[#This Row],[Count of restaurants]]/D109)-1</f>
        <v>1.1246263881143248E-2</v>
      </c>
      <c r="F116" s="4">
        <v>0.17</v>
      </c>
      <c r="G116" s="112">
        <f>(Table6[[#This Row],[Average Discount]]/F109)-1</f>
        <v>-0.4137931034482758</v>
      </c>
      <c r="H116" s="3">
        <v>30</v>
      </c>
      <c r="I116" s="112">
        <f>(Table6[[#This Row],[Out of stock Items per restaurant]]/H109)-1</f>
        <v>-6.25E-2</v>
      </c>
      <c r="J116" s="3">
        <v>17</v>
      </c>
      <c r="K116" s="169">
        <f>(Table6[[#This Row],[Average Packaging charges]]/J109)-1</f>
        <v>-5.555555555555558E-2</v>
      </c>
      <c r="L116" s="3">
        <v>28</v>
      </c>
      <c r="M116" s="112">
        <f>(Table6[[#This Row],[Average Delivery Charges]]/L109)-1</f>
        <v>0</v>
      </c>
      <c r="N116" s="3">
        <v>383</v>
      </c>
      <c r="O116" s="4">
        <f>(Table6[[#This Row],[Avg Cost for two]]/N109)-1</f>
        <v>5.2197802197802234E-2</v>
      </c>
      <c r="P116" s="3">
        <v>38</v>
      </c>
      <c r="Q116" s="81">
        <f>(Table6[[#This Row],[Number of images per restaurant]]/P109)-1</f>
        <v>-5.0000000000000044E-2</v>
      </c>
      <c r="R116" s="81">
        <v>0.91</v>
      </c>
      <c r="S116" s="10">
        <f>(Table6[[#This Row],[Success Rate of payments]]/R109)-1</f>
        <v>0</v>
      </c>
      <c r="T116" s="64">
        <f>VLOOKUP(Table6[[#This Row],[Date]],Table2[#All],1,FALSE)</f>
        <v>43580</v>
      </c>
    </row>
    <row r="117" spans="2:20" x14ac:dyDescent="0.3">
      <c r="B117" s="38">
        <v>43581</v>
      </c>
      <c r="C117" s="80">
        <v>43581</v>
      </c>
      <c r="D117" s="3">
        <v>387973</v>
      </c>
      <c r="E117" s="4">
        <f>(Table6[[#This Row],[Count of restaurants]]/D110)-1</f>
        <v>8.0388901446948324E-3</v>
      </c>
      <c r="F117" s="4">
        <v>0.17</v>
      </c>
      <c r="G117" s="112">
        <f>(Table6[[#This Row],[Average Discount]]/F110)-1</f>
        <v>-5.5555555555555469E-2</v>
      </c>
      <c r="H117" s="3">
        <v>38</v>
      </c>
      <c r="I117" s="112">
        <f>(Table6[[#This Row],[Out of stock Items per restaurant]]/H110)-1</f>
        <v>-2.5641025641025661E-2</v>
      </c>
      <c r="J117" s="3">
        <v>19</v>
      </c>
      <c r="K117" s="169">
        <f>(Table6[[#This Row],[Average Packaging charges]]/J110)-1</f>
        <v>0.11764705882352944</v>
      </c>
      <c r="L117" s="3">
        <v>30</v>
      </c>
      <c r="M117" s="112">
        <f>(Table6[[#This Row],[Average Delivery Charges]]/L110)-1</f>
        <v>0.11111111111111116</v>
      </c>
      <c r="N117" s="3">
        <v>367</v>
      </c>
      <c r="O117" s="4">
        <f>(Table6[[#This Row],[Avg Cost for two]]/N110)-1</f>
        <v>4.5584045584045496E-2</v>
      </c>
      <c r="P117" s="3">
        <v>30</v>
      </c>
      <c r="Q117" s="81">
        <f>(Table6[[#This Row],[Number of images per restaurant]]/P110)-1</f>
        <v>-0.16666666666666663</v>
      </c>
      <c r="R117" s="81">
        <v>0.94</v>
      </c>
      <c r="S117" s="10">
        <f>(Table6[[#This Row],[Success Rate of payments]]/R110)-1</f>
        <v>-1.0526315789473717E-2</v>
      </c>
      <c r="T117" s="64" t="e">
        <f>VLOOKUP(Table6[[#This Row],[Date]],Table2[#All],1,FALSE)</f>
        <v>#N/A</v>
      </c>
    </row>
    <row r="118" spans="2:20" x14ac:dyDescent="0.3">
      <c r="B118" s="38">
        <v>43582</v>
      </c>
      <c r="C118" s="80">
        <v>43582</v>
      </c>
      <c r="D118" s="3">
        <v>388059</v>
      </c>
      <c r="E118" s="4">
        <f>(Table6[[#This Row],[Count of restaurants]]/D111)-1</f>
        <v>9.8970478014657193E-3</v>
      </c>
      <c r="F118" s="4">
        <v>0.19</v>
      </c>
      <c r="G118" s="112">
        <f>(Table6[[#This Row],[Average Discount]]/F111)-1</f>
        <v>5.555555555555558E-2</v>
      </c>
      <c r="H118" s="3">
        <v>31</v>
      </c>
      <c r="I118" s="112">
        <f>(Table6[[#This Row],[Out of stock Items per restaurant]]/H111)-1</f>
        <v>-0.11428571428571432</v>
      </c>
      <c r="J118" s="3">
        <v>20</v>
      </c>
      <c r="K118" s="169">
        <f>(Table6[[#This Row],[Average Packaging charges]]/J111)-1</f>
        <v>0.17647058823529416</v>
      </c>
      <c r="L118" s="3">
        <v>29</v>
      </c>
      <c r="M118" s="112">
        <f>(Table6[[#This Row],[Average Delivery Charges]]/L111)-1</f>
        <v>0</v>
      </c>
      <c r="N118" s="3">
        <v>366</v>
      </c>
      <c r="O118" s="4">
        <f>(Table6[[#This Row],[Avg Cost for two]]/N111)-1</f>
        <v>-7.3417721518987289E-2</v>
      </c>
      <c r="P118" s="3">
        <v>36</v>
      </c>
      <c r="Q118" s="81">
        <f>(Table6[[#This Row],[Number of images per restaurant]]/P111)-1</f>
        <v>5.8823529411764719E-2</v>
      </c>
      <c r="R118" s="81">
        <v>0.94</v>
      </c>
      <c r="S118" s="10">
        <f>(Table6[[#This Row],[Success Rate of payments]]/R111)-1</f>
        <v>0</v>
      </c>
      <c r="T118" s="64" t="e">
        <f>VLOOKUP(Table6[[#This Row],[Date]],Table2[#All],1,FALSE)</f>
        <v>#N/A</v>
      </c>
    </row>
    <row r="119" spans="2:20" x14ac:dyDescent="0.3">
      <c r="B119" s="38">
        <v>43583</v>
      </c>
      <c r="C119" s="80">
        <v>43583</v>
      </c>
      <c r="D119" s="3">
        <v>394554</v>
      </c>
      <c r="E119" s="4">
        <f>(Table6[[#This Row],[Count of restaurants]]/D112)-1</f>
        <v>-2.7293682588597878E-2</v>
      </c>
      <c r="F119" s="4">
        <v>0.18</v>
      </c>
      <c r="G119" s="112">
        <f>(Table6[[#This Row],[Average Discount]]/F112)-1</f>
        <v>5.8823529411764497E-2</v>
      </c>
      <c r="H119" s="3">
        <v>30</v>
      </c>
      <c r="I119" s="112">
        <f>(Table6[[#This Row],[Out of stock Items per restaurant]]/H112)-1</f>
        <v>-0.11764705882352944</v>
      </c>
      <c r="J119" s="3">
        <v>20</v>
      </c>
      <c r="K119" s="169">
        <f>(Table6[[#This Row],[Average Packaging charges]]/J112)-1</f>
        <v>0.11111111111111116</v>
      </c>
      <c r="L119" s="3">
        <v>29</v>
      </c>
      <c r="M119" s="112">
        <f>(Table6[[#This Row],[Average Delivery Charges]]/L112)-1</f>
        <v>0.15999999999999992</v>
      </c>
      <c r="N119" s="3">
        <v>389</v>
      </c>
      <c r="O119" s="4">
        <f>(Table6[[#This Row],[Avg Cost for two]]/N112)-1</f>
        <v>2.3684210526315752E-2</v>
      </c>
      <c r="P119" s="3">
        <v>31</v>
      </c>
      <c r="Q119" s="81">
        <f>(Table6[[#This Row],[Number of images per restaurant]]/P112)-1</f>
        <v>-8.8235294117647078E-2</v>
      </c>
      <c r="R119" s="81">
        <v>0.93</v>
      </c>
      <c r="S119" s="10">
        <f>(Table6[[#This Row],[Success Rate of payments]]/R112)-1</f>
        <v>-1.0638297872340274E-2</v>
      </c>
      <c r="T119" s="64" t="e">
        <f>VLOOKUP(Table6[[#This Row],[Date]],Table2[#All],1,FALSE)</f>
        <v>#N/A</v>
      </c>
    </row>
    <row r="120" spans="2:20" x14ac:dyDescent="0.3">
      <c r="B120" s="38">
        <v>43584</v>
      </c>
      <c r="C120" s="80">
        <v>43584</v>
      </c>
      <c r="D120" s="3">
        <v>395744</v>
      </c>
      <c r="E120" s="4">
        <f>(Table6[[#This Row],[Count of restaurants]]/D113)-1</f>
        <v>2.7588875126908885E-2</v>
      </c>
      <c r="F120" s="4">
        <v>0.18</v>
      </c>
      <c r="G120" s="112">
        <f>(Table6[[#This Row],[Average Discount]]/F113)-1</f>
        <v>-5.2631578947368474E-2</v>
      </c>
      <c r="H120" s="3">
        <v>38</v>
      </c>
      <c r="I120" s="112">
        <f>(Table6[[#This Row],[Out of stock Items per restaurant]]/H113)-1</f>
        <v>0.22580645161290325</v>
      </c>
      <c r="J120" s="3">
        <v>20</v>
      </c>
      <c r="K120" s="169">
        <f>(Table6[[#This Row],[Average Packaging charges]]/J113)-1</f>
        <v>0.17647058823529416</v>
      </c>
      <c r="L120" s="3">
        <v>27</v>
      </c>
      <c r="M120" s="112">
        <f>(Table6[[#This Row],[Average Delivery Charges]]/L113)-1</f>
        <v>3.8461538461538547E-2</v>
      </c>
      <c r="N120" s="3">
        <v>366</v>
      </c>
      <c r="O120" s="4">
        <f>(Table6[[#This Row],[Avg Cost for two]]/N113)-1</f>
        <v>-4.4386422976501305E-2</v>
      </c>
      <c r="P120" s="3">
        <v>31</v>
      </c>
      <c r="Q120" s="81">
        <f>(Table6[[#This Row],[Number of images per restaurant]]/P113)-1</f>
        <v>-6.0606060606060552E-2</v>
      </c>
      <c r="R120" s="81">
        <v>0.91</v>
      </c>
      <c r="S120" s="10">
        <f>(Table6[[#This Row],[Success Rate of payments]]/R113)-1</f>
        <v>-4.2105263157894646E-2</v>
      </c>
      <c r="T120" s="64" t="e">
        <f>VLOOKUP(Table6[[#This Row],[Date]],Table2[#All],1,FALSE)</f>
        <v>#N/A</v>
      </c>
    </row>
    <row r="121" spans="2:20" x14ac:dyDescent="0.3">
      <c r="B121" s="38">
        <v>43585</v>
      </c>
      <c r="C121" s="80">
        <v>43585</v>
      </c>
      <c r="D121" s="3">
        <v>405172</v>
      </c>
      <c r="E121" s="4">
        <f>(Table6[[#This Row],[Count of restaurants]]/D114)-1</f>
        <v>3.1113689921770327E-2</v>
      </c>
      <c r="F121" s="4">
        <v>0.17</v>
      </c>
      <c r="G121" s="112">
        <f>(Table6[[#This Row],[Average Discount]]/F114)-1</f>
        <v>-5.5555555555555469E-2</v>
      </c>
      <c r="H121" s="3">
        <v>33</v>
      </c>
      <c r="I121" s="112">
        <f>(Table6[[#This Row],[Out of stock Items per restaurant]]/H114)-1</f>
        <v>-0.13157894736842102</v>
      </c>
      <c r="J121" s="3">
        <v>19</v>
      </c>
      <c r="K121" s="169">
        <f>(Table6[[#This Row],[Average Packaging charges]]/J114)-1</f>
        <v>-9.5238095238095233E-2</v>
      </c>
      <c r="L121" s="3">
        <v>27</v>
      </c>
      <c r="M121" s="112">
        <f>(Table6[[#This Row],[Average Delivery Charges]]/L114)-1</f>
        <v>0</v>
      </c>
      <c r="N121" s="3">
        <v>380</v>
      </c>
      <c r="O121" s="4">
        <f>(Table6[[#This Row],[Avg Cost for two]]/N114)-1</f>
        <v>-2.5641025641025661E-2</v>
      </c>
      <c r="P121" s="3">
        <v>34</v>
      </c>
      <c r="Q121" s="81">
        <f>(Table6[[#This Row],[Number of images per restaurant]]/P114)-1</f>
        <v>-8.108108108108103E-2</v>
      </c>
      <c r="R121" s="81">
        <v>0.94</v>
      </c>
      <c r="S121" s="10">
        <f>(Table6[[#This Row],[Success Rate of payments]]/R114)-1</f>
        <v>1.0752688172043001E-2</v>
      </c>
      <c r="T121" s="64" t="e">
        <f>VLOOKUP(Table6[[#This Row],[Date]],Table2[#All],1,FALSE)</f>
        <v>#N/A</v>
      </c>
    </row>
    <row r="122" spans="2:20" x14ac:dyDescent="0.3">
      <c r="B122" s="38">
        <v>43586</v>
      </c>
      <c r="C122" s="80">
        <v>43586</v>
      </c>
      <c r="D122" s="3">
        <v>410255</v>
      </c>
      <c r="E122" s="4">
        <f>(Table6[[#This Row],[Count of restaurants]]/D115)-1</f>
        <v>4.0055266126681088E-2</v>
      </c>
      <c r="F122" s="4">
        <v>0.18</v>
      </c>
      <c r="G122" s="112">
        <f>(Table6[[#This Row],[Average Discount]]/F115)-1</f>
        <v>5.8823529411764497E-2</v>
      </c>
      <c r="H122" s="3">
        <v>40</v>
      </c>
      <c r="I122" s="112">
        <f>(Table6[[#This Row],[Out of stock Items per restaurant]]/H115)-1</f>
        <v>8.1081081081081141E-2</v>
      </c>
      <c r="J122" s="3">
        <v>18</v>
      </c>
      <c r="K122" s="169">
        <f>(Table6[[#This Row],[Average Packaging charges]]/J115)-1</f>
        <v>0</v>
      </c>
      <c r="L122" s="3">
        <v>27</v>
      </c>
      <c r="M122" s="112">
        <f>(Table6[[#This Row],[Average Delivery Charges]]/L115)-1</f>
        <v>8.0000000000000071E-2</v>
      </c>
      <c r="N122" s="3">
        <v>378</v>
      </c>
      <c r="O122" s="4">
        <f>(Table6[[#This Row],[Avg Cost for two]]/N115)-1</f>
        <v>-1.3054830287206221E-2</v>
      </c>
      <c r="P122" s="3">
        <v>35</v>
      </c>
      <c r="Q122" s="81">
        <f>(Table6[[#This Row],[Number of images per restaurant]]/P115)-1</f>
        <v>-0.10256410256410253</v>
      </c>
      <c r="R122" s="81">
        <v>0.94</v>
      </c>
      <c r="S122" s="10">
        <f>(Table6[[#This Row],[Success Rate of payments]]/R115)-1</f>
        <v>0</v>
      </c>
      <c r="T122" s="64" t="e">
        <f>VLOOKUP(Table6[[#This Row],[Date]],Table2[#All],1,FALSE)</f>
        <v>#N/A</v>
      </c>
    </row>
    <row r="123" spans="2:20" x14ac:dyDescent="0.3">
      <c r="B123" s="38">
        <v>43587</v>
      </c>
      <c r="C123" s="80">
        <v>43587</v>
      </c>
      <c r="D123" s="3">
        <v>390331</v>
      </c>
      <c r="E123" s="4">
        <f>(Table6[[#This Row],[Count of restaurants]]/D116)-1</f>
        <v>-8.0105112546158264E-3</v>
      </c>
      <c r="F123" s="4">
        <v>0.19</v>
      </c>
      <c r="G123" s="112">
        <f>(Table6[[#This Row],[Average Discount]]/F116)-1</f>
        <v>0.11764705882352944</v>
      </c>
      <c r="H123" s="3">
        <v>31</v>
      </c>
      <c r="I123" s="112">
        <f>(Table6[[#This Row],[Out of stock Items per restaurant]]/H116)-1</f>
        <v>3.3333333333333437E-2</v>
      </c>
      <c r="J123" s="3">
        <v>18</v>
      </c>
      <c r="K123" s="169">
        <f>(Table6[[#This Row],[Average Packaging charges]]/J116)-1</f>
        <v>5.8823529411764719E-2</v>
      </c>
      <c r="L123" s="3">
        <v>30</v>
      </c>
      <c r="M123" s="112">
        <f>(Table6[[#This Row],[Average Delivery Charges]]/L116)-1</f>
        <v>7.1428571428571397E-2</v>
      </c>
      <c r="N123" s="3">
        <v>378</v>
      </c>
      <c r="O123" s="4">
        <f>(Table6[[#This Row],[Avg Cost for two]]/N116)-1</f>
        <v>-1.3054830287206221E-2</v>
      </c>
      <c r="P123" s="3">
        <v>36</v>
      </c>
      <c r="Q123" s="81">
        <f>(Table6[[#This Row],[Number of images per restaurant]]/P116)-1</f>
        <v>-5.2631578947368474E-2</v>
      </c>
      <c r="R123" s="81">
        <v>0.95</v>
      </c>
      <c r="S123" s="10">
        <f>(Table6[[#This Row],[Success Rate of payments]]/R116)-1</f>
        <v>4.39560439560438E-2</v>
      </c>
      <c r="T123" s="64" t="e">
        <f>VLOOKUP(Table6[[#This Row],[Date]],Table2[#All],1,FALSE)</f>
        <v>#N/A</v>
      </c>
    </row>
    <row r="124" spans="2:20" x14ac:dyDescent="0.3">
      <c r="B124" s="38">
        <v>43588</v>
      </c>
      <c r="C124" s="80">
        <v>43588</v>
      </c>
      <c r="D124" s="3">
        <v>400375</v>
      </c>
      <c r="E124" s="4">
        <f>(Table6[[#This Row],[Count of restaurants]]/D117)-1</f>
        <v>3.1966141973797102E-2</v>
      </c>
      <c r="F124" s="4">
        <v>0.18</v>
      </c>
      <c r="G124" s="112">
        <f>(Table6[[#This Row],[Average Discount]]/F117)-1</f>
        <v>5.8823529411764497E-2</v>
      </c>
      <c r="H124" s="3">
        <v>37</v>
      </c>
      <c r="I124" s="112">
        <f>(Table6[[#This Row],[Out of stock Items per restaurant]]/H117)-1</f>
        <v>-2.6315789473684181E-2</v>
      </c>
      <c r="J124" s="3">
        <v>18</v>
      </c>
      <c r="K124" s="169">
        <f>(Table6[[#This Row],[Average Packaging charges]]/J117)-1</f>
        <v>-5.2631578947368474E-2</v>
      </c>
      <c r="L124" s="3">
        <v>27</v>
      </c>
      <c r="M124" s="112">
        <f>(Table6[[#This Row],[Average Delivery Charges]]/L117)-1</f>
        <v>-9.9999999999999978E-2</v>
      </c>
      <c r="N124" s="3">
        <v>365</v>
      </c>
      <c r="O124" s="4">
        <f>(Table6[[#This Row],[Avg Cost for two]]/N117)-1</f>
        <v>-5.4495912806539204E-3</v>
      </c>
      <c r="P124" s="3">
        <v>37</v>
      </c>
      <c r="Q124" s="81">
        <f>(Table6[[#This Row],[Number of images per restaurant]]/P117)-1</f>
        <v>0.23333333333333339</v>
      </c>
      <c r="R124" s="81">
        <v>0.93</v>
      </c>
      <c r="S124" s="10">
        <f>(Table6[[#This Row],[Success Rate of payments]]/R117)-1</f>
        <v>-1.0638297872340274E-2</v>
      </c>
      <c r="T124" s="64" t="e">
        <f>VLOOKUP(Table6[[#This Row],[Date]],Table2[#All],1,FALSE)</f>
        <v>#N/A</v>
      </c>
    </row>
    <row r="125" spans="2:20" x14ac:dyDescent="0.3">
      <c r="B125" s="38">
        <v>43589</v>
      </c>
      <c r="C125" s="80">
        <v>43589</v>
      </c>
      <c r="D125" s="3">
        <v>400472</v>
      </c>
      <c r="E125" s="4">
        <f>(Table6[[#This Row],[Count of restaurants]]/D118)-1</f>
        <v>3.1987403977230322E-2</v>
      </c>
      <c r="F125" s="4">
        <v>0.19</v>
      </c>
      <c r="G125" s="112">
        <f>(Table6[[#This Row],[Average Discount]]/F118)-1</f>
        <v>0</v>
      </c>
      <c r="H125" s="3">
        <v>39</v>
      </c>
      <c r="I125" s="112">
        <f>(Table6[[#This Row],[Out of stock Items per restaurant]]/H118)-1</f>
        <v>0.25806451612903225</v>
      </c>
      <c r="J125" s="3">
        <v>19</v>
      </c>
      <c r="K125" s="169">
        <f>(Table6[[#This Row],[Average Packaging charges]]/J118)-1</f>
        <v>-5.0000000000000044E-2</v>
      </c>
      <c r="L125" s="3">
        <v>30</v>
      </c>
      <c r="M125" s="112">
        <f>(Table6[[#This Row],[Average Delivery Charges]]/L118)-1</f>
        <v>3.4482758620689724E-2</v>
      </c>
      <c r="N125" s="3">
        <v>370</v>
      </c>
      <c r="O125" s="4">
        <f>(Table6[[#This Row],[Avg Cost for two]]/N118)-1</f>
        <v>1.0928961748633892E-2</v>
      </c>
      <c r="P125" s="3">
        <v>40</v>
      </c>
      <c r="Q125" s="81">
        <f>(Table6[[#This Row],[Number of images per restaurant]]/P118)-1</f>
        <v>0.11111111111111116</v>
      </c>
      <c r="R125" s="81">
        <v>0.94</v>
      </c>
      <c r="S125" s="10">
        <f>(Table6[[#This Row],[Success Rate of payments]]/R118)-1</f>
        <v>0</v>
      </c>
      <c r="T125" s="64" t="e">
        <f>VLOOKUP(Table6[[#This Row],[Date]],Table2[#All],1,FALSE)</f>
        <v>#N/A</v>
      </c>
    </row>
    <row r="126" spans="2:20" x14ac:dyDescent="0.3">
      <c r="B126" s="38">
        <v>43590</v>
      </c>
      <c r="C126" s="80">
        <v>43590</v>
      </c>
      <c r="D126" s="3">
        <v>387617</v>
      </c>
      <c r="E126" s="4">
        <f>(Table6[[#This Row],[Count of restaurants]]/D119)-1</f>
        <v>-1.7581877258879608E-2</v>
      </c>
      <c r="F126" s="4">
        <v>0.18</v>
      </c>
      <c r="G126" s="112">
        <f>(Table6[[#This Row],[Average Discount]]/F119)-1</f>
        <v>0</v>
      </c>
      <c r="H126" s="3">
        <v>34</v>
      </c>
      <c r="I126" s="112">
        <f>(Table6[[#This Row],[Out of stock Items per restaurant]]/H119)-1</f>
        <v>0.1333333333333333</v>
      </c>
      <c r="J126" s="3">
        <v>21</v>
      </c>
      <c r="K126" s="169">
        <f>(Table6[[#This Row],[Average Packaging charges]]/J119)-1</f>
        <v>5.0000000000000044E-2</v>
      </c>
      <c r="L126" s="3">
        <v>28</v>
      </c>
      <c r="M126" s="112">
        <f>(Table6[[#This Row],[Average Delivery Charges]]/L119)-1</f>
        <v>-3.4482758620689613E-2</v>
      </c>
      <c r="N126" s="3">
        <v>397</v>
      </c>
      <c r="O126" s="4">
        <f>(Table6[[#This Row],[Avg Cost for two]]/N119)-1</f>
        <v>2.0565552699228773E-2</v>
      </c>
      <c r="P126" s="3">
        <v>36</v>
      </c>
      <c r="Q126" s="81">
        <f>(Table6[[#This Row],[Number of images per restaurant]]/P119)-1</f>
        <v>0.16129032258064524</v>
      </c>
      <c r="R126" s="81">
        <v>0.93</v>
      </c>
      <c r="S126" s="10">
        <f>(Table6[[#This Row],[Success Rate of payments]]/R119)-1</f>
        <v>0</v>
      </c>
      <c r="T126" s="64" t="e">
        <f>VLOOKUP(Table6[[#This Row],[Date]],Table2[#All],1,FALSE)</f>
        <v>#N/A</v>
      </c>
    </row>
    <row r="127" spans="2:20" x14ac:dyDescent="0.3">
      <c r="B127" s="38">
        <v>43591</v>
      </c>
      <c r="C127" s="80">
        <v>43591</v>
      </c>
      <c r="D127" s="3">
        <v>388170</v>
      </c>
      <c r="E127" s="4">
        <f>(Table6[[#This Row],[Count of restaurants]]/D120)-1</f>
        <v>-1.9138635077221688E-2</v>
      </c>
      <c r="F127" s="4">
        <v>0.18</v>
      </c>
      <c r="G127" s="112">
        <f>(Table6[[#This Row],[Average Discount]]/F120)-1</f>
        <v>0</v>
      </c>
      <c r="H127" s="3">
        <v>32</v>
      </c>
      <c r="I127" s="112">
        <f>(Table6[[#This Row],[Out of stock Items per restaurant]]/H120)-1</f>
        <v>-0.15789473684210531</v>
      </c>
      <c r="J127" s="3">
        <v>18</v>
      </c>
      <c r="K127" s="169">
        <f>(Table6[[#This Row],[Average Packaging charges]]/J120)-1</f>
        <v>-9.9999999999999978E-2</v>
      </c>
      <c r="L127" s="3">
        <v>29</v>
      </c>
      <c r="M127" s="112">
        <f>(Table6[[#This Row],[Average Delivery Charges]]/L120)-1</f>
        <v>7.4074074074074181E-2</v>
      </c>
      <c r="N127" s="3">
        <v>359</v>
      </c>
      <c r="O127" s="4">
        <f>(Table6[[#This Row],[Avg Cost for two]]/N120)-1</f>
        <v>-1.9125683060109311E-2</v>
      </c>
      <c r="P127" s="3">
        <v>35</v>
      </c>
      <c r="Q127" s="81">
        <f>(Table6[[#This Row],[Number of images per restaurant]]/P120)-1</f>
        <v>0.12903225806451624</v>
      </c>
      <c r="R127" s="81">
        <v>0.93</v>
      </c>
      <c r="S127" s="10">
        <f>(Table6[[#This Row],[Success Rate of payments]]/R120)-1</f>
        <v>2.19780219780219E-2</v>
      </c>
      <c r="T127" s="64" t="e">
        <f>VLOOKUP(Table6[[#This Row],[Date]],Table2[#All],1,FALSE)</f>
        <v>#N/A</v>
      </c>
    </row>
    <row r="128" spans="2:20" x14ac:dyDescent="0.3">
      <c r="B128" s="38">
        <v>43592</v>
      </c>
      <c r="C128" s="80">
        <v>43592</v>
      </c>
      <c r="D128" s="3">
        <v>404780</v>
      </c>
      <c r="E128" s="4">
        <f>(Table6[[#This Row],[Count of restaurants]]/D121)-1</f>
        <v>-9.6749034977738901E-4</v>
      </c>
      <c r="F128" s="4">
        <v>0.18</v>
      </c>
      <c r="G128" s="112">
        <f>(Table6[[#This Row],[Average Discount]]/F121)-1</f>
        <v>5.8823529411764497E-2</v>
      </c>
      <c r="H128" s="3">
        <v>37</v>
      </c>
      <c r="I128" s="112">
        <f>(Table6[[#This Row],[Out of stock Items per restaurant]]/H121)-1</f>
        <v>0.1212121212121211</v>
      </c>
      <c r="J128" s="3">
        <v>22</v>
      </c>
      <c r="K128" s="169">
        <f>(Table6[[#This Row],[Average Packaging charges]]/J121)-1</f>
        <v>0.15789473684210531</v>
      </c>
      <c r="L128" s="3">
        <v>29</v>
      </c>
      <c r="M128" s="112">
        <f>(Table6[[#This Row],[Average Delivery Charges]]/L121)-1</f>
        <v>7.4074074074074181E-2</v>
      </c>
      <c r="N128" s="3">
        <v>360</v>
      </c>
      <c r="O128" s="4">
        <f>(Table6[[#This Row],[Avg Cost for two]]/N121)-1</f>
        <v>-5.2631578947368474E-2</v>
      </c>
      <c r="P128" s="3">
        <v>31</v>
      </c>
      <c r="Q128" s="81">
        <f>(Table6[[#This Row],[Number of images per restaurant]]/P121)-1</f>
        <v>-8.8235294117647078E-2</v>
      </c>
      <c r="R128" s="81">
        <v>0.95</v>
      </c>
      <c r="S128" s="10">
        <f>(Table6[[#This Row],[Success Rate of payments]]/R121)-1</f>
        <v>1.0638297872340496E-2</v>
      </c>
      <c r="T128" s="64" t="e">
        <f>VLOOKUP(Table6[[#This Row],[Date]],Table2[#All],1,FALSE)</f>
        <v>#N/A</v>
      </c>
    </row>
    <row r="129" spans="2:20" x14ac:dyDescent="0.3">
      <c r="B129" s="38">
        <v>43593</v>
      </c>
      <c r="C129" s="80">
        <v>43593</v>
      </c>
      <c r="D129" s="3">
        <v>384639</v>
      </c>
      <c r="E129" s="4">
        <f>(Table6[[#This Row],[Count of restaurants]]/D122)-1</f>
        <v>-6.2439214634800289E-2</v>
      </c>
      <c r="F129" s="4">
        <v>0.17</v>
      </c>
      <c r="G129" s="112">
        <f>(Table6[[#This Row],[Average Discount]]/F122)-1</f>
        <v>-5.5555555555555469E-2</v>
      </c>
      <c r="H129" s="3">
        <v>35</v>
      </c>
      <c r="I129" s="112">
        <f>(Table6[[#This Row],[Out of stock Items per restaurant]]/H122)-1</f>
        <v>-0.125</v>
      </c>
      <c r="J129" s="3">
        <v>20</v>
      </c>
      <c r="K129" s="169">
        <f>(Table6[[#This Row],[Average Packaging charges]]/J122)-1</f>
        <v>0.11111111111111116</v>
      </c>
      <c r="L129" s="3">
        <v>29</v>
      </c>
      <c r="M129" s="112">
        <f>(Table6[[#This Row],[Average Delivery Charges]]/L122)-1</f>
        <v>7.4074074074074181E-2</v>
      </c>
      <c r="N129" s="3">
        <v>390</v>
      </c>
      <c r="O129" s="4">
        <f>(Table6[[#This Row],[Avg Cost for two]]/N122)-1</f>
        <v>3.1746031746031855E-2</v>
      </c>
      <c r="P129" s="3">
        <v>38</v>
      </c>
      <c r="Q129" s="81">
        <f>(Table6[[#This Row],[Number of images per restaurant]]/P122)-1</f>
        <v>8.5714285714285632E-2</v>
      </c>
      <c r="R129" s="81">
        <v>0.91</v>
      </c>
      <c r="S129" s="10">
        <f>(Table6[[#This Row],[Success Rate of payments]]/R122)-1</f>
        <v>-3.1914893617021156E-2</v>
      </c>
      <c r="T129" s="64" t="e">
        <f>VLOOKUP(Table6[[#This Row],[Date]],Table2[#All],1,FALSE)</f>
        <v>#N/A</v>
      </c>
    </row>
    <row r="130" spans="2:20" x14ac:dyDescent="0.3">
      <c r="B130" s="38">
        <v>43594</v>
      </c>
      <c r="C130" s="80">
        <v>43594</v>
      </c>
      <c r="D130" s="3">
        <v>403290</v>
      </c>
      <c r="E130" s="4">
        <f>(Table6[[#This Row],[Count of restaurants]]/D123)-1</f>
        <v>3.3200027668824683E-2</v>
      </c>
      <c r="F130" s="4">
        <v>0.18</v>
      </c>
      <c r="G130" s="112">
        <f>(Table6[[#This Row],[Average Discount]]/F123)-1</f>
        <v>-5.2631578947368474E-2</v>
      </c>
      <c r="H130" s="3">
        <v>32</v>
      </c>
      <c r="I130" s="112">
        <f>(Table6[[#This Row],[Out of stock Items per restaurant]]/H123)-1</f>
        <v>3.2258064516129004E-2</v>
      </c>
      <c r="J130" s="3">
        <v>19</v>
      </c>
      <c r="K130" s="169">
        <f>(Table6[[#This Row],[Average Packaging charges]]/J123)-1</f>
        <v>5.555555555555558E-2</v>
      </c>
      <c r="L130" s="3">
        <v>26</v>
      </c>
      <c r="M130" s="112">
        <f>(Table6[[#This Row],[Average Delivery Charges]]/L123)-1</f>
        <v>-0.1333333333333333</v>
      </c>
      <c r="N130" s="3">
        <v>385</v>
      </c>
      <c r="O130" s="4">
        <f>(Table6[[#This Row],[Avg Cost for two]]/N123)-1</f>
        <v>1.8518518518518601E-2</v>
      </c>
      <c r="P130" s="3">
        <v>40</v>
      </c>
      <c r="Q130" s="81">
        <f>(Table6[[#This Row],[Number of images per restaurant]]/P123)-1</f>
        <v>0.11111111111111116</v>
      </c>
      <c r="R130" s="81">
        <v>0.95</v>
      </c>
      <c r="S130" s="10">
        <f>(Table6[[#This Row],[Success Rate of payments]]/R123)-1</f>
        <v>0</v>
      </c>
      <c r="T130" s="64" t="e">
        <f>VLOOKUP(Table6[[#This Row],[Date]],Table2[#All],1,FALSE)</f>
        <v>#N/A</v>
      </c>
    </row>
    <row r="131" spans="2:20" x14ac:dyDescent="0.3">
      <c r="B131" s="38">
        <v>43595</v>
      </c>
      <c r="C131" s="80">
        <v>43595</v>
      </c>
      <c r="D131" s="3">
        <v>406517</v>
      </c>
      <c r="E131" s="4">
        <f>(Table6[[#This Row],[Count of restaurants]]/D124)-1</f>
        <v>1.534061817046517E-2</v>
      </c>
      <c r="F131" s="4">
        <v>0.19</v>
      </c>
      <c r="G131" s="112">
        <f>(Table6[[#This Row],[Average Discount]]/F124)-1</f>
        <v>5.555555555555558E-2</v>
      </c>
      <c r="H131" s="3">
        <v>40</v>
      </c>
      <c r="I131" s="112">
        <f>(Table6[[#This Row],[Out of stock Items per restaurant]]/H124)-1</f>
        <v>8.1081081081081141E-2</v>
      </c>
      <c r="J131" s="3">
        <v>21</v>
      </c>
      <c r="K131" s="169">
        <f>(Table6[[#This Row],[Average Packaging charges]]/J124)-1</f>
        <v>0.16666666666666674</v>
      </c>
      <c r="L131" s="3">
        <v>25</v>
      </c>
      <c r="M131" s="112">
        <f>(Table6[[#This Row],[Average Delivery Charges]]/L124)-1</f>
        <v>-7.407407407407407E-2</v>
      </c>
      <c r="N131" s="3">
        <v>377</v>
      </c>
      <c r="O131" s="4">
        <f>(Table6[[#This Row],[Avg Cost for two]]/N124)-1</f>
        <v>3.287671232876721E-2</v>
      </c>
      <c r="P131" s="3">
        <v>39</v>
      </c>
      <c r="Q131" s="81">
        <f>(Table6[[#This Row],[Number of images per restaurant]]/P124)-1</f>
        <v>5.4054054054053946E-2</v>
      </c>
      <c r="R131" s="81">
        <v>0.92</v>
      </c>
      <c r="S131" s="10">
        <f>(Table6[[#This Row],[Success Rate of payments]]/R124)-1</f>
        <v>-1.0752688172043001E-2</v>
      </c>
      <c r="T131" s="64" t="e">
        <f>VLOOKUP(Table6[[#This Row],[Date]],Table2[#All],1,FALSE)</f>
        <v>#N/A</v>
      </c>
    </row>
    <row r="132" spans="2:20" x14ac:dyDescent="0.3">
      <c r="B132" s="38">
        <v>43596</v>
      </c>
      <c r="C132" s="80">
        <v>43596</v>
      </c>
      <c r="D132" s="3">
        <v>398563</v>
      </c>
      <c r="E132" s="4">
        <f>(Table6[[#This Row],[Count of restaurants]]/D125)-1</f>
        <v>-4.7668750873969268E-3</v>
      </c>
      <c r="F132" s="4">
        <v>0.17</v>
      </c>
      <c r="G132" s="112">
        <f>(Table6[[#This Row],[Average Discount]]/F125)-1</f>
        <v>-0.10526315789473684</v>
      </c>
      <c r="H132" s="3">
        <v>39</v>
      </c>
      <c r="I132" s="112">
        <f>(Table6[[#This Row],[Out of stock Items per restaurant]]/H125)-1</f>
        <v>0</v>
      </c>
      <c r="J132" s="3">
        <v>17</v>
      </c>
      <c r="K132" s="169">
        <f>(Table6[[#This Row],[Average Packaging charges]]/J125)-1</f>
        <v>-0.10526315789473684</v>
      </c>
      <c r="L132" s="3">
        <v>28</v>
      </c>
      <c r="M132" s="112">
        <f>(Table6[[#This Row],[Average Delivery Charges]]/L125)-1</f>
        <v>-6.6666666666666652E-2</v>
      </c>
      <c r="N132" s="3">
        <v>367</v>
      </c>
      <c r="O132" s="4">
        <f>(Table6[[#This Row],[Avg Cost for two]]/N125)-1</f>
        <v>-8.1081081081081363E-3</v>
      </c>
      <c r="P132" s="3">
        <v>33</v>
      </c>
      <c r="Q132" s="81">
        <f>(Table6[[#This Row],[Number of images per restaurant]]/P125)-1</f>
        <v>-0.17500000000000004</v>
      </c>
      <c r="R132" s="81">
        <v>0.91</v>
      </c>
      <c r="S132" s="10">
        <f>(Table6[[#This Row],[Success Rate of payments]]/R125)-1</f>
        <v>-3.1914893617021156E-2</v>
      </c>
      <c r="T132" s="64" t="e">
        <f>VLOOKUP(Table6[[#This Row],[Date]],Table2[#All],1,FALSE)</f>
        <v>#N/A</v>
      </c>
    </row>
    <row r="133" spans="2:20" x14ac:dyDescent="0.3">
      <c r="B133" s="38">
        <v>43597</v>
      </c>
      <c r="C133" s="80">
        <v>43597</v>
      </c>
      <c r="D133" s="3">
        <v>398790</v>
      </c>
      <c r="E133" s="4">
        <f>(Table6[[#This Row],[Count of restaurants]]/D126)-1</f>
        <v>2.8824845143530897E-2</v>
      </c>
      <c r="F133" s="4">
        <v>0.17</v>
      </c>
      <c r="G133" s="112">
        <f>(Table6[[#This Row],[Average Discount]]/F126)-1</f>
        <v>-5.5555555555555469E-2</v>
      </c>
      <c r="H133" s="3">
        <v>34</v>
      </c>
      <c r="I133" s="112">
        <f>(Table6[[#This Row],[Out of stock Items per restaurant]]/H126)-1</f>
        <v>0</v>
      </c>
      <c r="J133" s="3">
        <v>22</v>
      </c>
      <c r="K133" s="169">
        <f>(Table6[[#This Row],[Average Packaging charges]]/J126)-1</f>
        <v>4.7619047619047672E-2</v>
      </c>
      <c r="L133" s="3">
        <v>27</v>
      </c>
      <c r="M133" s="112">
        <f>(Table6[[#This Row],[Average Delivery Charges]]/L126)-1</f>
        <v>-3.5714285714285698E-2</v>
      </c>
      <c r="N133" s="3">
        <v>350</v>
      </c>
      <c r="O133" s="4">
        <f>(Table6[[#This Row],[Avg Cost for two]]/N126)-1</f>
        <v>-0.11838790931989929</v>
      </c>
      <c r="P133" s="3">
        <v>30</v>
      </c>
      <c r="Q133" s="81">
        <f>(Table6[[#This Row],[Number of images per restaurant]]/P126)-1</f>
        <v>-0.16666666666666663</v>
      </c>
      <c r="R133" s="81">
        <v>0.94</v>
      </c>
      <c r="S133" s="10">
        <f>(Table6[[#This Row],[Success Rate of payments]]/R126)-1</f>
        <v>1.0752688172043001E-2</v>
      </c>
      <c r="T133" s="64" t="e">
        <f>VLOOKUP(Table6[[#This Row],[Date]],Table2[#All],1,FALSE)</f>
        <v>#N/A</v>
      </c>
    </row>
    <row r="134" spans="2:20" x14ac:dyDescent="0.3">
      <c r="B134" s="38">
        <v>43598</v>
      </c>
      <c r="C134" s="80">
        <v>43598</v>
      </c>
      <c r="D134" s="3">
        <v>385035</v>
      </c>
      <c r="E134" s="4">
        <f>(Table6[[#This Row],[Count of restaurants]]/D127)-1</f>
        <v>-8.0763582966225655E-3</v>
      </c>
      <c r="F134" s="4">
        <v>0.17</v>
      </c>
      <c r="G134" s="112">
        <f>(Table6[[#This Row],[Average Discount]]/F127)-1</f>
        <v>-5.5555555555555469E-2</v>
      </c>
      <c r="H134" s="3">
        <v>37</v>
      </c>
      <c r="I134" s="112">
        <f>(Table6[[#This Row],[Out of stock Items per restaurant]]/H127)-1</f>
        <v>0.15625</v>
      </c>
      <c r="J134" s="3">
        <v>19</v>
      </c>
      <c r="K134" s="169">
        <f>(Table6[[#This Row],[Average Packaging charges]]/J127)-1</f>
        <v>5.555555555555558E-2</v>
      </c>
      <c r="L134" s="3">
        <v>25</v>
      </c>
      <c r="M134" s="112">
        <f>(Table6[[#This Row],[Average Delivery Charges]]/L127)-1</f>
        <v>-0.13793103448275867</v>
      </c>
      <c r="N134" s="3">
        <v>395</v>
      </c>
      <c r="O134" s="4">
        <f>(Table6[[#This Row],[Avg Cost for two]]/N127)-1</f>
        <v>0.10027855153203347</v>
      </c>
      <c r="P134" s="3">
        <v>33</v>
      </c>
      <c r="Q134" s="81">
        <f>(Table6[[#This Row],[Number of images per restaurant]]/P127)-1</f>
        <v>-5.7142857142857162E-2</v>
      </c>
      <c r="R134" s="81">
        <v>0.93</v>
      </c>
      <c r="S134" s="10">
        <f>(Table6[[#This Row],[Success Rate of payments]]/R127)-1</f>
        <v>0</v>
      </c>
      <c r="T134" s="64" t="e">
        <f>VLOOKUP(Table6[[#This Row],[Date]],Table2[#All],1,FALSE)</f>
        <v>#N/A</v>
      </c>
    </row>
    <row r="135" spans="2:20" x14ac:dyDescent="0.3">
      <c r="B135" s="38">
        <v>43599</v>
      </c>
      <c r="C135" s="80">
        <v>43599</v>
      </c>
      <c r="D135" s="3">
        <v>387454</v>
      </c>
      <c r="E135" s="4">
        <f>(Table6[[#This Row],[Count of restaurants]]/D128)-1</f>
        <v>-4.280349819655116E-2</v>
      </c>
      <c r="F135" s="4">
        <v>0.17</v>
      </c>
      <c r="G135" s="112">
        <f>(Table6[[#This Row],[Average Discount]]/F128)-1</f>
        <v>-5.5555555555555469E-2</v>
      </c>
      <c r="H135" s="3">
        <v>35</v>
      </c>
      <c r="I135" s="112">
        <f>(Table6[[#This Row],[Out of stock Items per restaurant]]/H128)-1</f>
        <v>-5.4054054054054057E-2</v>
      </c>
      <c r="J135" s="3">
        <v>20</v>
      </c>
      <c r="K135" s="169">
        <f>(Table6[[#This Row],[Average Packaging charges]]/J128)-1</f>
        <v>-9.0909090909090939E-2</v>
      </c>
      <c r="L135" s="3">
        <v>27</v>
      </c>
      <c r="M135" s="112">
        <f>(Table6[[#This Row],[Average Delivery Charges]]/L128)-1</f>
        <v>-6.8965517241379337E-2</v>
      </c>
      <c r="N135" s="3">
        <v>389</v>
      </c>
      <c r="O135" s="4">
        <f>(Table6[[#This Row],[Avg Cost for two]]/N128)-1</f>
        <v>8.0555555555555491E-2</v>
      </c>
      <c r="P135" s="3">
        <v>35</v>
      </c>
      <c r="Q135" s="81">
        <f>(Table6[[#This Row],[Number of images per restaurant]]/P128)-1</f>
        <v>0.12903225806451624</v>
      </c>
      <c r="R135" s="81">
        <v>0.91</v>
      </c>
      <c r="S135" s="10">
        <f>(Table6[[#This Row],[Success Rate of payments]]/R128)-1</f>
        <v>-4.2105263157894646E-2</v>
      </c>
      <c r="T135" s="64" t="e">
        <f>VLOOKUP(Table6[[#This Row],[Date]],Table2[#All],1,FALSE)</f>
        <v>#N/A</v>
      </c>
    </row>
    <row r="136" spans="2:20" x14ac:dyDescent="0.3">
      <c r="B136" s="38">
        <v>43600</v>
      </c>
      <c r="C136" s="80">
        <v>43600</v>
      </c>
      <c r="D136" s="3">
        <v>381343</v>
      </c>
      <c r="E136" s="4">
        <f>(Table6[[#This Row],[Count of restaurants]]/D129)-1</f>
        <v>-8.5690738588650728E-3</v>
      </c>
      <c r="F136" s="4">
        <v>0.17</v>
      </c>
      <c r="G136" s="112">
        <f>(Table6[[#This Row],[Average Discount]]/F129)-1</f>
        <v>0</v>
      </c>
      <c r="H136" s="3">
        <v>37</v>
      </c>
      <c r="I136" s="112">
        <f>(Table6[[#This Row],[Out of stock Items per restaurant]]/H129)-1</f>
        <v>5.7142857142857162E-2</v>
      </c>
      <c r="J136" s="3">
        <v>20</v>
      </c>
      <c r="K136" s="169">
        <f>(Table6[[#This Row],[Average Packaging charges]]/J129)-1</f>
        <v>0</v>
      </c>
      <c r="L136" s="3">
        <v>29</v>
      </c>
      <c r="M136" s="112">
        <f>(Table6[[#This Row],[Average Delivery Charges]]/L129)-1</f>
        <v>0</v>
      </c>
      <c r="N136" s="3">
        <v>399</v>
      </c>
      <c r="O136" s="4">
        <f>(Table6[[#This Row],[Avg Cost for two]]/N129)-1</f>
        <v>2.3076923076922995E-2</v>
      </c>
      <c r="P136" s="3">
        <v>36</v>
      </c>
      <c r="Q136" s="81">
        <f>(Table6[[#This Row],[Number of images per restaurant]]/P129)-1</f>
        <v>-5.2631578947368474E-2</v>
      </c>
      <c r="R136" s="81">
        <v>0.95</v>
      </c>
      <c r="S136" s="10">
        <f>(Table6[[#This Row],[Success Rate of payments]]/R129)-1</f>
        <v>4.39560439560438E-2</v>
      </c>
      <c r="T136" s="64" t="e">
        <f>VLOOKUP(Table6[[#This Row],[Date]],Table2[#All],1,FALSE)</f>
        <v>#N/A</v>
      </c>
    </row>
    <row r="137" spans="2:20" x14ac:dyDescent="0.3">
      <c r="B137" s="38">
        <v>43601</v>
      </c>
      <c r="C137" s="80">
        <v>43601</v>
      </c>
      <c r="D137" s="3">
        <v>382648</v>
      </c>
      <c r="E137" s="4">
        <f>(Table6[[#This Row],[Count of restaurants]]/D130)-1</f>
        <v>-5.1184011505368332E-2</v>
      </c>
      <c r="F137" s="4">
        <v>0.17</v>
      </c>
      <c r="G137" s="112">
        <f>(Table6[[#This Row],[Average Discount]]/F130)-1</f>
        <v>-5.5555555555555469E-2</v>
      </c>
      <c r="H137" s="3">
        <v>37</v>
      </c>
      <c r="I137" s="112">
        <f>(Table6[[#This Row],[Out of stock Items per restaurant]]/H130)-1</f>
        <v>0.15625</v>
      </c>
      <c r="J137" s="3">
        <v>22</v>
      </c>
      <c r="K137" s="169">
        <f>(Table6[[#This Row],[Average Packaging charges]]/J130)-1</f>
        <v>0.15789473684210531</v>
      </c>
      <c r="L137" s="3">
        <v>26</v>
      </c>
      <c r="M137" s="112">
        <f>(Table6[[#This Row],[Average Delivery Charges]]/L130)-1</f>
        <v>0</v>
      </c>
      <c r="N137" s="3">
        <v>390</v>
      </c>
      <c r="O137" s="4">
        <f>(Table6[[#This Row],[Avg Cost for two]]/N130)-1</f>
        <v>1.298701298701288E-2</v>
      </c>
      <c r="P137" s="3">
        <v>39</v>
      </c>
      <c r="Q137" s="81">
        <f>(Table6[[#This Row],[Number of images per restaurant]]/P130)-1</f>
        <v>-2.5000000000000022E-2</v>
      </c>
      <c r="R137" s="81">
        <v>0.93</v>
      </c>
      <c r="S137" s="10">
        <f>(Table6[[#This Row],[Success Rate of payments]]/R130)-1</f>
        <v>-2.1052631578947323E-2</v>
      </c>
      <c r="T137" s="64" t="e">
        <f>VLOOKUP(Table6[[#This Row],[Date]],Table2[#All],1,FALSE)</f>
        <v>#N/A</v>
      </c>
    </row>
    <row r="138" spans="2:20" x14ac:dyDescent="0.3">
      <c r="B138" s="38">
        <v>43602</v>
      </c>
      <c r="C138" s="80">
        <v>43602</v>
      </c>
      <c r="D138" s="3">
        <v>391140</v>
      </c>
      <c r="E138" s="4">
        <f>(Table6[[#This Row],[Count of restaurants]]/D131)-1</f>
        <v>-3.7826216369795107E-2</v>
      </c>
      <c r="F138" s="4">
        <v>0.18</v>
      </c>
      <c r="G138" s="112">
        <f>(Table6[[#This Row],[Average Discount]]/F131)-1</f>
        <v>-5.2631578947368474E-2</v>
      </c>
      <c r="H138" s="3">
        <v>32</v>
      </c>
      <c r="I138" s="112">
        <f>(Table6[[#This Row],[Out of stock Items per restaurant]]/H131)-1</f>
        <v>-0.19999999999999996</v>
      </c>
      <c r="J138" s="3">
        <v>17</v>
      </c>
      <c r="K138" s="169">
        <f>(Table6[[#This Row],[Average Packaging charges]]/J131)-1</f>
        <v>-0.19047619047619047</v>
      </c>
      <c r="L138" s="3">
        <v>25</v>
      </c>
      <c r="M138" s="112">
        <f>(Table6[[#This Row],[Average Delivery Charges]]/L131)-1</f>
        <v>0</v>
      </c>
      <c r="N138" s="3">
        <v>378</v>
      </c>
      <c r="O138" s="4">
        <f>(Table6[[#This Row],[Avg Cost for two]]/N131)-1</f>
        <v>2.6525198938991412E-3</v>
      </c>
      <c r="P138" s="3">
        <v>35</v>
      </c>
      <c r="Q138" s="81">
        <f>(Table6[[#This Row],[Number of images per restaurant]]/P131)-1</f>
        <v>-0.10256410256410253</v>
      </c>
      <c r="R138" s="81">
        <v>0.91</v>
      </c>
      <c r="S138" s="10">
        <f>(Table6[[#This Row],[Success Rate of payments]]/R131)-1</f>
        <v>-1.0869565217391353E-2</v>
      </c>
      <c r="T138" s="64" t="e">
        <f>VLOOKUP(Table6[[#This Row],[Date]],Table2[#All],1,FALSE)</f>
        <v>#N/A</v>
      </c>
    </row>
    <row r="139" spans="2:20" x14ac:dyDescent="0.3">
      <c r="B139" s="38">
        <v>43603</v>
      </c>
      <c r="C139" s="80">
        <v>43603</v>
      </c>
      <c r="D139" s="3">
        <v>389840</v>
      </c>
      <c r="E139" s="4">
        <f>(Table6[[#This Row],[Count of restaurants]]/D132)-1</f>
        <v>-2.1886125907322085E-2</v>
      </c>
      <c r="F139" s="4">
        <v>0.17</v>
      </c>
      <c r="G139" s="112">
        <f>(Table6[[#This Row],[Average Discount]]/F132)-1</f>
        <v>0</v>
      </c>
      <c r="H139" s="3">
        <v>35</v>
      </c>
      <c r="I139" s="112">
        <f>(Table6[[#This Row],[Out of stock Items per restaurant]]/H132)-1</f>
        <v>-0.10256410256410253</v>
      </c>
      <c r="J139" s="3">
        <v>22</v>
      </c>
      <c r="K139" s="169">
        <f>(Table6[[#This Row],[Average Packaging charges]]/J132)-1</f>
        <v>0.29411764705882359</v>
      </c>
      <c r="L139" s="3">
        <v>26</v>
      </c>
      <c r="M139" s="112">
        <f>(Table6[[#This Row],[Average Delivery Charges]]/L132)-1</f>
        <v>-7.1428571428571397E-2</v>
      </c>
      <c r="N139" s="3">
        <v>377</v>
      </c>
      <c r="O139" s="4">
        <f>(Table6[[#This Row],[Avg Cost for two]]/N132)-1</f>
        <v>2.7247956403269713E-2</v>
      </c>
      <c r="P139" s="3">
        <v>35</v>
      </c>
      <c r="Q139" s="81">
        <f>(Table6[[#This Row],[Number of images per restaurant]]/P132)-1</f>
        <v>6.0606060606060552E-2</v>
      </c>
      <c r="R139" s="81">
        <v>0.93</v>
      </c>
      <c r="S139" s="10">
        <f>(Table6[[#This Row],[Success Rate of payments]]/R132)-1</f>
        <v>2.19780219780219E-2</v>
      </c>
      <c r="T139" s="64" t="e">
        <f>VLOOKUP(Table6[[#This Row],[Date]],Table2[#All],1,FALSE)</f>
        <v>#N/A</v>
      </c>
    </row>
    <row r="140" spans="2:20" x14ac:dyDescent="0.3">
      <c r="B140" s="38">
        <v>43604</v>
      </c>
      <c r="C140" s="80">
        <v>43604</v>
      </c>
      <c r="D140" s="3">
        <v>397741</v>
      </c>
      <c r="E140" s="4">
        <f>(Table6[[#This Row],[Count of restaurants]]/D133)-1</f>
        <v>-2.6304571328268356E-3</v>
      </c>
      <c r="F140" s="4">
        <v>0.19</v>
      </c>
      <c r="G140" s="112">
        <f>(Table6[[#This Row],[Average Discount]]/F133)-1</f>
        <v>0.11764705882352944</v>
      </c>
      <c r="H140" s="3">
        <v>31</v>
      </c>
      <c r="I140" s="112">
        <f>(Table6[[#This Row],[Out of stock Items per restaurant]]/H133)-1</f>
        <v>-8.8235294117647078E-2</v>
      </c>
      <c r="J140" s="3">
        <v>20</v>
      </c>
      <c r="K140" s="169">
        <f>(Table6[[#This Row],[Average Packaging charges]]/J133)-1</f>
        <v>-9.0909090909090939E-2</v>
      </c>
      <c r="L140" s="3">
        <v>25</v>
      </c>
      <c r="M140" s="112">
        <f>(Table6[[#This Row],[Average Delivery Charges]]/L133)-1</f>
        <v>-7.407407407407407E-2</v>
      </c>
      <c r="N140" s="3">
        <v>398</v>
      </c>
      <c r="O140" s="4">
        <f>(Table6[[#This Row],[Avg Cost for two]]/N133)-1</f>
        <v>0.13714285714285723</v>
      </c>
      <c r="P140" s="3">
        <v>34</v>
      </c>
      <c r="Q140" s="81">
        <f>(Table6[[#This Row],[Number of images per restaurant]]/P133)-1</f>
        <v>0.1333333333333333</v>
      </c>
      <c r="R140" s="81">
        <v>0.92</v>
      </c>
      <c r="S140" s="10">
        <f>(Table6[[#This Row],[Success Rate of payments]]/R133)-1</f>
        <v>-2.1276595744680771E-2</v>
      </c>
      <c r="T140" s="64" t="e">
        <f>VLOOKUP(Table6[[#This Row],[Date]],Table2[#All],1,FALSE)</f>
        <v>#N/A</v>
      </c>
    </row>
    <row r="141" spans="2:20" x14ac:dyDescent="0.3">
      <c r="B141" s="38">
        <v>43605</v>
      </c>
      <c r="C141" s="80">
        <v>43605</v>
      </c>
      <c r="D141" s="3">
        <v>409012</v>
      </c>
      <c r="E141" s="4">
        <f>(Table6[[#This Row],[Count of restaurants]]/D134)-1</f>
        <v>6.2272260963289083E-2</v>
      </c>
      <c r="F141" s="4">
        <v>0.19</v>
      </c>
      <c r="G141" s="112">
        <f>(Table6[[#This Row],[Average Discount]]/F134)-1</f>
        <v>0.11764705882352944</v>
      </c>
      <c r="H141" s="3">
        <v>32</v>
      </c>
      <c r="I141" s="112">
        <f>(Table6[[#This Row],[Out of stock Items per restaurant]]/H134)-1</f>
        <v>-0.13513513513513509</v>
      </c>
      <c r="J141" s="3">
        <v>22</v>
      </c>
      <c r="K141" s="169">
        <f>(Table6[[#This Row],[Average Packaging charges]]/J134)-1</f>
        <v>0.15789473684210531</v>
      </c>
      <c r="L141" s="3">
        <v>25</v>
      </c>
      <c r="M141" s="112">
        <f>(Table6[[#This Row],[Average Delivery Charges]]/L134)-1</f>
        <v>0</v>
      </c>
      <c r="N141" s="3">
        <v>379</v>
      </c>
      <c r="O141" s="4">
        <f>(Table6[[#This Row],[Avg Cost for two]]/N134)-1</f>
        <v>-4.0506329113924044E-2</v>
      </c>
      <c r="P141" s="3">
        <v>35</v>
      </c>
      <c r="Q141" s="81">
        <f>(Table6[[#This Row],[Number of images per restaurant]]/P134)-1</f>
        <v>6.0606060606060552E-2</v>
      </c>
      <c r="R141" s="81">
        <v>0.93</v>
      </c>
      <c r="S141" s="10">
        <f>(Table6[[#This Row],[Success Rate of payments]]/R134)-1</f>
        <v>0</v>
      </c>
      <c r="T141" s="64" t="e">
        <f>VLOOKUP(Table6[[#This Row],[Date]],Table2[#All],1,FALSE)</f>
        <v>#N/A</v>
      </c>
    </row>
    <row r="142" spans="2:20" x14ac:dyDescent="0.3">
      <c r="B142" s="38">
        <v>43606</v>
      </c>
      <c r="C142" s="80">
        <v>43606</v>
      </c>
      <c r="D142" s="3">
        <v>397624</v>
      </c>
      <c r="E142" s="4">
        <f>(Table6[[#This Row],[Count of restaurants]]/D135)-1</f>
        <v>2.6248277214843574E-2</v>
      </c>
      <c r="F142" s="4">
        <v>0.18</v>
      </c>
      <c r="G142" s="112">
        <f>(Table6[[#This Row],[Average Discount]]/F135)-1</f>
        <v>5.8823529411764497E-2</v>
      </c>
      <c r="H142" s="3">
        <v>35</v>
      </c>
      <c r="I142" s="112">
        <f>(Table6[[#This Row],[Out of stock Items per restaurant]]/H135)-1</f>
        <v>0</v>
      </c>
      <c r="J142" s="3">
        <v>21</v>
      </c>
      <c r="K142" s="169">
        <f>(Table6[[#This Row],[Average Packaging charges]]/J135)-1</f>
        <v>5.0000000000000044E-2</v>
      </c>
      <c r="L142" s="3">
        <v>25</v>
      </c>
      <c r="M142" s="112">
        <f>(Table6[[#This Row],[Average Delivery Charges]]/L135)-1</f>
        <v>-7.407407407407407E-2</v>
      </c>
      <c r="N142" s="3">
        <v>380</v>
      </c>
      <c r="O142" s="4">
        <f>(Table6[[#This Row],[Avg Cost for two]]/N135)-1</f>
        <v>-2.3136246786632397E-2</v>
      </c>
      <c r="P142" s="3">
        <v>37</v>
      </c>
      <c r="Q142" s="81">
        <f>(Table6[[#This Row],[Number of images per restaurant]]/P135)-1</f>
        <v>5.7142857142857162E-2</v>
      </c>
      <c r="R142" s="81">
        <v>0.94</v>
      </c>
      <c r="S142" s="10">
        <f>(Table6[[#This Row],[Success Rate of payments]]/R135)-1</f>
        <v>3.296703296703285E-2</v>
      </c>
      <c r="T142" s="64" t="e">
        <f>VLOOKUP(Table6[[#This Row],[Date]],Table2[#All],1,FALSE)</f>
        <v>#N/A</v>
      </c>
    </row>
    <row r="143" spans="2:20" x14ac:dyDescent="0.3">
      <c r="B143" s="38">
        <v>43607</v>
      </c>
      <c r="C143" s="80">
        <v>43607</v>
      </c>
      <c r="D143" s="3">
        <v>387088</v>
      </c>
      <c r="E143" s="4">
        <f>(Table6[[#This Row],[Count of restaurants]]/D136)-1</f>
        <v>1.5065177543576169E-2</v>
      </c>
      <c r="F143" s="4">
        <v>0.18</v>
      </c>
      <c r="G143" s="112">
        <f>(Table6[[#This Row],[Average Discount]]/F136)-1</f>
        <v>5.8823529411764497E-2</v>
      </c>
      <c r="H143" s="3">
        <v>35</v>
      </c>
      <c r="I143" s="112">
        <f>(Table6[[#This Row],[Out of stock Items per restaurant]]/H136)-1</f>
        <v>-5.4054054054054057E-2</v>
      </c>
      <c r="J143" s="3">
        <v>17</v>
      </c>
      <c r="K143" s="169">
        <f>(Table6[[#This Row],[Average Packaging charges]]/J136)-1</f>
        <v>-0.15000000000000002</v>
      </c>
      <c r="L143" s="3">
        <v>25</v>
      </c>
      <c r="M143" s="112">
        <f>(Table6[[#This Row],[Average Delivery Charges]]/L136)-1</f>
        <v>-0.13793103448275867</v>
      </c>
      <c r="N143" s="3">
        <v>398</v>
      </c>
      <c r="O143" s="4">
        <f>(Table6[[#This Row],[Avg Cost for two]]/N136)-1</f>
        <v>-2.5062656641604564E-3</v>
      </c>
      <c r="P143" s="3">
        <v>37</v>
      </c>
      <c r="Q143" s="81">
        <f>(Table6[[#This Row],[Number of images per restaurant]]/P136)-1</f>
        <v>2.7777777777777679E-2</v>
      </c>
      <c r="R143" s="81">
        <v>0.94</v>
      </c>
      <c r="S143" s="10">
        <f>(Table6[[#This Row],[Success Rate of payments]]/R136)-1</f>
        <v>-1.0526315789473717E-2</v>
      </c>
      <c r="T143" s="64" t="e">
        <f>VLOOKUP(Table6[[#This Row],[Date]],Table2[#All],1,FALSE)</f>
        <v>#N/A</v>
      </c>
    </row>
    <row r="144" spans="2:20" x14ac:dyDescent="0.3">
      <c r="B144" s="38">
        <v>43608</v>
      </c>
      <c r="C144" s="80">
        <v>43608</v>
      </c>
      <c r="D144" s="3">
        <v>388159</v>
      </c>
      <c r="E144" s="4">
        <f>(Table6[[#This Row],[Count of restaurants]]/D137)-1</f>
        <v>1.4402270494030978E-2</v>
      </c>
      <c r="F144" s="4">
        <v>0.17</v>
      </c>
      <c r="G144" s="112">
        <f>(Table6[[#This Row],[Average Discount]]/F137)-1</f>
        <v>0</v>
      </c>
      <c r="H144" s="3">
        <v>38</v>
      </c>
      <c r="I144" s="112">
        <f>(Table6[[#This Row],[Out of stock Items per restaurant]]/H137)-1</f>
        <v>2.7027027027026973E-2</v>
      </c>
      <c r="J144" s="3">
        <v>22</v>
      </c>
      <c r="K144" s="169">
        <f>(Table6[[#This Row],[Average Packaging charges]]/J137)-1</f>
        <v>0</v>
      </c>
      <c r="L144" s="3">
        <v>26</v>
      </c>
      <c r="M144" s="112">
        <f>(Table6[[#This Row],[Average Delivery Charges]]/L137)-1</f>
        <v>0</v>
      </c>
      <c r="N144" s="3">
        <v>391</v>
      </c>
      <c r="O144" s="4">
        <f>(Table6[[#This Row],[Avg Cost for two]]/N137)-1</f>
        <v>2.564102564102555E-3</v>
      </c>
      <c r="P144" s="3">
        <v>33</v>
      </c>
      <c r="Q144" s="81">
        <f>(Table6[[#This Row],[Number of images per restaurant]]/P137)-1</f>
        <v>-0.15384615384615385</v>
      </c>
      <c r="R144" s="81">
        <v>0.93</v>
      </c>
      <c r="S144" s="10">
        <f>(Table6[[#This Row],[Success Rate of payments]]/R137)-1</f>
        <v>0</v>
      </c>
      <c r="T144" s="64" t="e">
        <f>VLOOKUP(Table6[[#This Row],[Date]],Table2[#All],1,FALSE)</f>
        <v>#N/A</v>
      </c>
    </row>
    <row r="145" spans="2:20" x14ac:dyDescent="0.3">
      <c r="B145" s="38">
        <v>43609</v>
      </c>
      <c r="C145" s="80">
        <v>43609</v>
      </c>
      <c r="D145" s="3">
        <v>403534</v>
      </c>
      <c r="E145" s="4">
        <f>(Table6[[#This Row],[Count of restaurants]]/D138)-1</f>
        <v>3.1686864038451779E-2</v>
      </c>
      <c r="F145" s="4">
        <v>0.17</v>
      </c>
      <c r="G145" s="112">
        <f>(Table6[[#This Row],[Average Discount]]/F138)-1</f>
        <v>-5.5555555555555469E-2</v>
      </c>
      <c r="H145" s="3">
        <v>34</v>
      </c>
      <c r="I145" s="112">
        <f>(Table6[[#This Row],[Out of stock Items per restaurant]]/H138)-1</f>
        <v>6.25E-2</v>
      </c>
      <c r="J145" s="3">
        <v>22</v>
      </c>
      <c r="K145" s="169">
        <f>(Table6[[#This Row],[Average Packaging charges]]/J138)-1</f>
        <v>0.29411764705882359</v>
      </c>
      <c r="L145" s="3">
        <v>26</v>
      </c>
      <c r="M145" s="112">
        <f>(Table6[[#This Row],[Average Delivery Charges]]/L138)-1</f>
        <v>4.0000000000000036E-2</v>
      </c>
      <c r="N145" s="3">
        <v>386</v>
      </c>
      <c r="O145" s="4">
        <f>(Table6[[#This Row],[Avg Cost for two]]/N138)-1</f>
        <v>2.1164021164021163E-2</v>
      </c>
      <c r="P145" s="3">
        <v>35</v>
      </c>
      <c r="Q145" s="81">
        <f>(Table6[[#This Row],[Number of images per restaurant]]/P138)-1</f>
        <v>0</v>
      </c>
      <c r="R145" s="81">
        <v>0.92</v>
      </c>
      <c r="S145" s="10">
        <f>(Table6[[#This Row],[Success Rate of payments]]/R138)-1</f>
        <v>1.098901098901095E-2</v>
      </c>
      <c r="T145" s="64" t="e">
        <f>VLOOKUP(Table6[[#This Row],[Date]],Table2[#All],1,FALSE)</f>
        <v>#N/A</v>
      </c>
    </row>
    <row r="146" spans="2:20" x14ac:dyDescent="0.3">
      <c r="B146" s="38">
        <v>43610</v>
      </c>
      <c r="C146" s="80">
        <v>43610</v>
      </c>
      <c r="D146" s="3">
        <v>398544</v>
      </c>
      <c r="E146" s="4">
        <f>(Table6[[#This Row],[Count of restaurants]]/D139)-1</f>
        <v>2.2327108557356867E-2</v>
      </c>
      <c r="F146" s="4">
        <v>0.19</v>
      </c>
      <c r="G146" s="112">
        <f>(Table6[[#This Row],[Average Discount]]/F139)-1</f>
        <v>0.11764705882352944</v>
      </c>
      <c r="H146" s="3">
        <v>31</v>
      </c>
      <c r="I146" s="112">
        <f>(Table6[[#This Row],[Out of stock Items per restaurant]]/H139)-1</f>
        <v>-0.11428571428571432</v>
      </c>
      <c r="J146" s="3">
        <v>19</v>
      </c>
      <c r="K146" s="169">
        <f>(Table6[[#This Row],[Average Packaging charges]]/J139)-1</f>
        <v>-0.13636363636363635</v>
      </c>
      <c r="L146" s="3">
        <v>30</v>
      </c>
      <c r="M146" s="112">
        <f>(Table6[[#This Row],[Average Delivery Charges]]/L139)-1</f>
        <v>0.15384615384615374</v>
      </c>
      <c r="N146" s="3">
        <v>396</v>
      </c>
      <c r="O146" s="4">
        <f>(Table6[[#This Row],[Avg Cost for two]]/N139)-1</f>
        <v>5.0397877984084793E-2</v>
      </c>
      <c r="P146" s="3">
        <v>37</v>
      </c>
      <c r="Q146" s="81">
        <f>(Table6[[#This Row],[Number of images per restaurant]]/P139)-1</f>
        <v>5.7142857142857162E-2</v>
      </c>
      <c r="R146" s="81">
        <v>0.95</v>
      </c>
      <c r="S146" s="10">
        <f>(Table6[[#This Row],[Success Rate of payments]]/R139)-1</f>
        <v>2.1505376344086002E-2</v>
      </c>
      <c r="T146" s="64" t="e">
        <f>VLOOKUP(Table6[[#This Row],[Date]],Table2[#All],1,FALSE)</f>
        <v>#N/A</v>
      </c>
    </row>
    <row r="147" spans="2:20" x14ac:dyDescent="0.3">
      <c r="B147" s="38">
        <v>43611</v>
      </c>
      <c r="C147" s="80">
        <v>43611</v>
      </c>
      <c r="D147" s="3">
        <v>401029</v>
      </c>
      <c r="E147" s="4">
        <f>(Table6[[#This Row],[Count of restaurants]]/D140)-1</f>
        <v>8.266686109805077E-3</v>
      </c>
      <c r="F147" s="4">
        <v>0.18</v>
      </c>
      <c r="G147" s="112">
        <f>(Table6[[#This Row],[Average Discount]]/F140)-1</f>
        <v>-5.2631578947368474E-2</v>
      </c>
      <c r="H147" s="3">
        <v>35</v>
      </c>
      <c r="I147" s="112">
        <f>(Table6[[#This Row],[Out of stock Items per restaurant]]/H140)-1</f>
        <v>0.12903225806451624</v>
      </c>
      <c r="J147" s="3">
        <v>18</v>
      </c>
      <c r="K147" s="169">
        <f>(Table6[[#This Row],[Average Packaging charges]]/J140)-1</f>
        <v>-9.9999999999999978E-2</v>
      </c>
      <c r="L147" s="3">
        <v>30</v>
      </c>
      <c r="M147" s="112">
        <f>(Table6[[#This Row],[Average Delivery Charges]]/L140)-1</f>
        <v>0.19999999999999996</v>
      </c>
      <c r="N147" s="3">
        <v>354</v>
      </c>
      <c r="O147" s="4">
        <f>(Table6[[#This Row],[Avg Cost for two]]/N140)-1</f>
        <v>-0.11055276381909551</v>
      </c>
      <c r="P147" s="3">
        <v>33</v>
      </c>
      <c r="Q147" s="81">
        <f>(Table6[[#This Row],[Number of images per restaurant]]/P140)-1</f>
        <v>-2.9411764705882359E-2</v>
      </c>
      <c r="R147" s="81">
        <v>0.91</v>
      </c>
      <c r="S147" s="10">
        <f>(Table6[[#This Row],[Success Rate of payments]]/R140)-1</f>
        <v>-1.0869565217391353E-2</v>
      </c>
      <c r="T147" s="64" t="e">
        <f>VLOOKUP(Table6[[#This Row],[Date]],Table2[#All],1,FALSE)</f>
        <v>#N/A</v>
      </c>
    </row>
    <row r="148" spans="2:20" x14ac:dyDescent="0.3">
      <c r="B148" s="38">
        <v>43612</v>
      </c>
      <c r="C148" s="80">
        <v>43612</v>
      </c>
      <c r="D148" s="3">
        <v>384455</v>
      </c>
      <c r="E148" s="4">
        <f>(Table6[[#This Row],[Count of restaurants]]/D141)-1</f>
        <v>-6.0039803233156941E-2</v>
      </c>
      <c r="F148" s="4">
        <v>0.17</v>
      </c>
      <c r="G148" s="112">
        <f>(Table6[[#This Row],[Average Discount]]/F141)-1</f>
        <v>-0.10526315789473684</v>
      </c>
      <c r="H148" s="3">
        <v>40</v>
      </c>
      <c r="I148" s="112">
        <f>(Table6[[#This Row],[Out of stock Items per restaurant]]/H141)-1</f>
        <v>0.25</v>
      </c>
      <c r="J148" s="3">
        <v>18</v>
      </c>
      <c r="K148" s="169">
        <f>(Table6[[#This Row],[Average Packaging charges]]/J141)-1</f>
        <v>-0.18181818181818177</v>
      </c>
      <c r="L148" s="3">
        <v>29</v>
      </c>
      <c r="M148" s="112">
        <f>(Table6[[#This Row],[Average Delivery Charges]]/L141)-1</f>
        <v>0.15999999999999992</v>
      </c>
      <c r="N148" s="3">
        <v>396</v>
      </c>
      <c r="O148" s="4">
        <f>(Table6[[#This Row],[Avg Cost for two]]/N141)-1</f>
        <v>4.4854881266490843E-2</v>
      </c>
      <c r="P148" s="3">
        <v>31</v>
      </c>
      <c r="Q148" s="81">
        <f>(Table6[[#This Row],[Number of images per restaurant]]/P141)-1</f>
        <v>-0.11428571428571432</v>
      </c>
      <c r="R148" s="81">
        <v>0.91</v>
      </c>
      <c r="S148" s="10">
        <f>(Table6[[#This Row],[Success Rate of payments]]/R141)-1</f>
        <v>-2.1505376344086002E-2</v>
      </c>
      <c r="T148" s="64" t="e">
        <f>VLOOKUP(Table6[[#This Row],[Date]],Table2[#All],1,FALSE)</f>
        <v>#N/A</v>
      </c>
    </row>
    <row r="149" spans="2:20" x14ac:dyDescent="0.3">
      <c r="B149" s="38">
        <v>43613</v>
      </c>
      <c r="C149" s="80">
        <v>43613</v>
      </c>
      <c r="D149" s="3">
        <v>402546</v>
      </c>
      <c r="E149" s="4">
        <f>(Table6[[#This Row],[Count of restaurants]]/D142)-1</f>
        <v>1.2378528459046745E-2</v>
      </c>
      <c r="F149" s="4">
        <v>0.18</v>
      </c>
      <c r="G149" s="112">
        <f>(Table6[[#This Row],[Average Discount]]/F142)-1</f>
        <v>0</v>
      </c>
      <c r="H149" s="3">
        <v>39</v>
      </c>
      <c r="I149" s="112">
        <f>(Table6[[#This Row],[Out of stock Items per restaurant]]/H142)-1</f>
        <v>0.11428571428571432</v>
      </c>
      <c r="J149" s="3">
        <v>19</v>
      </c>
      <c r="K149" s="169">
        <f>(Table6[[#This Row],[Average Packaging charges]]/J142)-1</f>
        <v>-9.5238095238095233E-2</v>
      </c>
      <c r="L149" s="3">
        <v>25</v>
      </c>
      <c r="M149" s="112">
        <f>(Table6[[#This Row],[Average Delivery Charges]]/L142)-1</f>
        <v>0</v>
      </c>
      <c r="N149" s="3">
        <v>395</v>
      </c>
      <c r="O149" s="4">
        <f>(Table6[[#This Row],[Avg Cost for two]]/N142)-1</f>
        <v>3.9473684210526327E-2</v>
      </c>
      <c r="P149" s="3">
        <v>35</v>
      </c>
      <c r="Q149" s="81">
        <f>(Table6[[#This Row],[Number of images per restaurant]]/P142)-1</f>
        <v>-5.4054054054054057E-2</v>
      </c>
      <c r="R149" s="81">
        <v>0.92</v>
      </c>
      <c r="S149" s="10">
        <f>(Table6[[#This Row],[Success Rate of payments]]/R142)-1</f>
        <v>-2.1276595744680771E-2</v>
      </c>
      <c r="T149" s="64" t="e">
        <f>VLOOKUP(Table6[[#This Row],[Date]],Table2[#All],1,FALSE)</f>
        <v>#N/A</v>
      </c>
    </row>
    <row r="150" spans="2:20" x14ac:dyDescent="0.3">
      <c r="B150" s="38">
        <v>43614</v>
      </c>
      <c r="C150" s="80">
        <v>43614</v>
      </c>
      <c r="D150" s="3">
        <v>405545</v>
      </c>
      <c r="E150" s="4">
        <f>(Table6[[#This Row],[Count of restaurants]]/D143)-1</f>
        <v>4.7681664117720013E-2</v>
      </c>
      <c r="F150" s="4">
        <v>0.18</v>
      </c>
      <c r="G150" s="112">
        <f>(Table6[[#This Row],[Average Discount]]/F143)-1</f>
        <v>0</v>
      </c>
      <c r="H150" s="3">
        <v>39</v>
      </c>
      <c r="I150" s="112">
        <f>(Table6[[#This Row],[Out of stock Items per restaurant]]/H143)-1</f>
        <v>0.11428571428571432</v>
      </c>
      <c r="J150" s="3">
        <v>18</v>
      </c>
      <c r="K150" s="169">
        <f>(Table6[[#This Row],[Average Packaging charges]]/J143)-1</f>
        <v>5.8823529411764719E-2</v>
      </c>
      <c r="L150" s="3">
        <v>28</v>
      </c>
      <c r="M150" s="112">
        <f>(Table6[[#This Row],[Average Delivery Charges]]/L143)-1</f>
        <v>0.12000000000000011</v>
      </c>
      <c r="N150" s="3">
        <v>352</v>
      </c>
      <c r="O150" s="4">
        <f>(Table6[[#This Row],[Avg Cost for two]]/N143)-1</f>
        <v>-0.11557788944723613</v>
      </c>
      <c r="P150" s="3">
        <v>32</v>
      </c>
      <c r="Q150" s="81">
        <f>(Table6[[#This Row],[Number of images per restaurant]]/P143)-1</f>
        <v>-0.13513513513513509</v>
      </c>
      <c r="R150" s="81">
        <v>0.93</v>
      </c>
      <c r="S150" s="10">
        <f>(Table6[[#This Row],[Success Rate of payments]]/R143)-1</f>
        <v>-1.0638297872340274E-2</v>
      </c>
      <c r="T150" s="64" t="e">
        <f>VLOOKUP(Table6[[#This Row],[Date]],Table2[#All],1,FALSE)</f>
        <v>#N/A</v>
      </c>
    </row>
    <row r="151" spans="2:20" x14ac:dyDescent="0.3">
      <c r="B151" s="38">
        <v>43615</v>
      </c>
      <c r="C151" s="80">
        <v>43615</v>
      </c>
      <c r="D151" s="3">
        <v>389665</v>
      </c>
      <c r="E151" s="4">
        <f>(Table6[[#This Row],[Count of restaurants]]/D144)-1</f>
        <v>3.8798533590616024E-3</v>
      </c>
      <c r="F151" s="4">
        <v>0.19</v>
      </c>
      <c r="G151" s="112">
        <f>(Table6[[#This Row],[Average Discount]]/F144)-1</f>
        <v>0.11764705882352944</v>
      </c>
      <c r="H151" s="3">
        <v>30</v>
      </c>
      <c r="I151" s="112">
        <f>(Table6[[#This Row],[Out of stock Items per restaurant]]/H144)-1</f>
        <v>-0.21052631578947367</v>
      </c>
      <c r="J151" s="3">
        <v>18</v>
      </c>
      <c r="K151" s="169">
        <f>(Table6[[#This Row],[Average Packaging charges]]/J144)-1</f>
        <v>-0.18181818181818177</v>
      </c>
      <c r="L151" s="3">
        <v>27</v>
      </c>
      <c r="M151" s="112">
        <f>(Table6[[#This Row],[Average Delivery Charges]]/L144)-1</f>
        <v>3.8461538461538547E-2</v>
      </c>
      <c r="N151" s="3">
        <v>379</v>
      </c>
      <c r="O151" s="4">
        <f>(Table6[[#This Row],[Avg Cost for two]]/N144)-1</f>
        <v>-3.069053708439895E-2</v>
      </c>
      <c r="P151" s="3">
        <v>38</v>
      </c>
      <c r="Q151" s="81">
        <f>(Table6[[#This Row],[Number of images per restaurant]]/P144)-1</f>
        <v>0.1515151515151516</v>
      </c>
      <c r="R151" s="81">
        <v>0.91</v>
      </c>
      <c r="S151" s="10">
        <f>(Table6[[#This Row],[Success Rate of payments]]/R144)-1</f>
        <v>-2.1505376344086002E-2</v>
      </c>
      <c r="T151" s="64" t="e">
        <f>VLOOKUP(Table6[[#This Row],[Date]],Table2[#All],1,FALSE)</f>
        <v>#N/A</v>
      </c>
    </row>
    <row r="152" spans="2:20" x14ac:dyDescent="0.3">
      <c r="B152" s="38">
        <v>43616</v>
      </c>
      <c r="C152" s="80">
        <v>43616</v>
      </c>
      <c r="D152" s="3">
        <v>384789</v>
      </c>
      <c r="E152" s="4">
        <f>(Table6[[#This Row],[Count of restaurants]]/D145)-1</f>
        <v>-4.6452095734188403E-2</v>
      </c>
      <c r="F152" s="4">
        <v>0.18</v>
      </c>
      <c r="G152" s="112">
        <f>(Table6[[#This Row],[Average Discount]]/F145)-1</f>
        <v>5.8823529411764497E-2</v>
      </c>
      <c r="H152" s="3">
        <v>34</v>
      </c>
      <c r="I152" s="112">
        <f>(Table6[[#This Row],[Out of stock Items per restaurant]]/H145)-1</f>
        <v>0</v>
      </c>
      <c r="J152" s="3">
        <v>19</v>
      </c>
      <c r="K152" s="169">
        <f>(Table6[[#This Row],[Average Packaging charges]]/J145)-1</f>
        <v>-0.13636363636363635</v>
      </c>
      <c r="L152" s="3">
        <v>30</v>
      </c>
      <c r="M152" s="112">
        <f>(Table6[[#This Row],[Average Delivery Charges]]/L145)-1</f>
        <v>0.15384615384615374</v>
      </c>
      <c r="N152" s="3">
        <v>381</v>
      </c>
      <c r="O152" s="4">
        <f>(Table6[[#This Row],[Avg Cost for two]]/N145)-1</f>
        <v>-1.2953367875647714E-2</v>
      </c>
      <c r="P152" s="3">
        <v>31</v>
      </c>
      <c r="Q152" s="81">
        <f>(Table6[[#This Row],[Number of images per restaurant]]/P145)-1</f>
        <v>-0.11428571428571432</v>
      </c>
      <c r="R152" s="81">
        <v>0.95</v>
      </c>
      <c r="S152" s="10">
        <f>(Table6[[#This Row],[Success Rate of payments]]/R145)-1</f>
        <v>3.2608695652173836E-2</v>
      </c>
      <c r="T152" s="64" t="e">
        <f>VLOOKUP(Table6[[#This Row],[Date]],Table2[#All],1,FALSE)</f>
        <v>#N/A</v>
      </c>
    </row>
    <row r="153" spans="2:20" x14ac:dyDescent="0.3">
      <c r="B153" s="38">
        <v>43617</v>
      </c>
      <c r="C153" s="80">
        <v>43617</v>
      </c>
      <c r="D153" s="3">
        <v>406453</v>
      </c>
      <c r="E153" s="4">
        <f>(Table6[[#This Row],[Count of restaurants]]/D146)-1</f>
        <v>1.9844734834798761E-2</v>
      </c>
      <c r="F153" s="4">
        <v>0.17</v>
      </c>
      <c r="G153" s="112">
        <f>(Table6[[#This Row],[Average Discount]]/F146)-1</f>
        <v>-0.10526315789473684</v>
      </c>
      <c r="H153" s="3">
        <v>34</v>
      </c>
      <c r="I153" s="112">
        <f>(Table6[[#This Row],[Out of stock Items per restaurant]]/H146)-1</f>
        <v>9.6774193548387011E-2</v>
      </c>
      <c r="J153" s="3">
        <v>21</v>
      </c>
      <c r="K153" s="169">
        <f>(Table6[[#This Row],[Average Packaging charges]]/J146)-1</f>
        <v>0.10526315789473695</v>
      </c>
      <c r="L153" s="3">
        <v>26</v>
      </c>
      <c r="M153" s="112">
        <f>(Table6[[#This Row],[Average Delivery Charges]]/L146)-1</f>
        <v>-0.1333333333333333</v>
      </c>
      <c r="N153" s="3">
        <v>358</v>
      </c>
      <c r="O153" s="4">
        <f>(Table6[[#This Row],[Avg Cost for two]]/N146)-1</f>
        <v>-9.5959595959595911E-2</v>
      </c>
      <c r="P153" s="3">
        <v>36</v>
      </c>
      <c r="Q153" s="81">
        <f>(Table6[[#This Row],[Number of images per restaurant]]/P146)-1</f>
        <v>-2.7027027027026973E-2</v>
      </c>
      <c r="R153" s="81">
        <v>0.93</v>
      </c>
      <c r="S153" s="10">
        <f>(Table6[[#This Row],[Success Rate of payments]]/R146)-1</f>
        <v>-2.1052631578947323E-2</v>
      </c>
      <c r="T153" s="64" t="e">
        <f>VLOOKUP(Table6[[#This Row],[Date]],Table2[#All],1,FALSE)</f>
        <v>#N/A</v>
      </c>
    </row>
    <row r="154" spans="2:20" x14ac:dyDescent="0.3">
      <c r="B154" s="38">
        <v>43618</v>
      </c>
      <c r="C154" s="80">
        <v>43618</v>
      </c>
      <c r="D154" s="3">
        <v>405943</v>
      </c>
      <c r="E154" s="4">
        <f>(Table6[[#This Row],[Count of restaurants]]/D147)-1</f>
        <v>1.225347792803011E-2</v>
      </c>
      <c r="F154" s="4">
        <v>0.18</v>
      </c>
      <c r="G154" s="112">
        <f>(Table6[[#This Row],[Average Discount]]/F147)-1</f>
        <v>0</v>
      </c>
      <c r="H154" s="3">
        <v>31</v>
      </c>
      <c r="I154" s="112">
        <f>(Table6[[#This Row],[Out of stock Items per restaurant]]/H147)-1</f>
        <v>-0.11428571428571432</v>
      </c>
      <c r="J154" s="3">
        <v>19</v>
      </c>
      <c r="K154" s="169">
        <f>(Table6[[#This Row],[Average Packaging charges]]/J147)-1</f>
        <v>5.555555555555558E-2</v>
      </c>
      <c r="L154" s="3">
        <v>29</v>
      </c>
      <c r="M154" s="112">
        <f>(Table6[[#This Row],[Average Delivery Charges]]/L147)-1</f>
        <v>-3.3333333333333326E-2</v>
      </c>
      <c r="N154" s="3">
        <v>366</v>
      </c>
      <c r="O154" s="4">
        <f>(Table6[[#This Row],[Avg Cost for two]]/N147)-1</f>
        <v>3.3898305084745672E-2</v>
      </c>
      <c r="P154" s="3">
        <v>37</v>
      </c>
      <c r="Q154" s="81">
        <f>(Table6[[#This Row],[Number of images per restaurant]]/P147)-1</f>
        <v>0.1212121212121211</v>
      </c>
      <c r="R154" s="81">
        <v>0.93</v>
      </c>
      <c r="S154" s="10">
        <f>(Table6[[#This Row],[Success Rate of payments]]/R147)-1</f>
        <v>2.19780219780219E-2</v>
      </c>
      <c r="T154" s="64" t="e">
        <f>VLOOKUP(Table6[[#This Row],[Date]],Table2[#All],1,FALSE)</f>
        <v>#N/A</v>
      </c>
    </row>
    <row r="155" spans="2:20" x14ac:dyDescent="0.3">
      <c r="B155" s="38">
        <v>43619</v>
      </c>
      <c r="C155" s="80">
        <v>43619</v>
      </c>
      <c r="D155" s="3">
        <v>400538</v>
      </c>
      <c r="E155" s="4">
        <f>(Table6[[#This Row],[Count of restaurants]]/D148)-1</f>
        <v>4.1833244462941011E-2</v>
      </c>
      <c r="F155" s="4">
        <v>0.18</v>
      </c>
      <c r="G155" s="112">
        <f>(Table6[[#This Row],[Average Discount]]/F148)-1</f>
        <v>5.8823529411764497E-2</v>
      </c>
      <c r="H155" s="3">
        <v>30</v>
      </c>
      <c r="I155" s="112">
        <f>(Table6[[#This Row],[Out of stock Items per restaurant]]/H148)-1</f>
        <v>-0.25</v>
      </c>
      <c r="J155" s="3">
        <v>19</v>
      </c>
      <c r="K155" s="169">
        <f>(Table6[[#This Row],[Average Packaging charges]]/J148)-1</f>
        <v>5.555555555555558E-2</v>
      </c>
      <c r="L155" s="3">
        <v>29</v>
      </c>
      <c r="M155" s="112">
        <f>(Table6[[#This Row],[Average Delivery Charges]]/L148)-1</f>
        <v>0</v>
      </c>
      <c r="N155" s="3">
        <v>389</v>
      </c>
      <c r="O155" s="4">
        <f>(Table6[[#This Row],[Avg Cost for two]]/N148)-1</f>
        <v>-1.7676767676767624E-2</v>
      </c>
      <c r="P155" s="3">
        <v>36</v>
      </c>
      <c r="Q155" s="81">
        <f>(Table6[[#This Row],[Number of images per restaurant]]/P148)-1</f>
        <v>0.16129032258064524</v>
      </c>
      <c r="R155" s="81">
        <v>0.95</v>
      </c>
      <c r="S155" s="10">
        <f>(Table6[[#This Row],[Success Rate of payments]]/R148)-1</f>
        <v>4.39560439560438E-2</v>
      </c>
      <c r="T155" s="64" t="e">
        <f>VLOOKUP(Table6[[#This Row],[Date]],Table2[#All],1,FALSE)</f>
        <v>#N/A</v>
      </c>
    </row>
    <row r="156" spans="2:20" x14ac:dyDescent="0.3">
      <c r="B156" s="38">
        <v>43620</v>
      </c>
      <c r="C156" s="80">
        <v>43620</v>
      </c>
      <c r="D156" s="3">
        <v>395075</v>
      </c>
      <c r="E156" s="4">
        <f>(Table6[[#This Row],[Count of restaurants]]/D149)-1</f>
        <v>-1.8559369612416998E-2</v>
      </c>
      <c r="F156" s="4">
        <v>0.17</v>
      </c>
      <c r="G156" s="112">
        <f>(Table6[[#This Row],[Average Discount]]/F149)-1</f>
        <v>-5.5555555555555469E-2</v>
      </c>
      <c r="H156" s="3">
        <v>30</v>
      </c>
      <c r="I156" s="112">
        <f>(Table6[[#This Row],[Out of stock Items per restaurant]]/H149)-1</f>
        <v>-0.23076923076923073</v>
      </c>
      <c r="J156" s="3">
        <v>17</v>
      </c>
      <c r="K156" s="169">
        <f>(Table6[[#This Row],[Average Packaging charges]]/J149)-1</f>
        <v>-0.10526315789473684</v>
      </c>
      <c r="L156" s="3">
        <v>25</v>
      </c>
      <c r="M156" s="112">
        <f>(Table6[[#This Row],[Average Delivery Charges]]/L149)-1</f>
        <v>0</v>
      </c>
      <c r="N156" s="3">
        <v>389</v>
      </c>
      <c r="O156" s="4">
        <f>(Table6[[#This Row],[Avg Cost for two]]/N149)-1</f>
        <v>-1.5189873417721489E-2</v>
      </c>
      <c r="P156" s="3">
        <v>33</v>
      </c>
      <c r="Q156" s="81">
        <f>(Table6[[#This Row],[Number of images per restaurant]]/P149)-1</f>
        <v>-5.7142857142857162E-2</v>
      </c>
      <c r="R156" s="81">
        <v>0.95</v>
      </c>
      <c r="S156" s="10">
        <f>(Table6[[#This Row],[Success Rate of payments]]/R149)-1</f>
        <v>3.2608695652173836E-2</v>
      </c>
      <c r="T156" s="64" t="e">
        <f>VLOOKUP(Table6[[#This Row],[Date]],Table2[#All],1,FALSE)</f>
        <v>#N/A</v>
      </c>
    </row>
    <row r="157" spans="2:20" x14ac:dyDescent="0.3">
      <c r="B157" s="38">
        <v>43621</v>
      </c>
      <c r="C157" s="80">
        <v>43621</v>
      </c>
      <c r="D157" s="3">
        <v>389074</v>
      </c>
      <c r="E157" s="4">
        <f>(Table6[[#This Row],[Count of restaurants]]/D150)-1</f>
        <v>-4.0614481746785169E-2</v>
      </c>
      <c r="F157" s="4">
        <v>0.18</v>
      </c>
      <c r="G157" s="112">
        <f>(Table6[[#This Row],[Average Discount]]/F150)-1</f>
        <v>0</v>
      </c>
      <c r="H157" s="3">
        <v>30</v>
      </c>
      <c r="I157" s="112">
        <f>(Table6[[#This Row],[Out of stock Items per restaurant]]/H150)-1</f>
        <v>-0.23076923076923073</v>
      </c>
      <c r="J157" s="3">
        <v>21</v>
      </c>
      <c r="K157" s="169">
        <f>(Table6[[#This Row],[Average Packaging charges]]/J150)-1</f>
        <v>0.16666666666666674</v>
      </c>
      <c r="L157" s="3">
        <v>30</v>
      </c>
      <c r="M157" s="112">
        <f>(Table6[[#This Row],[Average Delivery Charges]]/L150)-1</f>
        <v>7.1428571428571397E-2</v>
      </c>
      <c r="N157" s="3">
        <v>375</v>
      </c>
      <c r="O157" s="4">
        <f>(Table6[[#This Row],[Avg Cost for two]]/N150)-1</f>
        <v>6.5340909090909172E-2</v>
      </c>
      <c r="P157" s="3">
        <v>36</v>
      </c>
      <c r="Q157" s="81">
        <f>(Table6[[#This Row],[Number of images per restaurant]]/P150)-1</f>
        <v>0.125</v>
      </c>
      <c r="R157" s="81">
        <v>0.94</v>
      </c>
      <c r="S157" s="10">
        <f>(Table6[[#This Row],[Success Rate of payments]]/R150)-1</f>
        <v>1.0752688172043001E-2</v>
      </c>
      <c r="T157" s="64" t="e">
        <f>VLOOKUP(Table6[[#This Row],[Date]],Table2[#All],1,FALSE)</f>
        <v>#N/A</v>
      </c>
    </row>
    <row r="158" spans="2:20" x14ac:dyDescent="0.3">
      <c r="B158" s="38">
        <v>43622</v>
      </c>
      <c r="C158" s="80">
        <v>43622</v>
      </c>
      <c r="D158" s="3">
        <v>402050</v>
      </c>
      <c r="E158" s="4">
        <f>(Table6[[#This Row],[Count of restaurants]]/D151)-1</f>
        <v>3.1783711649750357E-2</v>
      </c>
      <c r="F158" s="4">
        <v>0.17</v>
      </c>
      <c r="G158" s="112">
        <f>(Table6[[#This Row],[Average Discount]]/F151)-1</f>
        <v>-0.10526315789473684</v>
      </c>
      <c r="H158" s="3">
        <v>40</v>
      </c>
      <c r="I158" s="112">
        <f>(Table6[[#This Row],[Out of stock Items per restaurant]]/H151)-1</f>
        <v>0.33333333333333326</v>
      </c>
      <c r="J158" s="3">
        <v>18</v>
      </c>
      <c r="K158" s="169">
        <f>(Table6[[#This Row],[Average Packaging charges]]/J151)-1</f>
        <v>0</v>
      </c>
      <c r="L158" s="3">
        <v>30</v>
      </c>
      <c r="M158" s="112">
        <f>(Table6[[#This Row],[Average Delivery Charges]]/L151)-1</f>
        <v>0.11111111111111116</v>
      </c>
      <c r="N158" s="3">
        <v>379</v>
      </c>
      <c r="O158" s="4">
        <f>(Table6[[#This Row],[Avg Cost for two]]/N151)-1</f>
        <v>0</v>
      </c>
      <c r="P158" s="3">
        <v>38</v>
      </c>
      <c r="Q158" s="81">
        <f>(Table6[[#This Row],[Number of images per restaurant]]/P151)-1</f>
        <v>0</v>
      </c>
      <c r="R158" s="81">
        <v>0.95</v>
      </c>
      <c r="S158" s="10">
        <f>(Table6[[#This Row],[Success Rate of payments]]/R151)-1</f>
        <v>4.39560439560438E-2</v>
      </c>
      <c r="T158" s="64" t="e">
        <f>VLOOKUP(Table6[[#This Row],[Date]],Table2[#All],1,FALSE)</f>
        <v>#N/A</v>
      </c>
    </row>
    <row r="159" spans="2:20" x14ac:dyDescent="0.3">
      <c r="B159" s="38">
        <v>43623</v>
      </c>
      <c r="C159" s="80">
        <v>43623</v>
      </c>
      <c r="D159" s="3">
        <v>390178</v>
      </c>
      <c r="E159" s="4">
        <f>(Table6[[#This Row],[Count of restaurants]]/D152)-1</f>
        <v>1.4005078107742097E-2</v>
      </c>
      <c r="F159" s="4">
        <v>0.19</v>
      </c>
      <c r="G159" s="112">
        <f>(Table6[[#This Row],[Average Discount]]/F152)-1</f>
        <v>5.555555555555558E-2</v>
      </c>
      <c r="H159" s="3">
        <v>35</v>
      </c>
      <c r="I159" s="112">
        <f>(Table6[[#This Row],[Out of stock Items per restaurant]]/H152)-1</f>
        <v>2.9411764705882248E-2</v>
      </c>
      <c r="J159" s="3">
        <v>21</v>
      </c>
      <c r="K159" s="169">
        <f>(Table6[[#This Row],[Average Packaging charges]]/J152)-1</f>
        <v>0.10526315789473695</v>
      </c>
      <c r="L159" s="3">
        <v>25</v>
      </c>
      <c r="M159" s="112">
        <f>(Table6[[#This Row],[Average Delivery Charges]]/L152)-1</f>
        <v>-0.16666666666666663</v>
      </c>
      <c r="N159" s="3">
        <v>391</v>
      </c>
      <c r="O159" s="4">
        <f>(Table6[[#This Row],[Avg Cost for two]]/N152)-1</f>
        <v>2.6246719160105014E-2</v>
      </c>
      <c r="P159" s="3">
        <v>35</v>
      </c>
      <c r="Q159" s="81">
        <f>(Table6[[#This Row],[Number of images per restaurant]]/P152)-1</f>
        <v>0.12903225806451624</v>
      </c>
      <c r="R159" s="81">
        <v>0.95</v>
      </c>
      <c r="S159" s="10">
        <f>(Table6[[#This Row],[Success Rate of payments]]/R152)-1</f>
        <v>0</v>
      </c>
      <c r="T159" s="64" t="e">
        <f>VLOOKUP(Table6[[#This Row],[Date]],Table2[#All],1,FALSE)</f>
        <v>#N/A</v>
      </c>
    </row>
    <row r="160" spans="2:20" x14ac:dyDescent="0.3">
      <c r="B160" s="38">
        <v>43624</v>
      </c>
      <c r="C160" s="80">
        <v>43624</v>
      </c>
      <c r="D160" s="3">
        <v>407570</v>
      </c>
      <c r="E160" s="4">
        <f>(Table6[[#This Row],[Count of restaurants]]/D153)-1</f>
        <v>2.7481652245155974E-3</v>
      </c>
      <c r="F160" s="4">
        <v>0.19</v>
      </c>
      <c r="G160" s="112">
        <f>(Table6[[#This Row],[Average Discount]]/F153)-1</f>
        <v>0.11764705882352944</v>
      </c>
      <c r="H160" s="3">
        <v>35</v>
      </c>
      <c r="I160" s="112">
        <f>(Table6[[#This Row],[Out of stock Items per restaurant]]/H153)-1</f>
        <v>2.9411764705882248E-2</v>
      </c>
      <c r="J160" s="3">
        <v>17</v>
      </c>
      <c r="K160" s="169">
        <f>(Table6[[#This Row],[Average Packaging charges]]/J153)-1</f>
        <v>-0.19047619047619047</v>
      </c>
      <c r="L160" s="3">
        <v>29</v>
      </c>
      <c r="M160" s="112">
        <f>(Table6[[#This Row],[Average Delivery Charges]]/L153)-1</f>
        <v>0.11538461538461542</v>
      </c>
      <c r="N160" s="3">
        <v>388</v>
      </c>
      <c r="O160" s="4">
        <f>(Table6[[#This Row],[Avg Cost for two]]/N153)-1</f>
        <v>8.3798882681564324E-2</v>
      </c>
      <c r="P160" s="3">
        <v>30</v>
      </c>
      <c r="Q160" s="81">
        <f>(Table6[[#This Row],[Number of images per restaurant]]/P153)-1</f>
        <v>-0.16666666666666663</v>
      </c>
      <c r="R160" s="81">
        <v>0.93</v>
      </c>
      <c r="S160" s="10">
        <f>(Table6[[#This Row],[Success Rate of payments]]/R153)-1</f>
        <v>0</v>
      </c>
      <c r="T160" s="64" t="e">
        <f>VLOOKUP(Table6[[#This Row],[Date]],Table2[#All],1,FALSE)</f>
        <v>#N/A</v>
      </c>
    </row>
    <row r="161" spans="2:20" x14ac:dyDescent="0.3">
      <c r="B161" s="38">
        <v>43625</v>
      </c>
      <c r="C161" s="80">
        <v>43625</v>
      </c>
      <c r="D161" s="3">
        <v>400094</v>
      </c>
      <c r="E161" s="4">
        <f>(Table6[[#This Row],[Count of restaurants]]/D154)-1</f>
        <v>-1.4408426798836249E-2</v>
      </c>
      <c r="F161" s="4">
        <v>0.18</v>
      </c>
      <c r="G161" s="112">
        <f>(Table6[[#This Row],[Average Discount]]/F154)-1</f>
        <v>0</v>
      </c>
      <c r="H161" s="3">
        <v>35</v>
      </c>
      <c r="I161" s="112">
        <f>(Table6[[#This Row],[Out of stock Items per restaurant]]/H154)-1</f>
        <v>0.12903225806451624</v>
      </c>
      <c r="J161" s="3">
        <v>22</v>
      </c>
      <c r="K161" s="169">
        <f>(Table6[[#This Row],[Average Packaging charges]]/J154)-1</f>
        <v>0.15789473684210531</v>
      </c>
      <c r="L161" s="3">
        <v>26</v>
      </c>
      <c r="M161" s="112">
        <f>(Table6[[#This Row],[Average Delivery Charges]]/L154)-1</f>
        <v>-0.10344827586206895</v>
      </c>
      <c r="N161" s="3">
        <v>364</v>
      </c>
      <c r="O161" s="4">
        <f>(Table6[[#This Row],[Avg Cost for two]]/N154)-1</f>
        <v>-5.464480874316946E-3</v>
      </c>
      <c r="P161" s="3">
        <v>34</v>
      </c>
      <c r="Q161" s="81">
        <f>(Table6[[#This Row],[Number of images per restaurant]]/P154)-1</f>
        <v>-8.108108108108103E-2</v>
      </c>
      <c r="R161" s="81">
        <v>0.95</v>
      </c>
      <c r="S161" s="10">
        <f>(Table6[[#This Row],[Success Rate of payments]]/R154)-1</f>
        <v>2.1505376344086002E-2</v>
      </c>
      <c r="T161" s="64" t="e">
        <f>VLOOKUP(Table6[[#This Row],[Date]],Table2[#All],1,FALSE)</f>
        <v>#N/A</v>
      </c>
    </row>
    <row r="162" spans="2:20" x14ac:dyDescent="0.3">
      <c r="B162" s="38">
        <v>43626</v>
      </c>
      <c r="C162" s="80">
        <v>43626</v>
      </c>
      <c r="D162" s="3">
        <v>392606</v>
      </c>
      <c r="E162" s="4">
        <f>(Table6[[#This Row],[Count of restaurants]]/D155)-1</f>
        <v>-1.9803364474781371E-2</v>
      </c>
      <c r="F162" s="4">
        <v>0.17</v>
      </c>
      <c r="G162" s="112">
        <f>(Table6[[#This Row],[Average Discount]]/F155)-1</f>
        <v>-5.5555555555555469E-2</v>
      </c>
      <c r="H162" s="3">
        <v>37</v>
      </c>
      <c r="I162" s="112">
        <f>(Table6[[#This Row],[Out of stock Items per restaurant]]/H155)-1</f>
        <v>0.23333333333333339</v>
      </c>
      <c r="J162" s="3">
        <v>21</v>
      </c>
      <c r="K162" s="169">
        <f>(Table6[[#This Row],[Average Packaging charges]]/J155)-1</f>
        <v>0.10526315789473695</v>
      </c>
      <c r="L162" s="3">
        <v>30</v>
      </c>
      <c r="M162" s="112">
        <f>(Table6[[#This Row],[Average Delivery Charges]]/L155)-1</f>
        <v>3.4482758620689724E-2</v>
      </c>
      <c r="N162" s="3">
        <v>397</v>
      </c>
      <c r="O162" s="4">
        <f>(Table6[[#This Row],[Avg Cost for two]]/N155)-1</f>
        <v>2.0565552699228773E-2</v>
      </c>
      <c r="P162" s="3">
        <v>35</v>
      </c>
      <c r="Q162" s="81">
        <f>(Table6[[#This Row],[Number of images per restaurant]]/P155)-1</f>
        <v>-2.777777777777779E-2</v>
      </c>
      <c r="R162" s="81">
        <v>0.91</v>
      </c>
      <c r="S162" s="10">
        <f>(Table6[[#This Row],[Success Rate of payments]]/R155)-1</f>
        <v>-4.2105263157894646E-2</v>
      </c>
      <c r="T162" s="64" t="e">
        <f>VLOOKUP(Table6[[#This Row],[Date]],Table2[#All],1,FALSE)</f>
        <v>#N/A</v>
      </c>
    </row>
    <row r="163" spans="2:20" x14ac:dyDescent="0.3">
      <c r="B163" s="38">
        <v>43627</v>
      </c>
      <c r="C163" s="80">
        <v>43627</v>
      </c>
      <c r="D163" s="3">
        <v>390751</v>
      </c>
      <c r="E163" s="4">
        <f>(Table6[[#This Row],[Count of restaurants]]/D156)-1</f>
        <v>-1.0944757324558574E-2</v>
      </c>
      <c r="F163" s="4">
        <v>0.17</v>
      </c>
      <c r="G163" s="112">
        <f>(Table6[[#This Row],[Average Discount]]/F156)-1</f>
        <v>0</v>
      </c>
      <c r="H163" s="3">
        <v>31</v>
      </c>
      <c r="I163" s="112">
        <f>(Table6[[#This Row],[Out of stock Items per restaurant]]/H156)-1</f>
        <v>3.3333333333333437E-2</v>
      </c>
      <c r="J163" s="3">
        <v>17</v>
      </c>
      <c r="K163" s="169">
        <f>(Table6[[#This Row],[Average Packaging charges]]/J156)-1</f>
        <v>0</v>
      </c>
      <c r="L163" s="3">
        <v>26</v>
      </c>
      <c r="M163" s="112">
        <f>(Table6[[#This Row],[Average Delivery Charges]]/L156)-1</f>
        <v>4.0000000000000036E-2</v>
      </c>
      <c r="N163" s="3">
        <v>354</v>
      </c>
      <c r="O163" s="4">
        <f>(Table6[[#This Row],[Avg Cost for two]]/N156)-1</f>
        <v>-8.9974293059125965E-2</v>
      </c>
      <c r="P163" s="3">
        <v>31</v>
      </c>
      <c r="Q163" s="81">
        <f>(Table6[[#This Row],[Number of images per restaurant]]/P156)-1</f>
        <v>-6.0606060606060552E-2</v>
      </c>
      <c r="R163" s="81">
        <v>0.94</v>
      </c>
      <c r="S163" s="10">
        <f>(Table6[[#This Row],[Success Rate of payments]]/R156)-1</f>
        <v>-1.0526315789473717E-2</v>
      </c>
      <c r="T163" s="64" t="e">
        <f>VLOOKUP(Table6[[#This Row],[Date]],Table2[#All],1,FALSE)</f>
        <v>#N/A</v>
      </c>
    </row>
    <row r="164" spans="2:20" x14ac:dyDescent="0.3">
      <c r="B164" s="38">
        <v>43628</v>
      </c>
      <c r="C164" s="80">
        <v>43628</v>
      </c>
      <c r="D164" s="3">
        <v>398995</v>
      </c>
      <c r="E164" s="4">
        <f>(Table6[[#This Row],[Count of restaurants]]/D157)-1</f>
        <v>2.5499005330605451E-2</v>
      </c>
      <c r="F164" s="4">
        <v>0.17</v>
      </c>
      <c r="G164" s="112">
        <f>(Table6[[#This Row],[Average Discount]]/F157)-1</f>
        <v>-5.5555555555555469E-2</v>
      </c>
      <c r="H164" s="3">
        <v>36</v>
      </c>
      <c r="I164" s="112">
        <f>(Table6[[#This Row],[Out of stock Items per restaurant]]/H157)-1</f>
        <v>0.19999999999999996</v>
      </c>
      <c r="J164" s="3">
        <v>21</v>
      </c>
      <c r="K164" s="169">
        <f>(Table6[[#This Row],[Average Packaging charges]]/J157)-1</f>
        <v>0</v>
      </c>
      <c r="L164" s="3">
        <v>30</v>
      </c>
      <c r="M164" s="112">
        <f>(Table6[[#This Row],[Average Delivery Charges]]/L157)-1</f>
        <v>0</v>
      </c>
      <c r="N164" s="3">
        <v>400</v>
      </c>
      <c r="O164" s="4">
        <f>(Table6[[#This Row],[Avg Cost for two]]/N157)-1</f>
        <v>6.6666666666666652E-2</v>
      </c>
      <c r="P164" s="3">
        <v>32</v>
      </c>
      <c r="Q164" s="81">
        <f>(Table6[[#This Row],[Number of images per restaurant]]/P157)-1</f>
        <v>-0.11111111111111116</v>
      </c>
      <c r="R164" s="81">
        <v>0.95</v>
      </c>
      <c r="S164" s="10">
        <f>(Table6[[#This Row],[Success Rate of payments]]/R157)-1</f>
        <v>1.0638297872340496E-2</v>
      </c>
      <c r="T164" s="64" t="e">
        <f>VLOOKUP(Table6[[#This Row],[Date]],Table2[#All],1,FALSE)</f>
        <v>#N/A</v>
      </c>
    </row>
    <row r="165" spans="2:20" x14ac:dyDescent="0.3">
      <c r="B165" s="38">
        <v>43629</v>
      </c>
      <c r="C165" s="80">
        <v>43629</v>
      </c>
      <c r="D165" s="3">
        <v>407670</v>
      </c>
      <c r="E165" s="4">
        <f>(Table6[[#This Row],[Count of restaurants]]/D158)-1</f>
        <v>1.3978360900385622E-2</v>
      </c>
      <c r="F165" s="4">
        <v>0.17</v>
      </c>
      <c r="G165" s="112">
        <f>(Table6[[#This Row],[Average Discount]]/F158)-1</f>
        <v>0</v>
      </c>
      <c r="H165" s="3">
        <v>36</v>
      </c>
      <c r="I165" s="112">
        <f>(Table6[[#This Row],[Out of stock Items per restaurant]]/H158)-1</f>
        <v>-9.9999999999999978E-2</v>
      </c>
      <c r="J165" s="3">
        <v>17</v>
      </c>
      <c r="K165" s="169">
        <f>(Table6[[#This Row],[Average Packaging charges]]/J158)-1</f>
        <v>-5.555555555555558E-2</v>
      </c>
      <c r="L165" s="3">
        <v>30</v>
      </c>
      <c r="M165" s="112">
        <f>(Table6[[#This Row],[Average Delivery Charges]]/L158)-1</f>
        <v>0</v>
      </c>
      <c r="N165" s="3">
        <v>399</v>
      </c>
      <c r="O165" s="4">
        <f>(Table6[[#This Row],[Avg Cost for two]]/N158)-1</f>
        <v>5.2770448548812743E-2</v>
      </c>
      <c r="P165" s="3">
        <v>31</v>
      </c>
      <c r="Q165" s="81">
        <f>(Table6[[#This Row],[Number of images per restaurant]]/P158)-1</f>
        <v>-0.18421052631578949</v>
      </c>
      <c r="R165" s="81">
        <v>0.92</v>
      </c>
      <c r="S165" s="10">
        <f>(Table6[[#This Row],[Success Rate of payments]]/R158)-1</f>
        <v>-3.1578947368420929E-2</v>
      </c>
      <c r="T165" s="64" t="e">
        <f>VLOOKUP(Table6[[#This Row],[Date]],Table2[#All],1,FALSE)</f>
        <v>#N/A</v>
      </c>
    </row>
    <row r="166" spans="2:20" x14ac:dyDescent="0.3">
      <c r="B166" s="38">
        <v>43630</v>
      </c>
      <c r="C166" s="80">
        <v>43630</v>
      </c>
      <c r="D166" s="3">
        <v>404518</v>
      </c>
      <c r="E166" s="4">
        <f>(Table6[[#This Row],[Count of restaurants]]/D159)-1</f>
        <v>3.6752456571103487E-2</v>
      </c>
      <c r="F166" s="4">
        <v>0.18</v>
      </c>
      <c r="G166" s="112">
        <f>(Table6[[#This Row],[Average Discount]]/F159)-1</f>
        <v>-5.2631578947368474E-2</v>
      </c>
      <c r="H166" s="3">
        <v>36</v>
      </c>
      <c r="I166" s="112">
        <f>(Table6[[#This Row],[Out of stock Items per restaurant]]/H159)-1</f>
        <v>2.857142857142847E-2</v>
      </c>
      <c r="J166" s="3">
        <v>20</v>
      </c>
      <c r="K166" s="169">
        <f>(Table6[[#This Row],[Average Packaging charges]]/J159)-1</f>
        <v>-4.7619047619047672E-2</v>
      </c>
      <c r="L166" s="3">
        <v>30</v>
      </c>
      <c r="M166" s="112">
        <f>(Table6[[#This Row],[Average Delivery Charges]]/L159)-1</f>
        <v>0.19999999999999996</v>
      </c>
      <c r="N166" s="3">
        <v>393</v>
      </c>
      <c r="O166" s="4">
        <f>(Table6[[#This Row],[Avg Cost for two]]/N159)-1</f>
        <v>5.1150895140665842E-3</v>
      </c>
      <c r="P166" s="3">
        <v>35</v>
      </c>
      <c r="Q166" s="81">
        <f>(Table6[[#This Row],[Number of images per restaurant]]/P159)-1</f>
        <v>0</v>
      </c>
      <c r="R166" s="81">
        <v>0.94</v>
      </c>
      <c r="S166" s="10">
        <f>(Table6[[#This Row],[Success Rate of payments]]/R159)-1</f>
        <v>-1.0526315789473717E-2</v>
      </c>
      <c r="T166" s="64" t="e">
        <f>VLOOKUP(Table6[[#This Row],[Date]],Table2[#All],1,FALSE)</f>
        <v>#N/A</v>
      </c>
    </row>
    <row r="167" spans="2:20" x14ac:dyDescent="0.3">
      <c r="B167" s="38">
        <v>43631</v>
      </c>
      <c r="C167" s="80">
        <v>43631</v>
      </c>
      <c r="D167" s="3">
        <v>407641</v>
      </c>
      <c r="E167" s="4">
        <f>(Table6[[#This Row],[Count of restaurants]]/D160)-1</f>
        <v>1.7420320435745928E-4</v>
      </c>
      <c r="F167" s="4">
        <v>0.17</v>
      </c>
      <c r="G167" s="112">
        <f>(Table6[[#This Row],[Average Discount]]/F160)-1</f>
        <v>-0.10526315789473684</v>
      </c>
      <c r="H167" s="3">
        <v>38</v>
      </c>
      <c r="I167" s="112">
        <f>(Table6[[#This Row],[Out of stock Items per restaurant]]/H160)-1</f>
        <v>8.5714285714285632E-2</v>
      </c>
      <c r="J167" s="3">
        <v>22</v>
      </c>
      <c r="K167" s="169">
        <f>(Table6[[#This Row],[Average Packaging charges]]/J160)-1</f>
        <v>0.29411764705882359</v>
      </c>
      <c r="L167" s="3">
        <v>27</v>
      </c>
      <c r="M167" s="112">
        <f>(Table6[[#This Row],[Average Delivery Charges]]/L160)-1</f>
        <v>-6.8965517241379337E-2</v>
      </c>
      <c r="N167" s="3">
        <v>357</v>
      </c>
      <c r="O167" s="4">
        <f>(Table6[[#This Row],[Avg Cost for two]]/N160)-1</f>
        <v>-7.9896907216494895E-2</v>
      </c>
      <c r="P167" s="3">
        <v>30</v>
      </c>
      <c r="Q167" s="81">
        <f>(Table6[[#This Row],[Number of images per restaurant]]/P160)-1</f>
        <v>0</v>
      </c>
      <c r="R167" s="81">
        <v>0.91</v>
      </c>
      <c r="S167" s="10">
        <f>(Table6[[#This Row],[Success Rate of payments]]/R160)-1</f>
        <v>-2.1505376344086002E-2</v>
      </c>
      <c r="T167" s="64" t="e">
        <f>VLOOKUP(Table6[[#This Row],[Date]],Table2[#All],1,FALSE)</f>
        <v>#N/A</v>
      </c>
    </row>
    <row r="168" spans="2:20" x14ac:dyDescent="0.3">
      <c r="B168" s="38">
        <v>43632</v>
      </c>
      <c r="C168" s="80">
        <v>43632</v>
      </c>
      <c r="D168" s="3">
        <v>386588</v>
      </c>
      <c r="E168" s="4">
        <f>(Table6[[#This Row],[Count of restaurants]]/D161)-1</f>
        <v>-3.3757067089233983E-2</v>
      </c>
      <c r="F168" s="4">
        <v>0.19</v>
      </c>
      <c r="G168" s="112">
        <f>(Table6[[#This Row],[Average Discount]]/F161)-1</f>
        <v>5.555555555555558E-2</v>
      </c>
      <c r="H168" s="3">
        <v>31</v>
      </c>
      <c r="I168" s="112">
        <f>(Table6[[#This Row],[Out of stock Items per restaurant]]/H161)-1</f>
        <v>-0.11428571428571432</v>
      </c>
      <c r="J168" s="3">
        <v>21</v>
      </c>
      <c r="K168" s="169">
        <f>(Table6[[#This Row],[Average Packaging charges]]/J161)-1</f>
        <v>-4.5454545454545414E-2</v>
      </c>
      <c r="L168" s="3">
        <v>27</v>
      </c>
      <c r="M168" s="112">
        <f>(Table6[[#This Row],[Average Delivery Charges]]/L161)-1</f>
        <v>3.8461538461538547E-2</v>
      </c>
      <c r="N168" s="3">
        <v>385</v>
      </c>
      <c r="O168" s="4">
        <f>(Table6[[#This Row],[Avg Cost for two]]/N161)-1</f>
        <v>5.7692307692307709E-2</v>
      </c>
      <c r="P168" s="3">
        <v>34</v>
      </c>
      <c r="Q168" s="81">
        <f>(Table6[[#This Row],[Number of images per restaurant]]/P161)-1</f>
        <v>0</v>
      </c>
      <c r="R168" s="81">
        <v>0.93</v>
      </c>
      <c r="S168" s="10">
        <f>(Table6[[#This Row],[Success Rate of payments]]/R161)-1</f>
        <v>-2.1052631578947323E-2</v>
      </c>
      <c r="T168" s="64" t="e">
        <f>VLOOKUP(Table6[[#This Row],[Date]],Table2[#All],1,FALSE)</f>
        <v>#N/A</v>
      </c>
    </row>
    <row r="169" spans="2:20" x14ac:dyDescent="0.3">
      <c r="B169" s="38">
        <v>43633</v>
      </c>
      <c r="C169" s="80">
        <v>43633</v>
      </c>
      <c r="D169" s="3">
        <v>388917</v>
      </c>
      <c r="E169" s="4">
        <f>(Table6[[#This Row],[Count of restaurants]]/D162)-1</f>
        <v>-9.3961885452591432E-3</v>
      </c>
      <c r="F169" s="4">
        <v>0.17</v>
      </c>
      <c r="G169" s="112">
        <f>(Table6[[#This Row],[Average Discount]]/F162)-1</f>
        <v>0</v>
      </c>
      <c r="H169" s="3">
        <v>30</v>
      </c>
      <c r="I169" s="112">
        <f>(Table6[[#This Row],[Out of stock Items per restaurant]]/H162)-1</f>
        <v>-0.18918918918918914</v>
      </c>
      <c r="J169" s="3">
        <v>18</v>
      </c>
      <c r="K169" s="169">
        <f>(Table6[[#This Row],[Average Packaging charges]]/J162)-1</f>
        <v>-0.1428571428571429</v>
      </c>
      <c r="L169" s="3">
        <v>26</v>
      </c>
      <c r="M169" s="112">
        <f>(Table6[[#This Row],[Average Delivery Charges]]/L162)-1</f>
        <v>-0.1333333333333333</v>
      </c>
      <c r="N169" s="3">
        <v>350</v>
      </c>
      <c r="O169" s="4">
        <f>(Table6[[#This Row],[Avg Cost for two]]/N162)-1</f>
        <v>-0.11838790931989929</v>
      </c>
      <c r="P169" s="3">
        <v>32</v>
      </c>
      <c r="Q169" s="81">
        <f>(Table6[[#This Row],[Number of images per restaurant]]/P162)-1</f>
        <v>-8.5714285714285743E-2</v>
      </c>
      <c r="R169" s="81">
        <v>0.93</v>
      </c>
      <c r="S169" s="10">
        <f>(Table6[[#This Row],[Success Rate of payments]]/R162)-1</f>
        <v>2.19780219780219E-2</v>
      </c>
      <c r="T169" s="64" t="e">
        <f>VLOOKUP(Table6[[#This Row],[Date]],Table2[#All],1,FALSE)</f>
        <v>#N/A</v>
      </c>
    </row>
    <row r="170" spans="2:20" x14ac:dyDescent="0.3">
      <c r="B170" s="38">
        <v>43634</v>
      </c>
      <c r="C170" s="80">
        <v>43634</v>
      </c>
      <c r="D170" s="3">
        <v>398356</v>
      </c>
      <c r="E170" s="4">
        <f>(Table6[[#This Row],[Count of restaurants]]/D163)-1</f>
        <v>1.9462522168849139E-2</v>
      </c>
      <c r="F170" s="4">
        <v>0.19</v>
      </c>
      <c r="G170" s="112">
        <f>(Table6[[#This Row],[Average Discount]]/F163)-1</f>
        <v>0.11764705882352944</v>
      </c>
      <c r="H170" s="3">
        <v>40</v>
      </c>
      <c r="I170" s="112">
        <f>(Table6[[#This Row],[Out of stock Items per restaurant]]/H163)-1</f>
        <v>0.29032258064516125</v>
      </c>
      <c r="J170" s="3">
        <v>19</v>
      </c>
      <c r="K170" s="169">
        <f>(Table6[[#This Row],[Average Packaging charges]]/J163)-1</f>
        <v>0.11764705882352944</v>
      </c>
      <c r="L170" s="3">
        <v>25</v>
      </c>
      <c r="M170" s="112">
        <f>(Table6[[#This Row],[Average Delivery Charges]]/L163)-1</f>
        <v>-3.8461538461538436E-2</v>
      </c>
      <c r="N170" s="3">
        <v>397</v>
      </c>
      <c r="O170" s="4">
        <f>(Table6[[#This Row],[Avg Cost for two]]/N163)-1</f>
        <v>0.12146892655367236</v>
      </c>
      <c r="P170" s="3">
        <v>40</v>
      </c>
      <c r="Q170" s="81">
        <f>(Table6[[#This Row],[Number of images per restaurant]]/P163)-1</f>
        <v>0.29032258064516125</v>
      </c>
      <c r="R170" s="81">
        <v>0.93</v>
      </c>
      <c r="S170" s="10">
        <f>(Table6[[#This Row],[Success Rate of payments]]/R163)-1</f>
        <v>-1.0638297872340274E-2</v>
      </c>
      <c r="T170" s="64" t="e">
        <f>VLOOKUP(Table6[[#This Row],[Date]],Table2[#All],1,FALSE)</f>
        <v>#N/A</v>
      </c>
    </row>
    <row r="171" spans="2:20" x14ac:dyDescent="0.3">
      <c r="B171" s="38">
        <v>43635</v>
      </c>
      <c r="C171" s="80">
        <v>43635</v>
      </c>
      <c r="D171" s="3">
        <v>406848</v>
      </c>
      <c r="E171" s="4">
        <f>(Table6[[#This Row],[Count of restaurants]]/D164)-1</f>
        <v>1.9681950901640377E-2</v>
      </c>
      <c r="F171" s="4">
        <v>0.18</v>
      </c>
      <c r="G171" s="112">
        <f>(Table6[[#This Row],[Average Discount]]/F164)-1</f>
        <v>5.8823529411764497E-2</v>
      </c>
      <c r="H171" s="3">
        <v>32</v>
      </c>
      <c r="I171" s="112">
        <f>(Table6[[#This Row],[Out of stock Items per restaurant]]/H164)-1</f>
        <v>-0.11111111111111116</v>
      </c>
      <c r="J171" s="3">
        <v>19</v>
      </c>
      <c r="K171" s="169">
        <f>(Table6[[#This Row],[Average Packaging charges]]/J164)-1</f>
        <v>-9.5238095238095233E-2</v>
      </c>
      <c r="L171" s="3">
        <v>27</v>
      </c>
      <c r="M171" s="112">
        <f>(Table6[[#This Row],[Average Delivery Charges]]/L164)-1</f>
        <v>-9.9999999999999978E-2</v>
      </c>
      <c r="N171" s="3">
        <v>370</v>
      </c>
      <c r="O171" s="4">
        <f>(Table6[[#This Row],[Avg Cost for two]]/N164)-1</f>
        <v>-7.4999999999999956E-2</v>
      </c>
      <c r="P171" s="3">
        <v>39</v>
      </c>
      <c r="Q171" s="81">
        <f>(Table6[[#This Row],[Number of images per restaurant]]/P164)-1</f>
        <v>0.21875</v>
      </c>
      <c r="R171" s="81">
        <v>0.94</v>
      </c>
      <c r="S171" s="10">
        <f>(Table6[[#This Row],[Success Rate of payments]]/R164)-1</f>
        <v>-1.0526315789473717E-2</v>
      </c>
      <c r="T171" s="64" t="e">
        <f>VLOOKUP(Table6[[#This Row],[Date]],Table2[#All],1,FALSE)</f>
        <v>#N/A</v>
      </c>
    </row>
    <row r="172" spans="2:20" x14ac:dyDescent="0.3">
      <c r="B172" s="38">
        <v>43636</v>
      </c>
      <c r="C172" s="80">
        <v>43636</v>
      </c>
      <c r="D172" s="3">
        <v>381025</v>
      </c>
      <c r="E172" s="4">
        <f>(Table6[[#This Row],[Count of restaurants]]/D165)-1</f>
        <v>-6.5359236637476337E-2</v>
      </c>
      <c r="F172" s="4">
        <v>0.17</v>
      </c>
      <c r="G172" s="112">
        <f>(Table6[[#This Row],[Average Discount]]/F165)-1</f>
        <v>0</v>
      </c>
      <c r="H172" s="3">
        <v>34</v>
      </c>
      <c r="I172" s="112">
        <f>(Table6[[#This Row],[Out of stock Items per restaurant]]/H165)-1</f>
        <v>-5.555555555555558E-2</v>
      </c>
      <c r="J172" s="3">
        <v>19</v>
      </c>
      <c r="K172" s="169">
        <f>(Table6[[#This Row],[Average Packaging charges]]/J165)-1</f>
        <v>0.11764705882352944</v>
      </c>
      <c r="L172" s="3">
        <v>25</v>
      </c>
      <c r="M172" s="112">
        <f>(Table6[[#This Row],[Average Delivery Charges]]/L165)-1</f>
        <v>-0.16666666666666663</v>
      </c>
      <c r="N172" s="3">
        <v>393</v>
      </c>
      <c r="O172" s="4">
        <f>(Table6[[#This Row],[Avg Cost for two]]/N165)-1</f>
        <v>-1.5037593984962405E-2</v>
      </c>
      <c r="P172" s="3">
        <v>38</v>
      </c>
      <c r="Q172" s="81">
        <f>(Table6[[#This Row],[Number of images per restaurant]]/P165)-1</f>
        <v>0.22580645161290325</v>
      </c>
      <c r="R172" s="81">
        <v>0.91</v>
      </c>
      <c r="S172" s="10">
        <f>(Table6[[#This Row],[Success Rate of payments]]/R165)-1</f>
        <v>-1.0869565217391353E-2</v>
      </c>
      <c r="T172" s="64">
        <f>VLOOKUP(Table6[[#This Row],[Date]],Table2[#All],1,FALSE)</f>
        <v>43636</v>
      </c>
    </row>
    <row r="173" spans="2:20" x14ac:dyDescent="0.3">
      <c r="B173" s="38">
        <v>43637</v>
      </c>
      <c r="C173" s="80">
        <v>43637</v>
      </c>
      <c r="D173" s="3">
        <v>382419</v>
      </c>
      <c r="E173" s="4">
        <f>(Table6[[#This Row],[Count of restaurants]]/D166)-1</f>
        <v>-5.4630449077667786E-2</v>
      </c>
      <c r="F173" s="4">
        <v>0.17</v>
      </c>
      <c r="G173" s="112">
        <f>(Table6[[#This Row],[Average Discount]]/F166)-1</f>
        <v>-5.5555555555555469E-2</v>
      </c>
      <c r="H173" s="3">
        <v>36</v>
      </c>
      <c r="I173" s="112">
        <f>(Table6[[#This Row],[Out of stock Items per restaurant]]/H166)-1</f>
        <v>0</v>
      </c>
      <c r="J173" s="3">
        <v>17</v>
      </c>
      <c r="K173" s="169">
        <f>(Table6[[#This Row],[Average Packaging charges]]/J166)-1</f>
        <v>-0.15000000000000002</v>
      </c>
      <c r="L173" s="3">
        <v>30</v>
      </c>
      <c r="M173" s="112">
        <f>(Table6[[#This Row],[Average Delivery Charges]]/L166)-1</f>
        <v>0</v>
      </c>
      <c r="N173" s="3">
        <v>362</v>
      </c>
      <c r="O173" s="4">
        <f>(Table6[[#This Row],[Avg Cost for two]]/N166)-1</f>
        <v>-7.8880407124681917E-2</v>
      </c>
      <c r="P173" s="3">
        <v>36</v>
      </c>
      <c r="Q173" s="81">
        <f>(Table6[[#This Row],[Number of images per restaurant]]/P166)-1</f>
        <v>2.857142857142847E-2</v>
      </c>
      <c r="R173" s="81">
        <v>0.95</v>
      </c>
      <c r="S173" s="10">
        <f>(Table6[[#This Row],[Success Rate of payments]]/R166)-1</f>
        <v>1.0638297872340496E-2</v>
      </c>
      <c r="T173" s="64" t="e">
        <f>VLOOKUP(Table6[[#This Row],[Date]],Table2[#All],1,FALSE)</f>
        <v>#N/A</v>
      </c>
    </row>
    <row r="174" spans="2:20" x14ac:dyDescent="0.3">
      <c r="B174" s="38">
        <v>43638</v>
      </c>
      <c r="C174" s="80">
        <v>43638</v>
      </c>
      <c r="D174" s="3">
        <v>389769</v>
      </c>
      <c r="E174" s="4">
        <f>(Table6[[#This Row],[Count of restaurants]]/D167)-1</f>
        <v>-4.3842498669172114E-2</v>
      </c>
      <c r="F174" s="4">
        <v>0.17</v>
      </c>
      <c r="G174" s="112">
        <f>(Table6[[#This Row],[Average Discount]]/F167)-1</f>
        <v>0</v>
      </c>
      <c r="H174" s="3">
        <v>36</v>
      </c>
      <c r="I174" s="112">
        <f>(Table6[[#This Row],[Out of stock Items per restaurant]]/H167)-1</f>
        <v>-5.2631578947368474E-2</v>
      </c>
      <c r="J174" s="3">
        <v>21</v>
      </c>
      <c r="K174" s="169">
        <f>(Table6[[#This Row],[Average Packaging charges]]/J167)-1</f>
        <v>-4.5454545454545414E-2</v>
      </c>
      <c r="L174" s="3">
        <v>26</v>
      </c>
      <c r="M174" s="112">
        <f>(Table6[[#This Row],[Average Delivery Charges]]/L167)-1</f>
        <v>-3.703703703703709E-2</v>
      </c>
      <c r="N174" s="3">
        <v>366</v>
      </c>
      <c r="O174" s="4">
        <f>(Table6[[#This Row],[Avg Cost for two]]/N167)-1</f>
        <v>2.5210084033613356E-2</v>
      </c>
      <c r="P174" s="3">
        <v>36</v>
      </c>
      <c r="Q174" s="81">
        <f>(Table6[[#This Row],[Number of images per restaurant]]/P167)-1</f>
        <v>0.19999999999999996</v>
      </c>
      <c r="R174" s="81">
        <v>0.93</v>
      </c>
      <c r="S174" s="10">
        <f>(Table6[[#This Row],[Success Rate of payments]]/R167)-1</f>
        <v>2.19780219780219E-2</v>
      </c>
      <c r="T174" s="64" t="e">
        <f>VLOOKUP(Table6[[#This Row],[Date]],Table2[#All],1,FALSE)</f>
        <v>#N/A</v>
      </c>
    </row>
    <row r="175" spans="2:20" x14ac:dyDescent="0.3">
      <c r="B175" s="38">
        <v>43639</v>
      </c>
      <c r="C175" s="80">
        <v>43639</v>
      </c>
      <c r="D175" s="3">
        <v>382119</v>
      </c>
      <c r="E175" s="4">
        <f>(Table6[[#This Row],[Count of restaurants]]/D168)-1</f>
        <v>-1.156011050524075E-2</v>
      </c>
      <c r="F175" s="4">
        <v>0.18</v>
      </c>
      <c r="G175" s="112">
        <f>(Table6[[#This Row],[Average Discount]]/F168)-1</f>
        <v>-5.2631578947368474E-2</v>
      </c>
      <c r="H175" s="3">
        <v>33</v>
      </c>
      <c r="I175" s="112">
        <f>(Table6[[#This Row],[Out of stock Items per restaurant]]/H168)-1</f>
        <v>6.4516129032258007E-2</v>
      </c>
      <c r="J175" s="3">
        <v>21</v>
      </c>
      <c r="K175" s="169">
        <f>(Table6[[#This Row],[Average Packaging charges]]/J168)-1</f>
        <v>0</v>
      </c>
      <c r="L175" s="3">
        <v>27</v>
      </c>
      <c r="M175" s="112">
        <f>(Table6[[#This Row],[Average Delivery Charges]]/L168)-1</f>
        <v>0</v>
      </c>
      <c r="N175" s="3">
        <v>393</v>
      </c>
      <c r="O175" s="4">
        <f>(Table6[[#This Row],[Avg Cost for two]]/N168)-1</f>
        <v>2.0779220779220786E-2</v>
      </c>
      <c r="P175" s="3">
        <v>40</v>
      </c>
      <c r="Q175" s="81">
        <f>(Table6[[#This Row],[Number of images per restaurant]]/P168)-1</f>
        <v>0.17647058823529416</v>
      </c>
      <c r="R175" s="81">
        <v>0.91</v>
      </c>
      <c r="S175" s="10">
        <f>(Table6[[#This Row],[Success Rate of payments]]/R168)-1</f>
        <v>-2.1505376344086002E-2</v>
      </c>
      <c r="T175" s="64" t="e">
        <f>VLOOKUP(Table6[[#This Row],[Date]],Table2[#All],1,FALSE)</f>
        <v>#N/A</v>
      </c>
    </row>
    <row r="176" spans="2:20" x14ac:dyDescent="0.3">
      <c r="B176" s="38">
        <v>43640</v>
      </c>
      <c r="C176" s="80">
        <v>43640</v>
      </c>
      <c r="D176" s="3">
        <v>382070</v>
      </c>
      <c r="E176" s="4">
        <f>(Table6[[#This Row],[Count of restaurants]]/D169)-1</f>
        <v>-1.760529881697126E-2</v>
      </c>
      <c r="F176" s="4">
        <v>0.19</v>
      </c>
      <c r="G176" s="112">
        <f>(Table6[[#This Row],[Average Discount]]/F169)-1</f>
        <v>0.11764705882352944</v>
      </c>
      <c r="H176" s="3">
        <v>32</v>
      </c>
      <c r="I176" s="112">
        <f>(Table6[[#This Row],[Out of stock Items per restaurant]]/H169)-1</f>
        <v>6.6666666666666652E-2</v>
      </c>
      <c r="J176" s="3">
        <v>22</v>
      </c>
      <c r="K176" s="169">
        <f>(Table6[[#This Row],[Average Packaging charges]]/J169)-1</f>
        <v>0.22222222222222232</v>
      </c>
      <c r="L176" s="3">
        <v>30</v>
      </c>
      <c r="M176" s="112">
        <f>(Table6[[#This Row],[Average Delivery Charges]]/L169)-1</f>
        <v>0.15384615384615374</v>
      </c>
      <c r="N176" s="3">
        <v>391</v>
      </c>
      <c r="O176" s="4">
        <f>(Table6[[#This Row],[Avg Cost for two]]/N169)-1</f>
        <v>0.11714285714285722</v>
      </c>
      <c r="P176" s="3">
        <v>31</v>
      </c>
      <c r="Q176" s="81">
        <f>(Table6[[#This Row],[Number of images per restaurant]]/P169)-1</f>
        <v>-3.125E-2</v>
      </c>
      <c r="R176" s="81">
        <v>0.93</v>
      </c>
      <c r="S176" s="10">
        <f>(Table6[[#This Row],[Success Rate of payments]]/R169)-1</f>
        <v>0</v>
      </c>
      <c r="T176" s="64" t="e">
        <f>VLOOKUP(Table6[[#This Row],[Date]],Table2[#All],1,FALSE)</f>
        <v>#N/A</v>
      </c>
    </row>
    <row r="177" spans="2:20" x14ac:dyDescent="0.3">
      <c r="B177" s="38">
        <v>43641</v>
      </c>
      <c r="C177" s="80">
        <v>43641</v>
      </c>
      <c r="D177" s="3">
        <v>399302</v>
      </c>
      <c r="E177" s="4">
        <f>(Table6[[#This Row],[Count of restaurants]]/D170)-1</f>
        <v>2.3747602646879695E-3</v>
      </c>
      <c r="F177" s="4">
        <v>0.17</v>
      </c>
      <c r="G177" s="112">
        <f>(Table6[[#This Row],[Average Discount]]/F170)-1</f>
        <v>-0.10526315789473684</v>
      </c>
      <c r="H177" s="3">
        <v>33</v>
      </c>
      <c r="I177" s="112">
        <f>(Table6[[#This Row],[Out of stock Items per restaurant]]/H170)-1</f>
        <v>-0.17500000000000004</v>
      </c>
      <c r="J177" s="3">
        <v>21</v>
      </c>
      <c r="K177" s="169">
        <f>(Table6[[#This Row],[Average Packaging charges]]/J170)-1</f>
        <v>0.10526315789473695</v>
      </c>
      <c r="L177" s="3">
        <v>28</v>
      </c>
      <c r="M177" s="112">
        <f>(Table6[[#This Row],[Average Delivery Charges]]/L170)-1</f>
        <v>0.12000000000000011</v>
      </c>
      <c r="N177" s="3">
        <v>359</v>
      </c>
      <c r="O177" s="4">
        <f>(Table6[[#This Row],[Avg Cost for two]]/N170)-1</f>
        <v>-9.5717884130982367E-2</v>
      </c>
      <c r="P177" s="3">
        <v>34</v>
      </c>
      <c r="Q177" s="81">
        <f>(Table6[[#This Row],[Number of images per restaurant]]/P170)-1</f>
        <v>-0.15000000000000002</v>
      </c>
      <c r="R177" s="81">
        <v>0.95</v>
      </c>
      <c r="S177" s="10">
        <f>(Table6[[#This Row],[Success Rate of payments]]/R170)-1</f>
        <v>2.1505376344086002E-2</v>
      </c>
      <c r="T177" s="64" t="e">
        <f>VLOOKUP(Table6[[#This Row],[Date]],Table2[#All],1,FALSE)</f>
        <v>#N/A</v>
      </c>
    </row>
    <row r="178" spans="2:20" x14ac:dyDescent="0.3">
      <c r="B178" s="38">
        <v>43642</v>
      </c>
      <c r="C178" s="80">
        <v>43642</v>
      </c>
      <c r="D178" s="3">
        <v>390068</v>
      </c>
      <c r="E178" s="4">
        <f>(Table6[[#This Row],[Count of restaurants]]/D171)-1</f>
        <v>-4.1243904357401329E-2</v>
      </c>
      <c r="F178" s="4">
        <v>0.18</v>
      </c>
      <c r="G178" s="112">
        <f>(Table6[[#This Row],[Average Discount]]/F171)-1</f>
        <v>0</v>
      </c>
      <c r="H178" s="3">
        <v>38</v>
      </c>
      <c r="I178" s="112">
        <f>(Table6[[#This Row],[Out of stock Items per restaurant]]/H171)-1</f>
        <v>0.1875</v>
      </c>
      <c r="J178" s="3">
        <v>22</v>
      </c>
      <c r="K178" s="169">
        <f>(Table6[[#This Row],[Average Packaging charges]]/J171)-1</f>
        <v>0.15789473684210531</v>
      </c>
      <c r="L178" s="3">
        <v>30</v>
      </c>
      <c r="M178" s="112">
        <f>(Table6[[#This Row],[Average Delivery Charges]]/L171)-1</f>
        <v>0.11111111111111116</v>
      </c>
      <c r="N178" s="3">
        <v>365</v>
      </c>
      <c r="O178" s="4">
        <f>(Table6[[#This Row],[Avg Cost for two]]/N171)-1</f>
        <v>-1.3513513513513487E-2</v>
      </c>
      <c r="P178" s="3">
        <v>31</v>
      </c>
      <c r="Q178" s="81">
        <f>(Table6[[#This Row],[Number of images per restaurant]]/P171)-1</f>
        <v>-0.20512820512820518</v>
      </c>
      <c r="R178" s="81">
        <v>0.92</v>
      </c>
      <c r="S178" s="10">
        <f>(Table6[[#This Row],[Success Rate of payments]]/R171)-1</f>
        <v>-2.1276595744680771E-2</v>
      </c>
      <c r="T178" s="64" t="e">
        <f>VLOOKUP(Table6[[#This Row],[Date]],Table2[#All],1,FALSE)</f>
        <v>#N/A</v>
      </c>
    </row>
    <row r="179" spans="2:20" s="14" customFormat="1" x14ac:dyDescent="0.3">
      <c r="B179" s="97">
        <v>43643</v>
      </c>
      <c r="C179" s="130">
        <v>43643</v>
      </c>
      <c r="D179" s="16">
        <v>399922</v>
      </c>
      <c r="E179" s="109">
        <f>(Table6[[#This Row],[Count of restaurants]]/D172)-1</f>
        <v>4.959517092054333E-2</v>
      </c>
      <c r="F179" s="109">
        <v>0.19</v>
      </c>
      <c r="G179" s="131">
        <f>(Table6[[#This Row],[Average Discount]]/F172)-1</f>
        <v>0.11764705882352944</v>
      </c>
      <c r="H179" s="16">
        <v>31</v>
      </c>
      <c r="I179" s="131">
        <f>(Table6[[#This Row],[Out of stock Items per restaurant]]/H172)-1</f>
        <v>-8.8235294117647078E-2</v>
      </c>
      <c r="J179" s="16">
        <v>17</v>
      </c>
      <c r="K179" s="170">
        <f>(Table6[[#This Row],[Average Packaging charges]]/J172)-1</f>
        <v>-0.10526315789473684</v>
      </c>
      <c r="L179" s="16">
        <v>30</v>
      </c>
      <c r="M179" s="131">
        <f>(Table6[[#This Row],[Average Delivery Charges]]/L172)-1</f>
        <v>0.19999999999999996</v>
      </c>
      <c r="N179" s="16">
        <v>355</v>
      </c>
      <c r="O179" s="109">
        <f>(Table6[[#This Row],[Avg Cost for two]]/N172)-1</f>
        <v>-9.6692111959287508E-2</v>
      </c>
      <c r="P179" s="16">
        <v>35</v>
      </c>
      <c r="Q179" s="132">
        <f>(Table6[[#This Row],[Number of images per restaurant]]/P172)-1</f>
        <v>-7.8947368421052655E-2</v>
      </c>
      <c r="R179" s="132">
        <v>0.91</v>
      </c>
      <c r="S179" s="72">
        <f>(Table6[[#This Row],[Success Rate of payments]]/R172)-1</f>
        <v>0</v>
      </c>
      <c r="T179" s="98">
        <f>VLOOKUP(Table6[[#This Row],[Date]],Table2[#All],1,FALSE)</f>
        <v>43643</v>
      </c>
    </row>
    <row r="180" spans="2:20" x14ac:dyDescent="0.3">
      <c r="B180" s="38">
        <v>43644</v>
      </c>
      <c r="C180" s="80">
        <v>43644</v>
      </c>
      <c r="D180" s="3">
        <v>401728</v>
      </c>
      <c r="E180" s="4">
        <f>(Table6[[#This Row],[Count of restaurants]]/D173)-1</f>
        <v>5.0491738119706309E-2</v>
      </c>
      <c r="F180" s="4">
        <v>0.17</v>
      </c>
      <c r="G180" s="112">
        <f>(Table6[[#This Row],[Average Discount]]/F173)-1</f>
        <v>0</v>
      </c>
      <c r="H180" s="3">
        <v>31</v>
      </c>
      <c r="I180" s="112">
        <f>(Table6[[#This Row],[Out of stock Items per restaurant]]/H173)-1</f>
        <v>-0.13888888888888884</v>
      </c>
      <c r="J180" s="3">
        <v>18</v>
      </c>
      <c r="K180" s="169">
        <f>(Table6[[#This Row],[Average Packaging charges]]/J173)-1</f>
        <v>5.8823529411764719E-2</v>
      </c>
      <c r="L180" s="3">
        <v>25</v>
      </c>
      <c r="M180" s="112">
        <f>(Table6[[#This Row],[Average Delivery Charges]]/L173)-1</f>
        <v>-0.16666666666666663</v>
      </c>
      <c r="N180" s="3">
        <v>400</v>
      </c>
      <c r="O180" s="4">
        <f>(Table6[[#This Row],[Avg Cost for two]]/N173)-1</f>
        <v>0.1049723756906078</v>
      </c>
      <c r="P180" s="3">
        <v>37</v>
      </c>
      <c r="Q180" s="81">
        <f>(Table6[[#This Row],[Number of images per restaurant]]/P173)-1</f>
        <v>2.7777777777777679E-2</v>
      </c>
      <c r="R180" s="81">
        <v>0.92</v>
      </c>
      <c r="S180" s="10">
        <f>(Table6[[#This Row],[Success Rate of payments]]/R173)-1</f>
        <v>-3.1578947368420929E-2</v>
      </c>
      <c r="T180" s="64" t="e">
        <f>VLOOKUP(Table6[[#This Row],[Date]],Table2[#All],1,FALSE)</f>
        <v>#N/A</v>
      </c>
    </row>
    <row r="181" spans="2:20" x14ac:dyDescent="0.3">
      <c r="B181" s="38">
        <v>43645</v>
      </c>
      <c r="C181" s="80">
        <v>43645</v>
      </c>
      <c r="D181" s="3">
        <v>397499</v>
      </c>
      <c r="E181" s="4">
        <f>(Table6[[#This Row],[Count of restaurants]]/D174)-1</f>
        <v>1.9832259620441883E-2</v>
      </c>
      <c r="F181" s="4">
        <v>0.18</v>
      </c>
      <c r="G181" s="112">
        <f>(Table6[[#This Row],[Average Discount]]/F174)-1</f>
        <v>5.8823529411764497E-2</v>
      </c>
      <c r="H181" s="3">
        <v>38</v>
      </c>
      <c r="I181" s="112">
        <f>(Table6[[#This Row],[Out of stock Items per restaurant]]/H174)-1</f>
        <v>5.555555555555558E-2</v>
      </c>
      <c r="J181" s="3">
        <v>22</v>
      </c>
      <c r="K181" s="169">
        <f>(Table6[[#This Row],[Average Packaging charges]]/J174)-1</f>
        <v>4.7619047619047672E-2</v>
      </c>
      <c r="L181" s="3">
        <v>29</v>
      </c>
      <c r="M181" s="112">
        <f>(Table6[[#This Row],[Average Delivery Charges]]/L174)-1</f>
        <v>0.11538461538461542</v>
      </c>
      <c r="N181" s="3">
        <v>374</v>
      </c>
      <c r="O181" s="4">
        <f>(Table6[[#This Row],[Avg Cost for two]]/N174)-1</f>
        <v>2.1857923497267784E-2</v>
      </c>
      <c r="P181" s="3">
        <v>35</v>
      </c>
      <c r="Q181" s="81">
        <f>(Table6[[#This Row],[Number of images per restaurant]]/P174)-1</f>
        <v>-2.777777777777779E-2</v>
      </c>
      <c r="R181" s="81">
        <v>0.92</v>
      </c>
      <c r="S181" s="10">
        <f>(Table6[[#This Row],[Success Rate of payments]]/R174)-1</f>
        <v>-1.0752688172043001E-2</v>
      </c>
      <c r="T181" s="64" t="e">
        <f>VLOOKUP(Table6[[#This Row],[Date]],Table2[#All],1,FALSE)</f>
        <v>#N/A</v>
      </c>
    </row>
    <row r="182" spans="2:20" x14ac:dyDescent="0.3">
      <c r="B182" s="38">
        <v>43646</v>
      </c>
      <c r="C182" s="80">
        <v>43646</v>
      </c>
      <c r="D182" s="3">
        <v>389825</v>
      </c>
      <c r="E182" s="4">
        <f>(Table6[[#This Row],[Count of restaurants]]/D175)-1</f>
        <v>2.0166492637110345E-2</v>
      </c>
      <c r="F182" s="4">
        <v>0.19</v>
      </c>
      <c r="G182" s="112">
        <f>(Table6[[#This Row],[Average Discount]]/F175)-1</f>
        <v>5.555555555555558E-2</v>
      </c>
      <c r="H182" s="3">
        <v>36</v>
      </c>
      <c r="I182" s="112">
        <f>(Table6[[#This Row],[Out of stock Items per restaurant]]/H175)-1</f>
        <v>9.0909090909090828E-2</v>
      </c>
      <c r="J182" s="3">
        <v>22</v>
      </c>
      <c r="K182" s="169">
        <f>(Table6[[#This Row],[Average Packaging charges]]/J175)-1</f>
        <v>4.7619047619047672E-2</v>
      </c>
      <c r="L182" s="3">
        <v>29</v>
      </c>
      <c r="M182" s="112">
        <f>(Table6[[#This Row],[Average Delivery Charges]]/L175)-1</f>
        <v>7.4074074074074181E-2</v>
      </c>
      <c r="N182" s="3">
        <v>376</v>
      </c>
      <c r="O182" s="4">
        <f>(Table6[[#This Row],[Avg Cost for two]]/N175)-1</f>
        <v>-4.3256997455470736E-2</v>
      </c>
      <c r="P182" s="3">
        <v>38</v>
      </c>
      <c r="Q182" s="81">
        <f>(Table6[[#This Row],[Number of images per restaurant]]/P175)-1</f>
        <v>-5.0000000000000044E-2</v>
      </c>
      <c r="R182" s="81">
        <v>0.91</v>
      </c>
      <c r="S182" s="10">
        <f>(Table6[[#This Row],[Success Rate of payments]]/R175)-1</f>
        <v>0</v>
      </c>
      <c r="T182" s="64" t="e">
        <f>VLOOKUP(Table6[[#This Row],[Date]],Table2[#All],1,FALSE)</f>
        <v>#N/A</v>
      </c>
    </row>
    <row r="183" spans="2:20" x14ac:dyDescent="0.3">
      <c r="B183" s="38">
        <v>43647</v>
      </c>
      <c r="C183" s="80">
        <v>43647</v>
      </c>
      <c r="D183" s="3">
        <v>409263</v>
      </c>
      <c r="E183" s="4">
        <f>(Table6[[#This Row],[Count of restaurants]]/D176)-1</f>
        <v>7.1172821734237113E-2</v>
      </c>
      <c r="F183" s="4">
        <v>0.17</v>
      </c>
      <c r="G183" s="112">
        <f>(Table6[[#This Row],[Average Discount]]/F176)-1</f>
        <v>-0.10526315789473684</v>
      </c>
      <c r="H183" s="3">
        <v>31</v>
      </c>
      <c r="I183" s="112">
        <f>(Table6[[#This Row],[Out of stock Items per restaurant]]/H176)-1</f>
        <v>-3.125E-2</v>
      </c>
      <c r="J183" s="3">
        <v>20</v>
      </c>
      <c r="K183" s="169">
        <f>(Table6[[#This Row],[Average Packaging charges]]/J176)-1</f>
        <v>-9.0909090909090939E-2</v>
      </c>
      <c r="L183" s="3">
        <v>26</v>
      </c>
      <c r="M183" s="112">
        <f>(Table6[[#This Row],[Average Delivery Charges]]/L176)-1</f>
        <v>-0.1333333333333333</v>
      </c>
      <c r="N183" s="3">
        <v>386</v>
      </c>
      <c r="O183" s="4">
        <f>(Table6[[#This Row],[Avg Cost for two]]/N176)-1</f>
        <v>-1.2787723785166238E-2</v>
      </c>
      <c r="P183" s="3">
        <v>36</v>
      </c>
      <c r="Q183" s="81">
        <f>(Table6[[#This Row],[Number of images per restaurant]]/P176)-1</f>
        <v>0.16129032258064524</v>
      </c>
      <c r="R183" s="81">
        <v>0.93</v>
      </c>
      <c r="S183" s="10">
        <f>(Table6[[#This Row],[Success Rate of payments]]/R176)-1</f>
        <v>0</v>
      </c>
      <c r="T183" s="64" t="e">
        <f>VLOOKUP(Table6[[#This Row],[Date]],Table2[#All],1,FALSE)</f>
        <v>#N/A</v>
      </c>
    </row>
    <row r="184" spans="2:20" x14ac:dyDescent="0.3">
      <c r="B184" s="38">
        <v>43648</v>
      </c>
      <c r="C184" s="80">
        <v>43648</v>
      </c>
      <c r="D184" s="3">
        <v>404436</v>
      </c>
      <c r="E184" s="4">
        <f>(Table6[[#This Row],[Count of restaurants]]/D177)-1</f>
        <v>1.2857436226214825E-2</v>
      </c>
      <c r="F184" s="4">
        <v>0.17</v>
      </c>
      <c r="G184" s="112">
        <f>(Table6[[#This Row],[Average Discount]]/F177)-1</f>
        <v>0</v>
      </c>
      <c r="H184" s="3">
        <v>34</v>
      </c>
      <c r="I184" s="112">
        <f>(Table6[[#This Row],[Out of stock Items per restaurant]]/H177)-1</f>
        <v>3.0303030303030276E-2</v>
      </c>
      <c r="J184" s="3">
        <v>19</v>
      </c>
      <c r="K184" s="169">
        <f>(Table6[[#This Row],[Average Packaging charges]]/J177)-1</f>
        <v>-9.5238095238095233E-2</v>
      </c>
      <c r="L184" s="3">
        <v>25</v>
      </c>
      <c r="M184" s="112">
        <f>(Table6[[#This Row],[Average Delivery Charges]]/L177)-1</f>
        <v>-0.1071428571428571</v>
      </c>
      <c r="N184" s="3">
        <v>376</v>
      </c>
      <c r="O184" s="4">
        <f>(Table6[[#This Row],[Avg Cost for two]]/N177)-1</f>
        <v>4.7353760445682402E-2</v>
      </c>
      <c r="P184" s="3">
        <v>38</v>
      </c>
      <c r="Q184" s="81">
        <f>(Table6[[#This Row],[Number of images per restaurant]]/P177)-1</f>
        <v>0.11764705882352944</v>
      </c>
      <c r="R184" s="81">
        <v>0.94</v>
      </c>
      <c r="S184" s="10">
        <f>(Table6[[#This Row],[Success Rate of payments]]/R177)-1</f>
        <v>-1.0526315789473717E-2</v>
      </c>
      <c r="T184" s="64" t="e">
        <f>VLOOKUP(Table6[[#This Row],[Date]],Table2[#All],1,FALSE)</f>
        <v>#N/A</v>
      </c>
    </row>
    <row r="185" spans="2:20" x14ac:dyDescent="0.3">
      <c r="B185" s="38">
        <v>43649</v>
      </c>
      <c r="C185" s="80">
        <v>43649</v>
      </c>
      <c r="D185" s="3">
        <v>390781</v>
      </c>
      <c r="E185" s="4">
        <f>(Table6[[#This Row],[Count of restaurants]]/D178)-1</f>
        <v>1.8278864198038036E-3</v>
      </c>
      <c r="F185" s="4">
        <v>0.17</v>
      </c>
      <c r="G185" s="112">
        <f>(Table6[[#This Row],[Average Discount]]/F178)-1</f>
        <v>-5.5555555555555469E-2</v>
      </c>
      <c r="H185" s="3">
        <v>39</v>
      </c>
      <c r="I185" s="112">
        <f>(Table6[[#This Row],[Out of stock Items per restaurant]]/H178)-1</f>
        <v>2.6315789473684292E-2</v>
      </c>
      <c r="J185" s="3">
        <v>20</v>
      </c>
      <c r="K185" s="169">
        <f>(Table6[[#This Row],[Average Packaging charges]]/J178)-1</f>
        <v>-9.0909090909090939E-2</v>
      </c>
      <c r="L185" s="3">
        <v>30</v>
      </c>
      <c r="M185" s="112">
        <f>(Table6[[#This Row],[Average Delivery Charges]]/L178)-1</f>
        <v>0</v>
      </c>
      <c r="N185" s="3">
        <v>385</v>
      </c>
      <c r="O185" s="4">
        <f>(Table6[[#This Row],[Avg Cost for two]]/N178)-1</f>
        <v>5.4794520547945202E-2</v>
      </c>
      <c r="P185" s="3">
        <v>35</v>
      </c>
      <c r="Q185" s="81">
        <f>(Table6[[#This Row],[Number of images per restaurant]]/P178)-1</f>
        <v>0.12903225806451624</v>
      </c>
      <c r="R185" s="81">
        <v>0.94</v>
      </c>
      <c r="S185" s="10">
        <f>(Table6[[#This Row],[Success Rate of payments]]/R178)-1</f>
        <v>2.1739130434782483E-2</v>
      </c>
      <c r="T185" s="64" t="e">
        <f>VLOOKUP(Table6[[#This Row],[Date]],Table2[#All],1,FALSE)</f>
        <v>#N/A</v>
      </c>
    </row>
    <row r="186" spans="2:20" x14ac:dyDescent="0.3">
      <c r="B186" s="38">
        <v>43650</v>
      </c>
      <c r="C186" s="80">
        <v>43650</v>
      </c>
      <c r="D186" s="3">
        <v>400441</v>
      </c>
      <c r="E186" s="4">
        <f>(Table6[[#This Row],[Count of restaurants]]/D179)-1</f>
        <v>1.2977530618469846E-3</v>
      </c>
      <c r="F186" s="4">
        <v>0.18</v>
      </c>
      <c r="G186" s="112">
        <f>(Table6[[#This Row],[Average Discount]]/F179)-1</f>
        <v>-5.2631578947368474E-2</v>
      </c>
      <c r="H186" s="3">
        <v>36</v>
      </c>
      <c r="I186" s="112">
        <f>(Table6[[#This Row],[Out of stock Items per restaurant]]/H179)-1</f>
        <v>0.16129032258064524</v>
      </c>
      <c r="J186" s="3">
        <v>20</v>
      </c>
      <c r="K186" s="169">
        <f>(Table6[[#This Row],[Average Packaging charges]]/J179)-1</f>
        <v>0.17647058823529416</v>
      </c>
      <c r="L186" s="3">
        <v>26</v>
      </c>
      <c r="M186" s="112">
        <f>(Table6[[#This Row],[Average Delivery Charges]]/L179)-1</f>
        <v>-0.1333333333333333</v>
      </c>
      <c r="N186" s="3">
        <v>382</v>
      </c>
      <c r="O186" s="4">
        <f>(Table6[[#This Row],[Avg Cost for two]]/N179)-1</f>
        <v>7.6056338028168913E-2</v>
      </c>
      <c r="P186" s="3">
        <v>37</v>
      </c>
      <c r="Q186" s="81">
        <f>(Table6[[#This Row],[Number of images per restaurant]]/P179)-1</f>
        <v>5.7142857142857162E-2</v>
      </c>
      <c r="R186" s="81">
        <v>0.91</v>
      </c>
      <c r="S186" s="10">
        <f>(Table6[[#This Row],[Success Rate of payments]]/R179)-1</f>
        <v>0</v>
      </c>
      <c r="T186" s="64" t="e">
        <f>VLOOKUP(Table6[[#This Row],[Date]],Table2[#All],1,FALSE)</f>
        <v>#N/A</v>
      </c>
    </row>
    <row r="187" spans="2:20" x14ac:dyDescent="0.3">
      <c r="B187" s="38">
        <v>43651</v>
      </c>
      <c r="C187" s="80">
        <v>43651</v>
      </c>
      <c r="D187" s="3">
        <v>380485</v>
      </c>
      <c r="E187" s="4">
        <f>(Table6[[#This Row],[Count of restaurants]]/D180)-1</f>
        <v>-5.287906245021512E-2</v>
      </c>
      <c r="F187" s="4">
        <v>0.19</v>
      </c>
      <c r="G187" s="112">
        <f>(Table6[[#This Row],[Average Discount]]/F180)-1</f>
        <v>0.11764705882352944</v>
      </c>
      <c r="H187" s="3">
        <v>40</v>
      </c>
      <c r="I187" s="112">
        <f>(Table6[[#This Row],[Out of stock Items per restaurant]]/H180)-1</f>
        <v>0.29032258064516125</v>
      </c>
      <c r="J187" s="3">
        <v>19</v>
      </c>
      <c r="K187" s="169">
        <f>(Table6[[#This Row],[Average Packaging charges]]/J180)-1</f>
        <v>5.555555555555558E-2</v>
      </c>
      <c r="L187" s="3">
        <v>27</v>
      </c>
      <c r="M187" s="112">
        <f>(Table6[[#This Row],[Average Delivery Charges]]/L180)-1</f>
        <v>8.0000000000000071E-2</v>
      </c>
      <c r="N187" s="3">
        <v>380</v>
      </c>
      <c r="O187" s="4">
        <f>(Table6[[#This Row],[Avg Cost for two]]/N180)-1</f>
        <v>-5.0000000000000044E-2</v>
      </c>
      <c r="P187" s="3">
        <v>34</v>
      </c>
      <c r="Q187" s="81">
        <f>(Table6[[#This Row],[Number of images per restaurant]]/P180)-1</f>
        <v>-8.108108108108103E-2</v>
      </c>
      <c r="R187" s="81">
        <v>0.92</v>
      </c>
      <c r="S187" s="10">
        <f>(Table6[[#This Row],[Success Rate of payments]]/R180)-1</f>
        <v>0</v>
      </c>
      <c r="T187" s="64" t="e">
        <f>VLOOKUP(Table6[[#This Row],[Date]],Table2[#All],1,FALSE)</f>
        <v>#N/A</v>
      </c>
    </row>
    <row r="188" spans="2:20" x14ac:dyDescent="0.3">
      <c r="B188" s="38">
        <v>43652</v>
      </c>
      <c r="C188" s="80">
        <v>43652</v>
      </c>
      <c r="D188" s="3">
        <v>385998</v>
      </c>
      <c r="E188" s="4">
        <f>(Table6[[#This Row],[Count of restaurants]]/D181)-1</f>
        <v>-2.8933406121776417E-2</v>
      </c>
      <c r="F188" s="4">
        <v>0.18</v>
      </c>
      <c r="G188" s="112">
        <f>(Table6[[#This Row],[Average Discount]]/F181)-1</f>
        <v>0</v>
      </c>
      <c r="H188" s="3">
        <v>35</v>
      </c>
      <c r="I188" s="112">
        <f>(Table6[[#This Row],[Out of stock Items per restaurant]]/H181)-1</f>
        <v>-7.8947368421052655E-2</v>
      </c>
      <c r="J188" s="3">
        <v>22</v>
      </c>
      <c r="K188" s="169">
        <f>(Table6[[#This Row],[Average Packaging charges]]/J181)-1</f>
        <v>0</v>
      </c>
      <c r="L188" s="3">
        <v>26</v>
      </c>
      <c r="M188" s="112">
        <f>(Table6[[#This Row],[Average Delivery Charges]]/L181)-1</f>
        <v>-0.10344827586206895</v>
      </c>
      <c r="N188" s="3">
        <v>373</v>
      </c>
      <c r="O188" s="4">
        <f>(Table6[[#This Row],[Avg Cost for two]]/N181)-1</f>
        <v>-2.673796791443861E-3</v>
      </c>
      <c r="P188" s="3">
        <v>39</v>
      </c>
      <c r="Q188" s="81">
        <f>(Table6[[#This Row],[Number of images per restaurant]]/P181)-1</f>
        <v>0.11428571428571432</v>
      </c>
      <c r="R188" s="81">
        <v>0.94</v>
      </c>
      <c r="S188" s="10">
        <f>(Table6[[#This Row],[Success Rate of payments]]/R181)-1</f>
        <v>2.1739130434782483E-2</v>
      </c>
      <c r="T188" s="64" t="e">
        <f>VLOOKUP(Table6[[#This Row],[Date]],Table2[#All],1,FALSE)</f>
        <v>#N/A</v>
      </c>
    </row>
    <row r="189" spans="2:20" x14ac:dyDescent="0.3">
      <c r="B189" s="38">
        <v>43653</v>
      </c>
      <c r="C189" s="80">
        <v>43653</v>
      </c>
      <c r="D189" s="3">
        <v>402638</v>
      </c>
      <c r="E189" s="4">
        <f>(Table6[[#This Row],[Count of restaurants]]/D182)-1</f>
        <v>3.286859488231908E-2</v>
      </c>
      <c r="F189" s="4">
        <v>0.18</v>
      </c>
      <c r="G189" s="112">
        <f>(Table6[[#This Row],[Average Discount]]/F182)-1</f>
        <v>-5.2631578947368474E-2</v>
      </c>
      <c r="H189" s="3">
        <v>32</v>
      </c>
      <c r="I189" s="112">
        <f>(Table6[[#This Row],[Out of stock Items per restaurant]]/H182)-1</f>
        <v>-0.11111111111111116</v>
      </c>
      <c r="J189" s="3">
        <v>21</v>
      </c>
      <c r="K189" s="169">
        <f>(Table6[[#This Row],[Average Packaging charges]]/J182)-1</f>
        <v>-4.5454545454545414E-2</v>
      </c>
      <c r="L189" s="3">
        <v>28</v>
      </c>
      <c r="M189" s="112">
        <f>(Table6[[#This Row],[Average Delivery Charges]]/L182)-1</f>
        <v>-3.4482758620689613E-2</v>
      </c>
      <c r="N189" s="3">
        <v>352</v>
      </c>
      <c r="O189" s="4">
        <f>(Table6[[#This Row],[Avg Cost for two]]/N182)-1</f>
        <v>-6.3829787234042534E-2</v>
      </c>
      <c r="P189" s="3">
        <v>32</v>
      </c>
      <c r="Q189" s="81">
        <f>(Table6[[#This Row],[Number of images per restaurant]]/P182)-1</f>
        <v>-0.15789473684210531</v>
      </c>
      <c r="R189" s="81">
        <v>0.94</v>
      </c>
      <c r="S189" s="10">
        <f>(Table6[[#This Row],[Success Rate of payments]]/R182)-1</f>
        <v>3.296703296703285E-2</v>
      </c>
      <c r="T189" s="64" t="e">
        <f>VLOOKUP(Table6[[#This Row],[Date]],Table2[#All],1,FALSE)</f>
        <v>#N/A</v>
      </c>
    </row>
    <row r="190" spans="2:20" x14ac:dyDescent="0.3">
      <c r="B190" s="38">
        <v>43654</v>
      </c>
      <c r="C190" s="80">
        <v>43654</v>
      </c>
      <c r="D190" s="3">
        <v>389876</v>
      </c>
      <c r="E190" s="4">
        <f>(Table6[[#This Row],[Count of restaurants]]/D183)-1</f>
        <v>-4.7370517246855925E-2</v>
      </c>
      <c r="F190" s="4">
        <v>0.18</v>
      </c>
      <c r="G190" s="112">
        <f>(Table6[[#This Row],[Average Discount]]/F183)-1</f>
        <v>5.8823529411764497E-2</v>
      </c>
      <c r="H190" s="3">
        <v>40</v>
      </c>
      <c r="I190" s="112">
        <f>(Table6[[#This Row],[Out of stock Items per restaurant]]/H183)-1</f>
        <v>0.29032258064516125</v>
      </c>
      <c r="J190" s="3">
        <v>19</v>
      </c>
      <c r="K190" s="169">
        <f>(Table6[[#This Row],[Average Packaging charges]]/J183)-1</f>
        <v>-5.0000000000000044E-2</v>
      </c>
      <c r="L190" s="3">
        <v>28</v>
      </c>
      <c r="M190" s="112">
        <f>(Table6[[#This Row],[Average Delivery Charges]]/L183)-1</f>
        <v>7.6923076923076872E-2</v>
      </c>
      <c r="N190" s="3">
        <v>388</v>
      </c>
      <c r="O190" s="4">
        <f>(Table6[[#This Row],[Avg Cost for two]]/N183)-1</f>
        <v>5.1813471502590858E-3</v>
      </c>
      <c r="P190" s="3">
        <v>34</v>
      </c>
      <c r="Q190" s="81">
        <f>(Table6[[#This Row],[Number of images per restaurant]]/P183)-1</f>
        <v>-5.555555555555558E-2</v>
      </c>
      <c r="R190" s="81">
        <v>0.92</v>
      </c>
      <c r="S190" s="10">
        <f>(Table6[[#This Row],[Success Rate of payments]]/R183)-1</f>
        <v>-1.0752688172043001E-2</v>
      </c>
      <c r="T190" s="64" t="e">
        <f>VLOOKUP(Table6[[#This Row],[Date]],Table2[#All],1,FALSE)</f>
        <v>#N/A</v>
      </c>
    </row>
    <row r="191" spans="2:20" x14ac:dyDescent="0.3">
      <c r="B191" s="38">
        <v>43655</v>
      </c>
      <c r="C191" s="80">
        <v>43655</v>
      </c>
      <c r="D191" s="3">
        <v>386858</v>
      </c>
      <c r="E191" s="4">
        <f>(Table6[[#This Row],[Count of restaurants]]/D184)-1</f>
        <v>-4.3462995381222225E-2</v>
      </c>
      <c r="F191" s="4">
        <v>0.17</v>
      </c>
      <c r="G191" s="112">
        <f>(Table6[[#This Row],[Average Discount]]/F184)-1</f>
        <v>0</v>
      </c>
      <c r="H191" s="3">
        <v>39</v>
      </c>
      <c r="I191" s="112">
        <f>(Table6[[#This Row],[Out of stock Items per restaurant]]/H184)-1</f>
        <v>0.14705882352941169</v>
      </c>
      <c r="J191" s="3">
        <v>22</v>
      </c>
      <c r="K191" s="169">
        <f>(Table6[[#This Row],[Average Packaging charges]]/J184)-1</f>
        <v>0.15789473684210531</v>
      </c>
      <c r="L191" s="3">
        <v>27</v>
      </c>
      <c r="M191" s="112">
        <f>(Table6[[#This Row],[Average Delivery Charges]]/L184)-1</f>
        <v>8.0000000000000071E-2</v>
      </c>
      <c r="N191" s="3">
        <v>388</v>
      </c>
      <c r="O191" s="4">
        <f>(Table6[[#This Row],[Avg Cost for two]]/N184)-1</f>
        <v>3.1914893617021267E-2</v>
      </c>
      <c r="P191" s="3">
        <v>32</v>
      </c>
      <c r="Q191" s="81">
        <f>(Table6[[#This Row],[Number of images per restaurant]]/P184)-1</f>
        <v>-0.15789473684210531</v>
      </c>
      <c r="R191" s="81">
        <v>0.91</v>
      </c>
      <c r="S191" s="10">
        <f>(Table6[[#This Row],[Success Rate of payments]]/R184)-1</f>
        <v>-3.1914893617021156E-2</v>
      </c>
      <c r="T191" s="64" t="e">
        <f>VLOOKUP(Table6[[#This Row],[Date]],Table2[#All],1,FALSE)</f>
        <v>#N/A</v>
      </c>
    </row>
    <row r="192" spans="2:20" x14ac:dyDescent="0.3">
      <c r="B192" s="38">
        <v>43656</v>
      </c>
      <c r="C192" s="80">
        <v>43656</v>
      </c>
      <c r="D192" s="3">
        <v>388864</v>
      </c>
      <c r="E192" s="4">
        <f>(Table6[[#This Row],[Count of restaurants]]/D185)-1</f>
        <v>-4.9055609151928969E-3</v>
      </c>
      <c r="F192" s="4">
        <v>0.19</v>
      </c>
      <c r="G192" s="112">
        <f>(Table6[[#This Row],[Average Discount]]/F185)-1</f>
        <v>0.11764705882352944</v>
      </c>
      <c r="H192" s="3">
        <v>40</v>
      </c>
      <c r="I192" s="112">
        <f>(Table6[[#This Row],[Out of stock Items per restaurant]]/H185)-1</f>
        <v>2.564102564102555E-2</v>
      </c>
      <c r="J192" s="3">
        <v>22</v>
      </c>
      <c r="K192" s="169">
        <f>(Table6[[#This Row],[Average Packaging charges]]/J185)-1</f>
        <v>0.10000000000000009</v>
      </c>
      <c r="L192" s="3">
        <v>29</v>
      </c>
      <c r="M192" s="112">
        <f>(Table6[[#This Row],[Average Delivery Charges]]/L185)-1</f>
        <v>-3.3333333333333326E-2</v>
      </c>
      <c r="N192" s="3">
        <v>382</v>
      </c>
      <c r="O192" s="4">
        <f>(Table6[[#This Row],[Avg Cost for two]]/N185)-1</f>
        <v>-7.7922077922077948E-3</v>
      </c>
      <c r="P192" s="3">
        <v>35</v>
      </c>
      <c r="Q192" s="81">
        <f>(Table6[[#This Row],[Number of images per restaurant]]/P185)-1</f>
        <v>0</v>
      </c>
      <c r="R192" s="81">
        <v>0.94</v>
      </c>
      <c r="S192" s="10">
        <f>(Table6[[#This Row],[Success Rate of payments]]/R185)-1</f>
        <v>0</v>
      </c>
      <c r="T192" s="64" t="e">
        <f>VLOOKUP(Table6[[#This Row],[Date]],Table2[#All],1,FALSE)</f>
        <v>#N/A</v>
      </c>
    </row>
    <row r="193" spans="2:20" x14ac:dyDescent="0.3">
      <c r="B193" s="38">
        <v>43657</v>
      </c>
      <c r="C193" s="80">
        <v>43657</v>
      </c>
      <c r="D193" s="3">
        <v>387491</v>
      </c>
      <c r="E193" s="4">
        <f>(Table6[[#This Row],[Count of restaurants]]/D186)-1</f>
        <v>-3.2339345871177039E-2</v>
      </c>
      <c r="F193" s="4">
        <v>0.19</v>
      </c>
      <c r="G193" s="112">
        <f>(Table6[[#This Row],[Average Discount]]/F186)-1</f>
        <v>5.555555555555558E-2</v>
      </c>
      <c r="H193" s="3">
        <v>32</v>
      </c>
      <c r="I193" s="112">
        <f>(Table6[[#This Row],[Out of stock Items per restaurant]]/H186)-1</f>
        <v>-0.11111111111111116</v>
      </c>
      <c r="J193" s="3">
        <v>20</v>
      </c>
      <c r="K193" s="169">
        <f>(Table6[[#This Row],[Average Packaging charges]]/J186)-1</f>
        <v>0</v>
      </c>
      <c r="L193" s="3">
        <v>27</v>
      </c>
      <c r="M193" s="112">
        <f>(Table6[[#This Row],[Average Delivery Charges]]/L186)-1</f>
        <v>3.8461538461538547E-2</v>
      </c>
      <c r="N193" s="3">
        <v>384</v>
      </c>
      <c r="O193" s="4">
        <f>(Table6[[#This Row],[Avg Cost for two]]/N186)-1</f>
        <v>5.2356020942407877E-3</v>
      </c>
      <c r="P193" s="3">
        <v>38</v>
      </c>
      <c r="Q193" s="81">
        <f>(Table6[[#This Row],[Number of images per restaurant]]/P186)-1</f>
        <v>2.7027027027026973E-2</v>
      </c>
      <c r="R193" s="81">
        <v>0.91</v>
      </c>
      <c r="S193" s="10">
        <f>(Table6[[#This Row],[Success Rate of payments]]/R186)-1</f>
        <v>0</v>
      </c>
      <c r="T193" s="64" t="e">
        <f>VLOOKUP(Table6[[#This Row],[Date]],Table2[#All],1,FALSE)</f>
        <v>#N/A</v>
      </c>
    </row>
    <row r="194" spans="2:20" x14ac:dyDescent="0.3">
      <c r="B194" s="38">
        <v>43658</v>
      </c>
      <c r="C194" s="80">
        <v>43658</v>
      </c>
      <c r="D194" s="3">
        <v>390416</v>
      </c>
      <c r="E194" s="4">
        <f>(Table6[[#This Row],[Count of restaurants]]/D187)-1</f>
        <v>2.6100897538667844E-2</v>
      </c>
      <c r="F194" s="4">
        <v>0.18</v>
      </c>
      <c r="G194" s="112">
        <f>(Table6[[#This Row],[Average Discount]]/F187)-1</f>
        <v>-5.2631578947368474E-2</v>
      </c>
      <c r="H194" s="3">
        <v>37</v>
      </c>
      <c r="I194" s="112">
        <f>(Table6[[#This Row],[Out of stock Items per restaurant]]/H187)-1</f>
        <v>-7.4999999999999956E-2</v>
      </c>
      <c r="J194" s="3">
        <v>21</v>
      </c>
      <c r="K194" s="169">
        <f>(Table6[[#This Row],[Average Packaging charges]]/J187)-1</f>
        <v>0.10526315789473695</v>
      </c>
      <c r="L194" s="3">
        <v>27</v>
      </c>
      <c r="M194" s="112">
        <f>(Table6[[#This Row],[Average Delivery Charges]]/L187)-1</f>
        <v>0</v>
      </c>
      <c r="N194" s="3">
        <v>380</v>
      </c>
      <c r="O194" s="4">
        <f>(Table6[[#This Row],[Avg Cost for two]]/N187)-1</f>
        <v>0</v>
      </c>
      <c r="P194" s="3">
        <v>33</v>
      </c>
      <c r="Q194" s="81">
        <f>(Table6[[#This Row],[Number of images per restaurant]]/P187)-1</f>
        <v>-2.9411764705882359E-2</v>
      </c>
      <c r="R194" s="81">
        <v>0.95</v>
      </c>
      <c r="S194" s="10">
        <f>(Table6[[#This Row],[Success Rate of payments]]/R187)-1</f>
        <v>3.2608695652173836E-2</v>
      </c>
      <c r="T194" s="64" t="e">
        <f>VLOOKUP(Table6[[#This Row],[Date]],Table2[#All],1,FALSE)</f>
        <v>#N/A</v>
      </c>
    </row>
    <row r="195" spans="2:20" x14ac:dyDescent="0.3">
      <c r="B195" s="38">
        <v>43659</v>
      </c>
      <c r="C195" s="80">
        <v>43659</v>
      </c>
      <c r="D195" s="3">
        <v>397033</v>
      </c>
      <c r="E195" s="4">
        <f>(Table6[[#This Row],[Count of restaurants]]/D188)-1</f>
        <v>2.8588231027103728E-2</v>
      </c>
      <c r="F195" s="4">
        <v>0.17</v>
      </c>
      <c r="G195" s="112">
        <f>(Table6[[#This Row],[Average Discount]]/F188)-1</f>
        <v>-5.5555555555555469E-2</v>
      </c>
      <c r="H195" s="3">
        <v>34</v>
      </c>
      <c r="I195" s="112">
        <f>(Table6[[#This Row],[Out of stock Items per restaurant]]/H188)-1</f>
        <v>-2.8571428571428581E-2</v>
      </c>
      <c r="J195" s="3">
        <v>19</v>
      </c>
      <c r="K195" s="169">
        <f>(Table6[[#This Row],[Average Packaging charges]]/J188)-1</f>
        <v>-0.13636363636363635</v>
      </c>
      <c r="L195" s="3">
        <v>27</v>
      </c>
      <c r="M195" s="112">
        <f>(Table6[[#This Row],[Average Delivery Charges]]/L188)-1</f>
        <v>3.8461538461538547E-2</v>
      </c>
      <c r="N195" s="3">
        <v>387</v>
      </c>
      <c r="O195" s="4">
        <f>(Table6[[#This Row],[Avg Cost for two]]/N188)-1</f>
        <v>3.7533512064343189E-2</v>
      </c>
      <c r="P195" s="3">
        <v>34</v>
      </c>
      <c r="Q195" s="81">
        <f>(Table6[[#This Row],[Number of images per restaurant]]/P188)-1</f>
        <v>-0.12820512820512819</v>
      </c>
      <c r="R195" s="81">
        <v>0.91</v>
      </c>
      <c r="S195" s="10">
        <f>(Table6[[#This Row],[Success Rate of payments]]/R188)-1</f>
        <v>-3.1914893617021156E-2</v>
      </c>
      <c r="T195" s="64" t="e">
        <f>VLOOKUP(Table6[[#This Row],[Date]],Table2[#All],1,FALSE)</f>
        <v>#N/A</v>
      </c>
    </row>
    <row r="196" spans="2:20" x14ac:dyDescent="0.3">
      <c r="B196" s="38">
        <v>43660</v>
      </c>
      <c r="C196" s="80">
        <v>43660</v>
      </c>
      <c r="D196" s="3">
        <v>395422</v>
      </c>
      <c r="E196" s="4">
        <f>(Table6[[#This Row],[Count of restaurants]]/D189)-1</f>
        <v>-1.7921805691464843E-2</v>
      </c>
      <c r="F196" s="4">
        <v>0.17</v>
      </c>
      <c r="G196" s="112">
        <f>(Table6[[#This Row],[Average Discount]]/F189)-1</f>
        <v>-5.5555555555555469E-2</v>
      </c>
      <c r="H196" s="3">
        <v>38</v>
      </c>
      <c r="I196" s="112">
        <f>(Table6[[#This Row],[Out of stock Items per restaurant]]/H189)-1</f>
        <v>0.1875</v>
      </c>
      <c r="J196" s="3">
        <v>22</v>
      </c>
      <c r="K196" s="169">
        <f>(Table6[[#This Row],[Average Packaging charges]]/J189)-1</f>
        <v>4.7619047619047672E-2</v>
      </c>
      <c r="L196" s="3">
        <v>26</v>
      </c>
      <c r="M196" s="112">
        <f>(Table6[[#This Row],[Average Delivery Charges]]/L189)-1</f>
        <v>-7.1428571428571397E-2</v>
      </c>
      <c r="N196" s="3">
        <v>399</v>
      </c>
      <c r="O196" s="4">
        <f>(Table6[[#This Row],[Avg Cost for two]]/N189)-1</f>
        <v>0.13352272727272729</v>
      </c>
      <c r="P196" s="3">
        <v>35</v>
      </c>
      <c r="Q196" s="81">
        <f>(Table6[[#This Row],[Number of images per restaurant]]/P189)-1</f>
        <v>9.375E-2</v>
      </c>
      <c r="R196" s="81">
        <v>0.92</v>
      </c>
      <c r="S196" s="10">
        <f>(Table6[[#This Row],[Success Rate of payments]]/R189)-1</f>
        <v>-2.1276595744680771E-2</v>
      </c>
      <c r="T196" s="64" t="e">
        <f>VLOOKUP(Table6[[#This Row],[Date]],Table2[#All],1,FALSE)</f>
        <v>#N/A</v>
      </c>
    </row>
    <row r="197" spans="2:20" x14ac:dyDescent="0.3">
      <c r="B197" s="38">
        <v>43661</v>
      </c>
      <c r="C197" s="80">
        <v>43661</v>
      </c>
      <c r="D197" s="3">
        <v>392725</v>
      </c>
      <c r="E197" s="4">
        <f>(Table6[[#This Row],[Count of restaurants]]/D190)-1</f>
        <v>7.3074515999957956E-3</v>
      </c>
      <c r="F197" s="4">
        <v>0.18</v>
      </c>
      <c r="G197" s="112">
        <f>(Table6[[#This Row],[Average Discount]]/F190)-1</f>
        <v>0</v>
      </c>
      <c r="H197" s="3">
        <v>39</v>
      </c>
      <c r="I197" s="112">
        <f>(Table6[[#This Row],[Out of stock Items per restaurant]]/H190)-1</f>
        <v>-2.5000000000000022E-2</v>
      </c>
      <c r="J197" s="3">
        <v>22</v>
      </c>
      <c r="K197" s="169">
        <f>(Table6[[#This Row],[Average Packaging charges]]/J190)-1</f>
        <v>0.15789473684210531</v>
      </c>
      <c r="L197" s="3">
        <v>27</v>
      </c>
      <c r="M197" s="112">
        <f>(Table6[[#This Row],[Average Delivery Charges]]/L190)-1</f>
        <v>-3.5714285714285698E-2</v>
      </c>
      <c r="N197" s="3">
        <v>353</v>
      </c>
      <c r="O197" s="4">
        <f>(Table6[[#This Row],[Avg Cost for two]]/N190)-1</f>
        <v>-9.0206185567010322E-2</v>
      </c>
      <c r="P197" s="3">
        <v>32</v>
      </c>
      <c r="Q197" s="81">
        <f>(Table6[[#This Row],[Number of images per restaurant]]/P190)-1</f>
        <v>-5.8823529411764719E-2</v>
      </c>
      <c r="R197" s="81">
        <v>0.94</v>
      </c>
      <c r="S197" s="10">
        <f>(Table6[[#This Row],[Success Rate of payments]]/R190)-1</f>
        <v>2.1739130434782483E-2</v>
      </c>
      <c r="T197" s="64" t="e">
        <f>VLOOKUP(Table6[[#This Row],[Date]],Table2[#All],1,FALSE)</f>
        <v>#N/A</v>
      </c>
    </row>
    <row r="198" spans="2:20" x14ac:dyDescent="0.3">
      <c r="B198" s="38">
        <v>43662</v>
      </c>
      <c r="C198" s="80">
        <v>43662</v>
      </c>
      <c r="D198" s="3">
        <v>387617</v>
      </c>
      <c r="E198" s="4">
        <f>(Table6[[#This Row],[Count of restaurants]]/D191)-1</f>
        <v>1.9619602024516514E-3</v>
      </c>
      <c r="F198" s="4">
        <v>0.17</v>
      </c>
      <c r="G198" s="112">
        <f>(Table6[[#This Row],[Average Discount]]/F191)-1</f>
        <v>0</v>
      </c>
      <c r="H198" s="3">
        <v>38</v>
      </c>
      <c r="I198" s="112">
        <f>(Table6[[#This Row],[Out of stock Items per restaurant]]/H191)-1</f>
        <v>-2.5641025641025661E-2</v>
      </c>
      <c r="J198" s="3">
        <v>20</v>
      </c>
      <c r="K198" s="169">
        <f>(Table6[[#This Row],[Average Packaging charges]]/J191)-1</f>
        <v>-9.0909090909090939E-2</v>
      </c>
      <c r="L198" s="3">
        <v>30</v>
      </c>
      <c r="M198" s="112">
        <f>(Table6[[#This Row],[Average Delivery Charges]]/L191)-1</f>
        <v>0.11111111111111116</v>
      </c>
      <c r="N198" s="3">
        <v>458</v>
      </c>
      <c r="O198" s="4">
        <f>(Table6[[#This Row],[Avg Cost for two]]/N191)-1</f>
        <v>0.18041237113402064</v>
      </c>
      <c r="P198" s="3">
        <v>40</v>
      </c>
      <c r="Q198" s="81">
        <f>(Table6[[#This Row],[Number of images per restaurant]]/P191)-1</f>
        <v>0.25</v>
      </c>
      <c r="R198" s="81">
        <v>0.95</v>
      </c>
      <c r="S198" s="10">
        <f>(Table6[[#This Row],[Success Rate of payments]]/R191)-1</f>
        <v>4.39560439560438E-2</v>
      </c>
      <c r="T198" s="64">
        <f>VLOOKUP(Table6[[#This Row],[Date]],Table2[#All],1,FALSE)</f>
        <v>43662</v>
      </c>
    </row>
    <row r="199" spans="2:20" x14ac:dyDescent="0.3">
      <c r="B199" s="38">
        <v>43663</v>
      </c>
      <c r="C199" s="80">
        <v>43663</v>
      </c>
      <c r="D199" s="3">
        <v>386795</v>
      </c>
      <c r="E199" s="4">
        <f>(Table6[[#This Row],[Count of restaurants]]/D192)-1</f>
        <v>-5.3206262343646893E-3</v>
      </c>
      <c r="F199" s="4">
        <v>0.18</v>
      </c>
      <c r="G199" s="112">
        <f>(Table6[[#This Row],[Average Discount]]/F192)-1</f>
        <v>-5.2631578947368474E-2</v>
      </c>
      <c r="H199" s="3">
        <v>30</v>
      </c>
      <c r="I199" s="112">
        <f>(Table6[[#This Row],[Out of stock Items per restaurant]]/H192)-1</f>
        <v>-0.25</v>
      </c>
      <c r="J199" s="3">
        <v>17</v>
      </c>
      <c r="K199" s="169">
        <f>(Table6[[#This Row],[Average Packaging charges]]/J192)-1</f>
        <v>-0.22727272727272729</v>
      </c>
      <c r="L199" s="3">
        <v>29</v>
      </c>
      <c r="M199" s="112">
        <f>(Table6[[#This Row],[Average Delivery Charges]]/L192)-1</f>
        <v>0</v>
      </c>
      <c r="N199" s="3">
        <v>387</v>
      </c>
      <c r="O199" s="4">
        <f>(Table6[[#This Row],[Avg Cost for two]]/N192)-1</f>
        <v>1.308900523560208E-2</v>
      </c>
      <c r="P199" s="3">
        <v>36</v>
      </c>
      <c r="Q199" s="81">
        <f>(Table6[[#This Row],[Number of images per restaurant]]/P192)-1</f>
        <v>2.857142857142847E-2</v>
      </c>
      <c r="R199" s="81">
        <v>0.93</v>
      </c>
      <c r="S199" s="10">
        <f>(Table6[[#This Row],[Success Rate of payments]]/R192)-1</f>
        <v>-1.0638297872340274E-2</v>
      </c>
      <c r="T199" s="64" t="e">
        <f>VLOOKUP(Table6[[#This Row],[Date]],Table2[#All],1,FALSE)</f>
        <v>#N/A</v>
      </c>
    </row>
    <row r="200" spans="2:20" x14ac:dyDescent="0.3">
      <c r="B200" s="38">
        <v>43664</v>
      </c>
      <c r="C200" s="80">
        <v>43664</v>
      </c>
      <c r="D200" s="3">
        <v>395874</v>
      </c>
      <c r="E200" s="4">
        <f>(Table6[[#This Row],[Count of restaurants]]/D193)-1</f>
        <v>2.1634050855374731E-2</v>
      </c>
      <c r="F200" s="4">
        <v>0.17</v>
      </c>
      <c r="G200" s="112">
        <f>(Table6[[#This Row],[Average Discount]]/F193)-1</f>
        <v>-0.10526315789473684</v>
      </c>
      <c r="H200" s="3">
        <v>36</v>
      </c>
      <c r="I200" s="112">
        <f>(Table6[[#This Row],[Out of stock Items per restaurant]]/H193)-1</f>
        <v>0.125</v>
      </c>
      <c r="J200" s="3">
        <v>18</v>
      </c>
      <c r="K200" s="169">
        <f>(Table6[[#This Row],[Average Packaging charges]]/J193)-1</f>
        <v>-9.9999999999999978E-2</v>
      </c>
      <c r="L200" s="3">
        <v>29</v>
      </c>
      <c r="M200" s="112">
        <f>(Table6[[#This Row],[Average Delivery Charges]]/L193)-1</f>
        <v>7.4074074074074181E-2</v>
      </c>
      <c r="N200" s="3">
        <v>372</v>
      </c>
      <c r="O200" s="4">
        <f>(Table6[[#This Row],[Avg Cost for two]]/N193)-1</f>
        <v>-3.125E-2</v>
      </c>
      <c r="P200" s="3">
        <v>37</v>
      </c>
      <c r="Q200" s="81">
        <f>(Table6[[#This Row],[Number of images per restaurant]]/P193)-1</f>
        <v>-2.6315789473684181E-2</v>
      </c>
      <c r="R200" s="81">
        <v>0.94</v>
      </c>
      <c r="S200" s="10">
        <f>(Table6[[#This Row],[Success Rate of payments]]/R193)-1</f>
        <v>3.296703296703285E-2</v>
      </c>
      <c r="T200" s="64" t="e">
        <f>VLOOKUP(Table6[[#This Row],[Date]],Table2[#All],1,FALSE)</f>
        <v>#N/A</v>
      </c>
    </row>
    <row r="201" spans="2:20" x14ac:dyDescent="0.3">
      <c r="B201" s="38">
        <v>43665</v>
      </c>
      <c r="C201" s="80">
        <v>43665</v>
      </c>
      <c r="D201" s="3">
        <v>387761</v>
      </c>
      <c r="E201" s="4">
        <f>(Table6[[#This Row],[Count of restaurants]]/D194)-1</f>
        <v>-6.8004385066186002E-3</v>
      </c>
      <c r="F201" s="4">
        <v>0.19</v>
      </c>
      <c r="G201" s="112">
        <f>(Table6[[#This Row],[Average Discount]]/F194)-1</f>
        <v>5.555555555555558E-2</v>
      </c>
      <c r="H201" s="3">
        <v>32</v>
      </c>
      <c r="I201" s="112">
        <f>(Table6[[#This Row],[Out of stock Items per restaurant]]/H194)-1</f>
        <v>-0.13513513513513509</v>
      </c>
      <c r="J201" s="3">
        <v>19</v>
      </c>
      <c r="K201" s="169">
        <f>(Table6[[#This Row],[Average Packaging charges]]/J194)-1</f>
        <v>-9.5238095238095233E-2</v>
      </c>
      <c r="L201" s="3">
        <v>30</v>
      </c>
      <c r="M201" s="112">
        <f>(Table6[[#This Row],[Average Delivery Charges]]/L194)-1</f>
        <v>0.11111111111111116</v>
      </c>
      <c r="N201" s="3">
        <v>388</v>
      </c>
      <c r="O201" s="4">
        <f>(Table6[[#This Row],[Avg Cost for two]]/N194)-1</f>
        <v>2.1052631578947434E-2</v>
      </c>
      <c r="P201" s="3">
        <v>40</v>
      </c>
      <c r="Q201" s="81">
        <f>(Table6[[#This Row],[Number of images per restaurant]]/P194)-1</f>
        <v>0.21212121212121215</v>
      </c>
      <c r="R201" s="81">
        <v>0.94</v>
      </c>
      <c r="S201" s="10">
        <f>(Table6[[#This Row],[Success Rate of payments]]/R194)-1</f>
        <v>-1.0526315789473717E-2</v>
      </c>
      <c r="T201" s="64" t="e">
        <f>VLOOKUP(Table6[[#This Row],[Date]],Table2[#All],1,FALSE)</f>
        <v>#N/A</v>
      </c>
    </row>
    <row r="202" spans="2:20" x14ac:dyDescent="0.3">
      <c r="B202" s="38">
        <v>43666</v>
      </c>
      <c r="C202" s="80">
        <v>43666</v>
      </c>
      <c r="D202" s="3">
        <v>406137</v>
      </c>
      <c r="E202" s="4">
        <f>(Table6[[#This Row],[Count of restaurants]]/D195)-1</f>
        <v>2.2930083897308329E-2</v>
      </c>
      <c r="F202" s="4">
        <v>0.17</v>
      </c>
      <c r="G202" s="112">
        <f>(Table6[[#This Row],[Average Discount]]/F195)-1</f>
        <v>0</v>
      </c>
      <c r="H202" s="3">
        <v>34</v>
      </c>
      <c r="I202" s="112">
        <f>(Table6[[#This Row],[Out of stock Items per restaurant]]/H195)-1</f>
        <v>0</v>
      </c>
      <c r="J202" s="3">
        <v>22</v>
      </c>
      <c r="K202" s="169">
        <f>(Table6[[#This Row],[Average Packaging charges]]/J195)-1</f>
        <v>0.15789473684210531</v>
      </c>
      <c r="L202" s="3">
        <v>30</v>
      </c>
      <c r="M202" s="112">
        <f>(Table6[[#This Row],[Average Delivery Charges]]/L195)-1</f>
        <v>0.11111111111111116</v>
      </c>
      <c r="N202" s="3">
        <v>358</v>
      </c>
      <c r="O202" s="4">
        <f>(Table6[[#This Row],[Avg Cost for two]]/N195)-1</f>
        <v>-7.4935400516795814E-2</v>
      </c>
      <c r="P202" s="3">
        <v>37</v>
      </c>
      <c r="Q202" s="81">
        <f>(Table6[[#This Row],[Number of images per restaurant]]/P195)-1</f>
        <v>8.8235294117646967E-2</v>
      </c>
      <c r="R202" s="81">
        <v>0.95</v>
      </c>
      <c r="S202" s="10">
        <f>(Table6[[#This Row],[Success Rate of payments]]/R195)-1</f>
        <v>4.39560439560438E-2</v>
      </c>
      <c r="T202" s="64" t="e">
        <f>VLOOKUP(Table6[[#This Row],[Date]],Table2[#All],1,FALSE)</f>
        <v>#N/A</v>
      </c>
    </row>
    <row r="203" spans="2:20" x14ac:dyDescent="0.3">
      <c r="B203" s="38">
        <v>43667</v>
      </c>
      <c r="C203" s="80">
        <v>43667</v>
      </c>
      <c r="D203" s="3">
        <v>386278</v>
      </c>
      <c r="E203" s="4">
        <f>(Table6[[#This Row],[Count of restaurants]]/D196)-1</f>
        <v>-2.3124661753771925E-2</v>
      </c>
      <c r="F203" s="4">
        <v>0.19</v>
      </c>
      <c r="G203" s="112">
        <f>(Table6[[#This Row],[Average Discount]]/F196)-1</f>
        <v>0.11764705882352944</v>
      </c>
      <c r="H203" s="3">
        <v>35</v>
      </c>
      <c r="I203" s="112">
        <f>(Table6[[#This Row],[Out of stock Items per restaurant]]/H196)-1</f>
        <v>-7.8947368421052655E-2</v>
      </c>
      <c r="J203" s="3">
        <v>22</v>
      </c>
      <c r="K203" s="169">
        <f>(Table6[[#This Row],[Average Packaging charges]]/J196)-1</f>
        <v>0</v>
      </c>
      <c r="L203" s="3">
        <v>28</v>
      </c>
      <c r="M203" s="112">
        <f>(Table6[[#This Row],[Average Delivery Charges]]/L196)-1</f>
        <v>7.6923076923076872E-2</v>
      </c>
      <c r="N203" s="3">
        <v>396</v>
      </c>
      <c r="O203" s="4">
        <f>(Table6[[#This Row],[Avg Cost for two]]/N196)-1</f>
        <v>-7.5187969924812581E-3</v>
      </c>
      <c r="P203" s="3">
        <v>34</v>
      </c>
      <c r="Q203" s="81">
        <f>(Table6[[#This Row],[Number of images per restaurant]]/P196)-1</f>
        <v>-2.8571428571428581E-2</v>
      </c>
      <c r="R203" s="81">
        <v>0.93</v>
      </c>
      <c r="S203" s="10">
        <f>(Table6[[#This Row],[Success Rate of payments]]/R196)-1</f>
        <v>1.0869565217391353E-2</v>
      </c>
      <c r="T203" s="64" t="e">
        <f>VLOOKUP(Table6[[#This Row],[Date]],Table2[#All],1,FALSE)</f>
        <v>#N/A</v>
      </c>
    </row>
    <row r="204" spans="2:20" x14ac:dyDescent="0.3">
      <c r="B204" s="38">
        <v>43668</v>
      </c>
      <c r="C204" s="80">
        <v>43668</v>
      </c>
      <c r="D204" s="3">
        <v>385427</v>
      </c>
      <c r="E204" s="4">
        <f>(Table6[[#This Row],[Count of restaurants]]/D197)-1</f>
        <v>-1.8582977910751808E-2</v>
      </c>
      <c r="F204" s="4">
        <v>0.19</v>
      </c>
      <c r="G204" s="112">
        <f>(Table6[[#This Row],[Average Discount]]/F197)-1</f>
        <v>5.555555555555558E-2</v>
      </c>
      <c r="H204" s="3">
        <v>33</v>
      </c>
      <c r="I204" s="112">
        <f>(Table6[[#This Row],[Out of stock Items per restaurant]]/H197)-1</f>
        <v>-0.15384615384615385</v>
      </c>
      <c r="J204" s="3">
        <v>17</v>
      </c>
      <c r="K204" s="169">
        <f>(Table6[[#This Row],[Average Packaging charges]]/J197)-1</f>
        <v>-0.22727272727272729</v>
      </c>
      <c r="L204" s="3">
        <v>28</v>
      </c>
      <c r="M204" s="112">
        <f>(Table6[[#This Row],[Average Delivery Charges]]/L197)-1</f>
        <v>3.7037037037036979E-2</v>
      </c>
      <c r="N204" s="3">
        <v>372</v>
      </c>
      <c r="O204" s="4">
        <f>(Table6[[#This Row],[Avg Cost for two]]/N197)-1</f>
        <v>5.3824362606232246E-2</v>
      </c>
      <c r="P204" s="3">
        <v>32</v>
      </c>
      <c r="Q204" s="81">
        <f>(Table6[[#This Row],[Number of images per restaurant]]/P197)-1</f>
        <v>0</v>
      </c>
      <c r="R204" s="81">
        <v>0.94</v>
      </c>
      <c r="S204" s="10">
        <f>(Table6[[#This Row],[Success Rate of payments]]/R197)-1</f>
        <v>0</v>
      </c>
      <c r="T204" s="64" t="e">
        <f>VLOOKUP(Table6[[#This Row],[Date]],Table2[#All],1,FALSE)</f>
        <v>#N/A</v>
      </c>
    </row>
    <row r="205" spans="2:20" x14ac:dyDescent="0.3">
      <c r="B205" s="38">
        <v>43669</v>
      </c>
      <c r="C205" s="80">
        <v>43669</v>
      </c>
      <c r="D205" s="3">
        <v>390237</v>
      </c>
      <c r="E205" s="4">
        <f>(Table6[[#This Row],[Count of restaurants]]/D198)-1</f>
        <v>6.759249465322803E-3</v>
      </c>
      <c r="F205" s="4">
        <v>0.19</v>
      </c>
      <c r="G205" s="112">
        <f>(Table6[[#This Row],[Average Discount]]/F198)-1</f>
        <v>0.11764705882352944</v>
      </c>
      <c r="H205" s="3">
        <v>32</v>
      </c>
      <c r="I205" s="112">
        <f>(Table6[[#This Row],[Out of stock Items per restaurant]]/H198)-1</f>
        <v>-0.15789473684210531</v>
      </c>
      <c r="J205" s="3">
        <v>18</v>
      </c>
      <c r="K205" s="169">
        <f>(Table6[[#This Row],[Average Packaging charges]]/J198)-1</f>
        <v>-9.9999999999999978E-2</v>
      </c>
      <c r="L205" s="3">
        <v>25</v>
      </c>
      <c r="M205" s="112">
        <f>(Table6[[#This Row],[Average Delivery Charges]]/L198)-1</f>
        <v>-0.16666666666666663</v>
      </c>
      <c r="N205" s="3">
        <v>382</v>
      </c>
      <c r="O205" s="4">
        <f>(Table6[[#This Row],[Avg Cost for two]]/N198)-1</f>
        <v>-0.16593886462882101</v>
      </c>
      <c r="P205" s="3">
        <v>35</v>
      </c>
      <c r="Q205" s="81">
        <f>(Table6[[#This Row],[Number of images per restaurant]]/P198)-1</f>
        <v>-0.125</v>
      </c>
      <c r="R205" s="81">
        <v>0.93</v>
      </c>
      <c r="S205" s="10">
        <f>(Table6[[#This Row],[Success Rate of payments]]/R198)-1</f>
        <v>-2.1052631578947323E-2</v>
      </c>
      <c r="T205" s="64">
        <f>VLOOKUP(Table6[[#This Row],[Date]],Table2[#All],1,FALSE)</f>
        <v>43669</v>
      </c>
    </row>
    <row r="206" spans="2:20" x14ac:dyDescent="0.3">
      <c r="B206" s="38">
        <v>43670</v>
      </c>
      <c r="C206" s="80">
        <v>43670</v>
      </c>
      <c r="D206" s="3">
        <v>393045</v>
      </c>
      <c r="E206" s="4">
        <f>(Table6[[#This Row],[Count of restaurants]]/D199)-1</f>
        <v>1.6158430176191452E-2</v>
      </c>
      <c r="F206" s="4">
        <v>0.19</v>
      </c>
      <c r="G206" s="112">
        <f>(Table6[[#This Row],[Average Discount]]/F199)-1</f>
        <v>5.555555555555558E-2</v>
      </c>
      <c r="H206" s="3">
        <v>39</v>
      </c>
      <c r="I206" s="112">
        <f>(Table6[[#This Row],[Out of stock Items per restaurant]]/H199)-1</f>
        <v>0.30000000000000004</v>
      </c>
      <c r="J206" s="3">
        <v>22</v>
      </c>
      <c r="K206" s="169">
        <f>(Table6[[#This Row],[Average Packaging charges]]/J199)-1</f>
        <v>0.29411764705882359</v>
      </c>
      <c r="L206" s="3">
        <v>29</v>
      </c>
      <c r="M206" s="112">
        <f>(Table6[[#This Row],[Average Delivery Charges]]/L199)-1</f>
        <v>0</v>
      </c>
      <c r="N206" s="3">
        <v>360</v>
      </c>
      <c r="O206" s="4">
        <f>(Table6[[#This Row],[Avg Cost for two]]/N199)-1</f>
        <v>-6.9767441860465129E-2</v>
      </c>
      <c r="P206" s="3">
        <v>31</v>
      </c>
      <c r="Q206" s="81">
        <f>(Table6[[#This Row],[Number of images per restaurant]]/P199)-1</f>
        <v>-0.13888888888888884</v>
      </c>
      <c r="R206" s="81">
        <v>0.93</v>
      </c>
      <c r="S206" s="10">
        <f>(Table6[[#This Row],[Success Rate of payments]]/R199)-1</f>
        <v>0</v>
      </c>
      <c r="T206" s="64" t="e">
        <f>VLOOKUP(Table6[[#This Row],[Date]],Table2[#All],1,FALSE)</f>
        <v>#N/A</v>
      </c>
    </row>
    <row r="207" spans="2:20" x14ac:dyDescent="0.3">
      <c r="B207" s="38">
        <v>43671</v>
      </c>
      <c r="C207" s="80">
        <v>43671</v>
      </c>
      <c r="D207" s="3">
        <v>392465</v>
      </c>
      <c r="E207" s="4">
        <f>(Table6[[#This Row],[Count of restaurants]]/D200)-1</f>
        <v>-8.6113258258940784E-3</v>
      </c>
      <c r="F207" s="4">
        <v>0.19</v>
      </c>
      <c r="G207" s="112">
        <f>(Table6[[#This Row],[Average Discount]]/F200)-1</f>
        <v>0.11764705882352944</v>
      </c>
      <c r="H207" s="3">
        <v>31</v>
      </c>
      <c r="I207" s="112">
        <f>(Table6[[#This Row],[Out of stock Items per restaurant]]/H200)-1</f>
        <v>-0.13888888888888884</v>
      </c>
      <c r="J207" s="3">
        <v>21</v>
      </c>
      <c r="K207" s="169">
        <f>(Table6[[#This Row],[Average Packaging charges]]/J200)-1</f>
        <v>0.16666666666666674</v>
      </c>
      <c r="L207" s="3">
        <v>27</v>
      </c>
      <c r="M207" s="112">
        <f>(Table6[[#This Row],[Average Delivery Charges]]/L200)-1</f>
        <v>-6.8965517241379337E-2</v>
      </c>
      <c r="N207" s="3">
        <v>373</v>
      </c>
      <c r="O207" s="4">
        <f>(Table6[[#This Row],[Avg Cost for two]]/N200)-1</f>
        <v>2.6881720430107503E-3</v>
      </c>
      <c r="P207" s="3">
        <v>37</v>
      </c>
      <c r="Q207" s="81">
        <f>(Table6[[#This Row],[Number of images per restaurant]]/P200)-1</f>
        <v>0</v>
      </c>
      <c r="R207" s="81">
        <v>0.94</v>
      </c>
      <c r="S207" s="10">
        <f>(Table6[[#This Row],[Success Rate of payments]]/R200)-1</f>
        <v>0</v>
      </c>
      <c r="T207" s="64" t="e">
        <f>VLOOKUP(Table6[[#This Row],[Date]],Table2[#All],1,FALSE)</f>
        <v>#N/A</v>
      </c>
    </row>
    <row r="208" spans="2:20" x14ac:dyDescent="0.3">
      <c r="B208" s="38">
        <v>43672</v>
      </c>
      <c r="C208" s="80">
        <v>43672</v>
      </c>
      <c r="D208" s="3">
        <v>401514</v>
      </c>
      <c r="E208" s="4">
        <f>(Table6[[#This Row],[Count of restaurants]]/D201)-1</f>
        <v>3.5467723675150387E-2</v>
      </c>
      <c r="F208" s="4">
        <v>0.19</v>
      </c>
      <c r="G208" s="112">
        <f>(Table6[[#This Row],[Average Discount]]/F201)-1</f>
        <v>0</v>
      </c>
      <c r="H208" s="3">
        <v>32</v>
      </c>
      <c r="I208" s="112">
        <f>(Table6[[#This Row],[Out of stock Items per restaurant]]/H201)-1</f>
        <v>0</v>
      </c>
      <c r="J208" s="3">
        <v>17</v>
      </c>
      <c r="K208" s="169">
        <f>(Table6[[#This Row],[Average Packaging charges]]/J201)-1</f>
        <v>-0.10526315789473684</v>
      </c>
      <c r="L208" s="3">
        <v>25</v>
      </c>
      <c r="M208" s="112">
        <f>(Table6[[#This Row],[Average Delivery Charges]]/L201)-1</f>
        <v>-0.16666666666666663</v>
      </c>
      <c r="N208" s="3">
        <v>388</v>
      </c>
      <c r="O208" s="4">
        <f>(Table6[[#This Row],[Avg Cost for two]]/N201)-1</f>
        <v>0</v>
      </c>
      <c r="P208" s="3">
        <v>39</v>
      </c>
      <c r="Q208" s="81">
        <f>(Table6[[#This Row],[Number of images per restaurant]]/P201)-1</f>
        <v>-2.5000000000000022E-2</v>
      </c>
      <c r="R208" s="81">
        <v>0.91</v>
      </c>
      <c r="S208" s="10">
        <f>(Table6[[#This Row],[Success Rate of payments]]/R201)-1</f>
        <v>-3.1914893617021156E-2</v>
      </c>
      <c r="T208" s="64" t="e">
        <f>VLOOKUP(Table6[[#This Row],[Date]],Table2[#All],1,FALSE)</f>
        <v>#N/A</v>
      </c>
    </row>
    <row r="209" spans="2:20" x14ac:dyDescent="0.3">
      <c r="B209" s="38">
        <v>43673</v>
      </c>
      <c r="C209" s="80">
        <v>43673</v>
      </c>
      <c r="D209" s="3">
        <v>392433</v>
      </c>
      <c r="E209" s="4">
        <f>(Table6[[#This Row],[Count of restaurants]]/D202)-1</f>
        <v>-3.3742308629846618E-2</v>
      </c>
      <c r="F209" s="4">
        <v>0.17</v>
      </c>
      <c r="G209" s="112">
        <f>(Table6[[#This Row],[Average Discount]]/F202)-1</f>
        <v>0</v>
      </c>
      <c r="H209" s="3">
        <v>38</v>
      </c>
      <c r="I209" s="112">
        <f>(Table6[[#This Row],[Out of stock Items per restaurant]]/H202)-1</f>
        <v>0.11764705882352944</v>
      </c>
      <c r="J209" s="3">
        <v>19</v>
      </c>
      <c r="K209" s="169">
        <f>(Table6[[#This Row],[Average Packaging charges]]/J202)-1</f>
        <v>-0.13636363636363635</v>
      </c>
      <c r="L209" s="3">
        <v>29</v>
      </c>
      <c r="M209" s="112">
        <f>(Table6[[#This Row],[Average Delivery Charges]]/L202)-1</f>
        <v>-3.3333333333333326E-2</v>
      </c>
      <c r="N209" s="3">
        <v>382</v>
      </c>
      <c r="O209" s="4">
        <f>(Table6[[#This Row],[Avg Cost for two]]/N202)-1</f>
        <v>6.7039106145251326E-2</v>
      </c>
      <c r="P209" s="3">
        <v>32</v>
      </c>
      <c r="Q209" s="81">
        <f>(Table6[[#This Row],[Number of images per restaurant]]/P202)-1</f>
        <v>-0.13513513513513509</v>
      </c>
      <c r="R209" s="81">
        <v>0.95</v>
      </c>
      <c r="S209" s="10">
        <f>(Table6[[#This Row],[Success Rate of payments]]/R202)-1</f>
        <v>0</v>
      </c>
      <c r="T209" s="64" t="e">
        <f>VLOOKUP(Table6[[#This Row],[Date]],Table2[#All],1,FALSE)</f>
        <v>#N/A</v>
      </c>
    </row>
    <row r="210" spans="2:20" x14ac:dyDescent="0.3">
      <c r="B210" s="38">
        <v>43674</v>
      </c>
      <c r="C210" s="80">
        <v>43674</v>
      </c>
      <c r="D210" s="3">
        <v>395692</v>
      </c>
      <c r="E210" s="4">
        <f>(Table6[[#This Row],[Count of restaurants]]/D203)-1</f>
        <v>2.4371048830117203E-2</v>
      </c>
      <c r="F210" s="4">
        <v>0.17</v>
      </c>
      <c r="G210" s="112">
        <f>(Table6[[#This Row],[Average Discount]]/F203)-1</f>
        <v>-0.10526315789473684</v>
      </c>
      <c r="H210" s="3">
        <v>40</v>
      </c>
      <c r="I210" s="112">
        <f>(Table6[[#This Row],[Out of stock Items per restaurant]]/H203)-1</f>
        <v>0.14285714285714279</v>
      </c>
      <c r="J210" s="3">
        <v>18</v>
      </c>
      <c r="K210" s="169">
        <f>(Table6[[#This Row],[Average Packaging charges]]/J203)-1</f>
        <v>-0.18181818181818177</v>
      </c>
      <c r="L210" s="3">
        <v>26</v>
      </c>
      <c r="M210" s="112">
        <f>(Table6[[#This Row],[Average Delivery Charges]]/L203)-1</f>
        <v>-7.1428571428571397E-2</v>
      </c>
      <c r="N210" s="3">
        <v>375</v>
      </c>
      <c r="O210" s="4">
        <f>(Table6[[#This Row],[Avg Cost for two]]/N203)-1</f>
        <v>-5.3030303030302983E-2</v>
      </c>
      <c r="P210" s="3">
        <v>31</v>
      </c>
      <c r="Q210" s="81">
        <f>(Table6[[#This Row],[Number of images per restaurant]]/P203)-1</f>
        <v>-8.8235294117647078E-2</v>
      </c>
      <c r="R210" s="81">
        <v>0.91</v>
      </c>
      <c r="S210" s="10">
        <f>(Table6[[#This Row],[Success Rate of payments]]/R203)-1</f>
        <v>-2.1505376344086002E-2</v>
      </c>
      <c r="T210" s="64" t="e">
        <f>VLOOKUP(Table6[[#This Row],[Date]],Table2[#All],1,FALSE)</f>
        <v>#N/A</v>
      </c>
    </row>
    <row r="211" spans="2:20" x14ac:dyDescent="0.3">
      <c r="B211" s="38">
        <v>43675</v>
      </c>
      <c r="C211" s="80">
        <v>43675</v>
      </c>
      <c r="D211" s="3">
        <v>391474</v>
      </c>
      <c r="E211" s="4">
        <f>(Table6[[#This Row],[Count of restaurants]]/D204)-1</f>
        <v>1.5689092876212563E-2</v>
      </c>
      <c r="F211" s="4">
        <v>0.17</v>
      </c>
      <c r="G211" s="112">
        <f>(Table6[[#This Row],[Average Discount]]/F204)-1</f>
        <v>-0.10526315789473684</v>
      </c>
      <c r="H211" s="3">
        <v>35</v>
      </c>
      <c r="I211" s="112">
        <f>(Table6[[#This Row],[Out of stock Items per restaurant]]/H204)-1</f>
        <v>6.0606060606060552E-2</v>
      </c>
      <c r="J211" s="3">
        <v>22</v>
      </c>
      <c r="K211" s="169">
        <f>(Table6[[#This Row],[Average Packaging charges]]/J204)-1</f>
        <v>0.29411764705882359</v>
      </c>
      <c r="L211" s="3">
        <v>25</v>
      </c>
      <c r="M211" s="112">
        <f>(Table6[[#This Row],[Average Delivery Charges]]/L204)-1</f>
        <v>-0.1071428571428571</v>
      </c>
      <c r="N211" s="3">
        <v>388</v>
      </c>
      <c r="O211" s="4">
        <f>(Table6[[#This Row],[Avg Cost for two]]/N204)-1</f>
        <v>4.3010752688172005E-2</v>
      </c>
      <c r="P211" s="3">
        <v>38</v>
      </c>
      <c r="Q211" s="81">
        <f>(Table6[[#This Row],[Number of images per restaurant]]/P204)-1</f>
        <v>0.1875</v>
      </c>
      <c r="R211" s="81">
        <v>0.92</v>
      </c>
      <c r="S211" s="10">
        <f>(Table6[[#This Row],[Success Rate of payments]]/R204)-1</f>
        <v>-2.1276595744680771E-2</v>
      </c>
      <c r="T211" s="64" t="e">
        <f>VLOOKUP(Table6[[#This Row],[Date]],Table2[#All],1,FALSE)</f>
        <v>#N/A</v>
      </c>
    </row>
    <row r="212" spans="2:20" x14ac:dyDescent="0.3">
      <c r="B212" s="38">
        <v>43676</v>
      </c>
      <c r="C212" s="80">
        <v>43676</v>
      </c>
      <c r="D212" s="3">
        <v>399345</v>
      </c>
      <c r="E212" s="4">
        <f>(Table6[[#This Row],[Count of restaurants]]/D205)-1</f>
        <v>2.3339662820286211E-2</v>
      </c>
      <c r="F212" s="4">
        <v>0.19</v>
      </c>
      <c r="G212" s="112">
        <f>(Table6[[#This Row],[Average Discount]]/F205)-1</f>
        <v>0</v>
      </c>
      <c r="H212" s="3">
        <v>34</v>
      </c>
      <c r="I212" s="112">
        <f>(Table6[[#This Row],[Out of stock Items per restaurant]]/H205)-1</f>
        <v>6.25E-2</v>
      </c>
      <c r="J212" s="3">
        <v>18</v>
      </c>
      <c r="K212" s="169">
        <f>(Table6[[#This Row],[Average Packaging charges]]/J205)-1</f>
        <v>0</v>
      </c>
      <c r="L212" s="3">
        <v>29</v>
      </c>
      <c r="M212" s="112">
        <f>(Table6[[#This Row],[Average Delivery Charges]]/L205)-1</f>
        <v>0.15999999999999992</v>
      </c>
      <c r="N212" s="3">
        <v>365</v>
      </c>
      <c r="O212" s="4">
        <f>(Table6[[#This Row],[Avg Cost for two]]/N205)-1</f>
        <v>-4.450261780104714E-2</v>
      </c>
      <c r="P212" s="3">
        <v>39</v>
      </c>
      <c r="Q212" s="81">
        <f>(Table6[[#This Row],[Number of images per restaurant]]/P205)-1</f>
        <v>0.11428571428571432</v>
      </c>
      <c r="R212" s="81">
        <v>0.92</v>
      </c>
      <c r="S212" s="10">
        <f>(Table6[[#This Row],[Success Rate of payments]]/R205)-1</f>
        <v>-1.0752688172043001E-2</v>
      </c>
      <c r="T212" s="64" t="e">
        <f>VLOOKUP(Table6[[#This Row],[Date]],Table2[#All],1,FALSE)</f>
        <v>#N/A</v>
      </c>
    </row>
    <row r="213" spans="2:20" x14ac:dyDescent="0.3">
      <c r="B213" s="38">
        <v>43677</v>
      </c>
      <c r="C213" s="80">
        <v>43677</v>
      </c>
      <c r="D213" s="3">
        <v>390149</v>
      </c>
      <c r="E213" s="4">
        <f>(Table6[[#This Row],[Count of restaurants]]/D206)-1</f>
        <v>-7.3681130659338789E-3</v>
      </c>
      <c r="F213" s="4">
        <v>0.17</v>
      </c>
      <c r="G213" s="112">
        <f>(Table6[[#This Row],[Average Discount]]/F206)-1</f>
        <v>-0.10526315789473684</v>
      </c>
      <c r="H213" s="3">
        <v>33</v>
      </c>
      <c r="I213" s="112">
        <f>(Table6[[#This Row],[Out of stock Items per restaurant]]/H206)-1</f>
        <v>-0.15384615384615385</v>
      </c>
      <c r="J213" s="3">
        <v>18</v>
      </c>
      <c r="K213" s="169">
        <f>(Table6[[#This Row],[Average Packaging charges]]/J206)-1</f>
        <v>-0.18181818181818177</v>
      </c>
      <c r="L213" s="3">
        <v>29</v>
      </c>
      <c r="M213" s="112">
        <f>(Table6[[#This Row],[Average Delivery Charges]]/L206)-1</f>
        <v>0</v>
      </c>
      <c r="N213" s="3">
        <v>365</v>
      </c>
      <c r="O213" s="4">
        <f>(Table6[[#This Row],[Avg Cost for two]]/N206)-1</f>
        <v>1.388888888888884E-2</v>
      </c>
      <c r="P213" s="3">
        <v>39</v>
      </c>
      <c r="Q213" s="81">
        <f>(Table6[[#This Row],[Number of images per restaurant]]/P206)-1</f>
        <v>0.25806451612903225</v>
      </c>
      <c r="R213" s="81">
        <v>0.95</v>
      </c>
      <c r="S213" s="10">
        <f>(Table6[[#This Row],[Success Rate of payments]]/R206)-1</f>
        <v>2.1505376344086002E-2</v>
      </c>
      <c r="T213" s="64" t="e">
        <f>VLOOKUP(Table6[[#This Row],[Date]],Table2[#All],1,FALSE)</f>
        <v>#N/A</v>
      </c>
    </row>
    <row r="214" spans="2:20" x14ac:dyDescent="0.3">
      <c r="B214" s="38">
        <v>43678</v>
      </c>
      <c r="C214" s="80">
        <v>43678</v>
      </c>
      <c r="D214" s="3">
        <v>386768</v>
      </c>
      <c r="E214" s="4">
        <f>(Table6[[#This Row],[Count of restaurants]]/D207)-1</f>
        <v>-1.4515944096925804E-2</v>
      </c>
      <c r="F214" s="4">
        <v>0.19</v>
      </c>
      <c r="G214" s="112">
        <f>(Table6[[#This Row],[Average Discount]]/F207)-1</f>
        <v>0</v>
      </c>
      <c r="H214" s="3">
        <v>32</v>
      </c>
      <c r="I214" s="112">
        <f>(Table6[[#This Row],[Out of stock Items per restaurant]]/H207)-1</f>
        <v>3.2258064516129004E-2</v>
      </c>
      <c r="J214" s="3">
        <v>20</v>
      </c>
      <c r="K214" s="169">
        <f>(Table6[[#This Row],[Average Packaging charges]]/J207)-1</f>
        <v>-4.7619047619047672E-2</v>
      </c>
      <c r="L214" s="3">
        <v>25</v>
      </c>
      <c r="M214" s="112">
        <f>(Table6[[#This Row],[Average Delivery Charges]]/L207)-1</f>
        <v>-7.407407407407407E-2</v>
      </c>
      <c r="N214" s="3">
        <v>384</v>
      </c>
      <c r="O214" s="4">
        <f>(Table6[[#This Row],[Avg Cost for two]]/N207)-1</f>
        <v>2.9490616621983934E-2</v>
      </c>
      <c r="P214" s="3">
        <v>37</v>
      </c>
      <c r="Q214" s="81">
        <f>(Table6[[#This Row],[Number of images per restaurant]]/P207)-1</f>
        <v>0</v>
      </c>
      <c r="R214" s="81">
        <v>0.94</v>
      </c>
      <c r="S214" s="10">
        <f>(Table6[[#This Row],[Success Rate of payments]]/R207)-1</f>
        <v>0</v>
      </c>
      <c r="T214" s="64" t="e">
        <f>VLOOKUP(Table6[[#This Row],[Date]],Table2[#All],1,FALSE)</f>
        <v>#N/A</v>
      </c>
    </row>
    <row r="215" spans="2:20" x14ac:dyDescent="0.3">
      <c r="B215" s="38">
        <v>43679</v>
      </c>
      <c r="C215" s="80">
        <v>43679</v>
      </c>
      <c r="D215" s="3">
        <v>387112</v>
      </c>
      <c r="E215" s="4">
        <f>(Table6[[#This Row],[Count of restaurants]]/D208)-1</f>
        <v>-3.5869234945730355E-2</v>
      </c>
      <c r="F215" s="4">
        <v>0.17</v>
      </c>
      <c r="G215" s="112">
        <f>(Table6[[#This Row],[Average Discount]]/F208)-1</f>
        <v>-0.10526315789473684</v>
      </c>
      <c r="H215" s="3">
        <v>37</v>
      </c>
      <c r="I215" s="112">
        <f>(Table6[[#This Row],[Out of stock Items per restaurant]]/H208)-1</f>
        <v>0.15625</v>
      </c>
      <c r="J215" s="3">
        <v>21</v>
      </c>
      <c r="K215" s="169">
        <f>(Table6[[#This Row],[Average Packaging charges]]/J208)-1</f>
        <v>0.23529411764705888</v>
      </c>
      <c r="L215" s="3">
        <v>26</v>
      </c>
      <c r="M215" s="112">
        <f>(Table6[[#This Row],[Average Delivery Charges]]/L208)-1</f>
        <v>4.0000000000000036E-2</v>
      </c>
      <c r="N215" s="3">
        <v>384</v>
      </c>
      <c r="O215" s="4">
        <f>(Table6[[#This Row],[Avg Cost for two]]/N208)-1</f>
        <v>-1.0309278350515427E-2</v>
      </c>
      <c r="P215" s="3">
        <v>37</v>
      </c>
      <c r="Q215" s="81">
        <f>(Table6[[#This Row],[Number of images per restaurant]]/P208)-1</f>
        <v>-5.1282051282051322E-2</v>
      </c>
      <c r="R215" s="81">
        <v>0.93</v>
      </c>
      <c r="S215" s="10">
        <f>(Table6[[#This Row],[Success Rate of payments]]/R208)-1</f>
        <v>2.19780219780219E-2</v>
      </c>
      <c r="T215" s="64" t="e">
        <f>VLOOKUP(Table6[[#This Row],[Date]],Table2[#All],1,FALSE)</f>
        <v>#N/A</v>
      </c>
    </row>
    <row r="216" spans="2:20" x14ac:dyDescent="0.3">
      <c r="B216" s="38">
        <v>43680</v>
      </c>
      <c r="C216" s="80">
        <v>43680</v>
      </c>
      <c r="D216" s="3">
        <v>409781</v>
      </c>
      <c r="E216" s="4">
        <f>(Table6[[#This Row],[Count of restaurants]]/D209)-1</f>
        <v>4.4206272153463066E-2</v>
      </c>
      <c r="F216" s="4">
        <v>0.19</v>
      </c>
      <c r="G216" s="112">
        <f>(Table6[[#This Row],[Average Discount]]/F209)-1</f>
        <v>0.11764705882352944</v>
      </c>
      <c r="H216" s="3">
        <v>30</v>
      </c>
      <c r="I216" s="112">
        <f>(Table6[[#This Row],[Out of stock Items per restaurant]]/H209)-1</f>
        <v>-0.21052631578947367</v>
      </c>
      <c r="J216" s="3">
        <v>19</v>
      </c>
      <c r="K216" s="169">
        <f>(Table6[[#This Row],[Average Packaging charges]]/J209)-1</f>
        <v>0</v>
      </c>
      <c r="L216" s="3">
        <v>27</v>
      </c>
      <c r="M216" s="112">
        <f>(Table6[[#This Row],[Average Delivery Charges]]/L209)-1</f>
        <v>-6.8965517241379337E-2</v>
      </c>
      <c r="N216" s="3">
        <v>358</v>
      </c>
      <c r="O216" s="4">
        <f>(Table6[[#This Row],[Avg Cost for two]]/N209)-1</f>
        <v>-6.2827225130890008E-2</v>
      </c>
      <c r="P216" s="3">
        <v>31</v>
      </c>
      <c r="Q216" s="81">
        <f>(Table6[[#This Row],[Number of images per restaurant]]/P209)-1</f>
        <v>-3.125E-2</v>
      </c>
      <c r="R216" s="81">
        <v>0.92</v>
      </c>
      <c r="S216" s="10">
        <f>(Table6[[#This Row],[Success Rate of payments]]/R209)-1</f>
        <v>-3.1578947368420929E-2</v>
      </c>
      <c r="T216" s="64" t="e">
        <f>VLOOKUP(Table6[[#This Row],[Date]],Table2[#All],1,FALSE)</f>
        <v>#N/A</v>
      </c>
    </row>
    <row r="217" spans="2:20" x14ac:dyDescent="0.3">
      <c r="B217" s="38">
        <v>43681</v>
      </c>
      <c r="C217" s="80">
        <v>43681</v>
      </c>
      <c r="D217" s="3">
        <v>388262</v>
      </c>
      <c r="E217" s="4">
        <f>(Table6[[#This Row],[Count of restaurants]]/D210)-1</f>
        <v>-1.877723077545157E-2</v>
      </c>
      <c r="F217" s="4">
        <v>0.18</v>
      </c>
      <c r="G217" s="112">
        <f>(Table6[[#This Row],[Average Discount]]/F210)-1</f>
        <v>5.8823529411764497E-2</v>
      </c>
      <c r="H217" s="3">
        <v>35</v>
      </c>
      <c r="I217" s="112">
        <f>(Table6[[#This Row],[Out of stock Items per restaurant]]/H210)-1</f>
        <v>-0.125</v>
      </c>
      <c r="J217" s="3">
        <v>22</v>
      </c>
      <c r="K217" s="169">
        <f>(Table6[[#This Row],[Average Packaging charges]]/J210)-1</f>
        <v>0.22222222222222232</v>
      </c>
      <c r="L217" s="3">
        <v>30</v>
      </c>
      <c r="M217" s="112">
        <f>(Table6[[#This Row],[Average Delivery Charges]]/L210)-1</f>
        <v>0.15384615384615374</v>
      </c>
      <c r="N217" s="3">
        <v>369</v>
      </c>
      <c r="O217" s="4">
        <f>(Table6[[#This Row],[Avg Cost for two]]/N210)-1</f>
        <v>-1.6000000000000014E-2</v>
      </c>
      <c r="P217" s="3">
        <v>39</v>
      </c>
      <c r="Q217" s="81">
        <f>(Table6[[#This Row],[Number of images per restaurant]]/P210)-1</f>
        <v>0.25806451612903225</v>
      </c>
      <c r="R217" s="81">
        <v>0.95</v>
      </c>
      <c r="S217" s="10">
        <f>(Table6[[#This Row],[Success Rate of payments]]/R210)-1</f>
        <v>4.39560439560438E-2</v>
      </c>
      <c r="T217" s="64" t="e">
        <f>VLOOKUP(Table6[[#This Row],[Date]],Table2[#All],1,FALSE)</f>
        <v>#N/A</v>
      </c>
    </row>
    <row r="218" spans="2:20" x14ac:dyDescent="0.3">
      <c r="B218" s="38">
        <v>43682</v>
      </c>
      <c r="C218" s="80">
        <v>43682</v>
      </c>
      <c r="D218" s="3">
        <v>403716</v>
      </c>
      <c r="E218" s="4">
        <f>(Table6[[#This Row],[Count of restaurants]]/D211)-1</f>
        <v>3.1271553155509668E-2</v>
      </c>
      <c r="F218" s="4">
        <v>0.17</v>
      </c>
      <c r="G218" s="112">
        <f>(Table6[[#This Row],[Average Discount]]/F211)-1</f>
        <v>0</v>
      </c>
      <c r="H218" s="3">
        <v>39</v>
      </c>
      <c r="I218" s="112">
        <f>(Table6[[#This Row],[Out of stock Items per restaurant]]/H211)-1</f>
        <v>0.11428571428571432</v>
      </c>
      <c r="J218" s="3">
        <v>22</v>
      </c>
      <c r="K218" s="169">
        <f>(Table6[[#This Row],[Average Packaging charges]]/J211)-1</f>
        <v>0</v>
      </c>
      <c r="L218" s="3">
        <v>25</v>
      </c>
      <c r="M218" s="112">
        <f>(Table6[[#This Row],[Average Delivery Charges]]/L211)-1</f>
        <v>0</v>
      </c>
      <c r="N218" s="3">
        <v>389</v>
      </c>
      <c r="O218" s="4">
        <f>(Table6[[#This Row],[Avg Cost for two]]/N211)-1</f>
        <v>2.5773195876288568E-3</v>
      </c>
      <c r="P218" s="3">
        <v>36</v>
      </c>
      <c r="Q218" s="81">
        <f>(Table6[[#This Row],[Number of images per restaurant]]/P211)-1</f>
        <v>-5.2631578947368474E-2</v>
      </c>
      <c r="R218" s="81">
        <v>0.92</v>
      </c>
      <c r="S218" s="10">
        <f>(Table6[[#This Row],[Success Rate of payments]]/R211)-1</f>
        <v>0</v>
      </c>
      <c r="T218" s="64" t="e">
        <f>VLOOKUP(Table6[[#This Row],[Date]],Table2[#All],1,FALSE)</f>
        <v>#N/A</v>
      </c>
    </row>
    <row r="219" spans="2:20" x14ac:dyDescent="0.3">
      <c r="B219" s="38">
        <v>43683</v>
      </c>
      <c r="C219" s="80">
        <v>43683</v>
      </c>
      <c r="D219" s="3">
        <v>398247</v>
      </c>
      <c r="E219" s="4">
        <f>(Table6[[#This Row],[Count of restaurants]]/D212)-1</f>
        <v>-2.749502310032681E-3</v>
      </c>
      <c r="F219" s="4">
        <v>0.17</v>
      </c>
      <c r="G219" s="112">
        <f>(Table6[[#This Row],[Average Discount]]/F212)-1</f>
        <v>-0.10526315789473684</v>
      </c>
      <c r="H219" s="3">
        <v>31</v>
      </c>
      <c r="I219" s="112">
        <f>(Table6[[#This Row],[Out of stock Items per restaurant]]/H212)-1</f>
        <v>-8.8235294117647078E-2</v>
      </c>
      <c r="J219" s="3">
        <v>18</v>
      </c>
      <c r="K219" s="169">
        <f>(Table6[[#This Row],[Average Packaging charges]]/J212)-1</f>
        <v>0</v>
      </c>
      <c r="L219" s="3">
        <v>29</v>
      </c>
      <c r="M219" s="112">
        <f>(Table6[[#This Row],[Average Delivery Charges]]/L212)-1</f>
        <v>0</v>
      </c>
      <c r="N219" s="3">
        <v>398</v>
      </c>
      <c r="O219" s="4">
        <f>(Table6[[#This Row],[Avg Cost for two]]/N212)-1</f>
        <v>9.0410958904109551E-2</v>
      </c>
      <c r="P219" s="3">
        <v>32</v>
      </c>
      <c r="Q219" s="81">
        <f>(Table6[[#This Row],[Number of images per restaurant]]/P212)-1</f>
        <v>-0.17948717948717952</v>
      </c>
      <c r="R219" s="81">
        <v>0.95</v>
      </c>
      <c r="S219" s="10">
        <f>(Table6[[#This Row],[Success Rate of payments]]/R212)-1</f>
        <v>3.2608695652173836E-2</v>
      </c>
      <c r="T219" s="64" t="e">
        <f>VLOOKUP(Table6[[#This Row],[Date]],Table2[#All],1,FALSE)</f>
        <v>#N/A</v>
      </c>
    </row>
    <row r="220" spans="2:20" x14ac:dyDescent="0.3">
      <c r="B220" s="38">
        <v>43684</v>
      </c>
      <c r="C220" s="80">
        <v>43684</v>
      </c>
      <c r="D220" s="3">
        <v>395396</v>
      </c>
      <c r="E220" s="4">
        <f>(Table6[[#This Row],[Count of restaurants]]/D213)-1</f>
        <v>1.3448708057690828E-2</v>
      </c>
      <c r="F220" s="4">
        <v>0.19</v>
      </c>
      <c r="G220" s="112">
        <f>(Table6[[#This Row],[Average Discount]]/F213)-1</f>
        <v>0.11764705882352944</v>
      </c>
      <c r="H220" s="3">
        <v>34</v>
      </c>
      <c r="I220" s="112">
        <f>(Table6[[#This Row],[Out of stock Items per restaurant]]/H213)-1</f>
        <v>3.0303030303030276E-2</v>
      </c>
      <c r="J220" s="3">
        <v>22</v>
      </c>
      <c r="K220" s="169">
        <f>(Table6[[#This Row],[Average Packaging charges]]/J213)-1</f>
        <v>0.22222222222222232</v>
      </c>
      <c r="L220" s="3">
        <v>29</v>
      </c>
      <c r="M220" s="112">
        <f>(Table6[[#This Row],[Average Delivery Charges]]/L213)-1</f>
        <v>0</v>
      </c>
      <c r="N220" s="3">
        <v>366</v>
      </c>
      <c r="O220" s="4">
        <f>(Table6[[#This Row],[Avg Cost for two]]/N213)-1</f>
        <v>2.73972602739736E-3</v>
      </c>
      <c r="P220" s="3">
        <v>37</v>
      </c>
      <c r="Q220" s="81">
        <f>(Table6[[#This Row],[Number of images per restaurant]]/P213)-1</f>
        <v>-5.1282051282051322E-2</v>
      </c>
      <c r="R220" s="81">
        <v>0.91</v>
      </c>
      <c r="S220" s="10">
        <f>(Table6[[#This Row],[Success Rate of payments]]/R213)-1</f>
        <v>-4.2105263157894646E-2</v>
      </c>
      <c r="T220" s="64" t="e">
        <f>VLOOKUP(Table6[[#This Row],[Date]],Table2[#All],1,FALSE)</f>
        <v>#N/A</v>
      </c>
    </row>
    <row r="221" spans="2:20" x14ac:dyDescent="0.3">
      <c r="B221" s="38">
        <v>43685</v>
      </c>
      <c r="C221" s="80">
        <v>43685</v>
      </c>
      <c r="D221" s="3">
        <v>395163</v>
      </c>
      <c r="E221" s="4">
        <f>(Table6[[#This Row],[Count of restaurants]]/D214)-1</f>
        <v>2.1705518553758241E-2</v>
      </c>
      <c r="F221" s="4">
        <v>0.18</v>
      </c>
      <c r="G221" s="112">
        <f>(Table6[[#This Row],[Average Discount]]/F214)-1</f>
        <v>-5.2631578947368474E-2</v>
      </c>
      <c r="H221" s="3">
        <v>32</v>
      </c>
      <c r="I221" s="112">
        <f>(Table6[[#This Row],[Out of stock Items per restaurant]]/H214)-1</f>
        <v>0</v>
      </c>
      <c r="J221" s="3">
        <v>17</v>
      </c>
      <c r="K221" s="169">
        <f>(Table6[[#This Row],[Average Packaging charges]]/J214)-1</f>
        <v>-0.15000000000000002</v>
      </c>
      <c r="L221" s="3">
        <v>29</v>
      </c>
      <c r="M221" s="112">
        <f>(Table6[[#This Row],[Average Delivery Charges]]/L214)-1</f>
        <v>0.15999999999999992</v>
      </c>
      <c r="N221" s="3">
        <v>367</v>
      </c>
      <c r="O221" s="4">
        <f>(Table6[[#This Row],[Avg Cost for two]]/N214)-1</f>
        <v>-4.427083333333337E-2</v>
      </c>
      <c r="P221" s="3">
        <v>37</v>
      </c>
      <c r="Q221" s="81">
        <f>(Table6[[#This Row],[Number of images per restaurant]]/P214)-1</f>
        <v>0</v>
      </c>
      <c r="R221" s="81">
        <v>0.92</v>
      </c>
      <c r="S221" s="10">
        <f>(Table6[[#This Row],[Success Rate of payments]]/R214)-1</f>
        <v>-2.1276595744680771E-2</v>
      </c>
      <c r="T221" s="64" t="e">
        <f>VLOOKUP(Table6[[#This Row],[Date]],Table2[#All],1,FALSE)</f>
        <v>#N/A</v>
      </c>
    </row>
    <row r="222" spans="2:20" x14ac:dyDescent="0.3">
      <c r="B222" s="38">
        <v>43686</v>
      </c>
      <c r="C222" s="80">
        <v>43686</v>
      </c>
      <c r="D222" s="3">
        <v>402090</v>
      </c>
      <c r="E222" s="4">
        <f>(Table6[[#This Row],[Count of restaurants]]/D215)-1</f>
        <v>3.8691644795304736E-2</v>
      </c>
      <c r="F222" s="4">
        <v>0.17</v>
      </c>
      <c r="G222" s="112">
        <f>(Table6[[#This Row],[Average Discount]]/F215)-1</f>
        <v>0</v>
      </c>
      <c r="H222" s="3">
        <v>32</v>
      </c>
      <c r="I222" s="112">
        <f>(Table6[[#This Row],[Out of stock Items per restaurant]]/H215)-1</f>
        <v>-0.13513513513513509</v>
      </c>
      <c r="J222" s="3">
        <v>21</v>
      </c>
      <c r="K222" s="169">
        <f>(Table6[[#This Row],[Average Packaging charges]]/J215)-1</f>
        <v>0</v>
      </c>
      <c r="L222" s="3">
        <v>30</v>
      </c>
      <c r="M222" s="112">
        <f>(Table6[[#This Row],[Average Delivery Charges]]/L215)-1</f>
        <v>0.15384615384615374</v>
      </c>
      <c r="N222" s="3">
        <v>353</v>
      </c>
      <c r="O222" s="4">
        <f>(Table6[[#This Row],[Avg Cost for two]]/N215)-1</f>
        <v>-8.072916666666663E-2</v>
      </c>
      <c r="P222" s="3">
        <v>34</v>
      </c>
      <c r="Q222" s="81">
        <f>(Table6[[#This Row],[Number of images per restaurant]]/P215)-1</f>
        <v>-8.108108108108103E-2</v>
      </c>
      <c r="R222" s="81">
        <v>0.93</v>
      </c>
      <c r="S222" s="10">
        <f>(Table6[[#This Row],[Success Rate of payments]]/R215)-1</f>
        <v>0</v>
      </c>
      <c r="T222" s="64" t="e">
        <f>VLOOKUP(Table6[[#This Row],[Date]],Table2[#All],1,FALSE)</f>
        <v>#N/A</v>
      </c>
    </row>
    <row r="223" spans="2:20" x14ac:dyDescent="0.3">
      <c r="B223" s="38">
        <v>43687</v>
      </c>
      <c r="C223" s="80">
        <v>43687</v>
      </c>
      <c r="D223" s="3">
        <v>398762</v>
      </c>
      <c r="E223" s="4">
        <f>(Table6[[#This Row],[Count of restaurants]]/D216)-1</f>
        <v>-2.6889972936763762E-2</v>
      </c>
      <c r="F223" s="4">
        <v>0.19</v>
      </c>
      <c r="G223" s="112">
        <f>(Table6[[#This Row],[Average Discount]]/F216)-1</f>
        <v>0</v>
      </c>
      <c r="H223" s="3">
        <v>30</v>
      </c>
      <c r="I223" s="112">
        <f>(Table6[[#This Row],[Out of stock Items per restaurant]]/H216)-1</f>
        <v>0</v>
      </c>
      <c r="J223" s="3">
        <v>22</v>
      </c>
      <c r="K223" s="169">
        <f>(Table6[[#This Row],[Average Packaging charges]]/J216)-1</f>
        <v>0.15789473684210531</v>
      </c>
      <c r="L223" s="3">
        <v>27</v>
      </c>
      <c r="M223" s="112">
        <f>(Table6[[#This Row],[Average Delivery Charges]]/L216)-1</f>
        <v>0</v>
      </c>
      <c r="N223" s="3">
        <v>352</v>
      </c>
      <c r="O223" s="4">
        <f>(Table6[[#This Row],[Avg Cost for two]]/N216)-1</f>
        <v>-1.6759776536312887E-2</v>
      </c>
      <c r="P223" s="3">
        <v>30</v>
      </c>
      <c r="Q223" s="81">
        <f>(Table6[[#This Row],[Number of images per restaurant]]/P216)-1</f>
        <v>-3.2258064516129004E-2</v>
      </c>
      <c r="R223" s="81">
        <v>0.93</v>
      </c>
      <c r="S223" s="10">
        <f>(Table6[[#This Row],[Success Rate of payments]]/R216)-1</f>
        <v>1.0869565217391353E-2</v>
      </c>
      <c r="T223" s="64" t="e">
        <f>VLOOKUP(Table6[[#This Row],[Date]],Table2[#All],1,FALSE)</f>
        <v>#N/A</v>
      </c>
    </row>
    <row r="224" spans="2:20" x14ac:dyDescent="0.3">
      <c r="B224" s="38">
        <v>43688</v>
      </c>
      <c r="C224" s="80">
        <v>43688</v>
      </c>
      <c r="D224" s="3">
        <v>383675</v>
      </c>
      <c r="E224" s="4">
        <f>(Table6[[#This Row],[Count of restaurants]]/D217)-1</f>
        <v>-1.1814187327114145E-2</v>
      </c>
      <c r="F224" s="4">
        <v>0.19</v>
      </c>
      <c r="G224" s="112">
        <f>(Table6[[#This Row],[Average Discount]]/F217)-1</f>
        <v>5.555555555555558E-2</v>
      </c>
      <c r="H224" s="3">
        <v>34</v>
      </c>
      <c r="I224" s="112">
        <f>(Table6[[#This Row],[Out of stock Items per restaurant]]/H217)-1</f>
        <v>-2.8571428571428581E-2</v>
      </c>
      <c r="J224" s="3">
        <v>29</v>
      </c>
      <c r="K224" s="169">
        <f>(Table6[[#This Row],[Average Packaging charges]]/J217)-1</f>
        <v>0.31818181818181812</v>
      </c>
      <c r="L224" s="3">
        <v>27</v>
      </c>
      <c r="M224" s="112">
        <f>(Table6[[#This Row],[Average Delivery Charges]]/L217)-1</f>
        <v>-9.9999999999999978E-2</v>
      </c>
      <c r="N224" s="3">
        <v>396</v>
      </c>
      <c r="O224" s="4">
        <f>(Table6[[#This Row],[Avg Cost for two]]/N217)-1</f>
        <v>7.3170731707317138E-2</v>
      </c>
      <c r="P224" s="3">
        <v>31</v>
      </c>
      <c r="Q224" s="81">
        <f>(Table6[[#This Row],[Number of images per restaurant]]/P217)-1</f>
        <v>-0.20512820512820518</v>
      </c>
      <c r="R224" s="81">
        <v>0.95</v>
      </c>
      <c r="S224" s="10">
        <f>(Table6[[#This Row],[Success Rate of payments]]/R217)-1</f>
        <v>0</v>
      </c>
      <c r="T224" s="64">
        <f>VLOOKUP(Table6[[#This Row],[Date]],Table2[#All],1,FALSE)</f>
        <v>43688</v>
      </c>
    </row>
    <row r="225" spans="2:20" x14ac:dyDescent="0.3">
      <c r="B225" s="38">
        <v>43689</v>
      </c>
      <c r="C225" s="80">
        <v>43689</v>
      </c>
      <c r="D225" s="3">
        <v>390603</v>
      </c>
      <c r="E225" s="4">
        <f>(Table6[[#This Row],[Count of restaurants]]/D218)-1</f>
        <v>-3.2480753797223816E-2</v>
      </c>
      <c r="F225" s="4">
        <v>0.18</v>
      </c>
      <c r="G225" s="112">
        <f>(Table6[[#This Row],[Average Discount]]/F218)-1</f>
        <v>5.8823529411764497E-2</v>
      </c>
      <c r="H225" s="3">
        <v>36</v>
      </c>
      <c r="I225" s="112">
        <f>(Table6[[#This Row],[Out of stock Items per restaurant]]/H218)-1</f>
        <v>-7.6923076923076872E-2</v>
      </c>
      <c r="J225" s="3">
        <v>21</v>
      </c>
      <c r="K225" s="169">
        <f>(Table6[[#This Row],[Average Packaging charges]]/J218)-1</f>
        <v>-4.5454545454545414E-2</v>
      </c>
      <c r="L225" s="3">
        <v>30</v>
      </c>
      <c r="M225" s="112">
        <f>(Table6[[#This Row],[Average Delivery Charges]]/L218)-1</f>
        <v>0.19999999999999996</v>
      </c>
      <c r="N225" s="3">
        <v>382</v>
      </c>
      <c r="O225" s="4">
        <f>(Table6[[#This Row],[Avg Cost for two]]/N218)-1</f>
        <v>-1.7994858611825149E-2</v>
      </c>
      <c r="P225" s="3">
        <v>37</v>
      </c>
      <c r="Q225" s="81">
        <f>(Table6[[#This Row],[Number of images per restaurant]]/P218)-1</f>
        <v>2.7777777777777679E-2</v>
      </c>
      <c r="R225" s="81">
        <v>0.91</v>
      </c>
      <c r="S225" s="10">
        <f>(Table6[[#This Row],[Success Rate of payments]]/R218)-1</f>
        <v>-1.0869565217391353E-2</v>
      </c>
      <c r="T225" s="64" t="e">
        <f>VLOOKUP(Table6[[#This Row],[Date]],Table2[#All],1,FALSE)</f>
        <v>#N/A</v>
      </c>
    </row>
    <row r="226" spans="2:20" x14ac:dyDescent="0.3">
      <c r="B226" s="38">
        <v>43690</v>
      </c>
      <c r="C226" s="80">
        <v>43690</v>
      </c>
      <c r="D226" s="3">
        <v>400629</v>
      </c>
      <c r="E226" s="4">
        <f>(Table6[[#This Row],[Count of restaurants]]/D219)-1</f>
        <v>5.9812126645022445E-3</v>
      </c>
      <c r="F226" s="4">
        <v>0.19</v>
      </c>
      <c r="G226" s="112">
        <f>(Table6[[#This Row],[Average Discount]]/F219)-1</f>
        <v>0.11764705882352944</v>
      </c>
      <c r="H226" s="3">
        <v>30</v>
      </c>
      <c r="I226" s="112">
        <f>(Table6[[#This Row],[Out of stock Items per restaurant]]/H219)-1</f>
        <v>-3.2258064516129004E-2</v>
      </c>
      <c r="J226" s="3">
        <v>19</v>
      </c>
      <c r="K226" s="169">
        <f>(Table6[[#This Row],[Average Packaging charges]]/J219)-1</f>
        <v>5.555555555555558E-2</v>
      </c>
      <c r="L226" s="3">
        <v>25</v>
      </c>
      <c r="M226" s="112">
        <f>(Table6[[#This Row],[Average Delivery Charges]]/L219)-1</f>
        <v>-0.13793103448275867</v>
      </c>
      <c r="N226" s="3">
        <v>382</v>
      </c>
      <c r="O226" s="4">
        <f>(Table6[[#This Row],[Avg Cost for two]]/N219)-1</f>
        <v>-4.020100502512558E-2</v>
      </c>
      <c r="P226" s="3">
        <v>32</v>
      </c>
      <c r="Q226" s="81">
        <f>(Table6[[#This Row],[Number of images per restaurant]]/P219)-1</f>
        <v>0</v>
      </c>
      <c r="R226" s="81">
        <v>0.93</v>
      </c>
      <c r="S226" s="10">
        <f>(Table6[[#This Row],[Success Rate of payments]]/R219)-1</f>
        <v>-2.1052631578947323E-2</v>
      </c>
      <c r="T226" s="64" t="e">
        <f>VLOOKUP(Table6[[#This Row],[Date]],Table2[#All],1,FALSE)</f>
        <v>#N/A</v>
      </c>
    </row>
    <row r="227" spans="2:20" x14ac:dyDescent="0.3">
      <c r="B227" s="38">
        <v>43691</v>
      </c>
      <c r="C227" s="80">
        <v>43691</v>
      </c>
      <c r="D227" s="3">
        <v>398528</v>
      </c>
      <c r="E227" s="4">
        <f>(Table6[[#This Row],[Count of restaurants]]/D220)-1</f>
        <v>7.9211726977510555E-3</v>
      </c>
      <c r="F227" s="4">
        <v>0.17</v>
      </c>
      <c r="G227" s="112">
        <f>(Table6[[#This Row],[Average Discount]]/F220)-1</f>
        <v>-0.10526315789473684</v>
      </c>
      <c r="H227" s="3">
        <v>32</v>
      </c>
      <c r="I227" s="112">
        <f>(Table6[[#This Row],[Out of stock Items per restaurant]]/H220)-1</f>
        <v>-5.8823529411764719E-2</v>
      </c>
      <c r="J227" s="3">
        <v>17</v>
      </c>
      <c r="K227" s="169">
        <f>(Table6[[#This Row],[Average Packaging charges]]/J220)-1</f>
        <v>-0.22727272727272729</v>
      </c>
      <c r="L227" s="3">
        <v>25</v>
      </c>
      <c r="M227" s="112">
        <f>(Table6[[#This Row],[Average Delivery Charges]]/L220)-1</f>
        <v>-0.13793103448275867</v>
      </c>
      <c r="N227" s="3">
        <v>372</v>
      </c>
      <c r="O227" s="4">
        <f>(Table6[[#This Row],[Avg Cost for two]]/N220)-1</f>
        <v>1.6393442622950838E-2</v>
      </c>
      <c r="P227" s="3">
        <v>40</v>
      </c>
      <c r="Q227" s="81">
        <f>(Table6[[#This Row],[Number of images per restaurant]]/P220)-1</f>
        <v>8.1081081081081141E-2</v>
      </c>
      <c r="R227" s="81">
        <v>0.91</v>
      </c>
      <c r="S227" s="10">
        <f>(Table6[[#This Row],[Success Rate of payments]]/R220)-1</f>
        <v>0</v>
      </c>
      <c r="T227" s="64" t="e">
        <f>VLOOKUP(Table6[[#This Row],[Date]],Table2[#All],1,FALSE)</f>
        <v>#N/A</v>
      </c>
    </row>
    <row r="228" spans="2:20" x14ac:dyDescent="0.3">
      <c r="B228" s="38">
        <v>43692</v>
      </c>
      <c r="C228" s="80">
        <v>43692</v>
      </c>
      <c r="D228" s="3">
        <v>384154</v>
      </c>
      <c r="E228" s="4">
        <f>(Table6[[#This Row],[Count of restaurants]]/D221)-1</f>
        <v>-2.7859389669579349E-2</v>
      </c>
      <c r="F228" s="4">
        <v>0.17</v>
      </c>
      <c r="G228" s="112">
        <f>(Table6[[#This Row],[Average Discount]]/F221)-1</f>
        <v>-5.5555555555555469E-2</v>
      </c>
      <c r="H228" s="3">
        <v>36</v>
      </c>
      <c r="I228" s="112">
        <f>(Table6[[#This Row],[Out of stock Items per restaurant]]/H221)-1</f>
        <v>0.125</v>
      </c>
      <c r="J228" s="3">
        <v>21</v>
      </c>
      <c r="K228" s="169">
        <f>(Table6[[#This Row],[Average Packaging charges]]/J221)-1</f>
        <v>0.23529411764705888</v>
      </c>
      <c r="L228" s="3">
        <v>28</v>
      </c>
      <c r="M228" s="112">
        <f>(Table6[[#This Row],[Average Delivery Charges]]/L221)-1</f>
        <v>-3.4482758620689613E-2</v>
      </c>
      <c r="N228" s="3">
        <v>362</v>
      </c>
      <c r="O228" s="4">
        <f>(Table6[[#This Row],[Avg Cost for two]]/N221)-1</f>
        <v>-1.3623978201634857E-2</v>
      </c>
      <c r="P228" s="3">
        <v>30</v>
      </c>
      <c r="Q228" s="81">
        <f>(Table6[[#This Row],[Number of images per restaurant]]/P221)-1</f>
        <v>-0.18918918918918914</v>
      </c>
      <c r="R228" s="81">
        <v>0.92</v>
      </c>
      <c r="S228" s="10">
        <f>(Table6[[#This Row],[Success Rate of payments]]/R221)-1</f>
        <v>0</v>
      </c>
      <c r="T228" s="64" t="e">
        <f>VLOOKUP(Table6[[#This Row],[Date]],Table2[#All],1,FALSE)</f>
        <v>#N/A</v>
      </c>
    </row>
    <row r="229" spans="2:20" x14ac:dyDescent="0.3">
      <c r="B229" s="38">
        <v>43693</v>
      </c>
      <c r="C229" s="80">
        <v>43693</v>
      </c>
      <c r="D229" s="3">
        <v>405920</v>
      </c>
      <c r="E229" s="4">
        <f>(Table6[[#This Row],[Count of restaurants]]/D222)-1</f>
        <v>9.5252306697506395E-3</v>
      </c>
      <c r="F229" s="4">
        <v>0.19</v>
      </c>
      <c r="G229" s="112">
        <f>(Table6[[#This Row],[Average Discount]]/F222)-1</f>
        <v>0.11764705882352944</v>
      </c>
      <c r="H229" s="3">
        <v>35</v>
      </c>
      <c r="I229" s="112">
        <f>(Table6[[#This Row],[Out of stock Items per restaurant]]/H222)-1</f>
        <v>9.375E-2</v>
      </c>
      <c r="J229" s="3">
        <v>17</v>
      </c>
      <c r="K229" s="169">
        <f>(Table6[[#This Row],[Average Packaging charges]]/J222)-1</f>
        <v>-0.19047619047619047</v>
      </c>
      <c r="L229" s="3">
        <v>29</v>
      </c>
      <c r="M229" s="112">
        <f>(Table6[[#This Row],[Average Delivery Charges]]/L222)-1</f>
        <v>-3.3333333333333326E-2</v>
      </c>
      <c r="N229" s="3">
        <v>351</v>
      </c>
      <c r="O229" s="4">
        <f>(Table6[[#This Row],[Avg Cost for two]]/N222)-1</f>
        <v>-5.6657223796033884E-3</v>
      </c>
      <c r="P229" s="3">
        <v>40</v>
      </c>
      <c r="Q229" s="81">
        <f>(Table6[[#This Row],[Number of images per restaurant]]/P222)-1</f>
        <v>0.17647058823529416</v>
      </c>
      <c r="R229" s="81">
        <v>0.95</v>
      </c>
      <c r="S229" s="10">
        <f>(Table6[[#This Row],[Success Rate of payments]]/R222)-1</f>
        <v>2.1505376344086002E-2</v>
      </c>
      <c r="T229" s="64" t="e">
        <f>VLOOKUP(Table6[[#This Row],[Date]],Table2[#All],1,FALSE)</f>
        <v>#N/A</v>
      </c>
    </row>
    <row r="230" spans="2:20" x14ac:dyDescent="0.3">
      <c r="B230" s="38">
        <v>43694</v>
      </c>
      <c r="C230" s="80">
        <v>43694</v>
      </c>
      <c r="D230" s="3">
        <v>408856</v>
      </c>
      <c r="E230" s="4">
        <f>(Table6[[#This Row],[Count of restaurants]]/D223)-1</f>
        <v>2.5313344802162741E-2</v>
      </c>
      <c r="F230" s="4">
        <v>0.17</v>
      </c>
      <c r="G230" s="112">
        <f>(Table6[[#This Row],[Average Discount]]/F223)-1</f>
        <v>-0.10526315789473684</v>
      </c>
      <c r="H230" s="3">
        <v>35</v>
      </c>
      <c r="I230" s="112">
        <f>(Table6[[#This Row],[Out of stock Items per restaurant]]/H223)-1</f>
        <v>0.16666666666666674</v>
      </c>
      <c r="J230" s="3">
        <v>17</v>
      </c>
      <c r="K230" s="169">
        <f>(Table6[[#This Row],[Average Packaging charges]]/J223)-1</f>
        <v>-0.22727272727272729</v>
      </c>
      <c r="L230" s="3">
        <v>29</v>
      </c>
      <c r="M230" s="112">
        <f>(Table6[[#This Row],[Average Delivery Charges]]/L223)-1</f>
        <v>7.4074074074074181E-2</v>
      </c>
      <c r="N230" s="3">
        <v>371</v>
      </c>
      <c r="O230" s="4">
        <f>(Table6[[#This Row],[Avg Cost for two]]/N223)-1</f>
        <v>5.3977272727272707E-2</v>
      </c>
      <c r="P230" s="3">
        <v>39</v>
      </c>
      <c r="Q230" s="81">
        <f>(Table6[[#This Row],[Number of images per restaurant]]/P223)-1</f>
        <v>0.30000000000000004</v>
      </c>
      <c r="R230" s="81">
        <v>0.94</v>
      </c>
      <c r="S230" s="10">
        <f>(Table6[[#This Row],[Success Rate of payments]]/R223)-1</f>
        <v>1.0752688172043001E-2</v>
      </c>
      <c r="T230" s="64" t="e">
        <f>VLOOKUP(Table6[[#This Row],[Date]],Table2[#All],1,FALSE)</f>
        <v>#N/A</v>
      </c>
    </row>
    <row r="231" spans="2:20" x14ac:dyDescent="0.3">
      <c r="B231" s="38">
        <v>43695</v>
      </c>
      <c r="C231" s="80">
        <v>43695</v>
      </c>
      <c r="D231" s="3">
        <v>390612</v>
      </c>
      <c r="E231" s="4">
        <f>(Table6[[#This Row],[Count of restaurants]]/D224)-1</f>
        <v>1.8080406594122689E-2</v>
      </c>
      <c r="F231" s="4">
        <v>0.17</v>
      </c>
      <c r="G231" s="112">
        <f>(Table6[[#This Row],[Average Discount]]/F224)-1</f>
        <v>-0.10526315789473684</v>
      </c>
      <c r="H231" s="3">
        <v>38</v>
      </c>
      <c r="I231" s="112">
        <f>(Table6[[#This Row],[Out of stock Items per restaurant]]/H224)-1</f>
        <v>0.11764705882352944</v>
      </c>
      <c r="J231" s="3">
        <v>20</v>
      </c>
      <c r="K231" s="169">
        <f>(Table6[[#This Row],[Average Packaging charges]]/J224)-1</f>
        <v>-0.31034482758620685</v>
      </c>
      <c r="L231" s="3">
        <v>30</v>
      </c>
      <c r="M231" s="112">
        <f>(Table6[[#This Row],[Average Delivery Charges]]/L224)-1</f>
        <v>0.11111111111111116</v>
      </c>
      <c r="N231" s="3">
        <v>380</v>
      </c>
      <c r="O231" s="4">
        <f>(Table6[[#This Row],[Avg Cost for two]]/N224)-1</f>
        <v>-4.0404040404040442E-2</v>
      </c>
      <c r="P231" s="3">
        <v>40</v>
      </c>
      <c r="Q231" s="81">
        <f>(Table6[[#This Row],[Number of images per restaurant]]/P224)-1</f>
        <v>0.29032258064516125</v>
      </c>
      <c r="R231" s="81">
        <v>0.94</v>
      </c>
      <c r="S231" s="10">
        <f>(Table6[[#This Row],[Success Rate of payments]]/R224)-1</f>
        <v>-1.0526315789473717E-2</v>
      </c>
      <c r="T231" s="64">
        <f>VLOOKUP(Table6[[#This Row],[Date]],Table2[#All],1,FALSE)</f>
        <v>43695</v>
      </c>
    </row>
    <row r="232" spans="2:20" x14ac:dyDescent="0.3">
      <c r="B232" s="38">
        <v>43696</v>
      </c>
      <c r="C232" s="80">
        <v>43696</v>
      </c>
      <c r="D232" s="3">
        <v>408028</v>
      </c>
      <c r="E232" s="4">
        <f>(Table6[[#This Row],[Count of restaurants]]/D225)-1</f>
        <v>4.4610512464061891E-2</v>
      </c>
      <c r="F232" s="4">
        <v>0.18</v>
      </c>
      <c r="G232" s="112">
        <f>(Table6[[#This Row],[Average Discount]]/F225)-1</f>
        <v>0</v>
      </c>
      <c r="H232" s="3">
        <v>35</v>
      </c>
      <c r="I232" s="112">
        <f>(Table6[[#This Row],[Out of stock Items per restaurant]]/H225)-1</f>
        <v>-2.777777777777779E-2</v>
      </c>
      <c r="J232" s="3">
        <v>20</v>
      </c>
      <c r="K232" s="169">
        <f>(Table6[[#This Row],[Average Packaging charges]]/J225)-1</f>
        <v>-4.7619047619047672E-2</v>
      </c>
      <c r="L232" s="3">
        <v>30</v>
      </c>
      <c r="M232" s="112">
        <f>(Table6[[#This Row],[Average Delivery Charges]]/L225)-1</f>
        <v>0</v>
      </c>
      <c r="N232" s="3">
        <v>388</v>
      </c>
      <c r="O232" s="4">
        <f>(Table6[[#This Row],[Avg Cost for two]]/N225)-1</f>
        <v>1.5706806282722585E-2</v>
      </c>
      <c r="P232" s="3">
        <v>32</v>
      </c>
      <c r="Q232" s="81">
        <f>(Table6[[#This Row],[Number of images per restaurant]]/P225)-1</f>
        <v>-0.13513513513513509</v>
      </c>
      <c r="R232" s="81">
        <v>0.93</v>
      </c>
      <c r="S232" s="10">
        <f>(Table6[[#This Row],[Success Rate of payments]]/R225)-1</f>
        <v>2.19780219780219E-2</v>
      </c>
      <c r="T232" s="64" t="e">
        <f>VLOOKUP(Table6[[#This Row],[Date]],Table2[#All],1,FALSE)</f>
        <v>#N/A</v>
      </c>
    </row>
    <row r="233" spans="2:20" x14ac:dyDescent="0.3">
      <c r="B233" s="38">
        <v>43697</v>
      </c>
      <c r="C233" s="80">
        <v>43697</v>
      </c>
      <c r="D233" s="3">
        <v>383876</v>
      </c>
      <c r="E233" s="4">
        <f>(Table6[[#This Row],[Count of restaurants]]/D226)-1</f>
        <v>-4.181674317136308E-2</v>
      </c>
      <c r="F233" s="4">
        <v>0.18</v>
      </c>
      <c r="G233" s="112">
        <f>(Table6[[#This Row],[Average Discount]]/F226)-1</f>
        <v>-5.2631578947368474E-2</v>
      </c>
      <c r="H233" s="3">
        <v>35</v>
      </c>
      <c r="I233" s="112">
        <f>(Table6[[#This Row],[Out of stock Items per restaurant]]/H226)-1</f>
        <v>0.16666666666666674</v>
      </c>
      <c r="J233" s="3">
        <v>22</v>
      </c>
      <c r="K233" s="169">
        <f>(Table6[[#This Row],[Average Packaging charges]]/J226)-1</f>
        <v>0.15789473684210531</v>
      </c>
      <c r="L233" s="3">
        <v>30</v>
      </c>
      <c r="M233" s="112">
        <f>(Table6[[#This Row],[Average Delivery Charges]]/L226)-1</f>
        <v>0.19999999999999996</v>
      </c>
      <c r="N233" s="3">
        <v>351</v>
      </c>
      <c r="O233" s="4">
        <f>(Table6[[#This Row],[Avg Cost for two]]/N226)-1</f>
        <v>-8.1151832460732987E-2</v>
      </c>
      <c r="P233" s="3">
        <v>38</v>
      </c>
      <c r="Q233" s="81">
        <f>(Table6[[#This Row],[Number of images per restaurant]]/P226)-1</f>
        <v>0.1875</v>
      </c>
      <c r="R233" s="81">
        <v>0.92</v>
      </c>
      <c r="S233" s="10">
        <f>(Table6[[#This Row],[Success Rate of payments]]/R226)-1</f>
        <v>-1.0752688172043001E-2</v>
      </c>
      <c r="T233" s="64" t="e">
        <f>VLOOKUP(Table6[[#This Row],[Date]],Table2[#All],1,FALSE)</f>
        <v>#N/A</v>
      </c>
    </row>
    <row r="234" spans="2:20" x14ac:dyDescent="0.3">
      <c r="B234" s="38">
        <v>43698</v>
      </c>
      <c r="C234" s="80">
        <v>43698</v>
      </c>
      <c r="D234" s="3">
        <v>390911</v>
      </c>
      <c r="E234" s="4">
        <f>(Table6[[#This Row],[Count of restaurants]]/D227)-1</f>
        <v>-1.9112835233659919E-2</v>
      </c>
      <c r="F234" s="4">
        <v>0.19</v>
      </c>
      <c r="G234" s="112">
        <f>(Table6[[#This Row],[Average Discount]]/F227)-1</f>
        <v>0.11764705882352944</v>
      </c>
      <c r="H234" s="3">
        <v>36</v>
      </c>
      <c r="I234" s="112">
        <f>(Table6[[#This Row],[Out of stock Items per restaurant]]/H227)-1</f>
        <v>0.125</v>
      </c>
      <c r="J234" s="3">
        <v>18</v>
      </c>
      <c r="K234" s="169">
        <f>(Table6[[#This Row],[Average Packaging charges]]/J227)-1</f>
        <v>5.8823529411764719E-2</v>
      </c>
      <c r="L234" s="3">
        <v>28</v>
      </c>
      <c r="M234" s="112">
        <f>(Table6[[#This Row],[Average Delivery Charges]]/L227)-1</f>
        <v>0.12000000000000011</v>
      </c>
      <c r="N234" s="3">
        <v>382</v>
      </c>
      <c r="O234" s="4">
        <f>(Table6[[#This Row],[Avg Cost for two]]/N227)-1</f>
        <v>2.6881720430107503E-2</v>
      </c>
      <c r="P234" s="3">
        <v>32</v>
      </c>
      <c r="Q234" s="81">
        <f>(Table6[[#This Row],[Number of images per restaurant]]/P227)-1</f>
        <v>-0.19999999999999996</v>
      </c>
      <c r="R234" s="81">
        <v>0.93</v>
      </c>
      <c r="S234" s="10">
        <f>(Table6[[#This Row],[Success Rate of payments]]/R227)-1</f>
        <v>2.19780219780219E-2</v>
      </c>
      <c r="T234" s="64" t="e">
        <f>VLOOKUP(Table6[[#This Row],[Date]],Table2[#All],1,FALSE)</f>
        <v>#N/A</v>
      </c>
    </row>
    <row r="235" spans="2:20" x14ac:dyDescent="0.3">
      <c r="B235" s="38">
        <v>43699</v>
      </c>
      <c r="C235" s="80">
        <v>43699</v>
      </c>
      <c r="D235" s="3">
        <v>382072</v>
      </c>
      <c r="E235" s="4">
        <f>(Table6[[#This Row],[Count of restaurants]]/D228)-1</f>
        <v>-5.4197014738880389E-3</v>
      </c>
      <c r="F235" s="4">
        <v>0.19</v>
      </c>
      <c r="G235" s="112">
        <f>(Table6[[#This Row],[Average Discount]]/F228)-1</f>
        <v>0.11764705882352944</v>
      </c>
      <c r="H235" s="3">
        <v>36</v>
      </c>
      <c r="I235" s="112">
        <f>(Table6[[#This Row],[Out of stock Items per restaurant]]/H228)-1</f>
        <v>0</v>
      </c>
      <c r="J235" s="3">
        <v>18</v>
      </c>
      <c r="K235" s="169">
        <f>(Table6[[#This Row],[Average Packaging charges]]/J228)-1</f>
        <v>-0.1428571428571429</v>
      </c>
      <c r="L235" s="3">
        <v>29</v>
      </c>
      <c r="M235" s="112">
        <f>(Table6[[#This Row],[Average Delivery Charges]]/L228)-1</f>
        <v>3.5714285714285809E-2</v>
      </c>
      <c r="N235" s="3">
        <v>395</v>
      </c>
      <c r="O235" s="4">
        <f>(Table6[[#This Row],[Avg Cost for two]]/N228)-1</f>
        <v>9.1160220994475072E-2</v>
      </c>
      <c r="P235" s="3">
        <v>37</v>
      </c>
      <c r="Q235" s="81">
        <f>(Table6[[#This Row],[Number of images per restaurant]]/P228)-1</f>
        <v>0.23333333333333339</v>
      </c>
      <c r="R235" s="81">
        <v>0.95</v>
      </c>
      <c r="S235" s="10">
        <f>(Table6[[#This Row],[Success Rate of payments]]/R228)-1</f>
        <v>3.2608695652173836E-2</v>
      </c>
      <c r="T235" s="64" t="e">
        <f>VLOOKUP(Table6[[#This Row],[Date]],Table2[#All],1,FALSE)</f>
        <v>#N/A</v>
      </c>
    </row>
    <row r="236" spans="2:20" x14ac:dyDescent="0.3">
      <c r="B236" s="38">
        <v>43700</v>
      </c>
      <c r="C236" s="80">
        <v>43700</v>
      </c>
      <c r="D236" s="3">
        <v>403634</v>
      </c>
      <c r="E236" s="4">
        <f>(Table6[[#This Row],[Count of restaurants]]/D229)-1</f>
        <v>-5.6316515569569958E-3</v>
      </c>
      <c r="F236" s="4">
        <v>0.19</v>
      </c>
      <c r="G236" s="112">
        <f>(Table6[[#This Row],[Average Discount]]/F229)-1</f>
        <v>0</v>
      </c>
      <c r="H236" s="3">
        <v>39</v>
      </c>
      <c r="I236" s="112">
        <f>(Table6[[#This Row],[Out of stock Items per restaurant]]/H229)-1</f>
        <v>0.11428571428571432</v>
      </c>
      <c r="J236" s="3">
        <v>21</v>
      </c>
      <c r="K236" s="169">
        <f>(Table6[[#This Row],[Average Packaging charges]]/J229)-1</f>
        <v>0.23529411764705888</v>
      </c>
      <c r="L236" s="3">
        <v>27</v>
      </c>
      <c r="M236" s="112">
        <f>(Table6[[#This Row],[Average Delivery Charges]]/L229)-1</f>
        <v>-6.8965517241379337E-2</v>
      </c>
      <c r="N236" s="3">
        <v>352</v>
      </c>
      <c r="O236" s="4">
        <f>(Table6[[#This Row],[Avg Cost for two]]/N229)-1</f>
        <v>2.8490028490029129E-3</v>
      </c>
      <c r="P236" s="3">
        <v>34</v>
      </c>
      <c r="Q236" s="81">
        <f>(Table6[[#This Row],[Number of images per restaurant]]/P229)-1</f>
        <v>-0.15000000000000002</v>
      </c>
      <c r="R236" s="81">
        <v>0.93</v>
      </c>
      <c r="S236" s="10">
        <f>(Table6[[#This Row],[Success Rate of payments]]/R229)-1</f>
        <v>-2.1052631578947323E-2</v>
      </c>
      <c r="T236" s="64" t="e">
        <f>VLOOKUP(Table6[[#This Row],[Date]],Table2[#All],1,FALSE)</f>
        <v>#N/A</v>
      </c>
    </row>
    <row r="237" spans="2:20" x14ac:dyDescent="0.3">
      <c r="B237" s="38">
        <v>43701</v>
      </c>
      <c r="C237" s="80">
        <v>43701</v>
      </c>
      <c r="D237" s="3">
        <v>380313</v>
      </c>
      <c r="E237" s="4">
        <f>(Table6[[#This Row],[Count of restaurants]]/D230)-1</f>
        <v>-6.9811865302209064E-2</v>
      </c>
      <c r="F237" s="4">
        <v>0.19</v>
      </c>
      <c r="G237" s="112">
        <f>(Table6[[#This Row],[Average Discount]]/F230)-1</f>
        <v>0.11764705882352944</v>
      </c>
      <c r="H237" s="3">
        <v>36</v>
      </c>
      <c r="I237" s="112">
        <f>(Table6[[#This Row],[Out of stock Items per restaurant]]/H230)-1</f>
        <v>2.857142857142847E-2</v>
      </c>
      <c r="J237" s="3">
        <v>18</v>
      </c>
      <c r="K237" s="169">
        <f>(Table6[[#This Row],[Average Packaging charges]]/J230)-1</f>
        <v>5.8823529411764719E-2</v>
      </c>
      <c r="L237" s="3">
        <v>29</v>
      </c>
      <c r="M237" s="112">
        <f>(Table6[[#This Row],[Average Delivery Charges]]/L230)-1</f>
        <v>0</v>
      </c>
      <c r="N237" s="3">
        <v>377</v>
      </c>
      <c r="O237" s="4">
        <f>(Table6[[#This Row],[Avg Cost for two]]/N230)-1</f>
        <v>1.6172506738544534E-2</v>
      </c>
      <c r="P237" s="3">
        <v>31</v>
      </c>
      <c r="Q237" s="81">
        <f>(Table6[[#This Row],[Number of images per restaurant]]/P230)-1</f>
        <v>-0.20512820512820518</v>
      </c>
      <c r="R237" s="81">
        <v>0.94</v>
      </c>
      <c r="S237" s="10">
        <f>(Table6[[#This Row],[Success Rate of payments]]/R230)-1</f>
        <v>0</v>
      </c>
      <c r="T237" s="64" t="e">
        <f>VLOOKUP(Table6[[#This Row],[Date]],Table2[#All],1,FALSE)</f>
        <v>#N/A</v>
      </c>
    </row>
    <row r="238" spans="2:20" x14ac:dyDescent="0.3">
      <c r="B238" s="38">
        <v>43702</v>
      </c>
      <c r="C238" s="80">
        <v>43702</v>
      </c>
      <c r="D238" s="3">
        <v>388418</v>
      </c>
      <c r="E238" s="4">
        <f>(Table6[[#This Row],[Count of restaurants]]/D231)-1</f>
        <v>-5.6168269280001404E-3</v>
      </c>
      <c r="F238" s="4">
        <v>0.19</v>
      </c>
      <c r="G238" s="112">
        <f>(Table6[[#This Row],[Average Discount]]/F231)-1</f>
        <v>0.11764705882352944</v>
      </c>
      <c r="H238" s="3">
        <v>31</v>
      </c>
      <c r="I238" s="112">
        <f>(Table6[[#This Row],[Out of stock Items per restaurant]]/H231)-1</f>
        <v>-0.18421052631578949</v>
      </c>
      <c r="J238" s="3">
        <v>18</v>
      </c>
      <c r="K238" s="169">
        <f>(Table6[[#This Row],[Average Packaging charges]]/J231)-1</f>
        <v>-9.9999999999999978E-2</v>
      </c>
      <c r="L238" s="3">
        <v>27</v>
      </c>
      <c r="M238" s="112">
        <f>(Table6[[#This Row],[Average Delivery Charges]]/L231)-1</f>
        <v>-9.9999999999999978E-2</v>
      </c>
      <c r="N238" s="3">
        <v>367</v>
      </c>
      <c r="O238" s="4">
        <f>(Table6[[#This Row],[Avg Cost for two]]/N231)-1</f>
        <v>-3.4210526315789469E-2</v>
      </c>
      <c r="P238" s="3">
        <v>33</v>
      </c>
      <c r="Q238" s="81">
        <f>(Table6[[#This Row],[Number of images per restaurant]]/P231)-1</f>
        <v>-0.17500000000000004</v>
      </c>
      <c r="R238" s="81">
        <v>0.95</v>
      </c>
      <c r="S238" s="10">
        <f>(Table6[[#This Row],[Success Rate of payments]]/R231)-1</f>
        <v>1.0638297872340496E-2</v>
      </c>
      <c r="T238" s="64" t="e">
        <f>VLOOKUP(Table6[[#This Row],[Date]],Table2[#All],1,FALSE)</f>
        <v>#N/A</v>
      </c>
    </row>
    <row r="239" spans="2:20" x14ac:dyDescent="0.3">
      <c r="B239" s="38">
        <v>43703</v>
      </c>
      <c r="C239" s="80">
        <v>43703</v>
      </c>
      <c r="D239" s="3">
        <v>392670</v>
      </c>
      <c r="E239" s="4">
        <f>(Table6[[#This Row],[Count of restaurants]]/D232)-1</f>
        <v>-3.7639573754742361E-2</v>
      </c>
      <c r="F239" s="4">
        <v>0.17</v>
      </c>
      <c r="G239" s="112">
        <f>(Table6[[#This Row],[Average Discount]]/F232)-1</f>
        <v>-5.5555555555555469E-2</v>
      </c>
      <c r="H239" s="3">
        <v>32</v>
      </c>
      <c r="I239" s="112">
        <f>(Table6[[#This Row],[Out of stock Items per restaurant]]/H232)-1</f>
        <v>-8.5714285714285743E-2</v>
      </c>
      <c r="J239" s="3">
        <v>20</v>
      </c>
      <c r="K239" s="169">
        <f>(Table6[[#This Row],[Average Packaging charges]]/J232)-1</f>
        <v>0</v>
      </c>
      <c r="L239" s="3">
        <v>30</v>
      </c>
      <c r="M239" s="112">
        <f>(Table6[[#This Row],[Average Delivery Charges]]/L232)-1</f>
        <v>0</v>
      </c>
      <c r="N239" s="3">
        <v>369</v>
      </c>
      <c r="O239" s="4">
        <f>(Table6[[#This Row],[Avg Cost for two]]/N232)-1</f>
        <v>-4.8969072164948502E-2</v>
      </c>
      <c r="P239" s="3">
        <v>30</v>
      </c>
      <c r="Q239" s="81">
        <f>(Table6[[#This Row],[Number of images per restaurant]]/P232)-1</f>
        <v>-6.25E-2</v>
      </c>
      <c r="R239" s="81">
        <v>0.94</v>
      </c>
      <c r="S239" s="10">
        <f>(Table6[[#This Row],[Success Rate of payments]]/R232)-1</f>
        <v>1.0752688172043001E-2</v>
      </c>
      <c r="T239" s="64" t="e">
        <f>VLOOKUP(Table6[[#This Row],[Date]],Table2[#All],1,FALSE)</f>
        <v>#N/A</v>
      </c>
    </row>
    <row r="240" spans="2:20" x14ac:dyDescent="0.3">
      <c r="B240" s="38">
        <v>43704</v>
      </c>
      <c r="C240" s="80">
        <v>43704</v>
      </c>
      <c r="D240" s="3">
        <v>405258</v>
      </c>
      <c r="E240" s="4">
        <f>(Table6[[#This Row],[Count of restaurants]]/D233)-1</f>
        <v>5.5700278214840138E-2</v>
      </c>
      <c r="F240" s="4">
        <v>0.19</v>
      </c>
      <c r="G240" s="112">
        <f>(Table6[[#This Row],[Average Discount]]/F233)-1</f>
        <v>5.555555555555558E-2</v>
      </c>
      <c r="H240" s="3">
        <v>39</v>
      </c>
      <c r="I240" s="112">
        <f>(Table6[[#This Row],[Out of stock Items per restaurant]]/H233)-1</f>
        <v>0.11428571428571432</v>
      </c>
      <c r="J240" s="3">
        <v>22</v>
      </c>
      <c r="K240" s="169">
        <f>(Table6[[#This Row],[Average Packaging charges]]/J233)-1</f>
        <v>0</v>
      </c>
      <c r="L240" s="3">
        <v>29</v>
      </c>
      <c r="M240" s="112">
        <f>(Table6[[#This Row],[Average Delivery Charges]]/L233)-1</f>
        <v>-3.3333333333333326E-2</v>
      </c>
      <c r="N240" s="3">
        <v>361</v>
      </c>
      <c r="O240" s="4">
        <f>(Table6[[#This Row],[Avg Cost for two]]/N233)-1</f>
        <v>2.8490028490028463E-2</v>
      </c>
      <c r="P240" s="3">
        <v>37</v>
      </c>
      <c r="Q240" s="81">
        <f>(Table6[[#This Row],[Number of images per restaurant]]/P233)-1</f>
        <v>-2.6315789473684181E-2</v>
      </c>
      <c r="R240" s="81">
        <v>0.94</v>
      </c>
      <c r="S240" s="10">
        <f>(Table6[[#This Row],[Success Rate of payments]]/R233)-1</f>
        <v>2.1739130434782483E-2</v>
      </c>
      <c r="T240" s="64" t="e">
        <f>VLOOKUP(Table6[[#This Row],[Date]],Table2[#All],1,FALSE)</f>
        <v>#N/A</v>
      </c>
    </row>
    <row r="241" spans="2:20" x14ac:dyDescent="0.3">
      <c r="B241" s="38">
        <v>43705</v>
      </c>
      <c r="C241" s="80">
        <v>43705</v>
      </c>
      <c r="D241" s="3">
        <v>400562</v>
      </c>
      <c r="E241" s="4">
        <f>(Table6[[#This Row],[Count of restaurants]]/D234)-1</f>
        <v>2.4688484079496309E-2</v>
      </c>
      <c r="F241" s="4">
        <v>0.19</v>
      </c>
      <c r="G241" s="112">
        <f>(Table6[[#This Row],[Average Discount]]/F234)-1</f>
        <v>0</v>
      </c>
      <c r="H241" s="3">
        <v>31</v>
      </c>
      <c r="I241" s="112">
        <f>(Table6[[#This Row],[Out of stock Items per restaurant]]/H234)-1</f>
        <v>-0.13888888888888884</v>
      </c>
      <c r="J241" s="3">
        <v>19</v>
      </c>
      <c r="K241" s="169">
        <f>(Table6[[#This Row],[Average Packaging charges]]/J234)-1</f>
        <v>5.555555555555558E-2</v>
      </c>
      <c r="L241" s="3">
        <v>28</v>
      </c>
      <c r="M241" s="112">
        <f>(Table6[[#This Row],[Average Delivery Charges]]/L234)-1</f>
        <v>0</v>
      </c>
      <c r="N241" s="3">
        <v>382</v>
      </c>
      <c r="O241" s="4">
        <f>(Table6[[#This Row],[Avg Cost for two]]/N234)-1</f>
        <v>0</v>
      </c>
      <c r="P241" s="3">
        <v>40</v>
      </c>
      <c r="Q241" s="81">
        <f>(Table6[[#This Row],[Number of images per restaurant]]/P234)-1</f>
        <v>0.25</v>
      </c>
      <c r="R241" s="81">
        <v>0.95</v>
      </c>
      <c r="S241" s="10">
        <f>(Table6[[#This Row],[Success Rate of payments]]/R234)-1</f>
        <v>2.1505376344086002E-2</v>
      </c>
      <c r="T241" s="64" t="e">
        <f>VLOOKUP(Table6[[#This Row],[Date]],Table2[#All],1,FALSE)</f>
        <v>#N/A</v>
      </c>
    </row>
    <row r="242" spans="2:20" x14ac:dyDescent="0.3">
      <c r="B242" s="38">
        <v>43706</v>
      </c>
      <c r="C242" s="80">
        <v>43706</v>
      </c>
      <c r="D242" s="3">
        <v>386473</v>
      </c>
      <c r="E242" s="4">
        <f>(Table6[[#This Row],[Count of restaurants]]/D235)-1</f>
        <v>1.1518771331058053E-2</v>
      </c>
      <c r="F242" s="4">
        <v>0.17</v>
      </c>
      <c r="G242" s="112">
        <f>(Table6[[#This Row],[Average Discount]]/F235)-1</f>
        <v>-0.10526315789473684</v>
      </c>
      <c r="H242" s="3">
        <v>35</v>
      </c>
      <c r="I242" s="112">
        <f>(Table6[[#This Row],[Out of stock Items per restaurant]]/H235)-1</f>
        <v>-2.777777777777779E-2</v>
      </c>
      <c r="J242" s="3">
        <v>22</v>
      </c>
      <c r="K242" s="169">
        <f>(Table6[[#This Row],[Average Packaging charges]]/J235)-1</f>
        <v>0.22222222222222232</v>
      </c>
      <c r="L242" s="3">
        <v>29</v>
      </c>
      <c r="M242" s="112">
        <f>(Table6[[#This Row],[Average Delivery Charges]]/L235)-1</f>
        <v>0</v>
      </c>
      <c r="N242" s="3">
        <v>362</v>
      </c>
      <c r="O242" s="4">
        <f>(Table6[[#This Row],[Avg Cost for two]]/N235)-1</f>
        <v>-8.3544303797468356E-2</v>
      </c>
      <c r="P242" s="3">
        <v>31</v>
      </c>
      <c r="Q242" s="81">
        <f>(Table6[[#This Row],[Number of images per restaurant]]/P235)-1</f>
        <v>-0.16216216216216217</v>
      </c>
      <c r="R242" s="81">
        <v>0.92</v>
      </c>
      <c r="S242" s="10">
        <f>(Table6[[#This Row],[Success Rate of payments]]/R235)-1</f>
        <v>-3.1578947368420929E-2</v>
      </c>
      <c r="T242" s="64" t="e">
        <f>VLOOKUP(Table6[[#This Row],[Date]],Table2[#All],1,FALSE)</f>
        <v>#N/A</v>
      </c>
    </row>
    <row r="243" spans="2:20" x14ac:dyDescent="0.3">
      <c r="B243" s="38">
        <v>43707</v>
      </c>
      <c r="C243" s="80">
        <v>43707</v>
      </c>
      <c r="D243" s="3">
        <v>382326</v>
      </c>
      <c r="E243" s="4">
        <f>(Table6[[#This Row],[Count of restaurants]]/D236)-1</f>
        <v>-5.2790399223058504E-2</v>
      </c>
      <c r="F243" s="4">
        <v>0.19</v>
      </c>
      <c r="G243" s="112">
        <f>(Table6[[#This Row],[Average Discount]]/F236)-1</f>
        <v>0</v>
      </c>
      <c r="H243" s="3">
        <v>30</v>
      </c>
      <c r="I243" s="112">
        <f>(Table6[[#This Row],[Out of stock Items per restaurant]]/H236)-1</f>
        <v>-0.23076923076923073</v>
      </c>
      <c r="J243" s="3">
        <v>20</v>
      </c>
      <c r="K243" s="169">
        <f>(Table6[[#This Row],[Average Packaging charges]]/J236)-1</f>
        <v>-4.7619047619047672E-2</v>
      </c>
      <c r="L243" s="3">
        <v>27</v>
      </c>
      <c r="M243" s="112">
        <f>(Table6[[#This Row],[Average Delivery Charges]]/L236)-1</f>
        <v>0</v>
      </c>
      <c r="N243" s="3">
        <v>389</v>
      </c>
      <c r="O243" s="4">
        <f>(Table6[[#This Row],[Avg Cost for two]]/N236)-1</f>
        <v>0.10511363636363646</v>
      </c>
      <c r="P243" s="3">
        <v>33</v>
      </c>
      <c r="Q243" s="81">
        <f>(Table6[[#This Row],[Number of images per restaurant]]/P236)-1</f>
        <v>-2.9411764705882359E-2</v>
      </c>
      <c r="R243" s="81">
        <v>0.91</v>
      </c>
      <c r="S243" s="10">
        <f>(Table6[[#This Row],[Success Rate of payments]]/R236)-1</f>
        <v>-2.1505376344086002E-2</v>
      </c>
      <c r="T243" s="64" t="e">
        <f>VLOOKUP(Table6[[#This Row],[Date]],Table2[#All],1,FALSE)</f>
        <v>#N/A</v>
      </c>
    </row>
    <row r="244" spans="2:20" x14ac:dyDescent="0.3">
      <c r="B244" s="38">
        <v>43708</v>
      </c>
      <c r="C244" s="80">
        <v>43708</v>
      </c>
      <c r="D244" s="3">
        <v>391845</v>
      </c>
      <c r="E244" s="4">
        <f>(Table6[[#This Row],[Count of restaurants]]/D237)-1</f>
        <v>3.0322392345252469E-2</v>
      </c>
      <c r="F244" s="4">
        <v>0.19</v>
      </c>
      <c r="G244" s="112">
        <f>(Table6[[#This Row],[Average Discount]]/F237)-1</f>
        <v>0</v>
      </c>
      <c r="H244" s="3">
        <v>38</v>
      </c>
      <c r="I244" s="112">
        <f>(Table6[[#This Row],[Out of stock Items per restaurant]]/H237)-1</f>
        <v>5.555555555555558E-2</v>
      </c>
      <c r="J244" s="3">
        <v>19</v>
      </c>
      <c r="K244" s="169">
        <f>(Table6[[#This Row],[Average Packaging charges]]/J237)-1</f>
        <v>5.555555555555558E-2</v>
      </c>
      <c r="L244" s="3">
        <v>26</v>
      </c>
      <c r="M244" s="112">
        <f>(Table6[[#This Row],[Average Delivery Charges]]/L237)-1</f>
        <v>-0.10344827586206895</v>
      </c>
      <c r="N244" s="3">
        <v>372</v>
      </c>
      <c r="O244" s="4">
        <f>(Table6[[#This Row],[Avg Cost for two]]/N237)-1</f>
        <v>-1.3262599469496039E-2</v>
      </c>
      <c r="P244" s="3">
        <v>31</v>
      </c>
      <c r="Q244" s="81">
        <f>(Table6[[#This Row],[Number of images per restaurant]]/P237)-1</f>
        <v>0</v>
      </c>
      <c r="R244" s="81">
        <v>0.95</v>
      </c>
      <c r="S244" s="10">
        <f>(Table6[[#This Row],[Success Rate of payments]]/R237)-1</f>
        <v>1.0638297872340496E-2</v>
      </c>
      <c r="T244" s="64" t="e">
        <f>VLOOKUP(Table6[[#This Row],[Date]],Table2[#All],1,FALSE)</f>
        <v>#N/A</v>
      </c>
    </row>
    <row r="245" spans="2:20" x14ac:dyDescent="0.3">
      <c r="B245" s="38">
        <v>43709</v>
      </c>
      <c r="C245" s="80">
        <v>43709</v>
      </c>
      <c r="D245" s="3">
        <v>407821</v>
      </c>
      <c r="E245" s="4">
        <f>(Table6[[#This Row],[Count of restaurants]]/D238)-1</f>
        <v>4.9953915626979262E-2</v>
      </c>
      <c r="F245" s="4">
        <v>0.18</v>
      </c>
      <c r="G245" s="112">
        <f>(Table6[[#This Row],[Average Discount]]/F238)-1</f>
        <v>-5.2631578947368474E-2</v>
      </c>
      <c r="H245" s="3">
        <v>35</v>
      </c>
      <c r="I245" s="112">
        <f>(Table6[[#This Row],[Out of stock Items per restaurant]]/H238)-1</f>
        <v>0.12903225806451624</v>
      </c>
      <c r="J245" s="3">
        <v>22</v>
      </c>
      <c r="K245" s="169">
        <f>(Table6[[#This Row],[Average Packaging charges]]/J238)-1</f>
        <v>0.22222222222222232</v>
      </c>
      <c r="L245" s="3">
        <v>29</v>
      </c>
      <c r="M245" s="112">
        <f>(Table6[[#This Row],[Average Delivery Charges]]/L238)-1</f>
        <v>7.4074074074074181E-2</v>
      </c>
      <c r="N245" s="3">
        <v>385</v>
      </c>
      <c r="O245" s="4">
        <f>(Table6[[#This Row],[Avg Cost for two]]/N238)-1</f>
        <v>4.9046321525885617E-2</v>
      </c>
      <c r="P245" s="3">
        <v>31</v>
      </c>
      <c r="Q245" s="81">
        <f>(Table6[[#This Row],[Number of images per restaurant]]/P238)-1</f>
        <v>-6.0606060606060552E-2</v>
      </c>
      <c r="R245" s="81">
        <v>0.94</v>
      </c>
      <c r="S245" s="10">
        <f>(Table6[[#This Row],[Success Rate of payments]]/R238)-1</f>
        <v>-1.0526315789473717E-2</v>
      </c>
      <c r="T245" s="64" t="e">
        <f>VLOOKUP(Table6[[#This Row],[Date]],Table2[#All],1,FALSE)</f>
        <v>#N/A</v>
      </c>
    </row>
    <row r="246" spans="2:20" x14ac:dyDescent="0.3">
      <c r="B246" s="38">
        <v>43710</v>
      </c>
      <c r="C246" s="80">
        <v>43710</v>
      </c>
      <c r="D246" s="3">
        <v>389944</v>
      </c>
      <c r="E246" s="4">
        <f>(Table6[[#This Row],[Count of restaurants]]/D239)-1</f>
        <v>-6.9422161102197233E-3</v>
      </c>
      <c r="F246" s="4">
        <v>0.17</v>
      </c>
      <c r="G246" s="112">
        <f>(Table6[[#This Row],[Average Discount]]/F239)-1</f>
        <v>0</v>
      </c>
      <c r="H246" s="3">
        <v>31</v>
      </c>
      <c r="I246" s="112">
        <f>(Table6[[#This Row],[Out of stock Items per restaurant]]/H239)-1</f>
        <v>-3.125E-2</v>
      </c>
      <c r="J246" s="3">
        <v>22</v>
      </c>
      <c r="K246" s="169">
        <f>(Table6[[#This Row],[Average Packaging charges]]/J239)-1</f>
        <v>0.10000000000000009</v>
      </c>
      <c r="L246" s="3">
        <v>28</v>
      </c>
      <c r="M246" s="112">
        <f>(Table6[[#This Row],[Average Delivery Charges]]/L239)-1</f>
        <v>-6.6666666666666652E-2</v>
      </c>
      <c r="N246" s="3">
        <v>364</v>
      </c>
      <c r="O246" s="4">
        <f>(Table6[[#This Row],[Avg Cost for two]]/N239)-1</f>
        <v>-1.3550135501354976E-2</v>
      </c>
      <c r="P246" s="3">
        <v>32</v>
      </c>
      <c r="Q246" s="81">
        <f>(Table6[[#This Row],[Number of images per restaurant]]/P239)-1</f>
        <v>6.6666666666666652E-2</v>
      </c>
      <c r="R246" s="81">
        <v>0.92</v>
      </c>
      <c r="S246" s="10">
        <f>(Table6[[#This Row],[Success Rate of payments]]/R239)-1</f>
        <v>-2.1276595744680771E-2</v>
      </c>
      <c r="T246" s="64" t="e">
        <f>VLOOKUP(Table6[[#This Row],[Date]],Table2[#All],1,FALSE)</f>
        <v>#N/A</v>
      </c>
    </row>
    <row r="247" spans="2:20" x14ac:dyDescent="0.3">
      <c r="B247" s="38">
        <v>43711</v>
      </c>
      <c r="C247" s="80">
        <v>43711</v>
      </c>
      <c r="D247" s="3">
        <v>402082</v>
      </c>
      <c r="E247" s="4">
        <f>(Table6[[#This Row],[Count of restaurants]]/D240)-1</f>
        <v>-7.8369828603013225E-3</v>
      </c>
      <c r="F247" s="4">
        <v>0.18</v>
      </c>
      <c r="G247" s="112">
        <f>(Table6[[#This Row],[Average Discount]]/F240)-1</f>
        <v>-5.2631578947368474E-2</v>
      </c>
      <c r="H247" s="3">
        <v>38</v>
      </c>
      <c r="I247" s="112">
        <f>(Table6[[#This Row],[Out of stock Items per restaurant]]/H240)-1</f>
        <v>-2.5641025641025661E-2</v>
      </c>
      <c r="J247" s="3">
        <v>17</v>
      </c>
      <c r="K247" s="169">
        <f>(Table6[[#This Row],[Average Packaging charges]]/J240)-1</f>
        <v>-0.22727272727272729</v>
      </c>
      <c r="L247" s="3">
        <v>30</v>
      </c>
      <c r="M247" s="112">
        <f>(Table6[[#This Row],[Average Delivery Charges]]/L240)-1</f>
        <v>3.4482758620689724E-2</v>
      </c>
      <c r="N247" s="3">
        <v>351</v>
      </c>
      <c r="O247" s="4">
        <f>(Table6[[#This Row],[Avg Cost for two]]/N240)-1</f>
        <v>-2.7700831024930705E-2</v>
      </c>
      <c r="P247" s="3">
        <v>32</v>
      </c>
      <c r="Q247" s="81">
        <f>(Table6[[#This Row],[Number of images per restaurant]]/P240)-1</f>
        <v>-0.13513513513513509</v>
      </c>
      <c r="R247" s="81">
        <v>0.95</v>
      </c>
      <c r="S247" s="10">
        <f>(Table6[[#This Row],[Success Rate of payments]]/R240)-1</f>
        <v>1.0638297872340496E-2</v>
      </c>
      <c r="T247" s="64" t="e">
        <f>VLOOKUP(Table6[[#This Row],[Date]],Table2[#All],1,FALSE)</f>
        <v>#N/A</v>
      </c>
    </row>
    <row r="248" spans="2:20" x14ac:dyDescent="0.3">
      <c r="B248" s="38">
        <v>43712</v>
      </c>
      <c r="C248" s="80">
        <v>43712</v>
      </c>
      <c r="D248" s="3">
        <v>384229</v>
      </c>
      <c r="E248" s="4">
        <f>(Table6[[#This Row],[Count of restaurants]]/D241)-1</f>
        <v>-4.0775210828785546E-2</v>
      </c>
      <c r="F248" s="4">
        <v>0.19</v>
      </c>
      <c r="G248" s="112">
        <f>(Table6[[#This Row],[Average Discount]]/F241)-1</f>
        <v>0</v>
      </c>
      <c r="H248" s="3">
        <v>39</v>
      </c>
      <c r="I248" s="112">
        <f>(Table6[[#This Row],[Out of stock Items per restaurant]]/H241)-1</f>
        <v>0.25806451612903225</v>
      </c>
      <c r="J248" s="3">
        <v>20</v>
      </c>
      <c r="K248" s="169">
        <f>(Table6[[#This Row],[Average Packaging charges]]/J241)-1</f>
        <v>5.2631578947368363E-2</v>
      </c>
      <c r="L248" s="3">
        <v>26</v>
      </c>
      <c r="M248" s="112">
        <f>(Table6[[#This Row],[Average Delivery Charges]]/L241)-1</f>
        <v>-7.1428571428571397E-2</v>
      </c>
      <c r="N248" s="3">
        <v>361</v>
      </c>
      <c r="O248" s="4">
        <f>(Table6[[#This Row],[Avg Cost for two]]/N241)-1</f>
        <v>-5.4973821989528826E-2</v>
      </c>
      <c r="P248" s="3">
        <v>34</v>
      </c>
      <c r="Q248" s="81">
        <f>(Table6[[#This Row],[Number of images per restaurant]]/P241)-1</f>
        <v>-0.15000000000000002</v>
      </c>
      <c r="R248" s="81">
        <v>0.93</v>
      </c>
      <c r="S248" s="10">
        <f>(Table6[[#This Row],[Success Rate of payments]]/R241)-1</f>
        <v>-2.1052631578947323E-2</v>
      </c>
      <c r="T248" s="64" t="e">
        <f>VLOOKUP(Table6[[#This Row],[Date]],Table2[#All],1,FALSE)</f>
        <v>#N/A</v>
      </c>
    </row>
    <row r="249" spans="2:20" x14ac:dyDescent="0.3">
      <c r="B249" s="38">
        <v>43713</v>
      </c>
      <c r="C249" s="80">
        <v>43713</v>
      </c>
      <c r="D249" s="3">
        <v>386978</v>
      </c>
      <c r="E249" s="4">
        <f>(Table6[[#This Row],[Count of restaurants]]/D242)-1</f>
        <v>1.3066889536914594E-3</v>
      </c>
      <c r="F249" s="4">
        <v>0.17</v>
      </c>
      <c r="G249" s="112">
        <f>(Table6[[#This Row],[Average Discount]]/F242)-1</f>
        <v>0</v>
      </c>
      <c r="H249" s="3">
        <v>32</v>
      </c>
      <c r="I249" s="112">
        <f>(Table6[[#This Row],[Out of stock Items per restaurant]]/H242)-1</f>
        <v>-8.5714285714285743E-2</v>
      </c>
      <c r="J249" s="3">
        <v>22</v>
      </c>
      <c r="K249" s="169">
        <f>(Table6[[#This Row],[Average Packaging charges]]/J242)-1</f>
        <v>0</v>
      </c>
      <c r="L249" s="3">
        <v>26</v>
      </c>
      <c r="M249" s="112">
        <f>(Table6[[#This Row],[Average Delivery Charges]]/L242)-1</f>
        <v>-0.10344827586206895</v>
      </c>
      <c r="N249" s="3">
        <v>368</v>
      </c>
      <c r="O249" s="4">
        <f>(Table6[[#This Row],[Avg Cost for two]]/N242)-1</f>
        <v>1.6574585635359185E-2</v>
      </c>
      <c r="P249" s="3">
        <v>31</v>
      </c>
      <c r="Q249" s="81">
        <f>(Table6[[#This Row],[Number of images per restaurant]]/P242)-1</f>
        <v>0</v>
      </c>
      <c r="R249" s="81">
        <v>0.93</v>
      </c>
      <c r="S249" s="10">
        <f>(Table6[[#This Row],[Success Rate of payments]]/R242)-1</f>
        <v>1.0869565217391353E-2</v>
      </c>
      <c r="T249" s="64" t="e">
        <f>VLOOKUP(Table6[[#This Row],[Date]],Table2[#All],1,FALSE)</f>
        <v>#N/A</v>
      </c>
    </row>
    <row r="250" spans="2:20" x14ac:dyDescent="0.3">
      <c r="B250" s="38">
        <v>43714</v>
      </c>
      <c r="C250" s="80">
        <v>43714</v>
      </c>
      <c r="D250" s="3">
        <v>396745</v>
      </c>
      <c r="E250" s="4">
        <f>(Table6[[#This Row],[Count of restaurants]]/D243)-1</f>
        <v>3.7713888147810959E-2</v>
      </c>
      <c r="F250" s="4">
        <v>0.18</v>
      </c>
      <c r="G250" s="112">
        <f>(Table6[[#This Row],[Average Discount]]/F243)-1</f>
        <v>-5.2631578947368474E-2</v>
      </c>
      <c r="H250" s="3">
        <v>33</v>
      </c>
      <c r="I250" s="112">
        <f>(Table6[[#This Row],[Out of stock Items per restaurant]]/H243)-1</f>
        <v>0.10000000000000009</v>
      </c>
      <c r="J250" s="3">
        <v>17</v>
      </c>
      <c r="K250" s="169">
        <f>(Table6[[#This Row],[Average Packaging charges]]/J243)-1</f>
        <v>-0.15000000000000002</v>
      </c>
      <c r="L250" s="3">
        <v>30</v>
      </c>
      <c r="M250" s="112">
        <f>(Table6[[#This Row],[Average Delivery Charges]]/L243)-1</f>
        <v>0.11111111111111116</v>
      </c>
      <c r="N250" s="3">
        <v>377</v>
      </c>
      <c r="O250" s="4">
        <f>(Table6[[#This Row],[Avg Cost for two]]/N243)-1</f>
        <v>-3.0848329048843159E-2</v>
      </c>
      <c r="P250" s="3">
        <v>34</v>
      </c>
      <c r="Q250" s="81">
        <f>(Table6[[#This Row],[Number of images per restaurant]]/P243)-1</f>
        <v>3.0303030303030276E-2</v>
      </c>
      <c r="R250" s="81">
        <v>0.92</v>
      </c>
      <c r="S250" s="10">
        <f>(Table6[[#This Row],[Success Rate of payments]]/R243)-1</f>
        <v>1.098901098901095E-2</v>
      </c>
      <c r="T250" s="64" t="e">
        <f>VLOOKUP(Table6[[#This Row],[Date]],Table2[#All],1,FALSE)</f>
        <v>#N/A</v>
      </c>
    </row>
    <row r="251" spans="2:20" x14ac:dyDescent="0.3">
      <c r="B251" s="38">
        <v>43715</v>
      </c>
      <c r="C251" s="80">
        <v>43715</v>
      </c>
      <c r="D251" s="3">
        <v>407003</v>
      </c>
      <c r="E251" s="4">
        <f>(Table6[[#This Row],[Count of restaurants]]/D244)-1</f>
        <v>3.8683663183146422E-2</v>
      </c>
      <c r="F251" s="4">
        <v>0.17</v>
      </c>
      <c r="G251" s="112">
        <f>(Table6[[#This Row],[Average Discount]]/F244)-1</f>
        <v>-0.10526315789473684</v>
      </c>
      <c r="H251" s="3">
        <v>34</v>
      </c>
      <c r="I251" s="112">
        <f>(Table6[[#This Row],[Out of stock Items per restaurant]]/H244)-1</f>
        <v>-0.10526315789473684</v>
      </c>
      <c r="J251" s="3">
        <v>18</v>
      </c>
      <c r="K251" s="169">
        <f>(Table6[[#This Row],[Average Packaging charges]]/J244)-1</f>
        <v>-5.2631578947368474E-2</v>
      </c>
      <c r="L251" s="3">
        <v>26</v>
      </c>
      <c r="M251" s="112">
        <f>(Table6[[#This Row],[Average Delivery Charges]]/L244)-1</f>
        <v>0</v>
      </c>
      <c r="N251" s="3">
        <v>385</v>
      </c>
      <c r="O251" s="4">
        <f>(Table6[[#This Row],[Avg Cost for two]]/N244)-1</f>
        <v>3.4946236559139754E-2</v>
      </c>
      <c r="P251" s="3">
        <v>37</v>
      </c>
      <c r="Q251" s="81">
        <f>(Table6[[#This Row],[Number of images per restaurant]]/P244)-1</f>
        <v>0.19354838709677424</v>
      </c>
      <c r="R251" s="81">
        <v>0.95</v>
      </c>
      <c r="S251" s="10">
        <f>(Table6[[#This Row],[Success Rate of payments]]/R244)-1</f>
        <v>0</v>
      </c>
      <c r="T251" s="64" t="e">
        <f>VLOOKUP(Table6[[#This Row],[Date]],Table2[#All],1,FALSE)</f>
        <v>#N/A</v>
      </c>
    </row>
    <row r="252" spans="2:20" x14ac:dyDescent="0.3">
      <c r="B252" s="38">
        <v>43716</v>
      </c>
      <c r="C252" s="80">
        <v>43716</v>
      </c>
      <c r="D252" s="3">
        <v>385901</v>
      </c>
      <c r="E252" s="4">
        <f>(Table6[[#This Row],[Count of restaurants]]/D245)-1</f>
        <v>-5.374907128372497E-2</v>
      </c>
      <c r="F252" s="4">
        <v>0.18</v>
      </c>
      <c r="G252" s="112">
        <f>(Table6[[#This Row],[Average Discount]]/F245)-1</f>
        <v>0</v>
      </c>
      <c r="H252" s="3">
        <v>35</v>
      </c>
      <c r="I252" s="112">
        <f>(Table6[[#This Row],[Out of stock Items per restaurant]]/H245)-1</f>
        <v>0</v>
      </c>
      <c r="J252" s="3">
        <v>18</v>
      </c>
      <c r="K252" s="169">
        <f>(Table6[[#This Row],[Average Packaging charges]]/J245)-1</f>
        <v>-0.18181818181818177</v>
      </c>
      <c r="L252" s="3">
        <v>30</v>
      </c>
      <c r="M252" s="112">
        <f>(Table6[[#This Row],[Average Delivery Charges]]/L245)-1</f>
        <v>3.4482758620689724E-2</v>
      </c>
      <c r="N252" s="3">
        <v>382</v>
      </c>
      <c r="O252" s="4">
        <f>(Table6[[#This Row],[Avg Cost for two]]/N245)-1</f>
        <v>-7.7922077922077948E-3</v>
      </c>
      <c r="P252" s="3">
        <v>34</v>
      </c>
      <c r="Q252" s="81">
        <f>(Table6[[#This Row],[Number of images per restaurant]]/P245)-1</f>
        <v>9.6774193548387011E-2</v>
      </c>
      <c r="R252" s="81">
        <v>0.91</v>
      </c>
      <c r="S252" s="10">
        <f>(Table6[[#This Row],[Success Rate of payments]]/R245)-1</f>
        <v>-3.1914893617021156E-2</v>
      </c>
      <c r="T252" s="64" t="e">
        <f>VLOOKUP(Table6[[#This Row],[Date]],Table2[#All],1,FALSE)</f>
        <v>#N/A</v>
      </c>
    </row>
    <row r="253" spans="2:20" x14ac:dyDescent="0.3">
      <c r="B253" s="38">
        <v>43717</v>
      </c>
      <c r="C253" s="80">
        <v>43717</v>
      </c>
      <c r="D253" s="3">
        <v>407716</v>
      </c>
      <c r="E253" s="4">
        <f>(Table6[[#This Row],[Count of restaurants]]/D246)-1</f>
        <v>4.5575774983074524E-2</v>
      </c>
      <c r="F253" s="4">
        <v>0.18</v>
      </c>
      <c r="G253" s="112">
        <f>(Table6[[#This Row],[Average Discount]]/F246)-1</f>
        <v>5.8823529411764497E-2</v>
      </c>
      <c r="H253" s="3">
        <v>35</v>
      </c>
      <c r="I253" s="112">
        <f>(Table6[[#This Row],[Out of stock Items per restaurant]]/H246)-1</f>
        <v>0.12903225806451624</v>
      </c>
      <c r="J253" s="3">
        <v>21</v>
      </c>
      <c r="K253" s="169">
        <f>(Table6[[#This Row],[Average Packaging charges]]/J246)-1</f>
        <v>-4.5454545454545414E-2</v>
      </c>
      <c r="L253" s="3">
        <v>26</v>
      </c>
      <c r="M253" s="112">
        <f>(Table6[[#This Row],[Average Delivery Charges]]/L246)-1</f>
        <v>-7.1428571428571397E-2</v>
      </c>
      <c r="N253" s="3">
        <v>370</v>
      </c>
      <c r="O253" s="4">
        <f>(Table6[[#This Row],[Avg Cost for two]]/N246)-1</f>
        <v>1.6483516483516425E-2</v>
      </c>
      <c r="P253" s="3">
        <v>38</v>
      </c>
      <c r="Q253" s="81">
        <f>(Table6[[#This Row],[Number of images per restaurant]]/P246)-1</f>
        <v>0.1875</v>
      </c>
      <c r="R253" s="81">
        <v>0.94</v>
      </c>
      <c r="S253" s="10">
        <f>(Table6[[#This Row],[Success Rate of payments]]/R246)-1</f>
        <v>2.1739130434782483E-2</v>
      </c>
      <c r="T253" s="64" t="e">
        <f>VLOOKUP(Table6[[#This Row],[Date]],Table2[#All],1,FALSE)</f>
        <v>#N/A</v>
      </c>
    </row>
    <row r="254" spans="2:20" x14ac:dyDescent="0.3">
      <c r="B254" s="38">
        <v>43718</v>
      </c>
      <c r="C254" s="80">
        <v>43718</v>
      </c>
      <c r="D254" s="3">
        <v>397777</v>
      </c>
      <c r="E254" s="4">
        <f>(Table6[[#This Row],[Count of restaurants]]/D247)-1</f>
        <v>-1.0706771255614478E-2</v>
      </c>
      <c r="F254" s="4">
        <v>0.18</v>
      </c>
      <c r="G254" s="112">
        <f>(Table6[[#This Row],[Average Discount]]/F247)-1</f>
        <v>0</v>
      </c>
      <c r="H254" s="3">
        <v>35</v>
      </c>
      <c r="I254" s="112">
        <f>(Table6[[#This Row],[Out of stock Items per restaurant]]/H247)-1</f>
        <v>-7.8947368421052655E-2</v>
      </c>
      <c r="J254" s="3">
        <v>18</v>
      </c>
      <c r="K254" s="169">
        <f>(Table6[[#This Row],[Average Packaging charges]]/J247)-1</f>
        <v>5.8823529411764719E-2</v>
      </c>
      <c r="L254" s="3">
        <v>27</v>
      </c>
      <c r="M254" s="112">
        <f>(Table6[[#This Row],[Average Delivery Charges]]/L247)-1</f>
        <v>-9.9999999999999978E-2</v>
      </c>
      <c r="N254" s="3">
        <v>399</v>
      </c>
      <c r="O254" s="4">
        <f>(Table6[[#This Row],[Avg Cost for two]]/N247)-1</f>
        <v>0.13675213675213671</v>
      </c>
      <c r="P254" s="3">
        <v>37</v>
      </c>
      <c r="Q254" s="81">
        <f>(Table6[[#This Row],[Number of images per restaurant]]/P247)-1</f>
        <v>0.15625</v>
      </c>
      <c r="R254" s="81">
        <v>0.91</v>
      </c>
      <c r="S254" s="10">
        <f>(Table6[[#This Row],[Success Rate of payments]]/R247)-1</f>
        <v>-4.2105263157894646E-2</v>
      </c>
      <c r="T254" s="64" t="e">
        <f>VLOOKUP(Table6[[#This Row],[Date]],Table2[#All],1,FALSE)</f>
        <v>#N/A</v>
      </c>
    </row>
    <row r="255" spans="2:20" x14ac:dyDescent="0.3">
      <c r="B255" s="38">
        <v>43719</v>
      </c>
      <c r="C255" s="80">
        <v>43719</v>
      </c>
      <c r="D255" s="3">
        <v>393437</v>
      </c>
      <c r="E255" s="4">
        <f>(Table6[[#This Row],[Count of restaurants]]/D248)-1</f>
        <v>2.3964875113539064E-2</v>
      </c>
      <c r="F255" s="4">
        <v>0.18</v>
      </c>
      <c r="G255" s="112">
        <f>(Table6[[#This Row],[Average Discount]]/F248)-1</f>
        <v>-5.2631578947368474E-2</v>
      </c>
      <c r="H255" s="3">
        <v>40</v>
      </c>
      <c r="I255" s="112">
        <f>(Table6[[#This Row],[Out of stock Items per restaurant]]/H248)-1</f>
        <v>2.564102564102555E-2</v>
      </c>
      <c r="J255" s="3">
        <v>17</v>
      </c>
      <c r="K255" s="169">
        <f>(Table6[[#This Row],[Average Packaging charges]]/J248)-1</f>
        <v>-0.15000000000000002</v>
      </c>
      <c r="L255" s="3">
        <v>26</v>
      </c>
      <c r="M255" s="112">
        <f>(Table6[[#This Row],[Average Delivery Charges]]/L248)-1</f>
        <v>0</v>
      </c>
      <c r="N255" s="3">
        <v>387</v>
      </c>
      <c r="O255" s="4">
        <f>(Table6[[#This Row],[Avg Cost for two]]/N248)-1</f>
        <v>7.2022160664819923E-2</v>
      </c>
      <c r="P255" s="3">
        <v>31</v>
      </c>
      <c r="Q255" s="81">
        <f>(Table6[[#This Row],[Number of images per restaurant]]/P248)-1</f>
        <v>-8.8235294117647078E-2</v>
      </c>
      <c r="R255" s="81">
        <v>0.94</v>
      </c>
      <c r="S255" s="10">
        <f>(Table6[[#This Row],[Success Rate of payments]]/R248)-1</f>
        <v>1.0752688172043001E-2</v>
      </c>
      <c r="T255" s="64" t="e">
        <f>VLOOKUP(Table6[[#This Row],[Date]],Table2[#All],1,FALSE)</f>
        <v>#N/A</v>
      </c>
    </row>
    <row r="256" spans="2:20" x14ac:dyDescent="0.3">
      <c r="B256" s="38">
        <v>43720</v>
      </c>
      <c r="C256" s="80">
        <v>43720</v>
      </c>
      <c r="D256" s="3">
        <v>406634</v>
      </c>
      <c r="E256" s="4">
        <f>(Table6[[#This Row],[Count of restaurants]]/D249)-1</f>
        <v>5.0793585165048061E-2</v>
      </c>
      <c r="F256" s="4">
        <v>0.18</v>
      </c>
      <c r="G256" s="112">
        <f>(Table6[[#This Row],[Average Discount]]/F249)-1</f>
        <v>5.8823529411764497E-2</v>
      </c>
      <c r="H256" s="3">
        <v>34</v>
      </c>
      <c r="I256" s="112">
        <f>(Table6[[#This Row],[Out of stock Items per restaurant]]/H249)-1</f>
        <v>6.25E-2</v>
      </c>
      <c r="J256" s="3">
        <v>20</v>
      </c>
      <c r="K256" s="169">
        <f>(Table6[[#This Row],[Average Packaging charges]]/J249)-1</f>
        <v>-9.0909090909090939E-2</v>
      </c>
      <c r="L256" s="3">
        <v>25</v>
      </c>
      <c r="M256" s="112">
        <f>(Table6[[#This Row],[Average Delivery Charges]]/L249)-1</f>
        <v>-3.8461538461538436E-2</v>
      </c>
      <c r="N256" s="3">
        <v>368</v>
      </c>
      <c r="O256" s="4">
        <f>(Table6[[#This Row],[Avg Cost for two]]/N249)-1</f>
        <v>0</v>
      </c>
      <c r="P256" s="3">
        <v>36</v>
      </c>
      <c r="Q256" s="81">
        <f>(Table6[[#This Row],[Number of images per restaurant]]/P249)-1</f>
        <v>0.16129032258064524</v>
      </c>
      <c r="R256" s="81">
        <v>0.91</v>
      </c>
      <c r="S256" s="10">
        <f>(Table6[[#This Row],[Success Rate of payments]]/R249)-1</f>
        <v>-2.1505376344086002E-2</v>
      </c>
      <c r="T256" s="64" t="e">
        <f>VLOOKUP(Table6[[#This Row],[Date]],Table2[#All],1,FALSE)</f>
        <v>#N/A</v>
      </c>
    </row>
    <row r="257" spans="2:20" x14ac:dyDescent="0.3">
      <c r="B257" s="38">
        <v>43721</v>
      </c>
      <c r="C257" s="80">
        <v>43721</v>
      </c>
      <c r="D257" s="3">
        <v>392550</v>
      </c>
      <c r="E257" s="4">
        <f>(Table6[[#This Row],[Count of restaurants]]/D250)-1</f>
        <v>-1.0573542199649677E-2</v>
      </c>
      <c r="F257" s="4">
        <v>0.19</v>
      </c>
      <c r="G257" s="112">
        <f>(Table6[[#This Row],[Average Discount]]/F250)-1</f>
        <v>5.555555555555558E-2</v>
      </c>
      <c r="H257" s="3">
        <v>30</v>
      </c>
      <c r="I257" s="112">
        <f>(Table6[[#This Row],[Out of stock Items per restaurant]]/H250)-1</f>
        <v>-9.0909090909090939E-2</v>
      </c>
      <c r="J257" s="3">
        <v>19</v>
      </c>
      <c r="K257" s="169">
        <f>(Table6[[#This Row],[Average Packaging charges]]/J250)-1</f>
        <v>0.11764705882352944</v>
      </c>
      <c r="L257" s="3">
        <v>29</v>
      </c>
      <c r="M257" s="112">
        <f>(Table6[[#This Row],[Average Delivery Charges]]/L250)-1</f>
        <v>-3.3333333333333326E-2</v>
      </c>
      <c r="N257" s="3">
        <v>384</v>
      </c>
      <c r="O257" s="4">
        <f>(Table6[[#This Row],[Avg Cost for two]]/N250)-1</f>
        <v>1.8567639257294433E-2</v>
      </c>
      <c r="P257" s="3">
        <v>32</v>
      </c>
      <c r="Q257" s="81">
        <f>(Table6[[#This Row],[Number of images per restaurant]]/P250)-1</f>
        <v>-5.8823529411764719E-2</v>
      </c>
      <c r="R257" s="81">
        <v>0.92</v>
      </c>
      <c r="S257" s="10">
        <f>(Table6[[#This Row],[Success Rate of payments]]/R250)-1</f>
        <v>0</v>
      </c>
      <c r="T257" s="64" t="e">
        <f>VLOOKUP(Table6[[#This Row],[Date]],Table2[#All],1,FALSE)</f>
        <v>#N/A</v>
      </c>
    </row>
    <row r="258" spans="2:20" x14ac:dyDescent="0.3">
      <c r="B258" s="38">
        <v>43722</v>
      </c>
      <c r="C258" s="80">
        <v>43722</v>
      </c>
      <c r="D258" s="3">
        <v>406604</v>
      </c>
      <c r="E258" s="4">
        <f>(Table6[[#This Row],[Count of restaurants]]/D251)-1</f>
        <v>-9.803367542745578E-4</v>
      </c>
      <c r="F258" s="4">
        <v>0.17</v>
      </c>
      <c r="G258" s="112">
        <f>(Table6[[#This Row],[Average Discount]]/F251)-1</f>
        <v>0</v>
      </c>
      <c r="H258" s="3">
        <v>64</v>
      </c>
      <c r="I258" s="112">
        <f>(Table6[[#This Row],[Out of stock Items per restaurant]]/H251)-1</f>
        <v>0.88235294117647056</v>
      </c>
      <c r="J258" s="3">
        <v>22</v>
      </c>
      <c r="K258" s="169">
        <f>(Table6[[#This Row],[Average Packaging charges]]/J251)-1</f>
        <v>0.22222222222222232</v>
      </c>
      <c r="L258" s="3">
        <v>30</v>
      </c>
      <c r="M258" s="112">
        <f>(Table6[[#This Row],[Average Delivery Charges]]/L251)-1</f>
        <v>0.15384615384615374</v>
      </c>
      <c r="N258" s="3">
        <v>378</v>
      </c>
      <c r="O258" s="4">
        <f>(Table6[[#This Row],[Avg Cost for two]]/N251)-1</f>
        <v>-1.8181818181818188E-2</v>
      </c>
      <c r="P258" s="3">
        <v>35</v>
      </c>
      <c r="Q258" s="81">
        <f>(Table6[[#This Row],[Number of images per restaurant]]/P251)-1</f>
        <v>-5.4054054054054057E-2</v>
      </c>
      <c r="R258" s="81">
        <v>0.93</v>
      </c>
      <c r="S258" s="10">
        <f>(Table6[[#This Row],[Success Rate of payments]]/R251)-1</f>
        <v>-2.1052631578947323E-2</v>
      </c>
      <c r="T258" s="64">
        <f>VLOOKUP(Table6[[#This Row],[Date]],Table2[#All],1,FALSE)</f>
        <v>43722</v>
      </c>
    </row>
    <row r="259" spans="2:20" x14ac:dyDescent="0.3">
      <c r="B259" s="38">
        <v>43723</v>
      </c>
      <c r="C259" s="80">
        <v>43723</v>
      </c>
      <c r="D259" s="3">
        <v>393532</v>
      </c>
      <c r="E259" s="4">
        <f>(Table6[[#This Row],[Count of restaurants]]/D252)-1</f>
        <v>1.9774501750448925E-2</v>
      </c>
      <c r="F259" s="4">
        <v>0.19</v>
      </c>
      <c r="G259" s="112">
        <f>(Table6[[#This Row],[Average Discount]]/F252)-1</f>
        <v>5.555555555555558E-2</v>
      </c>
      <c r="H259" s="3">
        <v>31</v>
      </c>
      <c r="I259" s="112">
        <f>(Table6[[#This Row],[Out of stock Items per restaurant]]/H252)-1</f>
        <v>-0.11428571428571432</v>
      </c>
      <c r="J259" s="3">
        <v>18</v>
      </c>
      <c r="K259" s="169">
        <f>(Table6[[#This Row],[Average Packaging charges]]/J252)-1</f>
        <v>0</v>
      </c>
      <c r="L259" s="3">
        <v>29</v>
      </c>
      <c r="M259" s="112">
        <f>(Table6[[#This Row],[Average Delivery Charges]]/L252)-1</f>
        <v>-3.3333333333333326E-2</v>
      </c>
      <c r="N259" s="3">
        <v>385</v>
      </c>
      <c r="O259" s="4">
        <f>(Table6[[#This Row],[Avg Cost for two]]/N252)-1</f>
        <v>7.8534031413612926E-3</v>
      </c>
      <c r="P259" s="3">
        <v>38</v>
      </c>
      <c r="Q259" s="81">
        <f>(Table6[[#This Row],[Number of images per restaurant]]/P252)-1</f>
        <v>0.11764705882352944</v>
      </c>
      <c r="R259" s="81">
        <v>0.94</v>
      </c>
      <c r="S259" s="10">
        <f>(Table6[[#This Row],[Success Rate of payments]]/R252)-1</f>
        <v>3.296703296703285E-2</v>
      </c>
      <c r="T259" s="64" t="e">
        <f>VLOOKUP(Table6[[#This Row],[Date]],Table2[#All],1,FALSE)</f>
        <v>#N/A</v>
      </c>
    </row>
    <row r="260" spans="2:20" x14ac:dyDescent="0.3">
      <c r="B260" s="38">
        <v>43724</v>
      </c>
      <c r="C260" s="80">
        <v>43724</v>
      </c>
      <c r="D260" s="3">
        <v>398745</v>
      </c>
      <c r="E260" s="4">
        <f>(Table6[[#This Row],[Count of restaurants]]/D253)-1</f>
        <v>-2.2003060954193576E-2</v>
      </c>
      <c r="F260" s="4">
        <v>0.19</v>
      </c>
      <c r="G260" s="112">
        <f>(Table6[[#This Row],[Average Discount]]/F253)-1</f>
        <v>5.555555555555558E-2</v>
      </c>
      <c r="H260" s="3">
        <v>33</v>
      </c>
      <c r="I260" s="112">
        <f>(Table6[[#This Row],[Out of stock Items per restaurant]]/H253)-1</f>
        <v>-5.7142857142857162E-2</v>
      </c>
      <c r="J260" s="3">
        <v>21</v>
      </c>
      <c r="K260" s="169">
        <f>(Table6[[#This Row],[Average Packaging charges]]/J253)-1</f>
        <v>0</v>
      </c>
      <c r="L260" s="3">
        <v>25</v>
      </c>
      <c r="M260" s="112">
        <f>(Table6[[#This Row],[Average Delivery Charges]]/L253)-1</f>
        <v>-3.8461538461538436E-2</v>
      </c>
      <c r="N260" s="3">
        <v>367</v>
      </c>
      <c r="O260" s="4">
        <f>(Table6[[#This Row],[Avg Cost for two]]/N253)-1</f>
        <v>-8.1081081081081363E-3</v>
      </c>
      <c r="P260" s="3">
        <v>32</v>
      </c>
      <c r="Q260" s="81">
        <f>(Table6[[#This Row],[Number of images per restaurant]]/P253)-1</f>
        <v>-0.15789473684210531</v>
      </c>
      <c r="R260" s="81">
        <v>0.95</v>
      </c>
      <c r="S260" s="10">
        <f>(Table6[[#This Row],[Success Rate of payments]]/R253)-1</f>
        <v>1.0638297872340496E-2</v>
      </c>
      <c r="T260" s="64" t="e">
        <f>VLOOKUP(Table6[[#This Row],[Date]],Table2[#All],1,FALSE)</f>
        <v>#N/A</v>
      </c>
    </row>
    <row r="261" spans="2:20" x14ac:dyDescent="0.3">
      <c r="B261" s="38">
        <v>43725</v>
      </c>
      <c r="C261" s="80">
        <v>43725</v>
      </c>
      <c r="D261" s="3">
        <v>388146</v>
      </c>
      <c r="E261" s="4">
        <f>(Table6[[#This Row],[Count of restaurants]]/D254)-1</f>
        <v>-2.4212058515198254E-2</v>
      </c>
      <c r="F261" s="4">
        <v>0.17</v>
      </c>
      <c r="G261" s="112">
        <f>(Table6[[#This Row],[Average Discount]]/F254)-1</f>
        <v>-5.5555555555555469E-2</v>
      </c>
      <c r="H261" s="3">
        <v>32</v>
      </c>
      <c r="I261" s="112">
        <f>(Table6[[#This Row],[Out of stock Items per restaurant]]/H254)-1</f>
        <v>-8.5714285714285743E-2</v>
      </c>
      <c r="J261" s="3">
        <v>18</v>
      </c>
      <c r="K261" s="169">
        <f>(Table6[[#This Row],[Average Packaging charges]]/J254)-1</f>
        <v>0</v>
      </c>
      <c r="L261" s="3">
        <v>29</v>
      </c>
      <c r="M261" s="112">
        <f>(Table6[[#This Row],[Average Delivery Charges]]/L254)-1</f>
        <v>7.4074074074074181E-2</v>
      </c>
      <c r="N261" s="3">
        <v>382</v>
      </c>
      <c r="O261" s="4">
        <f>(Table6[[#This Row],[Avg Cost for two]]/N254)-1</f>
        <v>-4.260651629072687E-2</v>
      </c>
      <c r="P261" s="3">
        <v>30</v>
      </c>
      <c r="Q261" s="81">
        <f>(Table6[[#This Row],[Number of images per restaurant]]/P254)-1</f>
        <v>-0.18918918918918914</v>
      </c>
      <c r="R261" s="81">
        <v>0.94</v>
      </c>
      <c r="S261" s="10">
        <f>(Table6[[#This Row],[Success Rate of payments]]/R254)-1</f>
        <v>3.296703296703285E-2</v>
      </c>
      <c r="T261" s="64" t="e">
        <f>VLOOKUP(Table6[[#This Row],[Date]],Table2[#All],1,FALSE)</f>
        <v>#N/A</v>
      </c>
    </row>
    <row r="262" spans="2:20" x14ac:dyDescent="0.3">
      <c r="B262" s="38">
        <v>43726</v>
      </c>
      <c r="C262" s="80">
        <v>43726</v>
      </c>
      <c r="D262" s="3">
        <v>406545</v>
      </c>
      <c r="E262" s="4">
        <f>(Table6[[#This Row],[Count of restaurants]]/D255)-1</f>
        <v>3.3316642817020181E-2</v>
      </c>
      <c r="F262" s="4">
        <v>0.18</v>
      </c>
      <c r="G262" s="112">
        <f>(Table6[[#This Row],[Average Discount]]/F255)-1</f>
        <v>0</v>
      </c>
      <c r="H262" s="3">
        <v>32</v>
      </c>
      <c r="I262" s="112">
        <f>(Table6[[#This Row],[Out of stock Items per restaurant]]/H255)-1</f>
        <v>-0.19999999999999996</v>
      </c>
      <c r="J262" s="3">
        <v>20</v>
      </c>
      <c r="K262" s="169">
        <f>(Table6[[#This Row],[Average Packaging charges]]/J255)-1</f>
        <v>0.17647058823529416</v>
      </c>
      <c r="L262" s="3">
        <v>28</v>
      </c>
      <c r="M262" s="112">
        <f>(Table6[[#This Row],[Average Delivery Charges]]/L255)-1</f>
        <v>7.6923076923076872E-2</v>
      </c>
      <c r="N262" s="3">
        <v>377</v>
      </c>
      <c r="O262" s="4">
        <f>(Table6[[#This Row],[Avg Cost for two]]/N255)-1</f>
        <v>-2.5839793281653756E-2</v>
      </c>
      <c r="P262" s="3">
        <v>35</v>
      </c>
      <c r="Q262" s="81">
        <f>(Table6[[#This Row],[Number of images per restaurant]]/P255)-1</f>
        <v>0.12903225806451624</v>
      </c>
      <c r="R262" s="81">
        <v>0.93</v>
      </c>
      <c r="S262" s="10">
        <f>(Table6[[#This Row],[Success Rate of payments]]/R255)-1</f>
        <v>-1.0638297872340274E-2</v>
      </c>
      <c r="T262" s="64" t="e">
        <f>VLOOKUP(Table6[[#This Row],[Date]],Table2[#All],1,FALSE)</f>
        <v>#N/A</v>
      </c>
    </row>
    <row r="263" spans="2:20" x14ac:dyDescent="0.3">
      <c r="B263" s="38">
        <v>43727</v>
      </c>
      <c r="C263" s="80">
        <v>43727</v>
      </c>
      <c r="D263" s="3">
        <v>406600</v>
      </c>
      <c r="E263" s="4">
        <f>(Table6[[#This Row],[Count of restaurants]]/D256)-1</f>
        <v>-8.3613273853200276E-5</v>
      </c>
      <c r="F263" s="4">
        <v>0.19</v>
      </c>
      <c r="G263" s="112">
        <f>(Table6[[#This Row],[Average Discount]]/F256)-1</f>
        <v>5.555555555555558E-2</v>
      </c>
      <c r="H263" s="3">
        <v>33</v>
      </c>
      <c r="I263" s="112">
        <f>(Table6[[#This Row],[Out of stock Items per restaurant]]/H256)-1</f>
        <v>-2.9411764705882359E-2</v>
      </c>
      <c r="J263" s="3">
        <v>21</v>
      </c>
      <c r="K263" s="169">
        <f>(Table6[[#This Row],[Average Packaging charges]]/J256)-1</f>
        <v>5.0000000000000044E-2</v>
      </c>
      <c r="L263" s="3">
        <v>30</v>
      </c>
      <c r="M263" s="112">
        <f>(Table6[[#This Row],[Average Delivery Charges]]/L256)-1</f>
        <v>0.19999999999999996</v>
      </c>
      <c r="N263" s="3">
        <v>351</v>
      </c>
      <c r="O263" s="4">
        <f>(Table6[[#This Row],[Avg Cost for two]]/N256)-1</f>
        <v>-4.6195652173913082E-2</v>
      </c>
      <c r="P263" s="3">
        <v>34</v>
      </c>
      <c r="Q263" s="81">
        <f>(Table6[[#This Row],[Number of images per restaurant]]/P256)-1</f>
        <v>-5.555555555555558E-2</v>
      </c>
      <c r="R263" s="81">
        <v>0.95</v>
      </c>
      <c r="S263" s="10">
        <f>(Table6[[#This Row],[Success Rate of payments]]/R256)-1</f>
        <v>4.39560439560438E-2</v>
      </c>
      <c r="T263" s="64" t="e">
        <f>VLOOKUP(Table6[[#This Row],[Date]],Table2[#All],1,FALSE)</f>
        <v>#N/A</v>
      </c>
    </row>
    <row r="264" spans="2:20" x14ac:dyDescent="0.3">
      <c r="B264" s="38">
        <v>43728</v>
      </c>
      <c r="C264" s="80">
        <v>43728</v>
      </c>
      <c r="D264" s="3">
        <v>407858</v>
      </c>
      <c r="E264" s="4">
        <f>(Table6[[#This Row],[Count of restaurants]]/D257)-1</f>
        <v>3.8996306203031406E-2</v>
      </c>
      <c r="F264" s="4">
        <v>0.19</v>
      </c>
      <c r="G264" s="112">
        <f>(Table6[[#This Row],[Average Discount]]/F257)-1</f>
        <v>0</v>
      </c>
      <c r="H264" s="3">
        <v>39</v>
      </c>
      <c r="I264" s="112">
        <f>(Table6[[#This Row],[Out of stock Items per restaurant]]/H257)-1</f>
        <v>0.30000000000000004</v>
      </c>
      <c r="J264" s="3">
        <v>21</v>
      </c>
      <c r="K264" s="169">
        <f>(Table6[[#This Row],[Average Packaging charges]]/J257)-1</f>
        <v>0.10526315789473695</v>
      </c>
      <c r="L264" s="3">
        <v>27</v>
      </c>
      <c r="M264" s="112">
        <f>(Table6[[#This Row],[Average Delivery Charges]]/L257)-1</f>
        <v>-6.8965517241379337E-2</v>
      </c>
      <c r="N264" s="3">
        <v>383</v>
      </c>
      <c r="O264" s="4">
        <f>(Table6[[#This Row],[Avg Cost for two]]/N257)-1</f>
        <v>-2.6041666666666297E-3</v>
      </c>
      <c r="P264" s="3">
        <v>35</v>
      </c>
      <c r="Q264" s="81">
        <f>(Table6[[#This Row],[Number of images per restaurant]]/P257)-1</f>
        <v>9.375E-2</v>
      </c>
      <c r="R264" s="81">
        <v>0.93</v>
      </c>
      <c r="S264" s="10">
        <f>(Table6[[#This Row],[Success Rate of payments]]/R257)-1</f>
        <v>1.0869565217391353E-2</v>
      </c>
      <c r="T264" s="64" t="e">
        <f>VLOOKUP(Table6[[#This Row],[Date]],Table2[#All],1,FALSE)</f>
        <v>#N/A</v>
      </c>
    </row>
    <row r="265" spans="2:20" x14ac:dyDescent="0.3">
      <c r="B265" s="38">
        <v>43729</v>
      </c>
      <c r="C265" s="80">
        <v>43729</v>
      </c>
      <c r="D265" s="3">
        <v>388449</v>
      </c>
      <c r="E265" s="4">
        <f>(Table6[[#This Row],[Count of restaurants]]/D258)-1</f>
        <v>-4.4650323164553196E-2</v>
      </c>
      <c r="F265" s="4">
        <v>0.17</v>
      </c>
      <c r="G265" s="112">
        <f>(Table6[[#This Row],[Average Discount]]/F258)-1</f>
        <v>0</v>
      </c>
      <c r="H265" s="3">
        <v>37</v>
      </c>
      <c r="I265" s="112">
        <f>(Table6[[#This Row],[Out of stock Items per restaurant]]/H258)-1</f>
        <v>-0.421875</v>
      </c>
      <c r="J265" s="3">
        <v>20</v>
      </c>
      <c r="K265" s="169">
        <f>(Table6[[#This Row],[Average Packaging charges]]/J258)-1</f>
        <v>-9.0909090909090939E-2</v>
      </c>
      <c r="L265" s="3">
        <v>25</v>
      </c>
      <c r="M265" s="112">
        <f>(Table6[[#This Row],[Average Delivery Charges]]/L258)-1</f>
        <v>-0.16666666666666663</v>
      </c>
      <c r="N265" s="3">
        <v>372</v>
      </c>
      <c r="O265" s="4">
        <f>(Table6[[#This Row],[Avg Cost for two]]/N258)-1</f>
        <v>-1.5873015873015928E-2</v>
      </c>
      <c r="P265" s="3">
        <v>31</v>
      </c>
      <c r="Q265" s="81">
        <f>(Table6[[#This Row],[Number of images per restaurant]]/P258)-1</f>
        <v>-0.11428571428571432</v>
      </c>
      <c r="R265" s="81">
        <v>0.91</v>
      </c>
      <c r="S265" s="10">
        <f>(Table6[[#This Row],[Success Rate of payments]]/R258)-1</f>
        <v>-2.1505376344086002E-2</v>
      </c>
      <c r="T265" s="64">
        <f>VLOOKUP(Table6[[#This Row],[Date]],Table2[#All],1,FALSE)</f>
        <v>43729</v>
      </c>
    </row>
    <row r="266" spans="2:20" x14ac:dyDescent="0.3">
      <c r="B266" s="38">
        <v>43730</v>
      </c>
      <c r="C266" s="80">
        <v>43730</v>
      </c>
      <c r="D266" s="3">
        <v>401959</v>
      </c>
      <c r="E266" s="4">
        <f>(Table6[[#This Row],[Count of restaurants]]/D259)-1</f>
        <v>2.1413760507404733E-2</v>
      </c>
      <c r="F266" s="4">
        <v>0.19</v>
      </c>
      <c r="G266" s="112">
        <f>(Table6[[#This Row],[Average Discount]]/F259)-1</f>
        <v>0</v>
      </c>
      <c r="H266" s="3">
        <v>31</v>
      </c>
      <c r="I266" s="112">
        <f>(Table6[[#This Row],[Out of stock Items per restaurant]]/H259)-1</f>
        <v>0</v>
      </c>
      <c r="J266" s="3">
        <v>20</v>
      </c>
      <c r="K266" s="169">
        <f>(Table6[[#This Row],[Average Packaging charges]]/J259)-1</f>
        <v>0.11111111111111116</v>
      </c>
      <c r="L266" s="3">
        <v>25</v>
      </c>
      <c r="M266" s="112">
        <f>(Table6[[#This Row],[Average Delivery Charges]]/L259)-1</f>
        <v>-0.13793103448275867</v>
      </c>
      <c r="N266" s="3">
        <v>366</v>
      </c>
      <c r="O266" s="4">
        <f>(Table6[[#This Row],[Avg Cost for two]]/N259)-1</f>
        <v>-4.9350649350649367E-2</v>
      </c>
      <c r="P266" s="3">
        <v>31</v>
      </c>
      <c r="Q266" s="81">
        <f>(Table6[[#This Row],[Number of images per restaurant]]/P259)-1</f>
        <v>-0.18421052631578949</v>
      </c>
      <c r="R266" s="81">
        <v>0.95</v>
      </c>
      <c r="S266" s="10">
        <f>(Table6[[#This Row],[Success Rate of payments]]/R259)-1</f>
        <v>1.0638297872340496E-2</v>
      </c>
      <c r="T266" s="64" t="e">
        <f>VLOOKUP(Table6[[#This Row],[Date]],Table2[#All],1,FALSE)</f>
        <v>#N/A</v>
      </c>
    </row>
    <row r="267" spans="2:20" x14ac:dyDescent="0.3">
      <c r="B267" s="38">
        <v>43731</v>
      </c>
      <c r="C267" s="80">
        <v>43731</v>
      </c>
      <c r="D267" s="3">
        <v>405567</v>
      </c>
      <c r="E267" s="4">
        <f>(Table6[[#This Row],[Count of restaurants]]/D260)-1</f>
        <v>1.7108678478727102E-2</v>
      </c>
      <c r="F267" s="4">
        <v>0.19</v>
      </c>
      <c r="G267" s="112">
        <f>(Table6[[#This Row],[Average Discount]]/F260)-1</f>
        <v>0</v>
      </c>
      <c r="H267" s="3">
        <v>35</v>
      </c>
      <c r="I267" s="112">
        <f>(Table6[[#This Row],[Out of stock Items per restaurant]]/H260)-1</f>
        <v>6.0606060606060552E-2</v>
      </c>
      <c r="J267" s="3">
        <v>22</v>
      </c>
      <c r="K267" s="169">
        <f>(Table6[[#This Row],[Average Packaging charges]]/J260)-1</f>
        <v>4.7619047619047672E-2</v>
      </c>
      <c r="L267" s="3">
        <v>27</v>
      </c>
      <c r="M267" s="112">
        <f>(Table6[[#This Row],[Average Delivery Charges]]/L260)-1</f>
        <v>8.0000000000000071E-2</v>
      </c>
      <c r="N267" s="3">
        <v>359</v>
      </c>
      <c r="O267" s="4">
        <f>(Table6[[#This Row],[Avg Cost for two]]/N260)-1</f>
        <v>-2.1798365122615793E-2</v>
      </c>
      <c r="P267" s="3">
        <v>31</v>
      </c>
      <c r="Q267" s="81">
        <f>(Table6[[#This Row],[Number of images per restaurant]]/P260)-1</f>
        <v>-3.125E-2</v>
      </c>
      <c r="R267" s="81">
        <v>0.91</v>
      </c>
      <c r="S267" s="10">
        <f>(Table6[[#This Row],[Success Rate of payments]]/R260)-1</f>
        <v>-4.2105263157894646E-2</v>
      </c>
      <c r="T267" s="64" t="e">
        <f>VLOOKUP(Table6[[#This Row],[Date]],Table2[#All],1,FALSE)</f>
        <v>#N/A</v>
      </c>
    </row>
    <row r="268" spans="2:20" x14ac:dyDescent="0.3">
      <c r="B268" s="38">
        <v>43732</v>
      </c>
      <c r="C268" s="80">
        <v>43732</v>
      </c>
      <c r="D268" s="3">
        <v>388298</v>
      </c>
      <c r="E268" s="4">
        <f>(Table6[[#This Row],[Count of restaurants]]/D261)-1</f>
        <v>3.9160522071601811E-4</v>
      </c>
      <c r="F268" s="4">
        <v>0.19</v>
      </c>
      <c r="G268" s="112">
        <f>(Table6[[#This Row],[Average Discount]]/F261)-1</f>
        <v>0.11764705882352944</v>
      </c>
      <c r="H268" s="3">
        <v>38</v>
      </c>
      <c r="I268" s="112">
        <f>(Table6[[#This Row],[Out of stock Items per restaurant]]/H261)-1</f>
        <v>0.1875</v>
      </c>
      <c r="J268" s="3">
        <v>17</v>
      </c>
      <c r="K268" s="169">
        <f>(Table6[[#This Row],[Average Packaging charges]]/J261)-1</f>
        <v>-5.555555555555558E-2</v>
      </c>
      <c r="L268" s="3">
        <v>30</v>
      </c>
      <c r="M268" s="112">
        <f>(Table6[[#This Row],[Average Delivery Charges]]/L261)-1</f>
        <v>3.4482758620689724E-2</v>
      </c>
      <c r="N268" s="3">
        <v>398</v>
      </c>
      <c r="O268" s="4">
        <f>(Table6[[#This Row],[Avg Cost for two]]/N261)-1</f>
        <v>4.1884816753926746E-2</v>
      </c>
      <c r="P268" s="3">
        <v>35</v>
      </c>
      <c r="Q268" s="81">
        <f>(Table6[[#This Row],[Number of images per restaurant]]/P261)-1</f>
        <v>0.16666666666666674</v>
      </c>
      <c r="R268" s="81">
        <v>0.95</v>
      </c>
      <c r="S268" s="10">
        <f>(Table6[[#This Row],[Success Rate of payments]]/R261)-1</f>
        <v>1.0638297872340496E-2</v>
      </c>
      <c r="T268" s="64" t="e">
        <f>VLOOKUP(Table6[[#This Row],[Date]],Table2[#All],1,FALSE)</f>
        <v>#N/A</v>
      </c>
    </row>
    <row r="269" spans="2:20" x14ac:dyDescent="0.3">
      <c r="B269" s="38">
        <v>43733</v>
      </c>
      <c r="C269" s="80">
        <v>43733</v>
      </c>
      <c r="D269" s="3">
        <v>391681</v>
      </c>
      <c r="E269" s="4">
        <f>(Table6[[#This Row],[Count of restaurants]]/D262)-1</f>
        <v>-3.6561758230946095E-2</v>
      </c>
      <c r="F269" s="4">
        <v>0.17</v>
      </c>
      <c r="G269" s="112">
        <f>(Table6[[#This Row],[Average Discount]]/F262)-1</f>
        <v>-5.5555555555555469E-2</v>
      </c>
      <c r="H269" s="3">
        <v>32</v>
      </c>
      <c r="I269" s="112">
        <f>(Table6[[#This Row],[Out of stock Items per restaurant]]/H262)-1</f>
        <v>0</v>
      </c>
      <c r="J269" s="3">
        <v>21</v>
      </c>
      <c r="K269" s="169">
        <f>(Table6[[#This Row],[Average Packaging charges]]/J262)-1</f>
        <v>5.0000000000000044E-2</v>
      </c>
      <c r="L269" s="3">
        <v>28</v>
      </c>
      <c r="M269" s="112">
        <f>(Table6[[#This Row],[Average Delivery Charges]]/L262)-1</f>
        <v>0</v>
      </c>
      <c r="N269" s="3">
        <v>388</v>
      </c>
      <c r="O269" s="4">
        <f>(Table6[[#This Row],[Avg Cost for two]]/N262)-1</f>
        <v>2.917771883289122E-2</v>
      </c>
      <c r="P269" s="3">
        <v>37</v>
      </c>
      <c r="Q269" s="81">
        <f>(Table6[[#This Row],[Number of images per restaurant]]/P262)-1</f>
        <v>5.7142857142857162E-2</v>
      </c>
      <c r="R269" s="81">
        <v>0.91</v>
      </c>
      <c r="S269" s="10">
        <f>(Table6[[#This Row],[Success Rate of payments]]/R262)-1</f>
        <v>-2.1505376344086002E-2</v>
      </c>
      <c r="T269" s="64" t="e">
        <f>VLOOKUP(Table6[[#This Row],[Date]],Table2[#All],1,FALSE)</f>
        <v>#N/A</v>
      </c>
    </row>
    <row r="270" spans="2:20" x14ac:dyDescent="0.3">
      <c r="B270" s="38">
        <v>43734</v>
      </c>
      <c r="C270" s="80">
        <v>43734</v>
      </c>
      <c r="D270" s="3">
        <v>400929</v>
      </c>
      <c r="E270" s="4">
        <f>(Table6[[#This Row],[Count of restaurants]]/D263)-1</f>
        <v>-1.3947368421052597E-2</v>
      </c>
      <c r="F270" s="4">
        <v>0.19</v>
      </c>
      <c r="G270" s="112">
        <f>(Table6[[#This Row],[Average Discount]]/F263)-1</f>
        <v>0</v>
      </c>
      <c r="H270" s="3">
        <v>30</v>
      </c>
      <c r="I270" s="112">
        <f>(Table6[[#This Row],[Out of stock Items per restaurant]]/H263)-1</f>
        <v>-9.0909090909090939E-2</v>
      </c>
      <c r="J270" s="3">
        <v>18</v>
      </c>
      <c r="K270" s="169">
        <f>(Table6[[#This Row],[Average Packaging charges]]/J263)-1</f>
        <v>-0.1428571428571429</v>
      </c>
      <c r="L270" s="3">
        <v>28</v>
      </c>
      <c r="M270" s="112">
        <f>(Table6[[#This Row],[Average Delivery Charges]]/L263)-1</f>
        <v>-6.6666666666666652E-2</v>
      </c>
      <c r="N270" s="3">
        <v>394</v>
      </c>
      <c r="O270" s="4">
        <f>(Table6[[#This Row],[Avg Cost for two]]/N263)-1</f>
        <v>0.12250712250712259</v>
      </c>
      <c r="P270" s="3">
        <v>35</v>
      </c>
      <c r="Q270" s="81">
        <f>(Table6[[#This Row],[Number of images per restaurant]]/P263)-1</f>
        <v>2.9411764705882248E-2</v>
      </c>
      <c r="R270" s="81">
        <v>0.91</v>
      </c>
      <c r="S270" s="10">
        <f>(Table6[[#This Row],[Success Rate of payments]]/R263)-1</f>
        <v>-4.2105263157894646E-2</v>
      </c>
      <c r="T270" s="64" t="e">
        <f>VLOOKUP(Table6[[#This Row],[Date]],Table2[#All],1,FALSE)</f>
        <v>#N/A</v>
      </c>
    </row>
    <row r="271" spans="2:20" x14ac:dyDescent="0.3">
      <c r="B271" s="38">
        <v>43735</v>
      </c>
      <c r="C271" s="80">
        <v>43735</v>
      </c>
      <c r="D271" s="3">
        <v>400010</v>
      </c>
      <c r="E271" s="4">
        <f>(Table6[[#This Row],[Count of restaurants]]/D264)-1</f>
        <v>-1.9241991085132581E-2</v>
      </c>
      <c r="F271" s="4">
        <v>0.19</v>
      </c>
      <c r="G271" s="112">
        <f>(Table6[[#This Row],[Average Discount]]/F264)-1</f>
        <v>0</v>
      </c>
      <c r="H271" s="3">
        <v>37</v>
      </c>
      <c r="I271" s="112">
        <f>(Table6[[#This Row],[Out of stock Items per restaurant]]/H264)-1</f>
        <v>-5.1282051282051322E-2</v>
      </c>
      <c r="J271" s="3">
        <v>21</v>
      </c>
      <c r="K271" s="169">
        <f>(Table6[[#This Row],[Average Packaging charges]]/J264)-1</f>
        <v>0</v>
      </c>
      <c r="L271" s="3">
        <v>29</v>
      </c>
      <c r="M271" s="112">
        <f>(Table6[[#This Row],[Average Delivery Charges]]/L264)-1</f>
        <v>7.4074074074074181E-2</v>
      </c>
      <c r="N271" s="3">
        <v>393</v>
      </c>
      <c r="O271" s="4">
        <f>(Table6[[#This Row],[Avg Cost for two]]/N264)-1</f>
        <v>2.6109660574412441E-2</v>
      </c>
      <c r="P271" s="3">
        <v>38</v>
      </c>
      <c r="Q271" s="81">
        <f>(Table6[[#This Row],[Number of images per restaurant]]/P264)-1</f>
        <v>8.5714285714285632E-2</v>
      </c>
      <c r="R271" s="81">
        <v>0.92</v>
      </c>
      <c r="S271" s="10">
        <f>(Table6[[#This Row],[Success Rate of payments]]/R264)-1</f>
        <v>-1.0752688172043001E-2</v>
      </c>
      <c r="T271" s="64" t="e">
        <f>VLOOKUP(Table6[[#This Row],[Date]],Table2[#All],1,FALSE)</f>
        <v>#N/A</v>
      </c>
    </row>
    <row r="272" spans="2:20" x14ac:dyDescent="0.3">
      <c r="B272" s="38">
        <v>43736</v>
      </c>
      <c r="C272" s="80">
        <v>43736</v>
      </c>
      <c r="D272" s="3">
        <v>406277</v>
      </c>
      <c r="E272" s="4">
        <f>(Table6[[#This Row],[Count of restaurants]]/D265)-1</f>
        <v>4.5895342760568392E-2</v>
      </c>
      <c r="F272" s="4">
        <v>0.19</v>
      </c>
      <c r="G272" s="112">
        <f>(Table6[[#This Row],[Average Discount]]/F265)-1</f>
        <v>0.11764705882352944</v>
      </c>
      <c r="H272" s="3">
        <v>38</v>
      </c>
      <c r="I272" s="112">
        <f>(Table6[[#This Row],[Out of stock Items per restaurant]]/H265)-1</f>
        <v>2.7027027027026973E-2</v>
      </c>
      <c r="J272" s="3">
        <v>17</v>
      </c>
      <c r="K272" s="169">
        <f>(Table6[[#This Row],[Average Packaging charges]]/J265)-1</f>
        <v>-0.15000000000000002</v>
      </c>
      <c r="L272" s="3">
        <v>30</v>
      </c>
      <c r="M272" s="112">
        <f>(Table6[[#This Row],[Average Delivery Charges]]/L265)-1</f>
        <v>0.19999999999999996</v>
      </c>
      <c r="N272" s="3">
        <v>397</v>
      </c>
      <c r="O272" s="4">
        <f>(Table6[[#This Row],[Avg Cost for two]]/N265)-1</f>
        <v>6.7204301075268758E-2</v>
      </c>
      <c r="P272" s="3">
        <v>36</v>
      </c>
      <c r="Q272" s="81">
        <f>(Table6[[#This Row],[Number of images per restaurant]]/P265)-1</f>
        <v>0.16129032258064524</v>
      </c>
      <c r="R272" s="81">
        <v>0.94</v>
      </c>
      <c r="S272" s="10">
        <f>(Table6[[#This Row],[Success Rate of payments]]/R265)-1</f>
        <v>3.296703296703285E-2</v>
      </c>
      <c r="T272" s="64" t="e">
        <f>VLOOKUP(Table6[[#This Row],[Date]],Table2[#All],1,FALSE)</f>
        <v>#N/A</v>
      </c>
    </row>
    <row r="273" spans="2:20" x14ac:dyDescent="0.3">
      <c r="B273" s="38">
        <v>43737</v>
      </c>
      <c r="C273" s="80">
        <v>43737</v>
      </c>
      <c r="D273" s="3">
        <v>400829</v>
      </c>
      <c r="E273" s="4">
        <f>(Table6[[#This Row],[Count of restaurants]]/D266)-1</f>
        <v>-2.8112319913224937E-3</v>
      </c>
      <c r="F273" s="4">
        <v>0.18</v>
      </c>
      <c r="G273" s="112">
        <f>(Table6[[#This Row],[Average Discount]]/F266)-1</f>
        <v>-5.2631578947368474E-2</v>
      </c>
      <c r="H273" s="3">
        <v>30</v>
      </c>
      <c r="I273" s="112">
        <f>(Table6[[#This Row],[Out of stock Items per restaurant]]/H266)-1</f>
        <v>-3.2258064516129004E-2</v>
      </c>
      <c r="J273" s="3">
        <v>22</v>
      </c>
      <c r="K273" s="169">
        <f>(Table6[[#This Row],[Average Packaging charges]]/J266)-1</f>
        <v>0.10000000000000009</v>
      </c>
      <c r="L273" s="3">
        <v>28</v>
      </c>
      <c r="M273" s="112">
        <f>(Table6[[#This Row],[Average Delivery Charges]]/L266)-1</f>
        <v>0.12000000000000011</v>
      </c>
      <c r="N273" s="3">
        <v>360</v>
      </c>
      <c r="O273" s="4">
        <f>(Table6[[#This Row],[Avg Cost for two]]/N266)-1</f>
        <v>-1.6393442622950838E-2</v>
      </c>
      <c r="P273" s="3">
        <v>39</v>
      </c>
      <c r="Q273" s="81">
        <f>(Table6[[#This Row],[Number of images per restaurant]]/P266)-1</f>
        <v>0.25806451612903225</v>
      </c>
      <c r="R273" s="81">
        <v>0.91</v>
      </c>
      <c r="S273" s="10">
        <f>(Table6[[#This Row],[Success Rate of payments]]/R266)-1</f>
        <v>-4.2105263157894646E-2</v>
      </c>
      <c r="T273" s="64" t="e">
        <f>VLOOKUP(Table6[[#This Row],[Date]],Table2[#All],1,FALSE)</f>
        <v>#N/A</v>
      </c>
    </row>
    <row r="274" spans="2:20" x14ac:dyDescent="0.3">
      <c r="B274" s="38">
        <v>43738</v>
      </c>
      <c r="C274" s="80">
        <v>43738</v>
      </c>
      <c r="D274" s="3">
        <v>392169</v>
      </c>
      <c r="E274" s="4">
        <f>(Table6[[#This Row],[Count of restaurants]]/D267)-1</f>
        <v>-3.3035232156462424E-2</v>
      </c>
      <c r="F274" s="4">
        <v>0.18</v>
      </c>
      <c r="G274" s="112">
        <f>(Table6[[#This Row],[Average Discount]]/F267)-1</f>
        <v>-5.2631578947368474E-2</v>
      </c>
      <c r="H274" s="3">
        <v>32</v>
      </c>
      <c r="I274" s="112">
        <f>(Table6[[#This Row],[Out of stock Items per restaurant]]/H267)-1</f>
        <v>-8.5714285714285743E-2</v>
      </c>
      <c r="J274" s="3">
        <v>18</v>
      </c>
      <c r="K274" s="169">
        <f>(Table6[[#This Row],[Average Packaging charges]]/J267)-1</f>
        <v>-0.18181818181818177</v>
      </c>
      <c r="L274" s="3">
        <v>28</v>
      </c>
      <c r="M274" s="112">
        <f>(Table6[[#This Row],[Average Delivery Charges]]/L267)-1</f>
        <v>3.7037037037036979E-2</v>
      </c>
      <c r="N274" s="3">
        <v>359</v>
      </c>
      <c r="O274" s="4">
        <f>(Table6[[#This Row],[Avg Cost for two]]/N267)-1</f>
        <v>0</v>
      </c>
      <c r="P274" s="3">
        <v>34</v>
      </c>
      <c r="Q274" s="81">
        <f>(Table6[[#This Row],[Number of images per restaurant]]/P267)-1</f>
        <v>9.6774193548387011E-2</v>
      </c>
      <c r="R274" s="81">
        <v>0.91</v>
      </c>
      <c r="S274" s="10">
        <f>(Table6[[#This Row],[Success Rate of payments]]/R267)-1</f>
        <v>0</v>
      </c>
      <c r="T274" s="64" t="e">
        <f>VLOOKUP(Table6[[#This Row],[Date]],Table2[#All],1,FALSE)</f>
        <v>#N/A</v>
      </c>
    </row>
    <row r="275" spans="2:20" x14ac:dyDescent="0.3">
      <c r="B275" s="38">
        <v>43739</v>
      </c>
      <c r="C275" s="80">
        <v>43739</v>
      </c>
      <c r="D275" s="3">
        <v>383376</v>
      </c>
      <c r="E275" s="4">
        <f>(Table6[[#This Row],[Count of restaurants]]/D268)-1</f>
        <v>-1.2675831449041719E-2</v>
      </c>
      <c r="F275" s="4">
        <v>0.17</v>
      </c>
      <c r="G275" s="112">
        <f>(Table6[[#This Row],[Average Discount]]/F268)-1</f>
        <v>-0.10526315789473684</v>
      </c>
      <c r="H275" s="3">
        <v>30</v>
      </c>
      <c r="I275" s="112">
        <f>(Table6[[#This Row],[Out of stock Items per restaurant]]/H268)-1</f>
        <v>-0.21052631578947367</v>
      </c>
      <c r="J275" s="3">
        <v>21</v>
      </c>
      <c r="K275" s="169">
        <f>(Table6[[#This Row],[Average Packaging charges]]/J268)-1</f>
        <v>0.23529411764705888</v>
      </c>
      <c r="L275" s="3">
        <v>25</v>
      </c>
      <c r="M275" s="112">
        <f>(Table6[[#This Row],[Average Delivery Charges]]/L268)-1</f>
        <v>-0.16666666666666663</v>
      </c>
      <c r="N275" s="3">
        <v>394</v>
      </c>
      <c r="O275" s="4">
        <f>(Table6[[#This Row],[Avg Cost for two]]/N268)-1</f>
        <v>-1.0050251256281451E-2</v>
      </c>
      <c r="P275" s="3">
        <v>35</v>
      </c>
      <c r="Q275" s="81">
        <f>(Table6[[#This Row],[Number of images per restaurant]]/P268)-1</f>
        <v>0</v>
      </c>
      <c r="R275" s="81">
        <v>0.92</v>
      </c>
      <c r="S275" s="10">
        <f>(Table6[[#This Row],[Success Rate of payments]]/R268)-1</f>
        <v>-3.1578947368420929E-2</v>
      </c>
      <c r="T275" s="64" t="e">
        <f>VLOOKUP(Table6[[#This Row],[Date]],Table2[#All],1,FALSE)</f>
        <v>#N/A</v>
      </c>
    </row>
    <row r="276" spans="2:20" x14ac:dyDescent="0.3">
      <c r="B276" s="38">
        <v>43740</v>
      </c>
      <c r="C276" s="80">
        <v>43740</v>
      </c>
      <c r="D276" s="3">
        <v>384903</v>
      </c>
      <c r="E276" s="4">
        <f>(Table6[[#This Row],[Count of restaurants]]/D269)-1</f>
        <v>-1.7304898629241672E-2</v>
      </c>
      <c r="F276" s="4">
        <v>0.19</v>
      </c>
      <c r="G276" s="112">
        <f>(Table6[[#This Row],[Average Discount]]/F269)-1</f>
        <v>0.11764705882352944</v>
      </c>
      <c r="H276" s="3">
        <v>34</v>
      </c>
      <c r="I276" s="112">
        <f>(Table6[[#This Row],[Out of stock Items per restaurant]]/H269)-1</f>
        <v>6.25E-2</v>
      </c>
      <c r="J276" s="3">
        <v>19</v>
      </c>
      <c r="K276" s="169">
        <f>(Table6[[#This Row],[Average Packaging charges]]/J269)-1</f>
        <v>-9.5238095238095233E-2</v>
      </c>
      <c r="L276" s="3">
        <v>26</v>
      </c>
      <c r="M276" s="112">
        <f>(Table6[[#This Row],[Average Delivery Charges]]/L269)-1</f>
        <v>-7.1428571428571397E-2</v>
      </c>
      <c r="N276" s="3">
        <v>380</v>
      </c>
      <c r="O276" s="4">
        <f>(Table6[[#This Row],[Avg Cost for two]]/N269)-1</f>
        <v>-2.0618556701030966E-2</v>
      </c>
      <c r="P276" s="3">
        <v>30</v>
      </c>
      <c r="Q276" s="81">
        <f>(Table6[[#This Row],[Number of images per restaurant]]/P269)-1</f>
        <v>-0.18918918918918914</v>
      </c>
      <c r="R276" s="81">
        <v>0.94</v>
      </c>
      <c r="S276" s="10">
        <f>(Table6[[#This Row],[Success Rate of payments]]/R269)-1</f>
        <v>3.296703296703285E-2</v>
      </c>
      <c r="T276" s="64" t="e">
        <f>VLOOKUP(Table6[[#This Row],[Date]],Table2[#All],1,FALSE)</f>
        <v>#N/A</v>
      </c>
    </row>
    <row r="277" spans="2:20" x14ac:dyDescent="0.3">
      <c r="B277" s="38">
        <v>43741</v>
      </c>
      <c r="C277" s="80">
        <v>43741</v>
      </c>
      <c r="D277" s="3">
        <v>381179</v>
      </c>
      <c r="E277" s="4">
        <f>(Table6[[#This Row],[Count of restaurants]]/D270)-1</f>
        <v>-4.9260592274442572E-2</v>
      </c>
      <c r="F277" s="4">
        <v>0.17</v>
      </c>
      <c r="G277" s="112">
        <f>(Table6[[#This Row],[Average Discount]]/F270)-1</f>
        <v>-0.10526315789473684</v>
      </c>
      <c r="H277" s="3">
        <v>37</v>
      </c>
      <c r="I277" s="112">
        <f>(Table6[[#This Row],[Out of stock Items per restaurant]]/H270)-1</f>
        <v>0.23333333333333339</v>
      </c>
      <c r="J277" s="3">
        <v>18</v>
      </c>
      <c r="K277" s="169">
        <f>(Table6[[#This Row],[Average Packaging charges]]/J270)-1</f>
        <v>0</v>
      </c>
      <c r="L277" s="3">
        <v>28</v>
      </c>
      <c r="M277" s="112">
        <f>(Table6[[#This Row],[Average Delivery Charges]]/L270)-1</f>
        <v>0</v>
      </c>
      <c r="N277" s="3">
        <v>387</v>
      </c>
      <c r="O277" s="4">
        <f>(Table6[[#This Row],[Avg Cost for two]]/N270)-1</f>
        <v>-1.7766497461928932E-2</v>
      </c>
      <c r="P277" s="3">
        <v>33</v>
      </c>
      <c r="Q277" s="81">
        <f>(Table6[[#This Row],[Number of images per restaurant]]/P270)-1</f>
        <v>-5.7142857142857162E-2</v>
      </c>
      <c r="R277" s="81">
        <v>0.93</v>
      </c>
      <c r="S277" s="10">
        <f>(Table6[[#This Row],[Success Rate of payments]]/R270)-1</f>
        <v>2.19780219780219E-2</v>
      </c>
      <c r="T277" s="64" t="e">
        <f>VLOOKUP(Table6[[#This Row],[Date]],Table2[#All],1,FALSE)</f>
        <v>#N/A</v>
      </c>
    </row>
    <row r="278" spans="2:20" x14ac:dyDescent="0.3">
      <c r="B278" s="38">
        <v>43742</v>
      </c>
      <c r="C278" s="80">
        <v>43742</v>
      </c>
      <c r="D278" s="3">
        <v>389368</v>
      </c>
      <c r="E278" s="4">
        <f>(Table6[[#This Row],[Count of restaurants]]/D271)-1</f>
        <v>-2.6604334891627723E-2</v>
      </c>
      <c r="F278" s="4">
        <v>0.19</v>
      </c>
      <c r="G278" s="112">
        <f>(Table6[[#This Row],[Average Discount]]/F271)-1</f>
        <v>0</v>
      </c>
      <c r="H278" s="3">
        <v>34</v>
      </c>
      <c r="I278" s="112">
        <f>(Table6[[#This Row],[Out of stock Items per restaurant]]/H271)-1</f>
        <v>-8.108108108108103E-2</v>
      </c>
      <c r="J278" s="3">
        <v>22</v>
      </c>
      <c r="K278" s="169">
        <f>(Table6[[#This Row],[Average Packaging charges]]/J271)-1</f>
        <v>4.7619047619047672E-2</v>
      </c>
      <c r="L278" s="3">
        <v>29</v>
      </c>
      <c r="M278" s="112">
        <f>(Table6[[#This Row],[Average Delivery Charges]]/L271)-1</f>
        <v>0</v>
      </c>
      <c r="N278" s="3">
        <v>357</v>
      </c>
      <c r="O278" s="4">
        <f>(Table6[[#This Row],[Avg Cost for two]]/N271)-1</f>
        <v>-9.1603053435114545E-2</v>
      </c>
      <c r="P278" s="3">
        <v>40</v>
      </c>
      <c r="Q278" s="81">
        <f>(Table6[[#This Row],[Number of images per restaurant]]/P271)-1</f>
        <v>5.2631578947368363E-2</v>
      </c>
      <c r="R278" s="81">
        <v>0.94</v>
      </c>
      <c r="S278" s="10">
        <f>(Table6[[#This Row],[Success Rate of payments]]/R271)-1</f>
        <v>2.1739130434782483E-2</v>
      </c>
      <c r="T278" s="64" t="e">
        <f>VLOOKUP(Table6[[#This Row],[Date]],Table2[#All],1,FALSE)</f>
        <v>#N/A</v>
      </c>
    </row>
    <row r="279" spans="2:20" x14ac:dyDescent="0.3">
      <c r="B279" s="38">
        <v>43743</v>
      </c>
      <c r="C279" s="80">
        <v>43743</v>
      </c>
      <c r="D279" s="3">
        <v>409180</v>
      </c>
      <c r="E279" s="4">
        <f>(Table6[[#This Row],[Count of restaurants]]/D272)-1</f>
        <v>7.1453712614792941E-3</v>
      </c>
      <c r="F279" s="4">
        <v>0.19</v>
      </c>
      <c r="G279" s="112">
        <f>(Table6[[#This Row],[Average Discount]]/F272)-1</f>
        <v>0</v>
      </c>
      <c r="H279" s="3">
        <v>32</v>
      </c>
      <c r="I279" s="112">
        <f>(Table6[[#This Row],[Out of stock Items per restaurant]]/H272)-1</f>
        <v>-0.15789473684210531</v>
      </c>
      <c r="J279" s="3">
        <v>21</v>
      </c>
      <c r="K279" s="169">
        <f>(Table6[[#This Row],[Average Packaging charges]]/J272)-1</f>
        <v>0.23529411764705888</v>
      </c>
      <c r="L279" s="3">
        <v>29</v>
      </c>
      <c r="M279" s="112">
        <f>(Table6[[#This Row],[Average Delivery Charges]]/L272)-1</f>
        <v>-3.3333333333333326E-2</v>
      </c>
      <c r="N279" s="3">
        <v>382</v>
      </c>
      <c r="O279" s="4">
        <f>(Table6[[#This Row],[Avg Cost for two]]/N272)-1</f>
        <v>-3.7783375314861423E-2</v>
      </c>
      <c r="P279" s="3">
        <v>39</v>
      </c>
      <c r="Q279" s="81">
        <f>(Table6[[#This Row],[Number of images per restaurant]]/P272)-1</f>
        <v>8.3333333333333259E-2</v>
      </c>
      <c r="R279" s="81">
        <v>0.95</v>
      </c>
      <c r="S279" s="10">
        <f>(Table6[[#This Row],[Success Rate of payments]]/R272)-1</f>
        <v>1.0638297872340496E-2</v>
      </c>
      <c r="T279" s="64" t="e">
        <f>VLOOKUP(Table6[[#This Row],[Date]],Table2[#All],1,FALSE)</f>
        <v>#N/A</v>
      </c>
    </row>
    <row r="280" spans="2:20" x14ac:dyDescent="0.3">
      <c r="B280" s="38">
        <v>43744</v>
      </c>
      <c r="C280" s="80">
        <v>43744</v>
      </c>
      <c r="D280" s="3">
        <v>382705</v>
      </c>
      <c r="E280" s="4">
        <f>(Table6[[#This Row],[Count of restaurants]]/D273)-1</f>
        <v>-4.521628924054899E-2</v>
      </c>
      <c r="F280" s="4">
        <v>0.17</v>
      </c>
      <c r="G280" s="112">
        <f>(Table6[[#This Row],[Average Discount]]/F273)-1</f>
        <v>-5.5555555555555469E-2</v>
      </c>
      <c r="H280" s="3">
        <v>31</v>
      </c>
      <c r="I280" s="112">
        <f>(Table6[[#This Row],[Out of stock Items per restaurant]]/H273)-1</f>
        <v>3.3333333333333437E-2</v>
      </c>
      <c r="J280" s="3">
        <v>19</v>
      </c>
      <c r="K280" s="169">
        <f>(Table6[[#This Row],[Average Packaging charges]]/J273)-1</f>
        <v>-0.13636363636363635</v>
      </c>
      <c r="L280" s="3">
        <v>30</v>
      </c>
      <c r="M280" s="112">
        <f>(Table6[[#This Row],[Average Delivery Charges]]/L273)-1</f>
        <v>7.1428571428571397E-2</v>
      </c>
      <c r="N280" s="3">
        <v>372</v>
      </c>
      <c r="O280" s="4">
        <f>(Table6[[#This Row],[Avg Cost for two]]/N273)-1</f>
        <v>3.3333333333333437E-2</v>
      </c>
      <c r="P280" s="3">
        <v>31</v>
      </c>
      <c r="Q280" s="81">
        <f>(Table6[[#This Row],[Number of images per restaurant]]/P273)-1</f>
        <v>-0.20512820512820518</v>
      </c>
      <c r="R280" s="81">
        <v>0.94</v>
      </c>
      <c r="S280" s="10">
        <f>(Table6[[#This Row],[Success Rate of payments]]/R273)-1</f>
        <v>3.296703296703285E-2</v>
      </c>
      <c r="T280" s="64" t="e">
        <f>VLOOKUP(Table6[[#This Row],[Date]],Table2[#All],1,FALSE)</f>
        <v>#N/A</v>
      </c>
    </row>
    <row r="281" spans="2:20" x14ac:dyDescent="0.3">
      <c r="B281" s="38">
        <v>43745</v>
      </c>
      <c r="C281" s="80">
        <v>43745</v>
      </c>
      <c r="D281" s="3">
        <v>402657</v>
      </c>
      <c r="E281" s="4">
        <f>(Table6[[#This Row],[Count of restaurants]]/D274)-1</f>
        <v>2.6743572286437756E-2</v>
      </c>
      <c r="F281" s="4">
        <v>0.18</v>
      </c>
      <c r="G281" s="112">
        <f>(Table6[[#This Row],[Average Discount]]/F274)-1</f>
        <v>0</v>
      </c>
      <c r="H281" s="3">
        <v>30</v>
      </c>
      <c r="I281" s="112">
        <f>(Table6[[#This Row],[Out of stock Items per restaurant]]/H274)-1</f>
        <v>-6.25E-2</v>
      </c>
      <c r="J281" s="3">
        <v>19</v>
      </c>
      <c r="K281" s="169">
        <f>(Table6[[#This Row],[Average Packaging charges]]/J274)-1</f>
        <v>5.555555555555558E-2</v>
      </c>
      <c r="L281" s="3">
        <v>26</v>
      </c>
      <c r="M281" s="112">
        <f>(Table6[[#This Row],[Average Delivery Charges]]/L274)-1</f>
        <v>-7.1428571428571397E-2</v>
      </c>
      <c r="N281" s="3">
        <v>388</v>
      </c>
      <c r="O281" s="4">
        <f>(Table6[[#This Row],[Avg Cost for two]]/N274)-1</f>
        <v>8.0779944289693484E-2</v>
      </c>
      <c r="P281" s="3">
        <v>32</v>
      </c>
      <c r="Q281" s="81">
        <f>(Table6[[#This Row],[Number of images per restaurant]]/P274)-1</f>
        <v>-5.8823529411764719E-2</v>
      </c>
      <c r="R281" s="81">
        <v>0.91</v>
      </c>
      <c r="S281" s="10">
        <f>(Table6[[#This Row],[Success Rate of payments]]/R274)-1</f>
        <v>0</v>
      </c>
      <c r="T281" s="64" t="e">
        <f>VLOOKUP(Table6[[#This Row],[Date]],Table2[#All],1,FALSE)</f>
        <v>#N/A</v>
      </c>
    </row>
    <row r="282" spans="2:20" x14ac:dyDescent="0.3">
      <c r="B282" s="38">
        <v>43746</v>
      </c>
      <c r="C282" s="80">
        <v>43746</v>
      </c>
      <c r="D282" s="3">
        <v>386505</v>
      </c>
      <c r="E282" s="4">
        <f>(Table6[[#This Row],[Count of restaurants]]/D275)-1</f>
        <v>8.161700262927285E-3</v>
      </c>
      <c r="F282" s="4">
        <v>0.19</v>
      </c>
      <c r="G282" s="112">
        <f>(Table6[[#This Row],[Average Discount]]/F275)-1</f>
        <v>0.11764705882352944</v>
      </c>
      <c r="H282" s="3">
        <v>38</v>
      </c>
      <c r="I282" s="112">
        <f>(Table6[[#This Row],[Out of stock Items per restaurant]]/H275)-1</f>
        <v>0.26666666666666661</v>
      </c>
      <c r="J282" s="3">
        <v>18</v>
      </c>
      <c r="K282" s="169">
        <f>(Table6[[#This Row],[Average Packaging charges]]/J275)-1</f>
        <v>-0.1428571428571429</v>
      </c>
      <c r="L282" s="3">
        <v>29</v>
      </c>
      <c r="M282" s="112">
        <f>(Table6[[#This Row],[Average Delivery Charges]]/L275)-1</f>
        <v>0.15999999999999992</v>
      </c>
      <c r="N282" s="3">
        <v>387</v>
      </c>
      <c r="O282" s="4">
        <f>(Table6[[#This Row],[Avg Cost for two]]/N275)-1</f>
        <v>-1.7766497461928932E-2</v>
      </c>
      <c r="P282" s="3">
        <v>39</v>
      </c>
      <c r="Q282" s="81">
        <f>(Table6[[#This Row],[Number of images per restaurant]]/P275)-1</f>
        <v>0.11428571428571432</v>
      </c>
      <c r="R282" s="81">
        <v>0.95</v>
      </c>
      <c r="S282" s="10">
        <f>(Table6[[#This Row],[Success Rate of payments]]/R275)-1</f>
        <v>3.2608695652173836E-2</v>
      </c>
      <c r="T282" s="64" t="e">
        <f>VLOOKUP(Table6[[#This Row],[Date]],Table2[#All],1,FALSE)</f>
        <v>#N/A</v>
      </c>
    </row>
    <row r="283" spans="2:20" x14ac:dyDescent="0.3">
      <c r="B283" s="38">
        <v>43747</v>
      </c>
      <c r="C283" s="80">
        <v>43747</v>
      </c>
      <c r="D283" s="3">
        <v>382253</v>
      </c>
      <c r="E283" s="4">
        <f>(Table6[[#This Row],[Count of restaurants]]/D276)-1</f>
        <v>-6.8848515080423001E-3</v>
      </c>
      <c r="F283" s="4">
        <v>0.19</v>
      </c>
      <c r="G283" s="112">
        <f>(Table6[[#This Row],[Average Discount]]/F276)-1</f>
        <v>0</v>
      </c>
      <c r="H283" s="3">
        <v>34</v>
      </c>
      <c r="I283" s="112">
        <f>(Table6[[#This Row],[Out of stock Items per restaurant]]/H276)-1</f>
        <v>0</v>
      </c>
      <c r="J283" s="3">
        <v>19</v>
      </c>
      <c r="K283" s="169">
        <f>(Table6[[#This Row],[Average Packaging charges]]/J276)-1</f>
        <v>0</v>
      </c>
      <c r="L283" s="3">
        <v>29</v>
      </c>
      <c r="M283" s="112">
        <f>(Table6[[#This Row],[Average Delivery Charges]]/L276)-1</f>
        <v>0.11538461538461542</v>
      </c>
      <c r="N283" s="3">
        <v>366</v>
      </c>
      <c r="O283" s="4">
        <f>(Table6[[#This Row],[Avg Cost for two]]/N276)-1</f>
        <v>-3.6842105263157898E-2</v>
      </c>
      <c r="P283" s="3">
        <v>34</v>
      </c>
      <c r="Q283" s="81">
        <f>(Table6[[#This Row],[Number of images per restaurant]]/P276)-1</f>
        <v>0.1333333333333333</v>
      </c>
      <c r="R283" s="81">
        <v>0.91</v>
      </c>
      <c r="S283" s="10">
        <f>(Table6[[#This Row],[Success Rate of payments]]/R276)-1</f>
        <v>-3.1914893617021156E-2</v>
      </c>
      <c r="T283" s="64">
        <f>VLOOKUP(Table6[[#This Row],[Date]],Table2[#All],1,FALSE)</f>
        <v>43747</v>
      </c>
    </row>
    <row r="284" spans="2:20" x14ac:dyDescent="0.3">
      <c r="B284" s="38">
        <v>43748</v>
      </c>
      <c r="C284" s="80">
        <v>43748</v>
      </c>
      <c r="D284" s="3">
        <v>408424</v>
      </c>
      <c r="E284" s="4">
        <f>(Table6[[#This Row],[Count of restaurants]]/D277)-1</f>
        <v>7.1475605948911225E-2</v>
      </c>
      <c r="F284" s="4">
        <v>0.17</v>
      </c>
      <c r="G284" s="112">
        <f>(Table6[[#This Row],[Average Discount]]/F277)-1</f>
        <v>0</v>
      </c>
      <c r="H284" s="3">
        <v>33</v>
      </c>
      <c r="I284" s="112">
        <f>(Table6[[#This Row],[Out of stock Items per restaurant]]/H277)-1</f>
        <v>-0.10810810810810811</v>
      </c>
      <c r="J284" s="3">
        <v>22</v>
      </c>
      <c r="K284" s="169">
        <f>(Table6[[#This Row],[Average Packaging charges]]/J277)-1</f>
        <v>0.22222222222222232</v>
      </c>
      <c r="L284" s="3">
        <v>29</v>
      </c>
      <c r="M284" s="112">
        <f>(Table6[[#This Row],[Average Delivery Charges]]/L277)-1</f>
        <v>3.5714285714285809E-2</v>
      </c>
      <c r="N284" s="3">
        <v>368</v>
      </c>
      <c r="O284" s="4">
        <f>(Table6[[#This Row],[Avg Cost for two]]/N277)-1</f>
        <v>-4.9095607235142169E-2</v>
      </c>
      <c r="P284" s="3">
        <v>30</v>
      </c>
      <c r="Q284" s="81">
        <f>(Table6[[#This Row],[Number of images per restaurant]]/P277)-1</f>
        <v>-9.0909090909090939E-2</v>
      </c>
      <c r="R284" s="81">
        <v>0.93</v>
      </c>
      <c r="S284" s="10">
        <f>(Table6[[#This Row],[Success Rate of payments]]/R277)-1</f>
        <v>0</v>
      </c>
      <c r="T284" s="64" t="e">
        <f>VLOOKUP(Table6[[#This Row],[Date]],Table2[#All],1,FALSE)</f>
        <v>#N/A</v>
      </c>
    </row>
    <row r="285" spans="2:20" x14ac:dyDescent="0.3">
      <c r="B285" s="38">
        <v>43749</v>
      </c>
      <c r="C285" s="80">
        <v>43749</v>
      </c>
      <c r="D285" s="3">
        <v>388464</v>
      </c>
      <c r="E285" s="4">
        <f>(Table6[[#This Row],[Count of restaurants]]/D278)-1</f>
        <v>-2.3217110805202612E-3</v>
      </c>
      <c r="F285" s="4">
        <v>0.18</v>
      </c>
      <c r="G285" s="112">
        <f>(Table6[[#This Row],[Average Discount]]/F278)-1</f>
        <v>-5.2631578947368474E-2</v>
      </c>
      <c r="H285" s="3">
        <v>31</v>
      </c>
      <c r="I285" s="112">
        <f>(Table6[[#This Row],[Out of stock Items per restaurant]]/H278)-1</f>
        <v>-8.8235294117647078E-2</v>
      </c>
      <c r="J285" s="3">
        <v>19</v>
      </c>
      <c r="K285" s="169">
        <f>(Table6[[#This Row],[Average Packaging charges]]/J278)-1</f>
        <v>-0.13636363636363635</v>
      </c>
      <c r="L285" s="3">
        <v>25</v>
      </c>
      <c r="M285" s="112">
        <f>(Table6[[#This Row],[Average Delivery Charges]]/L278)-1</f>
        <v>-0.13793103448275867</v>
      </c>
      <c r="N285" s="3">
        <v>384</v>
      </c>
      <c r="O285" s="4">
        <f>(Table6[[#This Row],[Avg Cost for two]]/N278)-1</f>
        <v>7.5630252100840289E-2</v>
      </c>
      <c r="P285" s="3">
        <v>30</v>
      </c>
      <c r="Q285" s="81">
        <f>(Table6[[#This Row],[Number of images per restaurant]]/P278)-1</f>
        <v>-0.25</v>
      </c>
      <c r="R285" s="81">
        <v>0.95</v>
      </c>
      <c r="S285" s="10">
        <f>(Table6[[#This Row],[Success Rate of payments]]/R278)-1</f>
        <v>1.0638297872340496E-2</v>
      </c>
      <c r="T285" s="64" t="e">
        <f>VLOOKUP(Table6[[#This Row],[Date]],Table2[#All],1,FALSE)</f>
        <v>#N/A</v>
      </c>
    </row>
    <row r="286" spans="2:20" x14ac:dyDescent="0.3">
      <c r="B286" s="38">
        <v>43750</v>
      </c>
      <c r="C286" s="80">
        <v>43750</v>
      </c>
      <c r="D286" s="3">
        <v>387248</v>
      </c>
      <c r="E286" s="4">
        <f>(Table6[[#This Row],[Count of restaurants]]/D279)-1</f>
        <v>-5.3599882692213718E-2</v>
      </c>
      <c r="F286" s="4">
        <v>0.17</v>
      </c>
      <c r="G286" s="112">
        <f>(Table6[[#This Row],[Average Discount]]/F279)-1</f>
        <v>-0.10526315789473684</v>
      </c>
      <c r="H286" s="3">
        <v>33</v>
      </c>
      <c r="I286" s="112">
        <f>(Table6[[#This Row],[Out of stock Items per restaurant]]/H279)-1</f>
        <v>3.125E-2</v>
      </c>
      <c r="J286" s="3">
        <v>17</v>
      </c>
      <c r="K286" s="169">
        <f>(Table6[[#This Row],[Average Packaging charges]]/J279)-1</f>
        <v>-0.19047619047619047</v>
      </c>
      <c r="L286" s="3">
        <v>27</v>
      </c>
      <c r="M286" s="112">
        <f>(Table6[[#This Row],[Average Delivery Charges]]/L279)-1</f>
        <v>-6.8965517241379337E-2</v>
      </c>
      <c r="N286" s="3">
        <v>360</v>
      </c>
      <c r="O286" s="4">
        <f>(Table6[[#This Row],[Avg Cost for two]]/N279)-1</f>
        <v>-5.759162303664922E-2</v>
      </c>
      <c r="P286" s="3">
        <v>39</v>
      </c>
      <c r="Q286" s="81">
        <f>(Table6[[#This Row],[Number of images per restaurant]]/P279)-1</f>
        <v>0</v>
      </c>
      <c r="R286" s="81">
        <v>0.95</v>
      </c>
      <c r="S286" s="10">
        <f>(Table6[[#This Row],[Success Rate of payments]]/R279)-1</f>
        <v>0</v>
      </c>
      <c r="T286" s="64" t="e">
        <f>VLOOKUP(Table6[[#This Row],[Date]],Table2[#All],1,FALSE)</f>
        <v>#N/A</v>
      </c>
    </row>
    <row r="287" spans="2:20" x14ac:dyDescent="0.3">
      <c r="B287" s="38">
        <v>43751</v>
      </c>
      <c r="C287" s="80">
        <v>43751</v>
      </c>
      <c r="D287" s="3">
        <v>404505</v>
      </c>
      <c r="E287" s="4">
        <f>(Table6[[#This Row],[Count of restaurants]]/D280)-1</f>
        <v>5.6962934897636597E-2</v>
      </c>
      <c r="F287" s="4">
        <v>0.19</v>
      </c>
      <c r="G287" s="112">
        <f>(Table6[[#This Row],[Average Discount]]/F280)-1</f>
        <v>0.11764705882352944</v>
      </c>
      <c r="H287" s="3">
        <v>32</v>
      </c>
      <c r="I287" s="112">
        <f>(Table6[[#This Row],[Out of stock Items per restaurant]]/H280)-1</f>
        <v>3.2258064516129004E-2</v>
      </c>
      <c r="J287" s="3">
        <v>21</v>
      </c>
      <c r="K287" s="169">
        <f>(Table6[[#This Row],[Average Packaging charges]]/J280)-1</f>
        <v>0.10526315789473695</v>
      </c>
      <c r="L287" s="3">
        <v>27</v>
      </c>
      <c r="M287" s="112">
        <f>(Table6[[#This Row],[Average Delivery Charges]]/L280)-1</f>
        <v>-9.9999999999999978E-2</v>
      </c>
      <c r="N287" s="3">
        <v>387</v>
      </c>
      <c r="O287" s="4">
        <f>(Table6[[#This Row],[Avg Cost for two]]/N280)-1</f>
        <v>4.0322580645161255E-2</v>
      </c>
      <c r="P287" s="3">
        <v>36</v>
      </c>
      <c r="Q287" s="81">
        <f>(Table6[[#This Row],[Number of images per restaurant]]/P280)-1</f>
        <v>0.16129032258064524</v>
      </c>
      <c r="R287" s="81">
        <v>0.95</v>
      </c>
      <c r="S287" s="10">
        <f>(Table6[[#This Row],[Success Rate of payments]]/R280)-1</f>
        <v>1.0638297872340496E-2</v>
      </c>
      <c r="T287" s="64" t="e">
        <f>VLOOKUP(Table6[[#This Row],[Date]],Table2[#All],1,FALSE)</f>
        <v>#N/A</v>
      </c>
    </row>
    <row r="288" spans="2:20" x14ac:dyDescent="0.3">
      <c r="B288" s="38">
        <v>43752</v>
      </c>
      <c r="C288" s="80">
        <v>43752</v>
      </c>
      <c r="D288" s="3">
        <v>401477</v>
      </c>
      <c r="E288" s="4">
        <f>(Table6[[#This Row],[Count of restaurants]]/D281)-1</f>
        <v>-2.9305339283807186E-3</v>
      </c>
      <c r="F288" s="4">
        <v>0.18</v>
      </c>
      <c r="G288" s="112">
        <f>(Table6[[#This Row],[Average Discount]]/F281)-1</f>
        <v>0</v>
      </c>
      <c r="H288" s="3">
        <v>31</v>
      </c>
      <c r="I288" s="112">
        <f>(Table6[[#This Row],[Out of stock Items per restaurant]]/H281)-1</f>
        <v>3.3333333333333437E-2</v>
      </c>
      <c r="J288" s="3">
        <v>21</v>
      </c>
      <c r="K288" s="169">
        <f>(Table6[[#This Row],[Average Packaging charges]]/J281)-1</f>
        <v>0.10526315789473695</v>
      </c>
      <c r="L288" s="3">
        <v>25</v>
      </c>
      <c r="M288" s="112">
        <f>(Table6[[#This Row],[Average Delivery Charges]]/L281)-1</f>
        <v>-3.8461538461538436E-2</v>
      </c>
      <c r="N288" s="3">
        <v>362</v>
      </c>
      <c r="O288" s="4">
        <f>(Table6[[#This Row],[Avg Cost for two]]/N281)-1</f>
        <v>-6.7010309278350499E-2</v>
      </c>
      <c r="P288" s="3">
        <v>36</v>
      </c>
      <c r="Q288" s="81">
        <f>(Table6[[#This Row],[Number of images per restaurant]]/P281)-1</f>
        <v>0.125</v>
      </c>
      <c r="R288" s="81">
        <v>0.93</v>
      </c>
      <c r="S288" s="10">
        <f>(Table6[[#This Row],[Success Rate of payments]]/R281)-1</f>
        <v>2.19780219780219E-2</v>
      </c>
      <c r="T288" s="64" t="e">
        <f>VLOOKUP(Table6[[#This Row],[Date]],Table2[#All],1,FALSE)</f>
        <v>#N/A</v>
      </c>
    </row>
    <row r="289" spans="2:20" x14ac:dyDescent="0.3">
      <c r="B289" s="38">
        <v>43753</v>
      </c>
      <c r="C289" s="80">
        <v>43753</v>
      </c>
      <c r="D289" s="3">
        <v>402669</v>
      </c>
      <c r="E289" s="4">
        <f>(Table6[[#This Row],[Count of restaurants]]/D282)-1</f>
        <v>4.1820933752474199E-2</v>
      </c>
      <c r="F289" s="4">
        <v>0.19</v>
      </c>
      <c r="G289" s="112">
        <f>(Table6[[#This Row],[Average Discount]]/F282)-1</f>
        <v>0</v>
      </c>
      <c r="H289" s="3">
        <v>35</v>
      </c>
      <c r="I289" s="112">
        <f>(Table6[[#This Row],[Out of stock Items per restaurant]]/H282)-1</f>
        <v>-7.8947368421052655E-2</v>
      </c>
      <c r="J289" s="3">
        <v>17</v>
      </c>
      <c r="K289" s="169">
        <f>(Table6[[#This Row],[Average Packaging charges]]/J282)-1</f>
        <v>-5.555555555555558E-2</v>
      </c>
      <c r="L289" s="3">
        <v>25</v>
      </c>
      <c r="M289" s="112">
        <f>(Table6[[#This Row],[Average Delivery Charges]]/L282)-1</f>
        <v>-0.13793103448275867</v>
      </c>
      <c r="N289" s="3">
        <v>394</v>
      </c>
      <c r="O289" s="4">
        <f>(Table6[[#This Row],[Avg Cost for two]]/N282)-1</f>
        <v>1.8087855297157729E-2</v>
      </c>
      <c r="P289" s="3">
        <v>32</v>
      </c>
      <c r="Q289" s="81">
        <f>(Table6[[#This Row],[Number of images per restaurant]]/P282)-1</f>
        <v>-0.17948717948717952</v>
      </c>
      <c r="R289" s="81">
        <v>0.91</v>
      </c>
      <c r="S289" s="10">
        <f>(Table6[[#This Row],[Success Rate of payments]]/R282)-1</f>
        <v>-4.2105263157894646E-2</v>
      </c>
      <c r="T289" s="64" t="e">
        <f>VLOOKUP(Table6[[#This Row],[Date]],Table2[#All],1,FALSE)</f>
        <v>#N/A</v>
      </c>
    </row>
    <row r="290" spans="2:20" x14ac:dyDescent="0.3">
      <c r="B290" s="38">
        <v>43754</v>
      </c>
      <c r="C290" s="80">
        <v>43754</v>
      </c>
      <c r="D290" s="3">
        <v>401441</v>
      </c>
      <c r="E290" s="4">
        <f>(Table6[[#This Row],[Count of restaurants]]/D283)-1</f>
        <v>5.0197120755101965E-2</v>
      </c>
      <c r="F290" s="4">
        <v>0.19</v>
      </c>
      <c r="G290" s="112">
        <f>(Table6[[#This Row],[Average Discount]]/F283)-1</f>
        <v>0</v>
      </c>
      <c r="H290" s="3">
        <v>38</v>
      </c>
      <c r="I290" s="112">
        <f>(Table6[[#This Row],[Out of stock Items per restaurant]]/H283)-1</f>
        <v>0.11764705882352944</v>
      </c>
      <c r="J290" s="3">
        <v>22</v>
      </c>
      <c r="K290" s="169">
        <f>(Table6[[#This Row],[Average Packaging charges]]/J283)-1</f>
        <v>0.15789473684210531</v>
      </c>
      <c r="L290" s="3">
        <v>26</v>
      </c>
      <c r="M290" s="112">
        <f>(Table6[[#This Row],[Average Delivery Charges]]/L283)-1</f>
        <v>-0.10344827586206895</v>
      </c>
      <c r="N290" s="3">
        <v>371</v>
      </c>
      <c r="O290" s="4">
        <f>(Table6[[#This Row],[Avg Cost for two]]/N283)-1</f>
        <v>1.3661202185792254E-2</v>
      </c>
      <c r="P290" s="3">
        <v>31</v>
      </c>
      <c r="Q290" s="81">
        <f>(Table6[[#This Row],[Number of images per restaurant]]/P283)-1</f>
        <v>-8.8235294117647078E-2</v>
      </c>
      <c r="R290" s="81">
        <v>0.95</v>
      </c>
      <c r="S290" s="10">
        <f>(Table6[[#This Row],[Success Rate of payments]]/R283)-1</f>
        <v>4.39560439560438E-2</v>
      </c>
      <c r="T290" s="64" t="e">
        <f>VLOOKUP(Table6[[#This Row],[Date]],Table2[#All],1,FALSE)</f>
        <v>#N/A</v>
      </c>
    </row>
    <row r="291" spans="2:20" x14ac:dyDescent="0.3">
      <c r="B291" s="38">
        <v>43755</v>
      </c>
      <c r="C291" s="80">
        <v>43755</v>
      </c>
      <c r="D291" s="3">
        <v>404247</v>
      </c>
      <c r="E291" s="4">
        <f>(Table6[[#This Row],[Count of restaurants]]/D284)-1</f>
        <v>-1.0227116917712942E-2</v>
      </c>
      <c r="F291" s="4">
        <v>0.17</v>
      </c>
      <c r="G291" s="112">
        <f>(Table6[[#This Row],[Average Discount]]/F284)-1</f>
        <v>0</v>
      </c>
      <c r="H291" s="3">
        <v>37</v>
      </c>
      <c r="I291" s="112">
        <f>(Table6[[#This Row],[Out of stock Items per restaurant]]/H284)-1</f>
        <v>0.1212121212121211</v>
      </c>
      <c r="J291" s="3">
        <v>18</v>
      </c>
      <c r="K291" s="169">
        <f>(Table6[[#This Row],[Average Packaging charges]]/J284)-1</f>
        <v>-0.18181818181818177</v>
      </c>
      <c r="L291" s="3">
        <v>27</v>
      </c>
      <c r="M291" s="112">
        <f>(Table6[[#This Row],[Average Delivery Charges]]/L284)-1</f>
        <v>-6.8965517241379337E-2</v>
      </c>
      <c r="N291" s="3">
        <v>365</v>
      </c>
      <c r="O291" s="4">
        <f>(Table6[[#This Row],[Avg Cost for two]]/N284)-1</f>
        <v>-8.152173913043459E-3</v>
      </c>
      <c r="P291" s="3">
        <v>34</v>
      </c>
      <c r="Q291" s="81">
        <f>(Table6[[#This Row],[Number of images per restaurant]]/P284)-1</f>
        <v>0.1333333333333333</v>
      </c>
      <c r="R291" s="81">
        <v>0.92</v>
      </c>
      <c r="S291" s="10">
        <f>(Table6[[#This Row],[Success Rate of payments]]/R284)-1</f>
        <v>-1.0752688172043001E-2</v>
      </c>
      <c r="T291" s="64" t="e">
        <f>VLOOKUP(Table6[[#This Row],[Date]],Table2[#All],1,FALSE)</f>
        <v>#N/A</v>
      </c>
    </row>
    <row r="292" spans="2:20" x14ac:dyDescent="0.3">
      <c r="B292" s="38">
        <v>43756</v>
      </c>
      <c r="C292" s="80">
        <v>43756</v>
      </c>
      <c r="D292" s="3">
        <v>384464</v>
      </c>
      <c r="E292" s="4">
        <f>(Table6[[#This Row],[Count of restaurants]]/D285)-1</f>
        <v>-1.029696445487871E-2</v>
      </c>
      <c r="F292" s="4">
        <v>0.18</v>
      </c>
      <c r="G292" s="112">
        <f>(Table6[[#This Row],[Average Discount]]/F285)-1</f>
        <v>0</v>
      </c>
      <c r="H292" s="3">
        <v>35</v>
      </c>
      <c r="I292" s="112">
        <f>(Table6[[#This Row],[Out of stock Items per restaurant]]/H285)-1</f>
        <v>0.12903225806451624</v>
      </c>
      <c r="J292" s="3">
        <v>20</v>
      </c>
      <c r="K292" s="169">
        <f>(Table6[[#This Row],[Average Packaging charges]]/J285)-1</f>
        <v>5.2631578947368363E-2</v>
      </c>
      <c r="L292" s="3">
        <v>30</v>
      </c>
      <c r="M292" s="112">
        <f>(Table6[[#This Row],[Average Delivery Charges]]/L285)-1</f>
        <v>0.19999999999999996</v>
      </c>
      <c r="N292" s="3">
        <v>383</v>
      </c>
      <c r="O292" s="4">
        <f>(Table6[[#This Row],[Avg Cost for two]]/N285)-1</f>
        <v>-2.6041666666666297E-3</v>
      </c>
      <c r="P292" s="3">
        <v>39</v>
      </c>
      <c r="Q292" s="81">
        <f>(Table6[[#This Row],[Number of images per restaurant]]/P285)-1</f>
        <v>0.30000000000000004</v>
      </c>
      <c r="R292" s="81">
        <v>0.94</v>
      </c>
      <c r="S292" s="10">
        <f>(Table6[[#This Row],[Success Rate of payments]]/R285)-1</f>
        <v>-1.0526315789473717E-2</v>
      </c>
      <c r="T292" s="64" t="e">
        <f>VLOOKUP(Table6[[#This Row],[Date]],Table2[#All],1,FALSE)</f>
        <v>#N/A</v>
      </c>
    </row>
    <row r="293" spans="2:20" x14ac:dyDescent="0.3">
      <c r="B293" s="38">
        <v>43757</v>
      </c>
      <c r="C293" s="80">
        <v>43757</v>
      </c>
      <c r="D293" s="3">
        <v>383538</v>
      </c>
      <c r="E293" s="4">
        <f>(Table6[[#This Row],[Count of restaurants]]/D286)-1</f>
        <v>-9.5804239143907344E-3</v>
      </c>
      <c r="F293" s="4">
        <v>0.19</v>
      </c>
      <c r="G293" s="112">
        <f>(Table6[[#This Row],[Average Discount]]/F286)-1</f>
        <v>0.11764705882352944</v>
      </c>
      <c r="H293" s="3">
        <v>34</v>
      </c>
      <c r="I293" s="112">
        <f>(Table6[[#This Row],[Out of stock Items per restaurant]]/H286)-1</f>
        <v>3.0303030303030276E-2</v>
      </c>
      <c r="J293" s="3">
        <v>19</v>
      </c>
      <c r="K293" s="169">
        <f>(Table6[[#This Row],[Average Packaging charges]]/J286)-1</f>
        <v>0.11764705882352944</v>
      </c>
      <c r="L293" s="3">
        <v>27</v>
      </c>
      <c r="M293" s="112">
        <f>(Table6[[#This Row],[Average Delivery Charges]]/L286)-1</f>
        <v>0</v>
      </c>
      <c r="N293" s="3">
        <v>386</v>
      </c>
      <c r="O293" s="4">
        <f>(Table6[[#This Row],[Avg Cost for two]]/N286)-1</f>
        <v>7.2222222222222188E-2</v>
      </c>
      <c r="P293" s="3">
        <v>35</v>
      </c>
      <c r="Q293" s="81">
        <f>(Table6[[#This Row],[Number of images per restaurant]]/P286)-1</f>
        <v>-0.10256410256410253</v>
      </c>
      <c r="R293" s="81">
        <v>0.92</v>
      </c>
      <c r="S293" s="10">
        <f>(Table6[[#This Row],[Success Rate of payments]]/R286)-1</f>
        <v>-3.1578947368420929E-2</v>
      </c>
      <c r="T293" s="64" t="e">
        <f>VLOOKUP(Table6[[#This Row],[Date]],Table2[#All],1,FALSE)</f>
        <v>#N/A</v>
      </c>
    </row>
    <row r="294" spans="2:20" x14ac:dyDescent="0.3">
      <c r="B294" s="38">
        <v>43758</v>
      </c>
      <c r="C294" s="80">
        <v>43758</v>
      </c>
      <c r="D294" s="3">
        <v>392178</v>
      </c>
      <c r="E294" s="4">
        <f>(Table6[[#This Row],[Count of restaurants]]/D287)-1</f>
        <v>-3.0474283383394529E-2</v>
      </c>
      <c r="F294" s="4">
        <v>0.19</v>
      </c>
      <c r="G294" s="112">
        <f>(Table6[[#This Row],[Average Discount]]/F287)-1</f>
        <v>0</v>
      </c>
      <c r="H294" s="3">
        <v>38</v>
      </c>
      <c r="I294" s="112">
        <f>(Table6[[#This Row],[Out of stock Items per restaurant]]/H287)-1</f>
        <v>0.1875</v>
      </c>
      <c r="J294" s="3">
        <v>22</v>
      </c>
      <c r="K294" s="169">
        <f>(Table6[[#This Row],[Average Packaging charges]]/J287)-1</f>
        <v>4.7619047619047672E-2</v>
      </c>
      <c r="L294" s="3">
        <v>25</v>
      </c>
      <c r="M294" s="112">
        <f>(Table6[[#This Row],[Average Delivery Charges]]/L287)-1</f>
        <v>-7.407407407407407E-2</v>
      </c>
      <c r="N294" s="3">
        <v>361</v>
      </c>
      <c r="O294" s="4">
        <f>(Table6[[#This Row],[Avg Cost for two]]/N287)-1</f>
        <v>-6.7183462532299787E-2</v>
      </c>
      <c r="P294" s="3">
        <v>33</v>
      </c>
      <c r="Q294" s="81">
        <f>(Table6[[#This Row],[Number of images per restaurant]]/P287)-1</f>
        <v>-8.333333333333337E-2</v>
      </c>
      <c r="R294" s="81">
        <v>0.94</v>
      </c>
      <c r="S294" s="10">
        <f>(Table6[[#This Row],[Success Rate of payments]]/R287)-1</f>
        <v>-1.0526315789473717E-2</v>
      </c>
      <c r="T294" s="64" t="e">
        <f>VLOOKUP(Table6[[#This Row],[Date]],Table2[#All],1,FALSE)</f>
        <v>#N/A</v>
      </c>
    </row>
    <row r="295" spans="2:20" x14ac:dyDescent="0.3">
      <c r="B295" s="38">
        <v>43759</v>
      </c>
      <c r="C295" s="80">
        <v>43759</v>
      </c>
      <c r="D295" s="3">
        <v>383369</v>
      </c>
      <c r="E295" s="4">
        <f>(Table6[[#This Row],[Count of restaurants]]/D288)-1</f>
        <v>-4.5103455490600908E-2</v>
      </c>
      <c r="F295" s="4">
        <v>0.19</v>
      </c>
      <c r="G295" s="112">
        <f>(Table6[[#This Row],[Average Discount]]/F288)-1</f>
        <v>5.555555555555558E-2</v>
      </c>
      <c r="H295" s="3">
        <v>31</v>
      </c>
      <c r="I295" s="112">
        <f>(Table6[[#This Row],[Out of stock Items per restaurant]]/H288)-1</f>
        <v>0</v>
      </c>
      <c r="J295" s="3">
        <v>22</v>
      </c>
      <c r="K295" s="169">
        <f>(Table6[[#This Row],[Average Packaging charges]]/J288)-1</f>
        <v>4.7619047619047672E-2</v>
      </c>
      <c r="L295" s="3">
        <v>30</v>
      </c>
      <c r="M295" s="112">
        <f>(Table6[[#This Row],[Average Delivery Charges]]/L288)-1</f>
        <v>0.19999999999999996</v>
      </c>
      <c r="N295" s="3">
        <v>368</v>
      </c>
      <c r="O295" s="4">
        <f>(Table6[[#This Row],[Avg Cost for two]]/N288)-1</f>
        <v>1.6574585635359185E-2</v>
      </c>
      <c r="P295" s="3">
        <v>36</v>
      </c>
      <c r="Q295" s="81">
        <f>(Table6[[#This Row],[Number of images per restaurant]]/P288)-1</f>
        <v>0</v>
      </c>
      <c r="R295" s="81">
        <v>0.92</v>
      </c>
      <c r="S295" s="10">
        <f>(Table6[[#This Row],[Success Rate of payments]]/R288)-1</f>
        <v>-1.0752688172043001E-2</v>
      </c>
      <c r="T295" s="64">
        <f>VLOOKUP(Table6[[#This Row],[Date]],Table2[#All],1,FALSE)</f>
        <v>43759</v>
      </c>
    </row>
    <row r="296" spans="2:20" x14ac:dyDescent="0.3">
      <c r="B296" s="38">
        <v>43760</v>
      </c>
      <c r="C296" s="80">
        <v>43760</v>
      </c>
      <c r="D296" s="3">
        <v>399709</v>
      </c>
      <c r="E296" s="4">
        <f>(Table6[[#This Row],[Count of restaurants]]/D289)-1</f>
        <v>-7.3509507809143004E-3</v>
      </c>
      <c r="F296" s="4">
        <v>0.18</v>
      </c>
      <c r="G296" s="112">
        <f>(Table6[[#This Row],[Average Discount]]/F289)-1</f>
        <v>-5.2631578947368474E-2</v>
      </c>
      <c r="H296" s="3">
        <v>37</v>
      </c>
      <c r="I296" s="112">
        <f>(Table6[[#This Row],[Out of stock Items per restaurant]]/H289)-1</f>
        <v>5.7142857142857162E-2</v>
      </c>
      <c r="J296" s="3">
        <v>19</v>
      </c>
      <c r="K296" s="169">
        <f>(Table6[[#This Row],[Average Packaging charges]]/J289)-1</f>
        <v>0.11764705882352944</v>
      </c>
      <c r="L296" s="3">
        <v>29</v>
      </c>
      <c r="M296" s="112">
        <f>(Table6[[#This Row],[Average Delivery Charges]]/L289)-1</f>
        <v>0.15999999999999992</v>
      </c>
      <c r="N296" s="3">
        <v>376</v>
      </c>
      <c r="O296" s="4">
        <f>(Table6[[#This Row],[Avg Cost for two]]/N289)-1</f>
        <v>-4.5685279187817285E-2</v>
      </c>
      <c r="P296" s="3">
        <v>32</v>
      </c>
      <c r="Q296" s="81">
        <f>(Table6[[#This Row],[Number of images per restaurant]]/P289)-1</f>
        <v>0</v>
      </c>
      <c r="R296" s="81">
        <v>0.94</v>
      </c>
      <c r="S296" s="10">
        <f>(Table6[[#This Row],[Success Rate of payments]]/R289)-1</f>
        <v>3.296703296703285E-2</v>
      </c>
      <c r="T296" s="64" t="e">
        <f>VLOOKUP(Table6[[#This Row],[Date]],Table2[#All],1,FALSE)</f>
        <v>#N/A</v>
      </c>
    </row>
    <row r="297" spans="2:20" x14ac:dyDescent="0.3">
      <c r="B297" s="38">
        <v>43761</v>
      </c>
      <c r="C297" s="80">
        <v>43761</v>
      </c>
      <c r="D297" s="3">
        <v>394443</v>
      </c>
      <c r="E297" s="4">
        <f>(Table6[[#This Row],[Count of restaurants]]/D290)-1</f>
        <v>-1.7432200497706996E-2</v>
      </c>
      <c r="F297" s="4">
        <v>0.18</v>
      </c>
      <c r="G297" s="112">
        <f>(Table6[[#This Row],[Average Discount]]/F290)-1</f>
        <v>-5.2631578947368474E-2</v>
      </c>
      <c r="H297" s="3">
        <v>37</v>
      </c>
      <c r="I297" s="112">
        <f>(Table6[[#This Row],[Out of stock Items per restaurant]]/H290)-1</f>
        <v>-2.6315789473684181E-2</v>
      </c>
      <c r="J297" s="3">
        <v>18</v>
      </c>
      <c r="K297" s="169">
        <f>(Table6[[#This Row],[Average Packaging charges]]/J290)-1</f>
        <v>-0.18181818181818177</v>
      </c>
      <c r="L297" s="3">
        <v>30</v>
      </c>
      <c r="M297" s="112">
        <f>(Table6[[#This Row],[Average Delivery Charges]]/L290)-1</f>
        <v>0.15384615384615374</v>
      </c>
      <c r="N297" s="3">
        <v>369</v>
      </c>
      <c r="O297" s="4">
        <f>(Table6[[#This Row],[Avg Cost for two]]/N290)-1</f>
        <v>-5.3908355795148077E-3</v>
      </c>
      <c r="P297" s="3">
        <v>33</v>
      </c>
      <c r="Q297" s="81">
        <f>(Table6[[#This Row],[Number of images per restaurant]]/P290)-1</f>
        <v>6.4516129032258007E-2</v>
      </c>
      <c r="R297" s="81">
        <v>0.95</v>
      </c>
      <c r="S297" s="10">
        <f>(Table6[[#This Row],[Success Rate of payments]]/R290)-1</f>
        <v>0</v>
      </c>
      <c r="T297" s="64" t="e">
        <f>VLOOKUP(Table6[[#This Row],[Date]],Table2[#All],1,FALSE)</f>
        <v>#N/A</v>
      </c>
    </row>
    <row r="298" spans="2:20" x14ac:dyDescent="0.3">
      <c r="B298" s="38">
        <v>43762</v>
      </c>
      <c r="C298" s="80">
        <v>43762</v>
      </c>
      <c r="D298" s="3">
        <v>389066</v>
      </c>
      <c r="E298" s="4">
        <f>(Table6[[#This Row],[Count of restaurants]]/D291)-1</f>
        <v>-3.755377281711425E-2</v>
      </c>
      <c r="F298" s="4">
        <v>0.18</v>
      </c>
      <c r="G298" s="112">
        <f>(Table6[[#This Row],[Average Discount]]/F291)-1</f>
        <v>5.8823529411764497E-2</v>
      </c>
      <c r="H298" s="3">
        <v>38</v>
      </c>
      <c r="I298" s="112">
        <f>(Table6[[#This Row],[Out of stock Items per restaurant]]/H291)-1</f>
        <v>2.7027027027026973E-2</v>
      </c>
      <c r="J298" s="3">
        <v>21</v>
      </c>
      <c r="K298" s="169">
        <f>(Table6[[#This Row],[Average Packaging charges]]/J291)-1</f>
        <v>0.16666666666666674</v>
      </c>
      <c r="L298" s="3">
        <v>27</v>
      </c>
      <c r="M298" s="112">
        <f>(Table6[[#This Row],[Average Delivery Charges]]/L291)-1</f>
        <v>0</v>
      </c>
      <c r="N298" s="3">
        <v>398</v>
      </c>
      <c r="O298" s="4">
        <f>(Table6[[#This Row],[Avg Cost for two]]/N291)-1</f>
        <v>9.0410958904109551E-2</v>
      </c>
      <c r="P298" s="3">
        <v>31</v>
      </c>
      <c r="Q298" s="81">
        <f>(Table6[[#This Row],[Number of images per restaurant]]/P291)-1</f>
        <v>-8.8235294117647078E-2</v>
      </c>
      <c r="R298" s="81">
        <v>0.91</v>
      </c>
      <c r="S298" s="10">
        <f>(Table6[[#This Row],[Success Rate of payments]]/R291)-1</f>
        <v>-1.0869565217391353E-2</v>
      </c>
      <c r="T298" s="64" t="e">
        <f>VLOOKUP(Table6[[#This Row],[Date]],Table2[#All],1,FALSE)</f>
        <v>#N/A</v>
      </c>
    </row>
    <row r="299" spans="2:20" x14ac:dyDescent="0.3">
      <c r="B299" s="38">
        <v>43763</v>
      </c>
      <c r="C299" s="80">
        <v>43763</v>
      </c>
      <c r="D299" s="3">
        <v>393573</v>
      </c>
      <c r="E299" s="4">
        <f>(Table6[[#This Row],[Count of restaurants]]/D292)-1</f>
        <v>2.3692725456739838E-2</v>
      </c>
      <c r="F299" s="4">
        <v>0.19</v>
      </c>
      <c r="G299" s="112">
        <f>(Table6[[#This Row],[Average Discount]]/F292)-1</f>
        <v>5.555555555555558E-2</v>
      </c>
      <c r="H299" s="3">
        <v>37</v>
      </c>
      <c r="I299" s="112">
        <f>(Table6[[#This Row],[Out of stock Items per restaurant]]/H292)-1</f>
        <v>5.7142857142857162E-2</v>
      </c>
      <c r="J299" s="3">
        <v>20</v>
      </c>
      <c r="K299" s="169">
        <f>(Table6[[#This Row],[Average Packaging charges]]/J292)-1</f>
        <v>0</v>
      </c>
      <c r="L299" s="3">
        <v>28</v>
      </c>
      <c r="M299" s="112">
        <f>(Table6[[#This Row],[Average Delivery Charges]]/L292)-1</f>
        <v>-6.6666666666666652E-2</v>
      </c>
      <c r="N299" s="3">
        <v>375</v>
      </c>
      <c r="O299" s="4">
        <f>(Table6[[#This Row],[Avg Cost for two]]/N292)-1</f>
        <v>-2.0887728459530019E-2</v>
      </c>
      <c r="P299" s="3">
        <v>39</v>
      </c>
      <c r="Q299" s="81">
        <f>(Table6[[#This Row],[Number of images per restaurant]]/P292)-1</f>
        <v>0</v>
      </c>
      <c r="R299" s="81">
        <v>0.93</v>
      </c>
      <c r="S299" s="10">
        <f>(Table6[[#This Row],[Success Rate of payments]]/R292)-1</f>
        <v>-1.0638297872340274E-2</v>
      </c>
      <c r="T299" s="64" t="e">
        <f>VLOOKUP(Table6[[#This Row],[Date]],Table2[#All],1,FALSE)</f>
        <v>#N/A</v>
      </c>
    </row>
    <row r="300" spans="2:20" x14ac:dyDescent="0.3">
      <c r="B300" s="38">
        <v>43764</v>
      </c>
      <c r="C300" s="80">
        <v>43764</v>
      </c>
      <c r="D300" s="3">
        <v>382825</v>
      </c>
      <c r="E300" s="4">
        <f>(Table6[[#This Row],[Count of restaurants]]/D293)-1</f>
        <v>-1.8590074516736665E-3</v>
      </c>
      <c r="F300" s="4">
        <v>0.17</v>
      </c>
      <c r="G300" s="112">
        <f>(Table6[[#This Row],[Average Discount]]/F293)-1</f>
        <v>-0.10526315789473684</v>
      </c>
      <c r="H300" s="3">
        <v>36</v>
      </c>
      <c r="I300" s="112">
        <f>(Table6[[#This Row],[Out of stock Items per restaurant]]/H293)-1</f>
        <v>5.8823529411764719E-2</v>
      </c>
      <c r="J300" s="3">
        <v>20</v>
      </c>
      <c r="K300" s="169">
        <f>(Table6[[#This Row],[Average Packaging charges]]/J293)-1</f>
        <v>5.2631578947368363E-2</v>
      </c>
      <c r="L300" s="3">
        <v>28</v>
      </c>
      <c r="M300" s="112">
        <f>(Table6[[#This Row],[Average Delivery Charges]]/L293)-1</f>
        <v>3.7037037037036979E-2</v>
      </c>
      <c r="N300" s="3">
        <v>359</v>
      </c>
      <c r="O300" s="4">
        <f>(Table6[[#This Row],[Avg Cost for two]]/N293)-1</f>
        <v>-6.9948186528497436E-2</v>
      </c>
      <c r="P300" s="3">
        <v>40</v>
      </c>
      <c r="Q300" s="81">
        <f>(Table6[[#This Row],[Number of images per restaurant]]/P293)-1</f>
        <v>0.14285714285714279</v>
      </c>
      <c r="R300" s="81">
        <v>0.92</v>
      </c>
      <c r="S300" s="10">
        <f>(Table6[[#This Row],[Success Rate of payments]]/R293)-1</f>
        <v>0</v>
      </c>
      <c r="T300" s="64" t="e">
        <f>VLOOKUP(Table6[[#This Row],[Date]],Table2[#All],1,FALSE)</f>
        <v>#N/A</v>
      </c>
    </row>
    <row r="301" spans="2:20" x14ac:dyDescent="0.3">
      <c r="B301" s="38">
        <v>43765</v>
      </c>
      <c r="C301" s="80">
        <v>43765</v>
      </c>
      <c r="D301" s="3">
        <v>382944</v>
      </c>
      <c r="E301" s="4">
        <f>(Table6[[#This Row],[Count of restaurants]]/D294)-1</f>
        <v>-2.3545430901274367E-2</v>
      </c>
      <c r="F301" s="4">
        <v>0.18</v>
      </c>
      <c r="G301" s="112">
        <f>(Table6[[#This Row],[Average Discount]]/F294)-1</f>
        <v>-5.2631578947368474E-2</v>
      </c>
      <c r="H301" s="3">
        <v>33</v>
      </c>
      <c r="I301" s="112">
        <f>(Table6[[#This Row],[Out of stock Items per restaurant]]/H294)-1</f>
        <v>-0.13157894736842102</v>
      </c>
      <c r="J301" s="3">
        <v>17</v>
      </c>
      <c r="K301" s="169">
        <f>(Table6[[#This Row],[Average Packaging charges]]/J294)-1</f>
        <v>-0.22727272727272729</v>
      </c>
      <c r="L301" s="3">
        <v>27</v>
      </c>
      <c r="M301" s="112">
        <f>(Table6[[#This Row],[Average Delivery Charges]]/L294)-1</f>
        <v>8.0000000000000071E-2</v>
      </c>
      <c r="N301" s="3">
        <v>366</v>
      </c>
      <c r="O301" s="4">
        <f>(Table6[[#This Row],[Avg Cost for two]]/N294)-1</f>
        <v>1.3850415512465464E-2</v>
      </c>
      <c r="P301" s="3">
        <v>35</v>
      </c>
      <c r="Q301" s="81">
        <f>(Table6[[#This Row],[Number of images per restaurant]]/P294)-1</f>
        <v>6.0606060606060552E-2</v>
      </c>
      <c r="R301" s="81">
        <v>0.95</v>
      </c>
      <c r="S301" s="10">
        <f>(Table6[[#This Row],[Success Rate of payments]]/R294)-1</f>
        <v>1.0638297872340496E-2</v>
      </c>
      <c r="T301" s="64" t="e">
        <f>VLOOKUP(Table6[[#This Row],[Date]],Table2[#All],1,FALSE)</f>
        <v>#N/A</v>
      </c>
    </row>
    <row r="302" spans="2:20" x14ac:dyDescent="0.3">
      <c r="B302" s="38">
        <v>43766</v>
      </c>
      <c r="C302" s="80">
        <v>43766</v>
      </c>
      <c r="D302" s="3">
        <v>403354</v>
      </c>
      <c r="E302" s="4">
        <f>(Table6[[#This Row],[Count of restaurants]]/D295)-1</f>
        <v>5.212993225847673E-2</v>
      </c>
      <c r="F302" s="4">
        <v>0.19</v>
      </c>
      <c r="G302" s="112">
        <f>(Table6[[#This Row],[Average Discount]]/F295)-1</f>
        <v>0</v>
      </c>
      <c r="H302" s="3">
        <v>31</v>
      </c>
      <c r="I302" s="112">
        <f>(Table6[[#This Row],[Out of stock Items per restaurant]]/H295)-1</f>
        <v>0</v>
      </c>
      <c r="J302" s="3">
        <v>20</v>
      </c>
      <c r="K302" s="169">
        <f>(Table6[[#This Row],[Average Packaging charges]]/J295)-1</f>
        <v>-9.0909090909090939E-2</v>
      </c>
      <c r="L302" s="3">
        <v>28</v>
      </c>
      <c r="M302" s="112">
        <f>(Table6[[#This Row],[Average Delivery Charges]]/L295)-1</f>
        <v>-6.6666666666666652E-2</v>
      </c>
      <c r="N302" s="3">
        <v>395</v>
      </c>
      <c r="O302" s="4">
        <f>(Table6[[#This Row],[Avg Cost for two]]/N295)-1</f>
        <v>7.3369565217391353E-2</v>
      </c>
      <c r="P302" s="3">
        <v>31</v>
      </c>
      <c r="Q302" s="81">
        <f>(Table6[[#This Row],[Number of images per restaurant]]/P295)-1</f>
        <v>-0.13888888888888884</v>
      </c>
      <c r="R302" s="81">
        <v>0.94</v>
      </c>
      <c r="S302" s="10">
        <f>(Table6[[#This Row],[Success Rate of payments]]/R295)-1</f>
        <v>2.1739130434782483E-2</v>
      </c>
      <c r="T302" s="64" t="e">
        <f>VLOOKUP(Table6[[#This Row],[Date]],Table2[#All],1,FALSE)</f>
        <v>#N/A</v>
      </c>
    </row>
    <row r="303" spans="2:20" x14ac:dyDescent="0.3">
      <c r="B303" s="38">
        <v>43767</v>
      </c>
      <c r="C303" s="80">
        <v>43767</v>
      </c>
      <c r="D303" s="3">
        <v>396314</v>
      </c>
      <c r="E303" s="4">
        <f>(Table6[[#This Row],[Count of restaurants]]/D296)-1</f>
        <v>-8.4936791515827226E-3</v>
      </c>
      <c r="F303" s="4">
        <v>0.18</v>
      </c>
      <c r="G303" s="112">
        <f>(Table6[[#This Row],[Average Discount]]/F296)-1</f>
        <v>0</v>
      </c>
      <c r="H303" s="3">
        <v>32</v>
      </c>
      <c r="I303" s="112">
        <f>(Table6[[#This Row],[Out of stock Items per restaurant]]/H296)-1</f>
        <v>-0.13513513513513509</v>
      </c>
      <c r="J303" s="3">
        <v>22</v>
      </c>
      <c r="K303" s="169">
        <f>(Table6[[#This Row],[Average Packaging charges]]/J296)-1</f>
        <v>0.15789473684210531</v>
      </c>
      <c r="L303" s="3">
        <v>26</v>
      </c>
      <c r="M303" s="112">
        <f>(Table6[[#This Row],[Average Delivery Charges]]/L296)-1</f>
        <v>-0.10344827586206895</v>
      </c>
      <c r="N303" s="3">
        <v>382</v>
      </c>
      <c r="O303" s="4">
        <f>(Table6[[#This Row],[Avg Cost for two]]/N296)-1</f>
        <v>1.5957446808510634E-2</v>
      </c>
      <c r="P303" s="3">
        <v>30</v>
      </c>
      <c r="Q303" s="81">
        <f>(Table6[[#This Row],[Number of images per restaurant]]/P296)-1</f>
        <v>-6.25E-2</v>
      </c>
      <c r="R303" s="81">
        <v>0.93</v>
      </c>
      <c r="S303" s="10">
        <f>(Table6[[#This Row],[Success Rate of payments]]/R296)-1</f>
        <v>-1.0638297872340274E-2</v>
      </c>
      <c r="T303" s="64" t="e">
        <f>VLOOKUP(Table6[[#This Row],[Date]],Table2[#All],1,FALSE)</f>
        <v>#N/A</v>
      </c>
    </row>
    <row r="304" spans="2:20" x14ac:dyDescent="0.3">
      <c r="B304" s="38">
        <v>43768</v>
      </c>
      <c r="C304" s="80">
        <v>43768</v>
      </c>
      <c r="D304" s="3">
        <v>396097</v>
      </c>
      <c r="E304" s="4">
        <f>(Table6[[#This Row],[Count of restaurants]]/D297)-1</f>
        <v>4.1932547922005625E-3</v>
      </c>
      <c r="F304" s="4">
        <v>0.17</v>
      </c>
      <c r="G304" s="112">
        <f>(Table6[[#This Row],[Average Discount]]/F297)-1</f>
        <v>-5.5555555555555469E-2</v>
      </c>
      <c r="H304" s="3">
        <v>34</v>
      </c>
      <c r="I304" s="112">
        <f>(Table6[[#This Row],[Out of stock Items per restaurant]]/H297)-1</f>
        <v>-8.108108108108103E-2</v>
      </c>
      <c r="J304" s="3">
        <v>21</v>
      </c>
      <c r="K304" s="169">
        <f>(Table6[[#This Row],[Average Packaging charges]]/J297)-1</f>
        <v>0.16666666666666674</v>
      </c>
      <c r="L304" s="3">
        <v>30</v>
      </c>
      <c r="M304" s="112">
        <f>(Table6[[#This Row],[Average Delivery Charges]]/L297)-1</f>
        <v>0</v>
      </c>
      <c r="N304" s="3">
        <v>394</v>
      </c>
      <c r="O304" s="4">
        <f>(Table6[[#This Row],[Avg Cost for two]]/N297)-1</f>
        <v>6.7750677506775103E-2</v>
      </c>
      <c r="P304" s="3">
        <v>37</v>
      </c>
      <c r="Q304" s="81">
        <f>(Table6[[#This Row],[Number of images per restaurant]]/P297)-1</f>
        <v>0.1212121212121211</v>
      </c>
      <c r="R304" s="81">
        <v>0.91</v>
      </c>
      <c r="S304" s="10">
        <f>(Table6[[#This Row],[Success Rate of payments]]/R297)-1</f>
        <v>-4.2105263157894646E-2</v>
      </c>
      <c r="T304" s="64" t="e">
        <f>VLOOKUP(Table6[[#This Row],[Date]],Table2[#All],1,FALSE)</f>
        <v>#N/A</v>
      </c>
    </row>
    <row r="305" spans="2:20" x14ac:dyDescent="0.3">
      <c r="B305" s="38">
        <v>43769</v>
      </c>
      <c r="C305" s="80">
        <v>43769</v>
      </c>
      <c r="D305" s="3">
        <v>392878</v>
      </c>
      <c r="E305" s="4">
        <f>(Table6[[#This Row],[Count of restaurants]]/D298)-1</f>
        <v>9.7978235055233842E-3</v>
      </c>
      <c r="F305" s="4">
        <v>0.17</v>
      </c>
      <c r="G305" s="112">
        <f>(Table6[[#This Row],[Average Discount]]/F298)-1</f>
        <v>-5.5555555555555469E-2</v>
      </c>
      <c r="H305" s="3">
        <v>40</v>
      </c>
      <c r="I305" s="112">
        <f>(Table6[[#This Row],[Out of stock Items per restaurant]]/H298)-1</f>
        <v>5.2631578947368363E-2</v>
      </c>
      <c r="J305" s="3">
        <v>22</v>
      </c>
      <c r="K305" s="169">
        <f>(Table6[[#This Row],[Average Packaging charges]]/J298)-1</f>
        <v>4.7619047619047672E-2</v>
      </c>
      <c r="L305" s="3">
        <v>29</v>
      </c>
      <c r="M305" s="112">
        <f>(Table6[[#This Row],[Average Delivery Charges]]/L298)-1</f>
        <v>7.4074074074074181E-2</v>
      </c>
      <c r="N305" s="3">
        <v>363</v>
      </c>
      <c r="O305" s="4">
        <f>(Table6[[#This Row],[Avg Cost for two]]/N298)-1</f>
        <v>-8.7939698492462304E-2</v>
      </c>
      <c r="P305" s="3">
        <v>34</v>
      </c>
      <c r="Q305" s="81">
        <f>(Table6[[#This Row],[Number of images per restaurant]]/P298)-1</f>
        <v>9.6774193548387011E-2</v>
      </c>
      <c r="R305" s="81">
        <v>0.95</v>
      </c>
      <c r="S305" s="10">
        <f>(Table6[[#This Row],[Success Rate of payments]]/R298)-1</f>
        <v>4.39560439560438E-2</v>
      </c>
      <c r="T305" s="64" t="e">
        <f>VLOOKUP(Table6[[#This Row],[Date]],Table2[#All],1,FALSE)</f>
        <v>#N/A</v>
      </c>
    </row>
    <row r="306" spans="2:20" x14ac:dyDescent="0.3">
      <c r="B306" s="38">
        <v>43770</v>
      </c>
      <c r="C306" s="80">
        <v>43770</v>
      </c>
      <c r="D306" s="3">
        <v>404865</v>
      </c>
      <c r="E306" s="4">
        <f>(Table6[[#This Row],[Count of restaurants]]/D299)-1</f>
        <v>2.8690992522352854E-2</v>
      </c>
      <c r="F306" s="4">
        <v>0.19</v>
      </c>
      <c r="G306" s="112">
        <f>(Table6[[#This Row],[Average Discount]]/F299)-1</f>
        <v>0</v>
      </c>
      <c r="H306" s="3">
        <v>33</v>
      </c>
      <c r="I306" s="112">
        <f>(Table6[[#This Row],[Out of stock Items per restaurant]]/H299)-1</f>
        <v>-0.10810810810810811</v>
      </c>
      <c r="J306" s="3">
        <v>20</v>
      </c>
      <c r="K306" s="169">
        <f>(Table6[[#This Row],[Average Packaging charges]]/J299)-1</f>
        <v>0</v>
      </c>
      <c r="L306" s="3">
        <v>26</v>
      </c>
      <c r="M306" s="112">
        <f>(Table6[[#This Row],[Average Delivery Charges]]/L299)-1</f>
        <v>-7.1428571428571397E-2</v>
      </c>
      <c r="N306" s="3">
        <v>355</v>
      </c>
      <c r="O306" s="4">
        <f>(Table6[[#This Row],[Avg Cost for two]]/N299)-1</f>
        <v>-5.3333333333333344E-2</v>
      </c>
      <c r="P306" s="3">
        <v>31</v>
      </c>
      <c r="Q306" s="81">
        <f>(Table6[[#This Row],[Number of images per restaurant]]/P299)-1</f>
        <v>-0.20512820512820518</v>
      </c>
      <c r="R306" s="81">
        <v>0.91</v>
      </c>
      <c r="S306" s="10">
        <f>(Table6[[#This Row],[Success Rate of payments]]/R299)-1</f>
        <v>-2.1505376344086002E-2</v>
      </c>
      <c r="T306" s="64" t="e">
        <f>VLOOKUP(Table6[[#This Row],[Date]],Table2[#All],1,FALSE)</f>
        <v>#N/A</v>
      </c>
    </row>
    <row r="307" spans="2:20" x14ac:dyDescent="0.3">
      <c r="B307" s="38">
        <v>43771</v>
      </c>
      <c r="C307" s="80">
        <v>43771</v>
      </c>
      <c r="D307" s="3">
        <v>404425</v>
      </c>
      <c r="E307" s="4">
        <f>(Table6[[#This Row],[Count of restaurants]]/D300)-1</f>
        <v>5.6422647423757688E-2</v>
      </c>
      <c r="F307" s="4">
        <v>0.18</v>
      </c>
      <c r="G307" s="112">
        <f>(Table6[[#This Row],[Average Discount]]/F300)-1</f>
        <v>5.8823529411764497E-2</v>
      </c>
      <c r="H307" s="3">
        <v>33</v>
      </c>
      <c r="I307" s="112">
        <f>(Table6[[#This Row],[Out of stock Items per restaurant]]/H300)-1</f>
        <v>-8.333333333333337E-2</v>
      </c>
      <c r="J307" s="3">
        <v>19</v>
      </c>
      <c r="K307" s="169">
        <f>(Table6[[#This Row],[Average Packaging charges]]/J300)-1</f>
        <v>-5.0000000000000044E-2</v>
      </c>
      <c r="L307" s="3">
        <v>30</v>
      </c>
      <c r="M307" s="112">
        <f>(Table6[[#This Row],[Average Delivery Charges]]/L300)-1</f>
        <v>7.1428571428571397E-2</v>
      </c>
      <c r="N307" s="3">
        <v>399</v>
      </c>
      <c r="O307" s="4">
        <f>(Table6[[#This Row],[Avg Cost for two]]/N300)-1</f>
        <v>0.11142061281337057</v>
      </c>
      <c r="P307" s="3">
        <v>36</v>
      </c>
      <c r="Q307" s="81">
        <f>(Table6[[#This Row],[Number of images per restaurant]]/P300)-1</f>
        <v>-9.9999999999999978E-2</v>
      </c>
      <c r="R307" s="81">
        <v>0.91</v>
      </c>
      <c r="S307" s="10">
        <f>(Table6[[#This Row],[Success Rate of payments]]/R300)-1</f>
        <v>-1.0869565217391353E-2</v>
      </c>
      <c r="T307" s="64" t="e">
        <f>VLOOKUP(Table6[[#This Row],[Date]],Table2[#All],1,FALSE)</f>
        <v>#N/A</v>
      </c>
    </row>
    <row r="308" spans="2:20" x14ac:dyDescent="0.3">
      <c r="B308" s="38">
        <v>43772</v>
      </c>
      <c r="C308" s="80">
        <v>43772</v>
      </c>
      <c r="D308" s="3">
        <v>404029</v>
      </c>
      <c r="E308" s="4">
        <f>(Table6[[#This Row],[Count of restaurants]]/D301)-1</f>
        <v>5.5060269908916215E-2</v>
      </c>
      <c r="F308" s="4">
        <v>0.19</v>
      </c>
      <c r="G308" s="112">
        <f>(Table6[[#This Row],[Average Discount]]/F301)-1</f>
        <v>5.555555555555558E-2</v>
      </c>
      <c r="H308" s="3">
        <v>32</v>
      </c>
      <c r="I308" s="112">
        <f>(Table6[[#This Row],[Out of stock Items per restaurant]]/H301)-1</f>
        <v>-3.0303030303030276E-2</v>
      </c>
      <c r="J308" s="3">
        <v>19</v>
      </c>
      <c r="K308" s="169">
        <f>(Table6[[#This Row],[Average Packaging charges]]/J301)-1</f>
        <v>0.11764705882352944</v>
      </c>
      <c r="L308" s="3">
        <v>26</v>
      </c>
      <c r="M308" s="112">
        <f>(Table6[[#This Row],[Average Delivery Charges]]/L301)-1</f>
        <v>-3.703703703703709E-2</v>
      </c>
      <c r="N308" s="3">
        <v>390</v>
      </c>
      <c r="O308" s="4">
        <f>(Table6[[#This Row],[Avg Cost for two]]/N301)-1</f>
        <v>6.5573770491803351E-2</v>
      </c>
      <c r="P308" s="3">
        <v>37</v>
      </c>
      <c r="Q308" s="81">
        <f>(Table6[[#This Row],[Number of images per restaurant]]/P301)-1</f>
        <v>5.7142857142857162E-2</v>
      </c>
      <c r="R308" s="81">
        <v>0.94</v>
      </c>
      <c r="S308" s="10">
        <f>(Table6[[#This Row],[Success Rate of payments]]/R301)-1</f>
        <v>-1.0526315789473717E-2</v>
      </c>
      <c r="T308" s="64" t="e">
        <f>VLOOKUP(Table6[[#This Row],[Date]],Table2[#All],1,FALSE)</f>
        <v>#N/A</v>
      </c>
    </row>
    <row r="309" spans="2:20" x14ac:dyDescent="0.3">
      <c r="B309" s="38">
        <v>43773</v>
      </c>
      <c r="C309" s="80">
        <v>43773</v>
      </c>
      <c r="D309" s="3">
        <v>382779</v>
      </c>
      <c r="E309" s="4">
        <f>(Table6[[#This Row],[Count of restaurants]]/D302)-1</f>
        <v>-5.100978296979819E-2</v>
      </c>
      <c r="F309" s="4">
        <v>0.19</v>
      </c>
      <c r="G309" s="112">
        <f>(Table6[[#This Row],[Average Discount]]/F302)-1</f>
        <v>0</v>
      </c>
      <c r="H309" s="3">
        <v>34</v>
      </c>
      <c r="I309" s="112">
        <f>(Table6[[#This Row],[Out of stock Items per restaurant]]/H302)-1</f>
        <v>9.6774193548387011E-2</v>
      </c>
      <c r="J309" s="3">
        <v>22</v>
      </c>
      <c r="K309" s="169">
        <f>(Table6[[#This Row],[Average Packaging charges]]/J302)-1</f>
        <v>0.10000000000000009</v>
      </c>
      <c r="L309" s="3">
        <v>27</v>
      </c>
      <c r="M309" s="112">
        <f>(Table6[[#This Row],[Average Delivery Charges]]/L302)-1</f>
        <v>-3.5714285714285698E-2</v>
      </c>
      <c r="N309" s="3">
        <v>396</v>
      </c>
      <c r="O309" s="4">
        <f>(Table6[[#This Row],[Avg Cost for two]]/N302)-1</f>
        <v>2.5316455696202667E-3</v>
      </c>
      <c r="P309" s="3">
        <v>34</v>
      </c>
      <c r="Q309" s="81">
        <f>(Table6[[#This Row],[Number of images per restaurant]]/P302)-1</f>
        <v>9.6774193548387011E-2</v>
      </c>
      <c r="R309" s="81">
        <v>0.92</v>
      </c>
      <c r="S309" s="10">
        <f>(Table6[[#This Row],[Success Rate of payments]]/R302)-1</f>
        <v>-2.1276595744680771E-2</v>
      </c>
      <c r="T309" s="64" t="e">
        <f>VLOOKUP(Table6[[#This Row],[Date]],Table2[#All],1,FALSE)</f>
        <v>#N/A</v>
      </c>
    </row>
    <row r="310" spans="2:20" x14ac:dyDescent="0.3">
      <c r="B310" s="38">
        <v>43774</v>
      </c>
      <c r="C310" s="80">
        <v>43774</v>
      </c>
      <c r="D310" s="3">
        <v>394015</v>
      </c>
      <c r="E310" s="4">
        <f>(Table6[[#This Row],[Count of restaurants]]/D303)-1</f>
        <v>-5.8009558077686263E-3</v>
      </c>
      <c r="F310" s="4">
        <v>0.17</v>
      </c>
      <c r="G310" s="112">
        <f>(Table6[[#This Row],[Average Discount]]/F303)-1</f>
        <v>-5.5555555555555469E-2</v>
      </c>
      <c r="H310" s="3">
        <v>31</v>
      </c>
      <c r="I310" s="112">
        <f>(Table6[[#This Row],[Out of stock Items per restaurant]]/H303)-1</f>
        <v>-3.125E-2</v>
      </c>
      <c r="J310" s="3">
        <v>22</v>
      </c>
      <c r="K310" s="169">
        <f>(Table6[[#This Row],[Average Packaging charges]]/J303)-1</f>
        <v>0</v>
      </c>
      <c r="L310" s="3">
        <v>25</v>
      </c>
      <c r="M310" s="112">
        <f>(Table6[[#This Row],[Average Delivery Charges]]/L303)-1</f>
        <v>-3.8461538461538436E-2</v>
      </c>
      <c r="N310" s="3">
        <v>398</v>
      </c>
      <c r="O310" s="4">
        <f>(Table6[[#This Row],[Avg Cost for two]]/N303)-1</f>
        <v>4.1884816753926746E-2</v>
      </c>
      <c r="P310" s="3">
        <v>39</v>
      </c>
      <c r="Q310" s="81">
        <f>(Table6[[#This Row],[Number of images per restaurant]]/P303)-1</f>
        <v>0.30000000000000004</v>
      </c>
      <c r="R310" s="81">
        <v>0.91</v>
      </c>
      <c r="S310" s="10">
        <f>(Table6[[#This Row],[Success Rate of payments]]/R303)-1</f>
        <v>-2.1505376344086002E-2</v>
      </c>
      <c r="T310" s="64" t="e">
        <f>VLOOKUP(Table6[[#This Row],[Date]],Table2[#All],1,FALSE)</f>
        <v>#N/A</v>
      </c>
    </row>
    <row r="311" spans="2:20" x14ac:dyDescent="0.3">
      <c r="B311" s="38">
        <v>43775</v>
      </c>
      <c r="C311" s="80">
        <v>43775</v>
      </c>
      <c r="D311" s="3">
        <v>384987</v>
      </c>
      <c r="E311" s="4">
        <f>(Table6[[#This Row],[Count of restaurants]]/D304)-1</f>
        <v>-2.8048685044319899E-2</v>
      </c>
      <c r="F311" s="4">
        <v>0.18</v>
      </c>
      <c r="G311" s="112">
        <f>(Table6[[#This Row],[Average Discount]]/F304)-1</f>
        <v>5.8823529411764497E-2</v>
      </c>
      <c r="H311" s="3">
        <v>34</v>
      </c>
      <c r="I311" s="112">
        <f>(Table6[[#This Row],[Out of stock Items per restaurant]]/H304)-1</f>
        <v>0</v>
      </c>
      <c r="J311" s="3">
        <v>19</v>
      </c>
      <c r="K311" s="169">
        <f>(Table6[[#This Row],[Average Packaging charges]]/J304)-1</f>
        <v>-9.5238095238095233E-2</v>
      </c>
      <c r="L311" s="3">
        <v>25</v>
      </c>
      <c r="M311" s="112">
        <f>(Table6[[#This Row],[Average Delivery Charges]]/L304)-1</f>
        <v>-0.16666666666666663</v>
      </c>
      <c r="N311" s="3">
        <v>394</v>
      </c>
      <c r="O311" s="4">
        <f>(Table6[[#This Row],[Avg Cost for two]]/N304)-1</f>
        <v>0</v>
      </c>
      <c r="P311" s="3">
        <v>33</v>
      </c>
      <c r="Q311" s="81">
        <f>(Table6[[#This Row],[Number of images per restaurant]]/P304)-1</f>
        <v>-0.10810810810810811</v>
      </c>
      <c r="R311" s="81">
        <v>0.94</v>
      </c>
      <c r="S311" s="10">
        <f>(Table6[[#This Row],[Success Rate of payments]]/R304)-1</f>
        <v>3.296703296703285E-2</v>
      </c>
      <c r="T311" s="64" t="e">
        <f>VLOOKUP(Table6[[#This Row],[Date]],Table2[#All],1,FALSE)</f>
        <v>#N/A</v>
      </c>
    </row>
    <row r="312" spans="2:20" x14ac:dyDescent="0.3">
      <c r="B312" s="38">
        <v>43776</v>
      </c>
      <c r="C312" s="80">
        <v>43776</v>
      </c>
      <c r="D312" s="3">
        <v>405410</v>
      </c>
      <c r="E312" s="4">
        <f>(Table6[[#This Row],[Count of restaurants]]/D305)-1</f>
        <v>3.1897942872851193E-2</v>
      </c>
      <c r="F312" s="4">
        <v>0.18</v>
      </c>
      <c r="G312" s="112">
        <f>(Table6[[#This Row],[Average Discount]]/F305)-1</f>
        <v>5.8823529411764497E-2</v>
      </c>
      <c r="H312" s="3">
        <v>36</v>
      </c>
      <c r="I312" s="112">
        <f>(Table6[[#This Row],[Out of stock Items per restaurant]]/H305)-1</f>
        <v>-9.9999999999999978E-2</v>
      </c>
      <c r="J312" s="3">
        <v>21</v>
      </c>
      <c r="K312" s="169">
        <f>(Table6[[#This Row],[Average Packaging charges]]/J305)-1</f>
        <v>-4.5454545454545414E-2</v>
      </c>
      <c r="L312" s="3">
        <v>30</v>
      </c>
      <c r="M312" s="112">
        <f>(Table6[[#This Row],[Average Delivery Charges]]/L305)-1</f>
        <v>3.4482758620689724E-2</v>
      </c>
      <c r="N312" s="3">
        <v>361</v>
      </c>
      <c r="O312" s="4">
        <f>(Table6[[#This Row],[Avg Cost for two]]/N305)-1</f>
        <v>-5.5096418732781816E-3</v>
      </c>
      <c r="P312" s="3">
        <v>37</v>
      </c>
      <c r="Q312" s="81">
        <f>(Table6[[#This Row],[Number of images per restaurant]]/P305)-1</f>
        <v>8.8235294117646967E-2</v>
      </c>
      <c r="R312" s="81">
        <v>0.93</v>
      </c>
      <c r="S312" s="10">
        <f>(Table6[[#This Row],[Success Rate of payments]]/R305)-1</f>
        <v>-2.1052631578947323E-2</v>
      </c>
      <c r="T312" s="64" t="e">
        <f>VLOOKUP(Table6[[#This Row],[Date]],Table2[#All],1,FALSE)</f>
        <v>#N/A</v>
      </c>
    </row>
    <row r="313" spans="2:20" x14ac:dyDescent="0.3">
      <c r="B313" s="38">
        <v>43777</v>
      </c>
      <c r="C313" s="80">
        <v>43777</v>
      </c>
      <c r="D313" s="3">
        <v>403572</v>
      </c>
      <c r="E313" s="4">
        <f>(Table6[[#This Row],[Count of restaurants]]/D306)-1</f>
        <v>-3.1936571449742157E-3</v>
      </c>
      <c r="F313" s="4">
        <v>0.19</v>
      </c>
      <c r="G313" s="112">
        <f>(Table6[[#This Row],[Average Discount]]/F306)-1</f>
        <v>0</v>
      </c>
      <c r="H313" s="3">
        <v>31</v>
      </c>
      <c r="I313" s="112">
        <f>(Table6[[#This Row],[Out of stock Items per restaurant]]/H306)-1</f>
        <v>-6.0606060606060552E-2</v>
      </c>
      <c r="J313" s="3">
        <v>17</v>
      </c>
      <c r="K313" s="169">
        <f>(Table6[[#This Row],[Average Packaging charges]]/J306)-1</f>
        <v>-0.15000000000000002</v>
      </c>
      <c r="L313" s="3">
        <v>26</v>
      </c>
      <c r="M313" s="112">
        <f>(Table6[[#This Row],[Average Delivery Charges]]/L306)-1</f>
        <v>0</v>
      </c>
      <c r="N313" s="3">
        <v>352</v>
      </c>
      <c r="O313" s="4">
        <f>(Table6[[#This Row],[Avg Cost for two]]/N306)-1</f>
        <v>-8.4507042253521014E-3</v>
      </c>
      <c r="P313" s="3">
        <v>34</v>
      </c>
      <c r="Q313" s="81">
        <f>(Table6[[#This Row],[Number of images per restaurant]]/P306)-1</f>
        <v>9.6774193548387011E-2</v>
      </c>
      <c r="R313" s="81">
        <v>0.94</v>
      </c>
      <c r="S313" s="10">
        <f>(Table6[[#This Row],[Success Rate of payments]]/R306)-1</f>
        <v>3.296703296703285E-2</v>
      </c>
      <c r="T313" s="64" t="e">
        <f>VLOOKUP(Table6[[#This Row],[Date]],Table2[#All],1,FALSE)</f>
        <v>#N/A</v>
      </c>
    </row>
    <row r="314" spans="2:20" x14ac:dyDescent="0.3">
      <c r="B314" s="38">
        <v>43778</v>
      </c>
      <c r="C314" s="80">
        <v>43778</v>
      </c>
      <c r="D314" s="3">
        <v>380487</v>
      </c>
      <c r="E314" s="4">
        <f>(Table6[[#This Row],[Count of restaurants]]/D307)-1</f>
        <v>-5.9190208320454962E-2</v>
      </c>
      <c r="F314" s="4">
        <v>0.19</v>
      </c>
      <c r="G314" s="112">
        <f>(Table6[[#This Row],[Average Discount]]/F307)-1</f>
        <v>5.555555555555558E-2</v>
      </c>
      <c r="H314" s="3">
        <v>40</v>
      </c>
      <c r="I314" s="112">
        <f>(Table6[[#This Row],[Out of stock Items per restaurant]]/H307)-1</f>
        <v>0.21212121212121215</v>
      </c>
      <c r="J314" s="3">
        <v>21</v>
      </c>
      <c r="K314" s="169">
        <f>(Table6[[#This Row],[Average Packaging charges]]/J307)-1</f>
        <v>0.10526315789473695</v>
      </c>
      <c r="L314" s="3">
        <v>27</v>
      </c>
      <c r="M314" s="112">
        <f>(Table6[[#This Row],[Average Delivery Charges]]/L307)-1</f>
        <v>-9.9999999999999978E-2</v>
      </c>
      <c r="N314" s="3">
        <v>368</v>
      </c>
      <c r="O314" s="4">
        <f>(Table6[[#This Row],[Avg Cost for two]]/N307)-1</f>
        <v>-7.7694235588972482E-2</v>
      </c>
      <c r="P314" s="3">
        <v>32</v>
      </c>
      <c r="Q314" s="81">
        <f>(Table6[[#This Row],[Number of images per restaurant]]/P307)-1</f>
        <v>-0.11111111111111116</v>
      </c>
      <c r="R314" s="81">
        <v>0.93</v>
      </c>
      <c r="S314" s="10">
        <f>(Table6[[#This Row],[Success Rate of payments]]/R307)-1</f>
        <v>2.19780219780219E-2</v>
      </c>
      <c r="T314" s="64">
        <f>VLOOKUP(Table6[[#This Row],[Date]],Table2[#All],1,FALSE)</f>
        <v>43778</v>
      </c>
    </row>
    <row r="315" spans="2:20" x14ac:dyDescent="0.3">
      <c r="B315" s="38">
        <v>43779</v>
      </c>
      <c r="C315" s="80">
        <v>43779</v>
      </c>
      <c r="D315" s="3">
        <v>397106</v>
      </c>
      <c r="E315" s="4">
        <f>(Table6[[#This Row],[Count of restaurants]]/D308)-1</f>
        <v>-1.7134908632796209E-2</v>
      </c>
      <c r="F315" s="4">
        <v>0.19</v>
      </c>
      <c r="G315" s="112">
        <f>(Table6[[#This Row],[Average Discount]]/F308)-1</f>
        <v>0</v>
      </c>
      <c r="H315" s="3">
        <v>34</v>
      </c>
      <c r="I315" s="112">
        <f>(Table6[[#This Row],[Out of stock Items per restaurant]]/H308)-1</f>
        <v>6.25E-2</v>
      </c>
      <c r="J315" s="3">
        <v>20</v>
      </c>
      <c r="K315" s="169">
        <f>(Table6[[#This Row],[Average Packaging charges]]/J308)-1</f>
        <v>5.2631578947368363E-2</v>
      </c>
      <c r="L315" s="3">
        <v>30</v>
      </c>
      <c r="M315" s="112">
        <f>(Table6[[#This Row],[Average Delivery Charges]]/L308)-1</f>
        <v>0.15384615384615374</v>
      </c>
      <c r="N315" s="3">
        <v>358</v>
      </c>
      <c r="O315" s="4">
        <f>(Table6[[#This Row],[Avg Cost for two]]/N308)-1</f>
        <v>-8.2051282051282093E-2</v>
      </c>
      <c r="P315" s="3">
        <v>37</v>
      </c>
      <c r="Q315" s="81">
        <f>(Table6[[#This Row],[Number of images per restaurant]]/P308)-1</f>
        <v>0</v>
      </c>
      <c r="R315" s="81">
        <v>0.92</v>
      </c>
      <c r="S315" s="10">
        <f>(Table6[[#This Row],[Success Rate of payments]]/R308)-1</f>
        <v>-2.1276595744680771E-2</v>
      </c>
      <c r="T315" s="64" t="e">
        <f>VLOOKUP(Table6[[#This Row],[Date]],Table2[#All],1,FALSE)</f>
        <v>#N/A</v>
      </c>
    </row>
    <row r="316" spans="2:20" x14ac:dyDescent="0.3">
      <c r="B316" s="38">
        <v>43780</v>
      </c>
      <c r="C316" s="80">
        <v>43780</v>
      </c>
      <c r="D316" s="3">
        <v>387858</v>
      </c>
      <c r="E316" s="4">
        <f>(Table6[[#This Row],[Count of restaurants]]/D309)-1</f>
        <v>1.3268752988016663E-2</v>
      </c>
      <c r="F316" s="4">
        <v>0.17</v>
      </c>
      <c r="G316" s="112">
        <f>(Table6[[#This Row],[Average Discount]]/F309)-1</f>
        <v>-0.10526315789473684</v>
      </c>
      <c r="H316" s="3">
        <v>38</v>
      </c>
      <c r="I316" s="112">
        <f>(Table6[[#This Row],[Out of stock Items per restaurant]]/H309)-1</f>
        <v>0.11764705882352944</v>
      </c>
      <c r="J316" s="3">
        <v>17</v>
      </c>
      <c r="K316" s="169">
        <f>(Table6[[#This Row],[Average Packaging charges]]/J309)-1</f>
        <v>-0.22727272727272729</v>
      </c>
      <c r="L316" s="3">
        <v>25</v>
      </c>
      <c r="M316" s="112">
        <f>(Table6[[#This Row],[Average Delivery Charges]]/L309)-1</f>
        <v>-7.407407407407407E-2</v>
      </c>
      <c r="N316" s="3">
        <v>381</v>
      </c>
      <c r="O316" s="4">
        <f>(Table6[[#This Row],[Avg Cost for two]]/N309)-1</f>
        <v>-3.7878787878787845E-2</v>
      </c>
      <c r="P316" s="3">
        <v>31</v>
      </c>
      <c r="Q316" s="81">
        <f>(Table6[[#This Row],[Number of images per restaurant]]/P309)-1</f>
        <v>-8.8235294117647078E-2</v>
      </c>
      <c r="R316" s="81">
        <v>0.94</v>
      </c>
      <c r="S316" s="10">
        <f>(Table6[[#This Row],[Success Rate of payments]]/R309)-1</f>
        <v>2.1739130434782483E-2</v>
      </c>
      <c r="T316" s="64" t="e">
        <f>VLOOKUP(Table6[[#This Row],[Date]],Table2[#All],1,FALSE)</f>
        <v>#N/A</v>
      </c>
    </row>
    <row r="317" spans="2:20" x14ac:dyDescent="0.3">
      <c r="B317" s="38">
        <v>43781</v>
      </c>
      <c r="C317" s="80">
        <v>43781</v>
      </c>
      <c r="D317" s="3">
        <v>403207</v>
      </c>
      <c r="E317" s="4">
        <f>(Table6[[#This Row],[Count of restaurants]]/D310)-1</f>
        <v>2.3329061076355018E-2</v>
      </c>
      <c r="F317" s="4">
        <v>0.18</v>
      </c>
      <c r="G317" s="112">
        <f>(Table6[[#This Row],[Average Discount]]/F310)-1</f>
        <v>5.8823529411764497E-2</v>
      </c>
      <c r="H317" s="3">
        <v>32</v>
      </c>
      <c r="I317" s="112">
        <f>(Table6[[#This Row],[Out of stock Items per restaurant]]/H310)-1</f>
        <v>3.2258064516129004E-2</v>
      </c>
      <c r="J317" s="3">
        <v>19</v>
      </c>
      <c r="K317" s="169">
        <f>(Table6[[#This Row],[Average Packaging charges]]/J310)-1</f>
        <v>-0.13636363636363635</v>
      </c>
      <c r="L317" s="3">
        <v>30</v>
      </c>
      <c r="M317" s="112">
        <f>(Table6[[#This Row],[Average Delivery Charges]]/L310)-1</f>
        <v>0.19999999999999996</v>
      </c>
      <c r="N317" s="3">
        <v>387</v>
      </c>
      <c r="O317" s="4">
        <f>(Table6[[#This Row],[Avg Cost for two]]/N310)-1</f>
        <v>-2.7638190954773822E-2</v>
      </c>
      <c r="P317" s="3">
        <v>39</v>
      </c>
      <c r="Q317" s="81">
        <f>(Table6[[#This Row],[Number of images per restaurant]]/P310)-1</f>
        <v>0</v>
      </c>
      <c r="R317" s="81">
        <v>0.93</v>
      </c>
      <c r="S317" s="10">
        <f>(Table6[[#This Row],[Success Rate of payments]]/R310)-1</f>
        <v>2.19780219780219E-2</v>
      </c>
      <c r="T317" s="64" t="e">
        <f>VLOOKUP(Table6[[#This Row],[Date]],Table2[#All],1,FALSE)</f>
        <v>#N/A</v>
      </c>
    </row>
    <row r="318" spans="2:20" x14ac:dyDescent="0.3">
      <c r="B318" s="38">
        <v>43782</v>
      </c>
      <c r="C318" s="80">
        <v>43782</v>
      </c>
      <c r="D318" s="3">
        <v>380788</v>
      </c>
      <c r="E318" s="4">
        <f>(Table6[[#This Row],[Count of restaurants]]/D311)-1</f>
        <v>-1.0906861790138334E-2</v>
      </c>
      <c r="F318" s="4">
        <v>0.19</v>
      </c>
      <c r="G318" s="112">
        <f>(Table6[[#This Row],[Average Discount]]/F311)-1</f>
        <v>5.555555555555558E-2</v>
      </c>
      <c r="H318" s="3">
        <v>36</v>
      </c>
      <c r="I318" s="112">
        <f>(Table6[[#This Row],[Out of stock Items per restaurant]]/H311)-1</f>
        <v>5.8823529411764719E-2</v>
      </c>
      <c r="J318" s="3">
        <v>21</v>
      </c>
      <c r="K318" s="169">
        <f>(Table6[[#This Row],[Average Packaging charges]]/J311)-1</f>
        <v>0.10526315789473695</v>
      </c>
      <c r="L318" s="3">
        <v>25</v>
      </c>
      <c r="M318" s="112">
        <f>(Table6[[#This Row],[Average Delivery Charges]]/L311)-1</f>
        <v>0</v>
      </c>
      <c r="N318" s="3">
        <v>394</v>
      </c>
      <c r="O318" s="4">
        <f>(Table6[[#This Row],[Avg Cost for two]]/N311)-1</f>
        <v>0</v>
      </c>
      <c r="P318" s="3">
        <v>34</v>
      </c>
      <c r="Q318" s="81">
        <f>(Table6[[#This Row],[Number of images per restaurant]]/P311)-1</f>
        <v>3.0303030303030276E-2</v>
      </c>
      <c r="R318" s="81">
        <v>0.95</v>
      </c>
      <c r="S318" s="10">
        <f>(Table6[[#This Row],[Success Rate of payments]]/R311)-1</f>
        <v>1.0638297872340496E-2</v>
      </c>
      <c r="T318" s="64" t="e">
        <f>VLOOKUP(Table6[[#This Row],[Date]],Table2[#All],1,FALSE)</f>
        <v>#N/A</v>
      </c>
    </row>
    <row r="319" spans="2:20" x14ac:dyDescent="0.3">
      <c r="B319" s="38">
        <v>43783</v>
      </c>
      <c r="C319" s="80">
        <v>43783</v>
      </c>
      <c r="D319" s="3">
        <v>383044</v>
      </c>
      <c r="E319" s="4">
        <f>(Table6[[#This Row],[Count of restaurants]]/D312)-1</f>
        <v>-5.5168841419797277E-2</v>
      </c>
      <c r="F319" s="4">
        <v>0.19</v>
      </c>
      <c r="G319" s="112">
        <f>(Table6[[#This Row],[Average Discount]]/F312)-1</f>
        <v>5.555555555555558E-2</v>
      </c>
      <c r="H319" s="3">
        <v>34</v>
      </c>
      <c r="I319" s="112">
        <f>(Table6[[#This Row],[Out of stock Items per restaurant]]/H312)-1</f>
        <v>-5.555555555555558E-2</v>
      </c>
      <c r="J319" s="3">
        <v>20</v>
      </c>
      <c r="K319" s="169">
        <f>(Table6[[#This Row],[Average Packaging charges]]/J312)-1</f>
        <v>-4.7619047619047672E-2</v>
      </c>
      <c r="L319" s="3">
        <v>25</v>
      </c>
      <c r="M319" s="112">
        <f>(Table6[[#This Row],[Average Delivery Charges]]/L312)-1</f>
        <v>-0.16666666666666663</v>
      </c>
      <c r="N319" s="3">
        <v>378</v>
      </c>
      <c r="O319" s="4">
        <f>(Table6[[#This Row],[Avg Cost for two]]/N312)-1</f>
        <v>4.7091412742382266E-2</v>
      </c>
      <c r="P319" s="3">
        <v>33</v>
      </c>
      <c r="Q319" s="81">
        <f>(Table6[[#This Row],[Number of images per restaurant]]/P312)-1</f>
        <v>-0.10810810810810811</v>
      </c>
      <c r="R319" s="81">
        <v>0.92</v>
      </c>
      <c r="S319" s="10">
        <f>(Table6[[#This Row],[Success Rate of payments]]/R312)-1</f>
        <v>-1.0752688172043001E-2</v>
      </c>
      <c r="T319" s="64" t="e">
        <f>VLOOKUP(Table6[[#This Row],[Date]],Table2[#All],1,FALSE)</f>
        <v>#N/A</v>
      </c>
    </row>
    <row r="320" spans="2:20" x14ac:dyDescent="0.3">
      <c r="B320" s="38">
        <v>43784</v>
      </c>
      <c r="C320" s="80">
        <v>43784</v>
      </c>
      <c r="D320" s="3">
        <v>396628</v>
      </c>
      <c r="E320" s="4">
        <f>(Table6[[#This Row],[Count of restaurants]]/D313)-1</f>
        <v>-1.720634731844628E-2</v>
      </c>
      <c r="F320" s="4">
        <v>0.19</v>
      </c>
      <c r="G320" s="112">
        <f>(Table6[[#This Row],[Average Discount]]/F313)-1</f>
        <v>0</v>
      </c>
      <c r="H320" s="3">
        <v>30</v>
      </c>
      <c r="I320" s="112">
        <f>(Table6[[#This Row],[Out of stock Items per restaurant]]/H313)-1</f>
        <v>-3.2258064516129004E-2</v>
      </c>
      <c r="J320" s="3">
        <v>18</v>
      </c>
      <c r="K320" s="169">
        <f>(Table6[[#This Row],[Average Packaging charges]]/J313)-1</f>
        <v>5.8823529411764719E-2</v>
      </c>
      <c r="L320" s="3">
        <v>27</v>
      </c>
      <c r="M320" s="112">
        <f>(Table6[[#This Row],[Average Delivery Charges]]/L313)-1</f>
        <v>3.8461538461538547E-2</v>
      </c>
      <c r="N320" s="3">
        <v>365</v>
      </c>
      <c r="O320" s="4">
        <f>(Table6[[#This Row],[Avg Cost for two]]/N313)-1</f>
        <v>3.6931818181818121E-2</v>
      </c>
      <c r="P320" s="3">
        <v>40</v>
      </c>
      <c r="Q320" s="81">
        <f>(Table6[[#This Row],[Number of images per restaurant]]/P313)-1</f>
        <v>0.17647058823529416</v>
      </c>
      <c r="R320" s="81">
        <v>0.91</v>
      </c>
      <c r="S320" s="10">
        <f>(Table6[[#This Row],[Success Rate of payments]]/R313)-1</f>
        <v>-3.1914893617021156E-2</v>
      </c>
      <c r="T320" s="64" t="e">
        <f>VLOOKUP(Table6[[#This Row],[Date]],Table2[#All],1,FALSE)</f>
        <v>#N/A</v>
      </c>
    </row>
    <row r="321" spans="2:20" x14ac:dyDescent="0.3">
      <c r="B321" s="38">
        <v>43785</v>
      </c>
      <c r="C321" s="80">
        <v>43785</v>
      </c>
      <c r="D321" s="3">
        <v>404564</v>
      </c>
      <c r="E321" s="4">
        <f>(Table6[[#This Row],[Count of restaurants]]/D314)-1</f>
        <v>6.3279428732124776E-2</v>
      </c>
      <c r="F321" s="4">
        <v>0.18</v>
      </c>
      <c r="G321" s="112">
        <f>(Table6[[#This Row],[Average Discount]]/F314)-1</f>
        <v>-5.2631578947368474E-2</v>
      </c>
      <c r="H321" s="3">
        <v>40</v>
      </c>
      <c r="I321" s="112">
        <f>(Table6[[#This Row],[Out of stock Items per restaurant]]/H314)-1</f>
        <v>0</v>
      </c>
      <c r="J321" s="3">
        <v>21</v>
      </c>
      <c r="K321" s="169">
        <f>(Table6[[#This Row],[Average Packaging charges]]/J314)-1</f>
        <v>0</v>
      </c>
      <c r="L321" s="3">
        <v>30</v>
      </c>
      <c r="M321" s="112">
        <f>(Table6[[#This Row],[Average Delivery Charges]]/L314)-1</f>
        <v>0.11111111111111116</v>
      </c>
      <c r="N321" s="3">
        <v>392</v>
      </c>
      <c r="O321" s="4">
        <f>(Table6[[#This Row],[Avg Cost for two]]/N314)-1</f>
        <v>6.5217391304347894E-2</v>
      </c>
      <c r="P321" s="3">
        <v>39</v>
      </c>
      <c r="Q321" s="81">
        <f>(Table6[[#This Row],[Number of images per restaurant]]/P314)-1</f>
        <v>0.21875</v>
      </c>
      <c r="R321" s="81">
        <v>0.92</v>
      </c>
      <c r="S321" s="10">
        <f>(Table6[[#This Row],[Success Rate of payments]]/R314)-1</f>
        <v>-1.0752688172043001E-2</v>
      </c>
      <c r="T321" s="64" t="e">
        <f>VLOOKUP(Table6[[#This Row],[Date]],Table2[#All],1,FALSE)</f>
        <v>#N/A</v>
      </c>
    </row>
    <row r="322" spans="2:20" x14ac:dyDescent="0.3">
      <c r="B322" s="38">
        <v>43786</v>
      </c>
      <c r="C322" s="80">
        <v>43786</v>
      </c>
      <c r="D322" s="3">
        <v>380987</v>
      </c>
      <c r="E322" s="4">
        <f>(Table6[[#This Row],[Count of restaurants]]/D315)-1</f>
        <v>-4.0591177166801828E-2</v>
      </c>
      <c r="F322" s="4">
        <v>0.19</v>
      </c>
      <c r="G322" s="112">
        <f>(Table6[[#This Row],[Average Discount]]/F315)-1</f>
        <v>0</v>
      </c>
      <c r="H322" s="3">
        <v>112</v>
      </c>
      <c r="I322" s="112">
        <f>(Table6[[#This Row],[Out of stock Items per restaurant]]/H315)-1</f>
        <v>2.2941176470588234</v>
      </c>
      <c r="J322" s="3">
        <v>22</v>
      </c>
      <c r="K322" s="169">
        <f>(Table6[[#This Row],[Average Packaging charges]]/J315)-1</f>
        <v>0.10000000000000009</v>
      </c>
      <c r="L322" s="3">
        <v>27</v>
      </c>
      <c r="M322" s="112">
        <f>(Table6[[#This Row],[Average Delivery Charges]]/L315)-1</f>
        <v>-9.9999999999999978E-2</v>
      </c>
      <c r="N322" s="3">
        <v>353</v>
      </c>
      <c r="O322" s="4">
        <f>(Table6[[#This Row],[Avg Cost for two]]/N315)-1</f>
        <v>-1.3966480446927387E-2</v>
      </c>
      <c r="P322" s="3">
        <v>38</v>
      </c>
      <c r="Q322" s="81">
        <f>(Table6[[#This Row],[Number of images per restaurant]]/P315)-1</f>
        <v>2.7027027027026973E-2</v>
      </c>
      <c r="R322" s="81">
        <v>0.95</v>
      </c>
      <c r="S322" s="10">
        <f>(Table6[[#This Row],[Success Rate of payments]]/R315)-1</f>
        <v>3.2608695652173836E-2</v>
      </c>
      <c r="T322" s="64">
        <f>VLOOKUP(Table6[[#This Row],[Date]],Table2[#All],1,FALSE)</f>
        <v>43786</v>
      </c>
    </row>
    <row r="323" spans="2:20" x14ac:dyDescent="0.3">
      <c r="B323" s="38">
        <v>43787</v>
      </c>
      <c r="C323" s="80">
        <v>43787</v>
      </c>
      <c r="D323" s="3">
        <v>398199</v>
      </c>
      <c r="E323" s="4">
        <f>(Table6[[#This Row],[Count of restaurants]]/D316)-1</f>
        <v>2.6661819531890618E-2</v>
      </c>
      <c r="F323" s="4">
        <v>0.18</v>
      </c>
      <c r="G323" s="112">
        <f>(Table6[[#This Row],[Average Discount]]/F316)-1</f>
        <v>5.8823529411764497E-2</v>
      </c>
      <c r="H323" s="3">
        <v>37</v>
      </c>
      <c r="I323" s="112">
        <f>(Table6[[#This Row],[Out of stock Items per restaurant]]/H316)-1</f>
        <v>-2.6315789473684181E-2</v>
      </c>
      <c r="J323" s="3">
        <v>22</v>
      </c>
      <c r="K323" s="169">
        <f>(Table6[[#This Row],[Average Packaging charges]]/J316)-1</f>
        <v>0.29411764705882359</v>
      </c>
      <c r="L323" s="3">
        <v>26</v>
      </c>
      <c r="M323" s="112">
        <f>(Table6[[#This Row],[Average Delivery Charges]]/L316)-1</f>
        <v>4.0000000000000036E-2</v>
      </c>
      <c r="N323" s="3">
        <v>385</v>
      </c>
      <c r="O323" s="4">
        <f>(Table6[[#This Row],[Avg Cost for two]]/N316)-1</f>
        <v>1.049868766404205E-2</v>
      </c>
      <c r="P323" s="3">
        <v>34</v>
      </c>
      <c r="Q323" s="81">
        <f>(Table6[[#This Row],[Number of images per restaurant]]/P316)-1</f>
        <v>9.6774193548387011E-2</v>
      </c>
      <c r="R323" s="81">
        <v>0.94</v>
      </c>
      <c r="S323" s="10">
        <f>(Table6[[#This Row],[Success Rate of payments]]/R316)-1</f>
        <v>0</v>
      </c>
      <c r="T323" s="64" t="e">
        <f>VLOOKUP(Table6[[#This Row],[Date]],Table2[#All],1,FALSE)</f>
        <v>#N/A</v>
      </c>
    </row>
    <row r="324" spans="2:20" x14ac:dyDescent="0.3">
      <c r="B324" s="38">
        <v>43788</v>
      </c>
      <c r="C324" s="80">
        <v>43788</v>
      </c>
      <c r="D324" s="3">
        <v>384779</v>
      </c>
      <c r="E324" s="4">
        <f>(Table6[[#This Row],[Count of restaurants]]/D317)-1</f>
        <v>-4.5703571614580052E-2</v>
      </c>
      <c r="F324" s="4">
        <v>0.19</v>
      </c>
      <c r="G324" s="112">
        <f>(Table6[[#This Row],[Average Discount]]/F317)-1</f>
        <v>5.555555555555558E-2</v>
      </c>
      <c r="H324" s="3">
        <v>33</v>
      </c>
      <c r="I324" s="112">
        <f>(Table6[[#This Row],[Out of stock Items per restaurant]]/H317)-1</f>
        <v>3.125E-2</v>
      </c>
      <c r="J324" s="3">
        <v>22</v>
      </c>
      <c r="K324" s="169">
        <f>(Table6[[#This Row],[Average Packaging charges]]/J317)-1</f>
        <v>0.15789473684210531</v>
      </c>
      <c r="L324" s="3">
        <v>27</v>
      </c>
      <c r="M324" s="112">
        <f>(Table6[[#This Row],[Average Delivery Charges]]/L317)-1</f>
        <v>-9.9999999999999978E-2</v>
      </c>
      <c r="N324" s="3">
        <v>369</v>
      </c>
      <c r="O324" s="4">
        <f>(Table6[[#This Row],[Avg Cost for two]]/N317)-1</f>
        <v>-4.6511627906976716E-2</v>
      </c>
      <c r="P324" s="3">
        <v>33</v>
      </c>
      <c r="Q324" s="81">
        <f>(Table6[[#This Row],[Number of images per restaurant]]/P317)-1</f>
        <v>-0.15384615384615385</v>
      </c>
      <c r="R324" s="81">
        <v>0.92</v>
      </c>
      <c r="S324" s="10">
        <f>(Table6[[#This Row],[Success Rate of payments]]/R317)-1</f>
        <v>-1.0752688172043001E-2</v>
      </c>
      <c r="T324" s="64" t="e">
        <f>VLOOKUP(Table6[[#This Row],[Date]],Table2[#All],1,FALSE)</f>
        <v>#N/A</v>
      </c>
    </row>
    <row r="325" spans="2:20" x14ac:dyDescent="0.3">
      <c r="B325" s="38">
        <v>43789</v>
      </c>
      <c r="C325" s="80">
        <v>43789</v>
      </c>
      <c r="D325" s="3">
        <v>410182</v>
      </c>
      <c r="E325" s="4">
        <f>(Table6[[#This Row],[Count of restaurants]]/D318)-1</f>
        <v>7.7192558589031179E-2</v>
      </c>
      <c r="F325" s="4">
        <v>0.19</v>
      </c>
      <c r="G325" s="112">
        <f>(Table6[[#This Row],[Average Discount]]/F318)-1</f>
        <v>0</v>
      </c>
      <c r="H325" s="3">
        <v>40</v>
      </c>
      <c r="I325" s="112">
        <f>(Table6[[#This Row],[Out of stock Items per restaurant]]/H318)-1</f>
        <v>0.11111111111111116</v>
      </c>
      <c r="J325" s="3">
        <v>19</v>
      </c>
      <c r="K325" s="169">
        <f>(Table6[[#This Row],[Average Packaging charges]]/J318)-1</f>
        <v>-9.5238095238095233E-2</v>
      </c>
      <c r="L325" s="3">
        <v>29</v>
      </c>
      <c r="M325" s="112">
        <f>(Table6[[#This Row],[Average Delivery Charges]]/L318)-1</f>
        <v>0.15999999999999992</v>
      </c>
      <c r="N325" s="3">
        <v>389</v>
      </c>
      <c r="O325" s="4">
        <f>(Table6[[#This Row],[Avg Cost for two]]/N318)-1</f>
        <v>-1.2690355329949221E-2</v>
      </c>
      <c r="P325" s="3">
        <v>32</v>
      </c>
      <c r="Q325" s="81">
        <f>(Table6[[#This Row],[Number of images per restaurant]]/P318)-1</f>
        <v>-5.8823529411764719E-2</v>
      </c>
      <c r="R325" s="81">
        <v>0.92</v>
      </c>
      <c r="S325" s="10">
        <f>(Table6[[#This Row],[Success Rate of payments]]/R318)-1</f>
        <v>-3.1578947368420929E-2</v>
      </c>
      <c r="T325" s="64" t="e">
        <f>VLOOKUP(Table6[[#This Row],[Date]],Table2[#All],1,FALSE)</f>
        <v>#N/A</v>
      </c>
    </row>
    <row r="326" spans="2:20" x14ac:dyDescent="0.3">
      <c r="B326" s="38">
        <v>43790</v>
      </c>
      <c r="C326" s="80">
        <v>43790</v>
      </c>
      <c r="D326" s="3">
        <v>393181</v>
      </c>
      <c r="E326" s="4">
        <f>(Table6[[#This Row],[Count of restaurants]]/D319)-1</f>
        <v>2.6464322636563953E-2</v>
      </c>
      <c r="F326" s="4">
        <v>0.18</v>
      </c>
      <c r="G326" s="112">
        <f>(Table6[[#This Row],[Average Discount]]/F319)-1</f>
        <v>-5.2631578947368474E-2</v>
      </c>
      <c r="H326" s="3">
        <v>38</v>
      </c>
      <c r="I326" s="112">
        <f>(Table6[[#This Row],[Out of stock Items per restaurant]]/H319)-1</f>
        <v>0.11764705882352944</v>
      </c>
      <c r="J326" s="3">
        <v>21</v>
      </c>
      <c r="K326" s="169">
        <f>(Table6[[#This Row],[Average Packaging charges]]/J319)-1</f>
        <v>5.0000000000000044E-2</v>
      </c>
      <c r="L326" s="3">
        <v>27</v>
      </c>
      <c r="M326" s="112">
        <f>(Table6[[#This Row],[Average Delivery Charges]]/L319)-1</f>
        <v>8.0000000000000071E-2</v>
      </c>
      <c r="N326" s="3">
        <v>395</v>
      </c>
      <c r="O326" s="4">
        <f>(Table6[[#This Row],[Avg Cost for two]]/N319)-1</f>
        <v>4.4973544973544888E-2</v>
      </c>
      <c r="P326" s="3">
        <v>35</v>
      </c>
      <c r="Q326" s="81">
        <f>(Table6[[#This Row],[Number of images per restaurant]]/P319)-1</f>
        <v>6.0606060606060552E-2</v>
      </c>
      <c r="R326" s="81">
        <v>0.92</v>
      </c>
      <c r="S326" s="10">
        <f>(Table6[[#This Row],[Success Rate of payments]]/R319)-1</f>
        <v>0</v>
      </c>
      <c r="T326" s="64" t="e">
        <f>VLOOKUP(Table6[[#This Row],[Date]],Table2[#All],1,FALSE)</f>
        <v>#N/A</v>
      </c>
    </row>
    <row r="327" spans="2:20" x14ac:dyDescent="0.3">
      <c r="B327" s="38">
        <v>43791</v>
      </c>
      <c r="C327" s="80">
        <v>43791</v>
      </c>
      <c r="D327" s="3">
        <v>409499</v>
      </c>
      <c r="E327" s="4">
        <f>(Table6[[#This Row],[Count of restaurants]]/D320)-1</f>
        <v>3.2451062456508417E-2</v>
      </c>
      <c r="F327" s="4">
        <v>0.18</v>
      </c>
      <c r="G327" s="112">
        <f>(Table6[[#This Row],[Average Discount]]/F320)-1</f>
        <v>-5.2631578947368474E-2</v>
      </c>
      <c r="H327" s="3">
        <v>35</v>
      </c>
      <c r="I327" s="112">
        <f>(Table6[[#This Row],[Out of stock Items per restaurant]]/H320)-1</f>
        <v>0.16666666666666674</v>
      </c>
      <c r="J327" s="3">
        <v>19</v>
      </c>
      <c r="K327" s="169">
        <f>(Table6[[#This Row],[Average Packaging charges]]/J320)-1</f>
        <v>5.555555555555558E-2</v>
      </c>
      <c r="L327" s="3">
        <v>25</v>
      </c>
      <c r="M327" s="112">
        <f>(Table6[[#This Row],[Average Delivery Charges]]/L320)-1</f>
        <v>-7.407407407407407E-2</v>
      </c>
      <c r="N327" s="3">
        <v>360</v>
      </c>
      <c r="O327" s="4">
        <f>(Table6[[#This Row],[Avg Cost for two]]/N320)-1</f>
        <v>-1.3698630136986356E-2</v>
      </c>
      <c r="P327" s="3">
        <v>37</v>
      </c>
      <c r="Q327" s="81">
        <f>(Table6[[#This Row],[Number of images per restaurant]]/P320)-1</f>
        <v>-7.4999999999999956E-2</v>
      </c>
      <c r="R327" s="81">
        <v>0.95</v>
      </c>
      <c r="S327" s="10">
        <f>(Table6[[#This Row],[Success Rate of payments]]/R320)-1</f>
        <v>4.39560439560438E-2</v>
      </c>
      <c r="T327" s="64" t="e">
        <f>VLOOKUP(Table6[[#This Row],[Date]],Table2[#All],1,FALSE)</f>
        <v>#N/A</v>
      </c>
    </row>
    <row r="328" spans="2:20" x14ac:dyDescent="0.3">
      <c r="B328" s="38">
        <v>43792</v>
      </c>
      <c r="C328" s="80">
        <v>43792</v>
      </c>
      <c r="D328" s="3">
        <v>401426</v>
      </c>
      <c r="E328" s="4">
        <f>(Table6[[#This Row],[Count of restaurants]]/D321)-1</f>
        <v>-7.7564983537833365E-3</v>
      </c>
      <c r="F328" s="4">
        <v>0.18</v>
      </c>
      <c r="G328" s="112">
        <f>(Table6[[#This Row],[Average Discount]]/F321)-1</f>
        <v>0</v>
      </c>
      <c r="H328" s="3">
        <v>37</v>
      </c>
      <c r="I328" s="112">
        <f>(Table6[[#This Row],[Out of stock Items per restaurant]]/H321)-1</f>
        <v>-7.4999999999999956E-2</v>
      </c>
      <c r="J328" s="3">
        <v>18</v>
      </c>
      <c r="K328" s="169">
        <f>(Table6[[#This Row],[Average Packaging charges]]/J321)-1</f>
        <v>-0.1428571428571429</v>
      </c>
      <c r="L328" s="3">
        <v>28</v>
      </c>
      <c r="M328" s="112">
        <f>(Table6[[#This Row],[Average Delivery Charges]]/L321)-1</f>
        <v>-6.6666666666666652E-2</v>
      </c>
      <c r="N328" s="3">
        <v>393</v>
      </c>
      <c r="O328" s="4">
        <f>(Table6[[#This Row],[Avg Cost for two]]/N321)-1</f>
        <v>2.5510204081633514E-3</v>
      </c>
      <c r="P328" s="3">
        <v>39</v>
      </c>
      <c r="Q328" s="81">
        <f>(Table6[[#This Row],[Number of images per restaurant]]/P321)-1</f>
        <v>0</v>
      </c>
      <c r="R328" s="81">
        <v>0.95</v>
      </c>
      <c r="S328" s="10">
        <f>(Table6[[#This Row],[Success Rate of payments]]/R321)-1</f>
        <v>3.2608695652173836E-2</v>
      </c>
      <c r="T328" s="64" t="e">
        <f>VLOOKUP(Table6[[#This Row],[Date]],Table2[#All],1,FALSE)</f>
        <v>#N/A</v>
      </c>
    </row>
    <row r="329" spans="2:20" x14ac:dyDescent="0.3">
      <c r="B329" s="38">
        <v>43793</v>
      </c>
      <c r="C329" s="80">
        <v>43793</v>
      </c>
      <c r="D329" s="3">
        <v>388049</v>
      </c>
      <c r="E329" s="4">
        <f>(Table6[[#This Row],[Count of restaurants]]/D322)-1</f>
        <v>1.853606553504461E-2</v>
      </c>
      <c r="F329" s="4">
        <v>0.19</v>
      </c>
      <c r="G329" s="112">
        <f>(Table6[[#This Row],[Average Discount]]/F322)-1</f>
        <v>0</v>
      </c>
      <c r="H329" s="3">
        <v>34</v>
      </c>
      <c r="I329" s="112">
        <f>(Table6[[#This Row],[Out of stock Items per restaurant]]/H322)-1</f>
        <v>-0.6964285714285714</v>
      </c>
      <c r="J329" s="3">
        <v>22</v>
      </c>
      <c r="K329" s="169">
        <f>(Table6[[#This Row],[Average Packaging charges]]/J322)-1</f>
        <v>0</v>
      </c>
      <c r="L329" s="3">
        <v>27</v>
      </c>
      <c r="M329" s="112">
        <f>(Table6[[#This Row],[Average Delivery Charges]]/L322)-1</f>
        <v>0</v>
      </c>
      <c r="N329" s="3">
        <v>354</v>
      </c>
      <c r="O329" s="4">
        <f>(Table6[[#This Row],[Avg Cost for two]]/N322)-1</f>
        <v>2.8328611898016387E-3</v>
      </c>
      <c r="P329" s="3">
        <v>37</v>
      </c>
      <c r="Q329" s="81">
        <f>(Table6[[#This Row],[Number of images per restaurant]]/P322)-1</f>
        <v>-2.6315789473684181E-2</v>
      </c>
      <c r="R329" s="81">
        <v>0.95</v>
      </c>
      <c r="S329" s="10">
        <f>(Table6[[#This Row],[Success Rate of payments]]/R322)-1</f>
        <v>0</v>
      </c>
      <c r="T329" s="64">
        <f>VLOOKUP(Table6[[#This Row],[Date]],Table2[#All],1,FALSE)</f>
        <v>43793</v>
      </c>
    </row>
    <row r="330" spans="2:20" x14ac:dyDescent="0.3">
      <c r="B330" s="38">
        <v>43794</v>
      </c>
      <c r="C330" s="80">
        <v>43794</v>
      </c>
      <c r="D330" s="3">
        <v>408801</v>
      </c>
      <c r="E330" s="4">
        <f>(Table6[[#This Row],[Count of restaurants]]/D323)-1</f>
        <v>2.6624878515516093E-2</v>
      </c>
      <c r="F330" s="4">
        <v>0.19</v>
      </c>
      <c r="G330" s="112">
        <f>(Table6[[#This Row],[Average Discount]]/F323)-1</f>
        <v>5.555555555555558E-2</v>
      </c>
      <c r="H330" s="3">
        <v>34</v>
      </c>
      <c r="I330" s="112">
        <f>(Table6[[#This Row],[Out of stock Items per restaurant]]/H323)-1</f>
        <v>-8.108108108108103E-2</v>
      </c>
      <c r="J330" s="3">
        <v>22</v>
      </c>
      <c r="K330" s="169">
        <f>(Table6[[#This Row],[Average Packaging charges]]/J323)-1</f>
        <v>0</v>
      </c>
      <c r="L330" s="3">
        <v>26</v>
      </c>
      <c r="M330" s="112">
        <f>(Table6[[#This Row],[Average Delivery Charges]]/L323)-1</f>
        <v>0</v>
      </c>
      <c r="N330" s="3">
        <v>392</v>
      </c>
      <c r="O330" s="4">
        <f>(Table6[[#This Row],[Avg Cost for two]]/N323)-1</f>
        <v>1.8181818181818077E-2</v>
      </c>
      <c r="P330" s="3">
        <v>39</v>
      </c>
      <c r="Q330" s="81">
        <f>(Table6[[#This Row],[Number of images per restaurant]]/P323)-1</f>
        <v>0.14705882352941169</v>
      </c>
      <c r="R330" s="81">
        <v>0.94</v>
      </c>
      <c r="S330" s="10">
        <f>(Table6[[#This Row],[Success Rate of payments]]/R323)-1</f>
        <v>0</v>
      </c>
      <c r="T330" s="64" t="e">
        <f>VLOOKUP(Table6[[#This Row],[Date]],Table2[#All],1,FALSE)</f>
        <v>#N/A</v>
      </c>
    </row>
    <row r="331" spans="2:20" x14ac:dyDescent="0.3">
      <c r="B331" s="38">
        <v>43795</v>
      </c>
      <c r="C331" s="80">
        <v>43795</v>
      </c>
      <c r="D331" s="3">
        <v>396857</v>
      </c>
      <c r="E331" s="4">
        <f>(Table6[[#This Row],[Count of restaurants]]/D324)-1</f>
        <v>3.1389446929276366E-2</v>
      </c>
      <c r="F331" s="4">
        <v>0.17</v>
      </c>
      <c r="G331" s="112">
        <f>(Table6[[#This Row],[Average Discount]]/F324)-1</f>
        <v>-0.10526315789473684</v>
      </c>
      <c r="H331" s="3">
        <v>35</v>
      </c>
      <c r="I331" s="112">
        <f>(Table6[[#This Row],[Out of stock Items per restaurant]]/H324)-1</f>
        <v>6.0606060606060552E-2</v>
      </c>
      <c r="J331" s="3">
        <v>17</v>
      </c>
      <c r="K331" s="169">
        <f>(Table6[[#This Row],[Average Packaging charges]]/J324)-1</f>
        <v>-0.22727272727272729</v>
      </c>
      <c r="L331" s="3">
        <v>25</v>
      </c>
      <c r="M331" s="112">
        <f>(Table6[[#This Row],[Average Delivery Charges]]/L324)-1</f>
        <v>-7.407407407407407E-2</v>
      </c>
      <c r="N331" s="3">
        <v>368</v>
      </c>
      <c r="O331" s="4">
        <f>(Table6[[#This Row],[Avg Cost for two]]/N324)-1</f>
        <v>-2.7100271002710175E-3</v>
      </c>
      <c r="P331" s="3">
        <v>39</v>
      </c>
      <c r="Q331" s="81">
        <f>(Table6[[#This Row],[Number of images per restaurant]]/P324)-1</f>
        <v>0.18181818181818188</v>
      </c>
      <c r="R331" s="81">
        <v>0.95</v>
      </c>
      <c r="S331" s="10">
        <f>(Table6[[#This Row],[Success Rate of payments]]/R324)-1</f>
        <v>3.2608695652173836E-2</v>
      </c>
      <c r="T331" s="64" t="e">
        <f>VLOOKUP(Table6[[#This Row],[Date]],Table2[#All],1,FALSE)</f>
        <v>#N/A</v>
      </c>
    </row>
    <row r="332" spans="2:20" x14ac:dyDescent="0.3">
      <c r="B332" s="38">
        <v>43796</v>
      </c>
      <c r="C332" s="80">
        <v>43796</v>
      </c>
      <c r="D332" s="3">
        <v>396457</v>
      </c>
      <c r="E332" s="4">
        <f>(Table6[[#This Row],[Count of restaurants]]/D325)-1</f>
        <v>-3.3460756444700146E-2</v>
      </c>
      <c r="F332" s="4">
        <v>0.19</v>
      </c>
      <c r="G332" s="112">
        <f>(Table6[[#This Row],[Average Discount]]/F325)-1</f>
        <v>0</v>
      </c>
      <c r="H332" s="3">
        <v>35</v>
      </c>
      <c r="I332" s="112">
        <f>(Table6[[#This Row],[Out of stock Items per restaurant]]/H325)-1</f>
        <v>-0.125</v>
      </c>
      <c r="J332" s="3">
        <v>22</v>
      </c>
      <c r="K332" s="169">
        <f>(Table6[[#This Row],[Average Packaging charges]]/J325)-1</f>
        <v>0.15789473684210531</v>
      </c>
      <c r="L332" s="3">
        <v>28</v>
      </c>
      <c r="M332" s="112">
        <f>(Table6[[#This Row],[Average Delivery Charges]]/L325)-1</f>
        <v>-3.4482758620689613E-2</v>
      </c>
      <c r="N332" s="3">
        <v>369</v>
      </c>
      <c r="O332" s="4">
        <f>(Table6[[#This Row],[Avg Cost for two]]/N325)-1</f>
        <v>-5.1413881748071932E-2</v>
      </c>
      <c r="P332" s="3">
        <v>34</v>
      </c>
      <c r="Q332" s="81">
        <f>(Table6[[#This Row],[Number of images per restaurant]]/P325)-1</f>
        <v>6.25E-2</v>
      </c>
      <c r="R332" s="81">
        <v>0.91</v>
      </c>
      <c r="S332" s="10">
        <f>(Table6[[#This Row],[Success Rate of payments]]/R325)-1</f>
        <v>-1.0869565217391353E-2</v>
      </c>
      <c r="T332" s="64" t="e">
        <f>VLOOKUP(Table6[[#This Row],[Date]],Table2[#All],1,FALSE)</f>
        <v>#N/A</v>
      </c>
    </row>
    <row r="333" spans="2:20" x14ac:dyDescent="0.3">
      <c r="B333" s="38">
        <v>43797</v>
      </c>
      <c r="C333" s="80">
        <v>43797</v>
      </c>
      <c r="D333" s="3">
        <v>403521</v>
      </c>
      <c r="E333" s="4">
        <f>(Table6[[#This Row],[Count of restaurants]]/D326)-1</f>
        <v>2.6298320620782745E-2</v>
      </c>
      <c r="F333" s="4">
        <v>0.18</v>
      </c>
      <c r="G333" s="112">
        <f>(Table6[[#This Row],[Average Discount]]/F326)-1</f>
        <v>0</v>
      </c>
      <c r="H333" s="3">
        <v>33</v>
      </c>
      <c r="I333" s="112">
        <f>(Table6[[#This Row],[Out of stock Items per restaurant]]/H326)-1</f>
        <v>-0.13157894736842102</v>
      </c>
      <c r="J333" s="3">
        <v>21</v>
      </c>
      <c r="K333" s="169">
        <f>(Table6[[#This Row],[Average Packaging charges]]/J326)-1</f>
        <v>0</v>
      </c>
      <c r="L333" s="3">
        <v>28</v>
      </c>
      <c r="M333" s="112">
        <f>(Table6[[#This Row],[Average Delivery Charges]]/L326)-1</f>
        <v>3.7037037037036979E-2</v>
      </c>
      <c r="N333" s="3">
        <v>380</v>
      </c>
      <c r="O333" s="4">
        <f>(Table6[[#This Row],[Avg Cost for two]]/N326)-1</f>
        <v>-3.7974683544303778E-2</v>
      </c>
      <c r="P333" s="3">
        <v>32</v>
      </c>
      <c r="Q333" s="81">
        <f>(Table6[[#This Row],[Number of images per restaurant]]/P326)-1</f>
        <v>-8.5714285714285743E-2</v>
      </c>
      <c r="R333" s="81">
        <v>0.94</v>
      </c>
      <c r="S333" s="10">
        <f>(Table6[[#This Row],[Success Rate of payments]]/R326)-1</f>
        <v>2.1739130434782483E-2</v>
      </c>
      <c r="T333" s="64" t="e">
        <f>VLOOKUP(Table6[[#This Row],[Date]],Table2[#All],1,FALSE)</f>
        <v>#N/A</v>
      </c>
    </row>
    <row r="334" spans="2:20" x14ac:dyDescent="0.3">
      <c r="B334" s="38">
        <v>43798</v>
      </c>
      <c r="C334" s="80">
        <v>43798</v>
      </c>
      <c r="D334" s="3">
        <v>403130</v>
      </c>
      <c r="E334" s="4">
        <f>(Table6[[#This Row],[Count of restaurants]]/D327)-1</f>
        <v>-1.555315153394754E-2</v>
      </c>
      <c r="F334" s="4">
        <v>0.17</v>
      </c>
      <c r="G334" s="112">
        <f>(Table6[[#This Row],[Average Discount]]/F327)-1</f>
        <v>-5.5555555555555469E-2</v>
      </c>
      <c r="H334" s="3">
        <v>39</v>
      </c>
      <c r="I334" s="112">
        <f>(Table6[[#This Row],[Out of stock Items per restaurant]]/H327)-1</f>
        <v>0.11428571428571432</v>
      </c>
      <c r="J334" s="3">
        <v>17</v>
      </c>
      <c r="K334" s="169">
        <f>(Table6[[#This Row],[Average Packaging charges]]/J327)-1</f>
        <v>-0.10526315789473684</v>
      </c>
      <c r="L334" s="3">
        <v>28</v>
      </c>
      <c r="M334" s="112">
        <f>(Table6[[#This Row],[Average Delivery Charges]]/L327)-1</f>
        <v>0.12000000000000011</v>
      </c>
      <c r="N334" s="3">
        <v>352</v>
      </c>
      <c r="O334" s="4">
        <f>(Table6[[#This Row],[Avg Cost for two]]/N327)-1</f>
        <v>-2.2222222222222254E-2</v>
      </c>
      <c r="P334" s="3">
        <v>32</v>
      </c>
      <c r="Q334" s="81">
        <f>(Table6[[#This Row],[Number of images per restaurant]]/P327)-1</f>
        <v>-0.13513513513513509</v>
      </c>
      <c r="R334" s="81">
        <v>0.94</v>
      </c>
      <c r="S334" s="10">
        <f>(Table6[[#This Row],[Success Rate of payments]]/R327)-1</f>
        <v>-1.0526315789473717E-2</v>
      </c>
      <c r="T334" s="64" t="e">
        <f>VLOOKUP(Table6[[#This Row],[Date]],Table2[#All],1,FALSE)</f>
        <v>#N/A</v>
      </c>
    </row>
    <row r="335" spans="2:20" x14ac:dyDescent="0.3">
      <c r="B335" s="38">
        <v>43799</v>
      </c>
      <c r="C335" s="80">
        <v>43799</v>
      </c>
      <c r="D335" s="3">
        <v>381333</v>
      </c>
      <c r="E335" s="4">
        <f>(Table6[[#This Row],[Count of restaurants]]/D328)-1</f>
        <v>-5.0054057285776166E-2</v>
      </c>
      <c r="F335" s="4">
        <v>0.19</v>
      </c>
      <c r="G335" s="112">
        <f>(Table6[[#This Row],[Average Discount]]/F328)-1</f>
        <v>5.555555555555558E-2</v>
      </c>
      <c r="H335" s="3">
        <v>40</v>
      </c>
      <c r="I335" s="112">
        <f>(Table6[[#This Row],[Out of stock Items per restaurant]]/H328)-1</f>
        <v>8.1081081081081141E-2</v>
      </c>
      <c r="J335" s="3">
        <v>18</v>
      </c>
      <c r="K335" s="169">
        <f>(Table6[[#This Row],[Average Packaging charges]]/J328)-1</f>
        <v>0</v>
      </c>
      <c r="L335" s="3">
        <v>29</v>
      </c>
      <c r="M335" s="112">
        <f>(Table6[[#This Row],[Average Delivery Charges]]/L328)-1</f>
        <v>3.5714285714285809E-2</v>
      </c>
      <c r="N335" s="3">
        <v>369</v>
      </c>
      <c r="O335" s="4">
        <f>(Table6[[#This Row],[Avg Cost for two]]/N328)-1</f>
        <v>-6.1068702290076327E-2</v>
      </c>
      <c r="P335" s="3">
        <v>36</v>
      </c>
      <c r="Q335" s="81">
        <f>(Table6[[#This Row],[Number of images per restaurant]]/P328)-1</f>
        <v>-7.6923076923076872E-2</v>
      </c>
      <c r="R335" s="81">
        <v>0.93</v>
      </c>
      <c r="S335" s="10">
        <f>(Table6[[#This Row],[Success Rate of payments]]/R328)-1</f>
        <v>-2.1052631578947323E-2</v>
      </c>
      <c r="T335" s="64" t="e">
        <f>VLOOKUP(Table6[[#This Row],[Date]],Table2[#All],1,FALSE)</f>
        <v>#N/A</v>
      </c>
    </row>
    <row r="336" spans="2:20" x14ac:dyDescent="0.3">
      <c r="B336" s="38">
        <v>43800</v>
      </c>
      <c r="C336" s="80">
        <v>43800</v>
      </c>
      <c r="D336" s="3">
        <v>397690</v>
      </c>
      <c r="E336" s="4">
        <f>(Table6[[#This Row],[Count of restaurants]]/D329)-1</f>
        <v>2.4844800527768385E-2</v>
      </c>
      <c r="F336" s="4">
        <v>0.18</v>
      </c>
      <c r="G336" s="112">
        <f>(Table6[[#This Row],[Average Discount]]/F329)-1</f>
        <v>-5.2631578947368474E-2</v>
      </c>
      <c r="H336" s="3">
        <v>40</v>
      </c>
      <c r="I336" s="112">
        <f>(Table6[[#This Row],[Out of stock Items per restaurant]]/H329)-1</f>
        <v>0.17647058823529416</v>
      </c>
      <c r="J336" s="3">
        <v>18</v>
      </c>
      <c r="K336" s="169">
        <f>(Table6[[#This Row],[Average Packaging charges]]/J329)-1</f>
        <v>-0.18181818181818177</v>
      </c>
      <c r="L336" s="3">
        <v>27</v>
      </c>
      <c r="M336" s="112">
        <f>(Table6[[#This Row],[Average Delivery Charges]]/L329)-1</f>
        <v>0</v>
      </c>
      <c r="N336" s="3">
        <v>388</v>
      </c>
      <c r="O336" s="4">
        <f>(Table6[[#This Row],[Avg Cost for two]]/N329)-1</f>
        <v>9.6045197740112886E-2</v>
      </c>
      <c r="P336" s="3">
        <v>39</v>
      </c>
      <c r="Q336" s="81">
        <f>(Table6[[#This Row],[Number of images per restaurant]]/P329)-1</f>
        <v>5.4054054054053946E-2</v>
      </c>
      <c r="R336" s="81">
        <v>0.92</v>
      </c>
      <c r="S336" s="10">
        <f>(Table6[[#This Row],[Success Rate of payments]]/R329)-1</f>
        <v>-3.1578947368420929E-2</v>
      </c>
      <c r="T336" s="64">
        <f>VLOOKUP(Table6[[#This Row],[Date]],Table2[#All],1,FALSE)</f>
        <v>43800</v>
      </c>
    </row>
    <row r="337" spans="2:20" x14ac:dyDescent="0.3">
      <c r="B337" s="38">
        <v>43801</v>
      </c>
      <c r="C337" s="80">
        <v>43801</v>
      </c>
      <c r="D337" s="3">
        <v>400613</v>
      </c>
      <c r="E337" s="4">
        <f>(Table6[[#This Row],[Count of restaurants]]/D330)-1</f>
        <v>-2.0029305212071358E-2</v>
      </c>
      <c r="F337" s="4">
        <v>0.17</v>
      </c>
      <c r="G337" s="112">
        <f>(Table6[[#This Row],[Average Discount]]/F330)-1</f>
        <v>-0.10526315789473684</v>
      </c>
      <c r="H337" s="3">
        <v>37</v>
      </c>
      <c r="I337" s="112">
        <f>(Table6[[#This Row],[Out of stock Items per restaurant]]/H330)-1</f>
        <v>8.8235294117646967E-2</v>
      </c>
      <c r="J337" s="3">
        <v>22</v>
      </c>
      <c r="K337" s="169">
        <f>(Table6[[#This Row],[Average Packaging charges]]/J330)-1</f>
        <v>0</v>
      </c>
      <c r="L337" s="3">
        <v>26</v>
      </c>
      <c r="M337" s="112">
        <f>(Table6[[#This Row],[Average Delivery Charges]]/L330)-1</f>
        <v>0</v>
      </c>
      <c r="N337" s="3">
        <v>394</v>
      </c>
      <c r="O337" s="4">
        <f>(Table6[[#This Row],[Avg Cost for two]]/N330)-1</f>
        <v>5.1020408163264808E-3</v>
      </c>
      <c r="P337" s="3">
        <v>37</v>
      </c>
      <c r="Q337" s="81">
        <f>(Table6[[#This Row],[Number of images per restaurant]]/P330)-1</f>
        <v>-5.1282051282051322E-2</v>
      </c>
      <c r="R337" s="81">
        <v>0.91</v>
      </c>
      <c r="S337" s="10">
        <f>(Table6[[#This Row],[Success Rate of payments]]/R330)-1</f>
        <v>-3.1914893617021156E-2</v>
      </c>
      <c r="T337" s="64" t="e">
        <f>VLOOKUP(Table6[[#This Row],[Date]],Table2[#All],1,FALSE)</f>
        <v>#N/A</v>
      </c>
    </row>
    <row r="338" spans="2:20" x14ac:dyDescent="0.3">
      <c r="B338" s="38">
        <v>43802</v>
      </c>
      <c r="C338" s="80">
        <v>43802</v>
      </c>
      <c r="D338" s="3">
        <v>393251</v>
      </c>
      <c r="E338" s="4">
        <f>(Table6[[#This Row],[Count of restaurants]]/D331)-1</f>
        <v>-9.0863963593939001E-3</v>
      </c>
      <c r="F338" s="4">
        <v>0.19</v>
      </c>
      <c r="G338" s="112">
        <f>(Table6[[#This Row],[Average Discount]]/F331)-1</f>
        <v>0.11764705882352944</v>
      </c>
      <c r="H338" s="3">
        <v>36</v>
      </c>
      <c r="I338" s="112">
        <f>(Table6[[#This Row],[Out of stock Items per restaurant]]/H331)-1</f>
        <v>2.857142857142847E-2</v>
      </c>
      <c r="J338" s="3">
        <v>20</v>
      </c>
      <c r="K338" s="169">
        <f>(Table6[[#This Row],[Average Packaging charges]]/J331)-1</f>
        <v>0.17647058823529416</v>
      </c>
      <c r="L338" s="3">
        <v>30</v>
      </c>
      <c r="M338" s="112">
        <f>(Table6[[#This Row],[Average Delivery Charges]]/L331)-1</f>
        <v>0.19999999999999996</v>
      </c>
      <c r="N338" s="3">
        <v>360</v>
      </c>
      <c r="O338" s="4">
        <f>(Table6[[#This Row],[Avg Cost for two]]/N331)-1</f>
        <v>-2.1739130434782594E-2</v>
      </c>
      <c r="P338" s="3">
        <v>39</v>
      </c>
      <c r="Q338" s="81">
        <f>(Table6[[#This Row],[Number of images per restaurant]]/P331)-1</f>
        <v>0</v>
      </c>
      <c r="R338" s="81">
        <v>0.94</v>
      </c>
      <c r="S338" s="10">
        <f>(Table6[[#This Row],[Success Rate of payments]]/R331)-1</f>
        <v>-1.0526315789473717E-2</v>
      </c>
      <c r="T338" s="64" t="e">
        <f>VLOOKUP(Table6[[#This Row],[Date]],Table2[#All],1,FALSE)</f>
        <v>#N/A</v>
      </c>
    </row>
    <row r="339" spans="2:20" x14ac:dyDescent="0.3">
      <c r="B339" s="38">
        <v>43803</v>
      </c>
      <c r="C339" s="80">
        <v>43803</v>
      </c>
      <c r="D339" s="3">
        <v>385988</v>
      </c>
      <c r="E339" s="4">
        <f>(Table6[[#This Row],[Count of restaurants]]/D332)-1</f>
        <v>-2.6406394640528519E-2</v>
      </c>
      <c r="F339" s="4">
        <v>0.19</v>
      </c>
      <c r="G339" s="112">
        <f>(Table6[[#This Row],[Average Discount]]/F332)-1</f>
        <v>0</v>
      </c>
      <c r="H339" s="3">
        <v>37</v>
      </c>
      <c r="I339" s="112">
        <f>(Table6[[#This Row],[Out of stock Items per restaurant]]/H332)-1</f>
        <v>5.7142857142857162E-2</v>
      </c>
      <c r="J339" s="3">
        <v>18</v>
      </c>
      <c r="K339" s="169">
        <f>(Table6[[#This Row],[Average Packaging charges]]/J332)-1</f>
        <v>-0.18181818181818177</v>
      </c>
      <c r="L339" s="3">
        <v>28</v>
      </c>
      <c r="M339" s="112">
        <f>(Table6[[#This Row],[Average Delivery Charges]]/L332)-1</f>
        <v>0</v>
      </c>
      <c r="N339" s="3">
        <v>397</v>
      </c>
      <c r="O339" s="4">
        <f>(Table6[[#This Row],[Avg Cost for two]]/N332)-1</f>
        <v>7.5880758807588045E-2</v>
      </c>
      <c r="P339" s="3">
        <v>38</v>
      </c>
      <c r="Q339" s="81">
        <f>(Table6[[#This Row],[Number of images per restaurant]]/P332)-1</f>
        <v>0.11764705882352944</v>
      </c>
      <c r="R339" s="81">
        <v>0.92</v>
      </c>
      <c r="S339" s="10">
        <f>(Table6[[#This Row],[Success Rate of payments]]/R332)-1</f>
        <v>1.098901098901095E-2</v>
      </c>
      <c r="T339" s="64" t="e">
        <f>VLOOKUP(Table6[[#This Row],[Date]],Table2[#All],1,FALSE)</f>
        <v>#N/A</v>
      </c>
    </row>
    <row r="340" spans="2:20" x14ac:dyDescent="0.3">
      <c r="B340" s="38">
        <v>43804</v>
      </c>
      <c r="C340" s="80">
        <v>43804</v>
      </c>
      <c r="D340" s="3">
        <v>404457</v>
      </c>
      <c r="E340" s="4">
        <f>(Table6[[#This Row],[Count of restaurants]]/D333)-1</f>
        <v>2.3195818804968571E-3</v>
      </c>
      <c r="F340" s="4">
        <v>0.18</v>
      </c>
      <c r="G340" s="112">
        <f>(Table6[[#This Row],[Average Discount]]/F333)-1</f>
        <v>0</v>
      </c>
      <c r="H340" s="3">
        <v>30</v>
      </c>
      <c r="I340" s="112">
        <f>(Table6[[#This Row],[Out of stock Items per restaurant]]/H333)-1</f>
        <v>-9.0909090909090939E-2</v>
      </c>
      <c r="J340" s="3">
        <v>22</v>
      </c>
      <c r="K340" s="169">
        <f>(Table6[[#This Row],[Average Packaging charges]]/J333)-1</f>
        <v>4.7619047619047672E-2</v>
      </c>
      <c r="L340" s="3">
        <v>30</v>
      </c>
      <c r="M340" s="112">
        <f>(Table6[[#This Row],[Average Delivery Charges]]/L333)-1</f>
        <v>7.1428571428571397E-2</v>
      </c>
      <c r="N340" s="3">
        <v>370</v>
      </c>
      <c r="O340" s="4">
        <f>(Table6[[#This Row],[Avg Cost for two]]/N333)-1</f>
        <v>-2.6315789473684181E-2</v>
      </c>
      <c r="P340" s="3">
        <v>39</v>
      </c>
      <c r="Q340" s="81">
        <f>(Table6[[#This Row],[Number of images per restaurant]]/P333)-1</f>
        <v>0.21875</v>
      </c>
      <c r="R340" s="81">
        <v>0.91</v>
      </c>
      <c r="S340" s="10">
        <f>(Table6[[#This Row],[Success Rate of payments]]/R333)-1</f>
        <v>-3.1914893617021156E-2</v>
      </c>
      <c r="T340" s="64" t="e">
        <f>VLOOKUP(Table6[[#This Row],[Date]],Table2[#All],1,FALSE)</f>
        <v>#N/A</v>
      </c>
    </row>
    <row r="341" spans="2:20" x14ac:dyDescent="0.3">
      <c r="B341" s="38">
        <v>43805</v>
      </c>
      <c r="C341" s="80">
        <v>43805</v>
      </c>
      <c r="D341" s="3">
        <v>386475</v>
      </c>
      <c r="E341" s="4">
        <f>(Table6[[#This Row],[Count of restaurants]]/D334)-1</f>
        <v>-4.1314216257782865E-2</v>
      </c>
      <c r="F341" s="4">
        <v>0.19</v>
      </c>
      <c r="G341" s="112">
        <f>(Table6[[#This Row],[Average Discount]]/F334)-1</f>
        <v>0.11764705882352944</v>
      </c>
      <c r="H341" s="3">
        <v>34</v>
      </c>
      <c r="I341" s="112">
        <f>(Table6[[#This Row],[Out of stock Items per restaurant]]/H334)-1</f>
        <v>-0.12820512820512819</v>
      </c>
      <c r="J341" s="3">
        <v>21</v>
      </c>
      <c r="K341" s="169">
        <f>(Table6[[#This Row],[Average Packaging charges]]/J334)-1</f>
        <v>0.23529411764705888</v>
      </c>
      <c r="L341" s="3">
        <v>26</v>
      </c>
      <c r="M341" s="112">
        <f>(Table6[[#This Row],[Average Delivery Charges]]/L334)-1</f>
        <v>-7.1428571428571397E-2</v>
      </c>
      <c r="N341" s="3">
        <v>356</v>
      </c>
      <c r="O341" s="4">
        <f>(Table6[[#This Row],[Avg Cost for two]]/N334)-1</f>
        <v>1.1363636363636465E-2</v>
      </c>
      <c r="P341" s="3">
        <v>32</v>
      </c>
      <c r="Q341" s="81">
        <f>(Table6[[#This Row],[Number of images per restaurant]]/P334)-1</f>
        <v>0</v>
      </c>
      <c r="R341" s="81">
        <v>0.91</v>
      </c>
      <c r="S341" s="10">
        <f>(Table6[[#This Row],[Success Rate of payments]]/R334)-1</f>
        <v>-3.1914893617021156E-2</v>
      </c>
      <c r="T341" s="64" t="e">
        <f>VLOOKUP(Table6[[#This Row],[Date]],Table2[#All],1,FALSE)</f>
        <v>#N/A</v>
      </c>
    </row>
    <row r="342" spans="2:20" x14ac:dyDescent="0.3">
      <c r="B342" s="38">
        <v>43806</v>
      </c>
      <c r="C342" s="80">
        <v>43806</v>
      </c>
      <c r="D342" s="3">
        <v>401987</v>
      </c>
      <c r="E342" s="4">
        <f>(Table6[[#This Row],[Count of restaurants]]/D335)-1</f>
        <v>5.4162634757547901E-2</v>
      </c>
      <c r="F342" s="4">
        <v>0.17</v>
      </c>
      <c r="G342" s="112">
        <f>(Table6[[#This Row],[Average Discount]]/F335)-1</f>
        <v>-0.10526315789473684</v>
      </c>
      <c r="H342" s="3">
        <v>38</v>
      </c>
      <c r="I342" s="112">
        <f>(Table6[[#This Row],[Out of stock Items per restaurant]]/H335)-1</f>
        <v>-5.0000000000000044E-2</v>
      </c>
      <c r="J342" s="3">
        <v>20</v>
      </c>
      <c r="K342" s="169">
        <f>(Table6[[#This Row],[Average Packaging charges]]/J335)-1</f>
        <v>0.11111111111111116</v>
      </c>
      <c r="L342" s="3">
        <v>30</v>
      </c>
      <c r="M342" s="112">
        <f>(Table6[[#This Row],[Average Delivery Charges]]/L335)-1</f>
        <v>3.4482758620689724E-2</v>
      </c>
      <c r="N342" s="3">
        <v>370</v>
      </c>
      <c r="O342" s="4">
        <f>(Table6[[#This Row],[Avg Cost for two]]/N335)-1</f>
        <v>2.7100271002709064E-3</v>
      </c>
      <c r="P342" s="3">
        <v>36</v>
      </c>
      <c r="Q342" s="81">
        <f>(Table6[[#This Row],[Number of images per restaurant]]/P335)-1</f>
        <v>0</v>
      </c>
      <c r="R342" s="81">
        <v>0.95</v>
      </c>
      <c r="S342" s="10">
        <f>(Table6[[#This Row],[Success Rate of payments]]/R335)-1</f>
        <v>2.1505376344086002E-2</v>
      </c>
      <c r="T342" s="64" t="e">
        <f>VLOOKUP(Table6[[#This Row],[Date]],Table2[#All],1,FALSE)</f>
        <v>#N/A</v>
      </c>
    </row>
    <row r="343" spans="2:20" x14ac:dyDescent="0.3">
      <c r="B343" s="38">
        <v>43807</v>
      </c>
      <c r="C343" s="80">
        <v>43807</v>
      </c>
      <c r="D343" s="3">
        <v>392420</v>
      </c>
      <c r="E343" s="4">
        <f>(Table6[[#This Row],[Count of restaurants]]/D336)-1</f>
        <v>-1.3251527571726762E-2</v>
      </c>
      <c r="F343" s="4">
        <v>0.19</v>
      </c>
      <c r="G343" s="112">
        <f>(Table6[[#This Row],[Average Discount]]/F336)-1</f>
        <v>5.555555555555558E-2</v>
      </c>
      <c r="H343" s="3">
        <v>30</v>
      </c>
      <c r="I343" s="112">
        <f>(Table6[[#This Row],[Out of stock Items per restaurant]]/H336)-1</f>
        <v>-0.25</v>
      </c>
      <c r="J343" s="3">
        <v>18</v>
      </c>
      <c r="K343" s="169">
        <f>(Table6[[#This Row],[Average Packaging charges]]/J336)-1</f>
        <v>0</v>
      </c>
      <c r="L343" s="3">
        <v>25</v>
      </c>
      <c r="M343" s="112">
        <f>(Table6[[#This Row],[Average Delivery Charges]]/L336)-1</f>
        <v>-7.407407407407407E-2</v>
      </c>
      <c r="N343" s="3">
        <v>394</v>
      </c>
      <c r="O343" s="4">
        <f>(Table6[[#This Row],[Avg Cost for two]]/N336)-1</f>
        <v>1.5463917525773141E-2</v>
      </c>
      <c r="P343" s="3">
        <v>36</v>
      </c>
      <c r="Q343" s="81">
        <f>(Table6[[#This Row],[Number of images per restaurant]]/P336)-1</f>
        <v>-7.6923076923076872E-2</v>
      </c>
      <c r="R343" s="81">
        <v>0.93</v>
      </c>
      <c r="S343" s="10">
        <f>(Table6[[#This Row],[Success Rate of payments]]/R336)-1</f>
        <v>1.0869565217391353E-2</v>
      </c>
      <c r="T343" s="64" t="e">
        <f>VLOOKUP(Table6[[#This Row],[Date]],Table2[#All],1,FALSE)</f>
        <v>#N/A</v>
      </c>
    </row>
    <row r="344" spans="2:20" x14ac:dyDescent="0.3">
      <c r="B344" s="38">
        <v>43808</v>
      </c>
      <c r="C344" s="80">
        <v>43808</v>
      </c>
      <c r="D344" s="3">
        <v>397135</v>
      </c>
      <c r="E344" s="4">
        <f>(Table6[[#This Row],[Count of restaurants]]/D337)-1</f>
        <v>-8.6816953019497323E-3</v>
      </c>
      <c r="F344" s="4">
        <v>0.17</v>
      </c>
      <c r="G344" s="112">
        <f>(Table6[[#This Row],[Average Discount]]/F337)-1</f>
        <v>0</v>
      </c>
      <c r="H344" s="3">
        <v>36</v>
      </c>
      <c r="I344" s="112">
        <f>(Table6[[#This Row],[Out of stock Items per restaurant]]/H337)-1</f>
        <v>-2.7027027027026973E-2</v>
      </c>
      <c r="J344" s="3">
        <v>22</v>
      </c>
      <c r="K344" s="169">
        <f>(Table6[[#This Row],[Average Packaging charges]]/J337)-1</f>
        <v>0</v>
      </c>
      <c r="L344" s="3">
        <v>25</v>
      </c>
      <c r="M344" s="112">
        <f>(Table6[[#This Row],[Average Delivery Charges]]/L337)-1</f>
        <v>-3.8461538461538436E-2</v>
      </c>
      <c r="N344" s="3">
        <v>363</v>
      </c>
      <c r="O344" s="4">
        <f>(Table6[[#This Row],[Avg Cost for two]]/N337)-1</f>
        <v>-7.8680203045685237E-2</v>
      </c>
      <c r="P344" s="3">
        <v>38</v>
      </c>
      <c r="Q344" s="81">
        <f>(Table6[[#This Row],[Number of images per restaurant]]/P337)-1</f>
        <v>2.7027027027026973E-2</v>
      </c>
      <c r="R344" s="81">
        <v>0.92</v>
      </c>
      <c r="S344" s="10">
        <f>(Table6[[#This Row],[Success Rate of payments]]/R337)-1</f>
        <v>1.098901098901095E-2</v>
      </c>
      <c r="T344" s="64" t="e">
        <f>VLOOKUP(Table6[[#This Row],[Date]],Table2[#All],1,FALSE)</f>
        <v>#N/A</v>
      </c>
    </row>
    <row r="345" spans="2:20" x14ac:dyDescent="0.3">
      <c r="B345" s="38">
        <v>43809</v>
      </c>
      <c r="C345" s="80">
        <v>43809</v>
      </c>
      <c r="D345" s="3">
        <v>408697</v>
      </c>
      <c r="E345" s="4">
        <f>(Table6[[#This Row],[Count of restaurants]]/D338)-1</f>
        <v>3.9277713216240961E-2</v>
      </c>
      <c r="F345" s="4">
        <v>0.18</v>
      </c>
      <c r="G345" s="112">
        <f>(Table6[[#This Row],[Average Discount]]/F338)-1</f>
        <v>-5.2631578947368474E-2</v>
      </c>
      <c r="H345" s="3">
        <v>31</v>
      </c>
      <c r="I345" s="112">
        <f>(Table6[[#This Row],[Out of stock Items per restaurant]]/H338)-1</f>
        <v>-0.13888888888888884</v>
      </c>
      <c r="J345" s="3">
        <v>19</v>
      </c>
      <c r="K345" s="169">
        <f>(Table6[[#This Row],[Average Packaging charges]]/J338)-1</f>
        <v>-5.0000000000000044E-2</v>
      </c>
      <c r="L345" s="3">
        <v>29</v>
      </c>
      <c r="M345" s="112">
        <f>(Table6[[#This Row],[Average Delivery Charges]]/L338)-1</f>
        <v>-3.3333333333333326E-2</v>
      </c>
      <c r="N345" s="3">
        <v>370</v>
      </c>
      <c r="O345" s="4">
        <f>(Table6[[#This Row],[Avg Cost for two]]/N338)-1</f>
        <v>2.7777777777777679E-2</v>
      </c>
      <c r="P345" s="3">
        <v>35</v>
      </c>
      <c r="Q345" s="81">
        <f>(Table6[[#This Row],[Number of images per restaurant]]/P338)-1</f>
        <v>-0.10256410256410253</v>
      </c>
      <c r="R345" s="81">
        <v>0.94</v>
      </c>
      <c r="S345" s="10">
        <f>(Table6[[#This Row],[Success Rate of payments]]/R338)-1</f>
        <v>0</v>
      </c>
      <c r="T345" s="64" t="e">
        <f>VLOOKUP(Table6[[#This Row],[Date]],Table2[#All],1,FALSE)</f>
        <v>#N/A</v>
      </c>
    </row>
    <row r="346" spans="2:20" x14ac:dyDescent="0.3">
      <c r="B346" s="38">
        <v>43810</v>
      </c>
      <c r="C346" s="80">
        <v>43810</v>
      </c>
      <c r="D346" s="3">
        <v>384623</v>
      </c>
      <c r="E346" s="4">
        <f>(Table6[[#This Row],[Count of restaurants]]/D339)-1</f>
        <v>-3.5363793693068413E-3</v>
      </c>
      <c r="F346" s="4">
        <v>0.18</v>
      </c>
      <c r="G346" s="112">
        <f>(Table6[[#This Row],[Average Discount]]/F339)-1</f>
        <v>-5.2631578947368474E-2</v>
      </c>
      <c r="H346" s="3">
        <v>36</v>
      </c>
      <c r="I346" s="112">
        <f>(Table6[[#This Row],[Out of stock Items per restaurant]]/H339)-1</f>
        <v>-2.7027027027026973E-2</v>
      </c>
      <c r="J346" s="3">
        <v>20</v>
      </c>
      <c r="K346" s="169">
        <f>(Table6[[#This Row],[Average Packaging charges]]/J339)-1</f>
        <v>0.11111111111111116</v>
      </c>
      <c r="L346" s="3">
        <v>27</v>
      </c>
      <c r="M346" s="112">
        <f>(Table6[[#This Row],[Average Delivery Charges]]/L339)-1</f>
        <v>-3.5714285714285698E-2</v>
      </c>
      <c r="N346" s="3">
        <v>397</v>
      </c>
      <c r="O346" s="4">
        <f>(Table6[[#This Row],[Avg Cost for two]]/N339)-1</f>
        <v>0</v>
      </c>
      <c r="P346" s="3">
        <v>37</v>
      </c>
      <c r="Q346" s="81">
        <f>(Table6[[#This Row],[Number of images per restaurant]]/P339)-1</f>
        <v>-2.6315789473684181E-2</v>
      </c>
      <c r="R346" s="81">
        <v>0.94</v>
      </c>
      <c r="S346" s="10">
        <f>(Table6[[#This Row],[Success Rate of payments]]/R339)-1</f>
        <v>2.1739130434782483E-2</v>
      </c>
      <c r="T346" s="64" t="e">
        <f>VLOOKUP(Table6[[#This Row],[Date]],Table2[#All],1,FALSE)</f>
        <v>#N/A</v>
      </c>
    </row>
    <row r="347" spans="2:20" x14ac:dyDescent="0.3">
      <c r="B347" s="38">
        <v>43811</v>
      </c>
      <c r="C347" s="80">
        <v>43811</v>
      </c>
      <c r="D347" s="3">
        <v>385929</v>
      </c>
      <c r="E347" s="4">
        <f>(Table6[[#This Row],[Count of restaurants]]/D340)-1</f>
        <v>-4.580956690080773E-2</v>
      </c>
      <c r="F347" s="4">
        <v>0.18</v>
      </c>
      <c r="G347" s="112">
        <f>(Table6[[#This Row],[Average Discount]]/F340)-1</f>
        <v>0</v>
      </c>
      <c r="H347" s="3">
        <v>36</v>
      </c>
      <c r="I347" s="112">
        <f>(Table6[[#This Row],[Out of stock Items per restaurant]]/H340)-1</f>
        <v>0.19999999999999996</v>
      </c>
      <c r="J347" s="3">
        <v>21</v>
      </c>
      <c r="K347" s="169">
        <f>(Table6[[#This Row],[Average Packaging charges]]/J340)-1</f>
        <v>-4.5454545454545414E-2</v>
      </c>
      <c r="L347" s="3">
        <v>27</v>
      </c>
      <c r="M347" s="112">
        <f>(Table6[[#This Row],[Average Delivery Charges]]/L340)-1</f>
        <v>-9.9999999999999978E-2</v>
      </c>
      <c r="N347" s="3">
        <v>386</v>
      </c>
      <c r="O347" s="4">
        <f>(Table6[[#This Row],[Avg Cost for two]]/N340)-1</f>
        <v>4.3243243243243246E-2</v>
      </c>
      <c r="P347" s="3">
        <v>33</v>
      </c>
      <c r="Q347" s="81">
        <f>(Table6[[#This Row],[Number of images per restaurant]]/P340)-1</f>
        <v>-0.15384615384615385</v>
      </c>
      <c r="R347" s="81">
        <v>0.92</v>
      </c>
      <c r="S347" s="10">
        <f>(Table6[[#This Row],[Success Rate of payments]]/R340)-1</f>
        <v>1.098901098901095E-2</v>
      </c>
      <c r="T347" s="64" t="e">
        <f>VLOOKUP(Table6[[#This Row],[Date]],Table2[#All],1,FALSE)</f>
        <v>#N/A</v>
      </c>
    </row>
    <row r="348" spans="2:20" x14ac:dyDescent="0.3">
      <c r="B348" s="38">
        <v>43812</v>
      </c>
      <c r="C348" s="80">
        <v>43812</v>
      </c>
      <c r="D348" s="3">
        <v>410246</v>
      </c>
      <c r="E348" s="4">
        <f>(Table6[[#This Row],[Count of restaurants]]/D341)-1</f>
        <v>6.1507212626948693E-2</v>
      </c>
      <c r="F348" s="4">
        <v>0.17</v>
      </c>
      <c r="G348" s="112">
        <f>(Table6[[#This Row],[Average Discount]]/F341)-1</f>
        <v>-0.10526315789473684</v>
      </c>
      <c r="H348" s="3">
        <v>32</v>
      </c>
      <c r="I348" s="112">
        <f>(Table6[[#This Row],[Out of stock Items per restaurant]]/H341)-1</f>
        <v>-5.8823529411764719E-2</v>
      </c>
      <c r="J348" s="3">
        <v>20</v>
      </c>
      <c r="K348" s="169">
        <f>(Table6[[#This Row],[Average Packaging charges]]/J341)-1</f>
        <v>-4.7619047619047672E-2</v>
      </c>
      <c r="L348" s="3">
        <v>25</v>
      </c>
      <c r="M348" s="112">
        <f>(Table6[[#This Row],[Average Delivery Charges]]/L341)-1</f>
        <v>-3.8461538461538436E-2</v>
      </c>
      <c r="N348" s="3">
        <v>371</v>
      </c>
      <c r="O348" s="4">
        <f>(Table6[[#This Row],[Avg Cost for two]]/N341)-1</f>
        <v>4.2134831460674205E-2</v>
      </c>
      <c r="P348" s="3">
        <v>33</v>
      </c>
      <c r="Q348" s="81">
        <f>(Table6[[#This Row],[Number of images per restaurant]]/P341)-1</f>
        <v>3.125E-2</v>
      </c>
      <c r="R348" s="81">
        <v>0.92</v>
      </c>
      <c r="S348" s="10">
        <f>(Table6[[#This Row],[Success Rate of payments]]/R341)-1</f>
        <v>1.098901098901095E-2</v>
      </c>
      <c r="T348" s="64" t="e">
        <f>VLOOKUP(Table6[[#This Row],[Date]],Table2[#All],1,FALSE)</f>
        <v>#N/A</v>
      </c>
    </row>
    <row r="349" spans="2:20" x14ac:dyDescent="0.3">
      <c r="B349" s="38">
        <v>43813</v>
      </c>
      <c r="C349" s="80">
        <v>43813</v>
      </c>
      <c r="D349" s="3">
        <v>386399</v>
      </c>
      <c r="E349" s="4">
        <f>(Table6[[#This Row],[Count of restaurants]]/D342)-1</f>
        <v>-3.8777373397647197E-2</v>
      </c>
      <c r="F349" s="4">
        <v>0.17</v>
      </c>
      <c r="G349" s="112">
        <f>(Table6[[#This Row],[Average Discount]]/F342)-1</f>
        <v>0</v>
      </c>
      <c r="H349" s="3">
        <v>38</v>
      </c>
      <c r="I349" s="112">
        <f>(Table6[[#This Row],[Out of stock Items per restaurant]]/H342)-1</f>
        <v>0</v>
      </c>
      <c r="J349" s="3">
        <v>19</v>
      </c>
      <c r="K349" s="169">
        <f>(Table6[[#This Row],[Average Packaging charges]]/J342)-1</f>
        <v>-5.0000000000000044E-2</v>
      </c>
      <c r="L349" s="3">
        <v>26</v>
      </c>
      <c r="M349" s="112">
        <f>(Table6[[#This Row],[Average Delivery Charges]]/L342)-1</f>
        <v>-0.1333333333333333</v>
      </c>
      <c r="N349" s="3">
        <v>391</v>
      </c>
      <c r="O349" s="4">
        <f>(Table6[[#This Row],[Avg Cost for two]]/N342)-1</f>
        <v>5.6756756756756843E-2</v>
      </c>
      <c r="P349" s="3">
        <v>40</v>
      </c>
      <c r="Q349" s="81">
        <f>(Table6[[#This Row],[Number of images per restaurant]]/P342)-1</f>
        <v>0.11111111111111116</v>
      </c>
      <c r="R349" s="81">
        <v>0.92</v>
      </c>
      <c r="S349" s="10">
        <f>(Table6[[#This Row],[Success Rate of payments]]/R342)-1</f>
        <v>-3.1578947368420929E-2</v>
      </c>
      <c r="T349" s="64" t="e">
        <f>VLOOKUP(Table6[[#This Row],[Date]],Table2[#All],1,FALSE)</f>
        <v>#N/A</v>
      </c>
    </row>
    <row r="350" spans="2:20" x14ac:dyDescent="0.3">
      <c r="B350" s="38">
        <v>43814</v>
      </c>
      <c r="C350" s="80">
        <v>43814</v>
      </c>
      <c r="D350" s="3">
        <v>410008</v>
      </c>
      <c r="E350" s="4">
        <f>(Table6[[#This Row],[Count of restaurants]]/D343)-1</f>
        <v>4.4819326232098167E-2</v>
      </c>
      <c r="F350" s="4">
        <v>0.18</v>
      </c>
      <c r="G350" s="112">
        <f>(Table6[[#This Row],[Average Discount]]/F343)-1</f>
        <v>-5.2631578947368474E-2</v>
      </c>
      <c r="H350" s="3">
        <v>30</v>
      </c>
      <c r="I350" s="112">
        <f>(Table6[[#This Row],[Out of stock Items per restaurant]]/H343)-1</f>
        <v>0</v>
      </c>
      <c r="J350" s="3">
        <v>21</v>
      </c>
      <c r="K350" s="169">
        <f>(Table6[[#This Row],[Average Packaging charges]]/J343)-1</f>
        <v>0.16666666666666674</v>
      </c>
      <c r="L350" s="3">
        <v>27</v>
      </c>
      <c r="M350" s="112">
        <f>(Table6[[#This Row],[Average Delivery Charges]]/L343)-1</f>
        <v>8.0000000000000071E-2</v>
      </c>
      <c r="N350" s="3">
        <v>355</v>
      </c>
      <c r="O350" s="4">
        <f>(Table6[[#This Row],[Avg Cost for two]]/N343)-1</f>
        <v>-9.898477157360408E-2</v>
      </c>
      <c r="P350" s="3">
        <v>32</v>
      </c>
      <c r="Q350" s="81">
        <f>(Table6[[#This Row],[Number of images per restaurant]]/P343)-1</f>
        <v>-0.11111111111111116</v>
      </c>
      <c r="R350" s="81">
        <v>0.91</v>
      </c>
      <c r="S350" s="10">
        <f>(Table6[[#This Row],[Success Rate of payments]]/R343)-1</f>
        <v>-2.1505376344086002E-2</v>
      </c>
      <c r="T350" s="64" t="e">
        <f>VLOOKUP(Table6[[#This Row],[Date]],Table2[#All],1,FALSE)</f>
        <v>#N/A</v>
      </c>
    </row>
    <row r="351" spans="2:20" x14ac:dyDescent="0.3">
      <c r="B351" s="38">
        <v>43815</v>
      </c>
      <c r="C351" s="80">
        <v>43815</v>
      </c>
      <c r="D351" s="3">
        <v>390197</v>
      </c>
      <c r="E351" s="4">
        <f>(Table6[[#This Row],[Count of restaurants]]/D344)-1</f>
        <v>-1.7470129804726398E-2</v>
      </c>
      <c r="F351" s="4">
        <v>0.19</v>
      </c>
      <c r="G351" s="112">
        <f>(Table6[[#This Row],[Average Discount]]/F344)-1</f>
        <v>0.11764705882352944</v>
      </c>
      <c r="H351" s="3">
        <v>40</v>
      </c>
      <c r="I351" s="112">
        <f>(Table6[[#This Row],[Out of stock Items per restaurant]]/H344)-1</f>
        <v>0.11111111111111116</v>
      </c>
      <c r="J351" s="3">
        <v>19</v>
      </c>
      <c r="K351" s="169">
        <f>(Table6[[#This Row],[Average Packaging charges]]/J344)-1</f>
        <v>-0.13636363636363635</v>
      </c>
      <c r="L351" s="3">
        <v>27</v>
      </c>
      <c r="M351" s="112">
        <f>(Table6[[#This Row],[Average Delivery Charges]]/L344)-1</f>
        <v>8.0000000000000071E-2</v>
      </c>
      <c r="N351" s="3">
        <v>386</v>
      </c>
      <c r="O351" s="4">
        <f>(Table6[[#This Row],[Avg Cost for two]]/N344)-1</f>
        <v>6.336088154269981E-2</v>
      </c>
      <c r="P351" s="3">
        <v>31</v>
      </c>
      <c r="Q351" s="81">
        <f>(Table6[[#This Row],[Number of images per restaurant]]/P344)-1</f>
        <v>-0.18421052631578949</v>
      </c>
      <c r="R351" s="81">
        <v>0.95</v>
      </c>
      <c r="S351" s="10">
        <f>(Table6[[#This Row],[Success Rate of payments]]/R344)-1</f>
        <v>3.2608695652173836E-2</v>
      </c>
      <c r="T351" s="64" t="e">
        <f>VLOOKUP(Table6[[#This Row],[Date]],Table2[#All],1,FALSE)</f>
        <v>#N/A</v>
      </c>
    </row>
    <row r="352" spans="2:20" x14ac:dyDescent="0.3">
      <c r="B352" s="38">
        <v>43816</v>
      </c>
      <c r="C352" s="80">
        <v>43816</v>
      </c>
      <c r="D352" s="3">
        <v>393364</v>
      </c>
      <c r="E352" s="4">
        <f>(Table6[[#This Row],[Count of restaurants]]/D345)-1</f>
        <v>-3.7516791168029084E-2</v>
      </c>
      <c r="F352" s="4">
        <v>0.17</v>
      </c>
      <c r="G352" s="112">
        <f>(Table6[[#This Row],[Average Discount]]/F345)-1</f>
        <v>-5.5555555555555469E-2</v>
      </c>
      <c r="H352" s="3">
        <v>40</v>
      </c>
      <c r="I352" s="112">
        <f>(Table6[[#This Row],[Out of stock Items per restaurant]]/H345)-1</f>
        <v>0.29032258064516125</v>
      </c>
      <c r="J352" s="3">
        <v>20</v>
      </c>
      <c r="K352" s="169">
        <f>(Table6[[#This Row],[Average Packaging charges]]/J345)-1</f>
        <v>5.2631578947368363E-2</v>
      </c>
      <c r="L352" s="3">
        <v>27</v>
      </c>
      <c r="M352" s="112">
        <f>(Table6[[#This Row],[Average Delivery Charges]]/L345)-1</f>
        <v>-6.8965517241379337E-2</v>
      </c>
      <c r="N352" s="3">
        <v>356</v>
      </c>
      <c r="O352" s="4">
        <f>(Table6[[#This Row],[Avg Cost for two]]/N345)-1</f>
        <v>-3.7837837837837784E-2</v>
      </c>
      <c r="P352" s="3">
        <v>33</v>
      </c>
      <c r="Q352" s="81">
        <f>(Table6[[#This Row],[Number of images per restaurant]]/P345)-1</f>
        <v>-5.7142857142857162E-2</v>
      </c>
      <c r="R352" s="81">
        <v>0.92</v>
      </c>
      <c r="S352" s="10">
        <f>(Table6[[#This Row],[Success Rate of payments]]/R345)-1</f>
        <v>-2.1276595744680771E-2</v>
      </c>
      <c r="T352" s="64" t="e">
        <f>VLOOKUP(Table6[[#This Row],[Date]],Table2[#All],1,FALSE)</f>
        <v>#N/A</v>
      </c>
    </row>
    <row r="353" spans="2:20" x14ac:dyDescent="0.3">
      <c r="B353" s="38">
        <v>43817</v>
      </c>
      <c r="C353" s="80">
        <v>43817</v>
      </c>
      <c r="D353" s="3">
        <v>396256</v>
      </c>
      <c r="E353" s="4">
        <f>(Table6[[#This Row],[Count of restaurants]]/D346)-1</f>
        <v>3.0245201145017386E-2</v>
      </c>
      <c r="F353" s="4">
        <v>0.19</v>
      </c>
      <c r="G353" s="112">
        <f>(Table6[[#This Row],[Average Discount]]/F346)-1</f>
        <v>5.555555555555558E-2</v>
      </c>
      <c r="H353" s="3">
        <v>40</v>
      </c>
      <c r="I353" s="112">
        <f>(Table6[[#This Row],[Out of stock Items per restaurant]]/H346)-1</f>
        <v>0.11111111111111116</v>
      </c>
      <c r="J353" s="3">
        <v>22</v>
      </c>
      <c r="K353" s="169">
        <f>(Table6[[#This Row],[Average Packaging charges]]/J346)-1</f>
        <v>0.10000000000000009</v>
      </c>
      <c r="L353" s="3">
        <v>27</v>
      </c>
      <c r="M353" s="112">
        <f>(Table6[[#This Row],[Average Delivery Charges]]/L346)-1</f>
        <v>0</v>
      </c>
      <c r="N353" s="3">
        <v>362</v>
      </c>
      <c r="O353" s="4">
        <f>(Table6[[#This Row],[Avg Cost for two]]/N346)-1</f>
        <v>-8.816120906801006E-2</v>
      </c>
      <c r="P353" s="3">
        <v>38</v>
      </c>
      <c r="Q353" s="81">
        <f>(Table6[[#This Row],[Number of images per restaurant]]/P346)-1</f>
        <v>2.7027027027026973E-2</v>
      </c>
      <c r="R353" s="81">
        <v>0.93</v>
      </c>
      <c r="S353" s="10">
        <f>(Table6[[#This Row],[Success Rate of payments]]/R346)-1</f>
        <v>-1.0638297872340274E-2</v>
      </c>
      <c r="T353" s="64" t="e">
        <f>VLOOKUP(Table6[[#This Row],[Date]],Table2[#All],1,FALSE)</f>
        <v>#N/A</v>
      </c>
    </row>
    <row r="354" spans="2:20" x14ac:dyDescent="0.3">
      <c r="B354" s="38">
        <v>43818</v>
      </c>
      <c r="C354" s="80">
        <v>43818</v>
      </c>
      <c r="D354" s="3">
        <v>395679</v>
      </c>
      <c r="E354" s="4">
        <f>(Table6[[#This Row],[Count of restaurants]]/D347)-1</f>
        <v>2.5263714310145069E-2</v>
      </c>
      <c r="F354" s="4">
        <v>0.17</v>
      </c>
      <c r="G354" s="112">
        <f>(Table6[[#This Row],[Average Discount]]/F347)-1</f>
        <v>-5.5555555555555469E-2</v>
      </c>
      <c r="H354" s="3">
        <v>34</v>
      </c>
      <c r="I354" s="112">
        <f>(Table6[[#This Row],[Out of stock Items per restaurant]]/H347)-1</f>
        <v>-5.555555555555558E-2</v>
      </c>
      <c r="J354" s="3">
        <v>19</v>
      </c>
      <c r="K354" s="169">
        <f>(Table6[[#This Row],[Average Packaging charges]]/J347)-1</f>
        <v>-9.5238095238095233E-2</v>
      </c>
      <c r="L354" s="3">
        <v>30</v>
      </c>
      <c r="M354" s="112">
        <f>(Table6[[#This Row],[Average Delivery Charges]]/L347)-1</f>
        <v>0.11111111111111116</v>
      </c>
      <c r="N354" s="3">
        <v>354</v>
      </c>
      <c r="O354" s="4">
        <f>(Table6[[#This Row],[Avg Cost for two]]/N347)-1</f>
        <v>-8.2901554404145039E-2</v>
      </c>
      <c r="P354" s="3">
        <v>32</v>
      </c>
      <c r="Q354" s="81">
        <f>(Table6[[#This Row],[Number of images per restaurant]]/P347)-1</f>
        <v>-3.0303030303030276E-2</v>
      </c>
      <c r="R354" s="81">
        <v>0.92</v>
      </c>
      <c r="S354" s="10">
        <f>(Table6[[#This Row],[Success Rate of payments]]/R347)-1</f>
        <v>0</v>
      </c>
      <c r="T354" s="64" t="e">
        <f>VLOOKUP(Table6[[#This Row],[Date]],Table2[#All],1,FALSE)</f>
        <v>#N/A</v>
      </c>
    </row>
    <row r="355" spans="2:20" x14ac:dyDescent="0.3">
      <c r="B355" s="38">
        <v>43819</v>
      </c>
      <c r="C355" s="80">
        <v>43819</v>
      </c>
      <c r="D355" s="3">
        <v>388480</v>
      </c>
      <c r="E355" s="4">
        <f>(Table6[[#This Row],[Count of restaurants]]/D348)-1</f>
        <v>-5.305597129527162E-2</v>
      </c>
      <c r="F355" s="4">
        <v>0.18</v>
      </c>
      <c r="G355" s="112">
        <f>(Table6[[#This Row],[Average Discount]]/F348)-1</f>
        <v>5.8823529411764497E-2</v>
      </c>
      <c r="H355" s="3">
        <v>34</v>
      </c>
      <c r="I355" s="112">
        <f>(Table6[[#This Row],[Out of stock Items per restaurant]]/H348)-1</f>
        <v>6.25E-2</v>
      </c>
      <c r="J355" s="3">
        <v>20</v>
      </c>
      <c r="K355" s="169">
        <f>(Table6[[#This Row],[Average Packaging charges]]/J348)-1</f>
        <v>0</v>
      </c>
      <c r="L355" s="3">
        <v>27</v>
      </c>
      <c r="M355" s="112">
        <f>(Table6[[#This Row],[Average Delivery Charges]]/L348)-1</f>
        <v>8.0000000000000071E-2</v>
      </c>
      <c r="N355" s="3">
        <v>362</v>
      </c>
      <c r="O355" s="4">
        <f>(Table6[[#This Row],[Avg Cost for two]]/N348)-1</f>
        <v>-2.425876010781669E-2</v>
      </c>
      <c r="P355" s="3">
        <v>39</v>
      </c>
      <c r="Q355" s="81">
        <f>(Table6[[#This Row],[Number of images per restaurant]]/P348)-1</f>
        <v>0.18181818181818188</v>
      </c>
      <c r="R355" s="81">
        <v>0.95</v>
      </c>
      <c r="S355" s="10">
        <f>(Table6[[#This Row],[Success Rate of payments]]/R348)-1</f>
        <v>3.2608695652173836E-2</v>
      </c>
      <c r="T355" s="64" t="e">
        <f>VLOOKUP(Table6[[#This Row],[Date]],Table2[#All],1,FALSE)</f>
        <v>#N/A</v>
      </c>
    </row>
    <row r="356" spans="2:20" x14ac:dyDescent="0.3">
      <c r="B356" s="38">
        <v>43820</v>
      </c>
      <c r="C356" s="80">
        <v>43820</v>
      </c>
      <c r="D356" s="3">
        <v>399659</v>
      </c>
      <c r="E356" s="4">
        <f>(Table6[[#This Row],[Count of restaurants]]/D349)-1</f>
        <v>3.4316858998082234E-2</v>
      </c>
      <c r="F356" s="4">
        <v>0.17</v>
      </c>
      <c r="G356" s="112">
        <f>(Table6[[#This Row],[Average Discount]]/F349)-1</f>
        <v>0</v>
      </c>
      <c r="H356" s="3">
        <v>39</v>
      </c>
      <c r="I356" s="112">
        <f>(Table6[[#This Row],[Out of stock Items per restaurant]]/H349)-1</f>
        <v>2.6315789473684292E-2</v>
      </c>
      <c r="J356" s="3">
        <v>17</v>
      </c>
      <c r="K356" s="169">
        <f>(Table6[[#This Row],[Average Packaging charges]]/J349)-1</f>
        <v>-0.10526315789473684</v>
      </c>
      <c r="L356" s="3">
        <v>29</v>
      </c>
      <c r="M356" s="112">
        <f>(Table6[[#This Row],[Average Delivery Charges]]/L349)-1</f>
        <v>0.11538461538461542</v>
      </c>
      <c r="N356" s="3">
        <v>350</v>
      </c>
      <c r="O356" s="4">
        <f>(Table6[[#This Row],[Avg Cost for two]]/N349)-1</f>
        <v>-0.1048593350383632</v>
      </c>
      <c r="P356" s="3">
        <v>31</v>
      </c>
      <c r="Q356" s="81">
        <f>(Table6[[#This Row],[Number of images per restaurant]]/P349)-1</f>
        <v>-0.22499999999999998</v>
      </c>
      <c r="R356" s="81">
        <v>0.91</v>
      </c>
      <c r="S356" s="10">
        <f>(Table6[[#This Row],[Success Rate of payments]]/R349)-1</f>
        <v>-1.0869565217391353E-2</v>
      </c>
      <c r="T356" s="64" t="e">
        <f>VLOOKUP(Table6[[#This Row],[Date]],Table2[#All],1,FALSE)</f>
        <v>#N/A</v>
      </c>
    </row>
    <row r="357" spans="2:20" x14ac:dyDescent="0.3">
      <c r="B357" s="38">
        <v>43821</v>
      </c>
      <c r="C357" s="80">
        <v>43821</v>
      </c>
      <c r="D357" s="3">
        <v>391668</v>
      </c>
      <c r="E357" s="4">
        <f>(Table6[[#This Row],[Count of restaurants]]/D350)-1</f>
        <v>-4.4730834520302021E-2</v>
      </c>
      <c r="F357" s="4">
        <v>0.18</v>
      </c>
      <c r="G357" s="112">
        <f>(Table6[[#This Row],[Average Discount]]/F350)-1</f>
        <v>0</v>
      </c>
      <c r="H357" s="3">
        <v>30</v>
      </c>
      <c r="I357" s="112">
        <f>(Table6[[#This Row],[Out of stock Items per restaurant]]/H350)-1</f>
        <v>0</v>
      </c>
      <c r="J357" s="3">
        <v>18</v>
      </c>
      <c r="K357" s="169">
        <f>(Table6[[#This Row],[Average Packaging charges]]/J350)-1</f>
        <v>-0.1428571428571429</v>
      </c>
      <c r="L357" s="3">
        <v>25</v>
      </c>
      <c r="M357" s="112">
        <f>(Table6[[#This Row],[Average Delivery Charges]]/L350)-1</f>
        <v>-7.407407407407407E-2</v>
      </c>
      <c r="N357" s="3">
        <v>397</v>
      </c>
      <c r="O357" s="4">
        <f>(Table6[[#This Row],[Avg Cost for two]]/N350)-1</f>
        <v>0.11830985915492964</v>
      </c>
      <c r="P357" s="3">
        <v>39</v>
      </c>
      <c r="Q357" s="81">
        <f>(Table6[[#This Row],[Number of images per restaurant]]/P350)-1</f>
        <v>0.21875</v>
      </c>
      <c r="R357" s="81">
        <v>0.92</v>
      </c>
      <c r="S357" s="10">
        <f>(Table6[[#This Row],[Success Rate of payments]]/R350)-1</f>
        <v>1.098901098901095E-2</v>
      </c>
      <c r="T357" s="64">
        <f>VLOOKUP(Table6[[#This Row],[Date]],Table2[#All],1,FALSE)</f>
        <v>43821</v>
      </c>
    </row>
    <row r="358" spans="2:20" x14ac:dyDescent="0.3">
      <c r="B358" s="38">
        <v>43822</v>
      </c>
      <c r="C358" s="80">
        <v>43822</v>
      </c>
      <c r="D358" s="3">
        <v>387294</v>
      </c>
      <c r="E358" s="4">
        <f>(Table6[[#This Row],[Count of restaurants]]/D351)-1</f>
        <v>-7.4398316747693594E-3</v>
      </c>
      <c r="F358" s="4">
        <v>0.17</v>
      </c>
      <c r="G358" s="112">
        <f>(Table6[[#This Row],[Average Discount]]/F351)-1</f>
        <v>-0.10526315789473684</v>
      </c>
      <c r="H358" s="3">
        <v>34</v>
      </c>
      <c r="I358" s="112">
        <f>(Table6[[#This Row],[Out of stock Items per restaurant]]/H351)-1</f>
        <v>-0.15000000000000002</v>
      </c>
      <c r="J358" s="3">
        <v>18</v>
      </c>
      <c r="K358" s="169">
        <f>(Table6[[#This Row],[Average Packaging charges]]/J351)-1</f>
        <v>-5.2631578947368474E-2</v>
      </c>
      <c r="L358" s="3">
        <v>29</v>
      </c>
      <c r="M358" s="112">
        <f>(Table6[[#This Row],[Average Delivery Charges]]/L351)-1</f>
        <v>7.4074074074074181E-2</v>
      </c>
      <c r="N358" s="3">
        <v>357</v>
      </c>
      <c r="O358" s="4">
        <f>(Table6[[#This Row],[Avg Cost for two]]/N351)-1</f>
        <v>-7.5129533678756522E-2</v>
      </c>
      <c r="P358" s="3">
        <v>30</v>
      </c>
      <c r="Q358" s="81">
        <f>(Table6[[#This Row],[Number of images per restaurant]]/P351)-1</f>
        <v>-3.2258064516129004E-2</v>
      </c>
      <c r="R358" s="81">
        <v>0.92</v>
      </c>
      <c r="S358" s="10">
        <f>(Table6[[#This Row],[Success Rate of payments]]/R351)-1</f>
        <v>-3.1578947368420929E-2</v>
      </c>
      <c r="T358" s="64" t="e">
        <f>VLOOKUP(Table6[[#This Row],[Date]],Table2[#All],1,FALSE)</f>
        <v>#N/A</v>
      </c>
    </row>
    <row r="359" spans="2:20" x14ac:dyDescent="0.3">
      <c r="B359" s="38">
        <v>43823</v>
      </c>
      <c r="C359" s="80">
        <v>43823</v>
      </c>
      <c r="D359" s="3">
        <v>385346</v>
      </c>
      <c r="E359" s="4">
        <f>(Table6[[#This Row],[Count of restaurants]]/D352)-1</f>
        <v>-2.0383156567454042E-2</v>
      </c>
      <c r="F359" s="4">
        <v>0.17</v>
      </c>
      <c r="G359" s="112">
        <f>(Table6[[#This Row],[Average Discount]]/F352)-1</f>
        <v>0</v>
      </c>
      <c r="H359" s="3">
        <v>40</v>
      </c>
      <c r="I359" s="112">
        <f>(Table6[[#This Row],[Out of stock Items per restaurant]]/H352)-1</f>
        <v>0</v>
      </c>
      <c r="J359" s="3">
        <v>17</v>
      </c>
      <c r="K359" s="169">
        <f>(Table6[[#This Row],[Average Packaging charges]]/J352)-1</f>
        <v>-0.15000000000000002</v>
      </c>
      <c r="L359" s="3">
        <v>26</v>
      </c>
      <c r="M359" s="112">
        <f>(Table6[[#This Row],[Average Delivery Charges]]/L352)-1</f>
        <v>-3.703703703703709E-2</v>
      </c>
      <c r="N359" s="3">
        <v>394</v>
      </c>
      <c r="O359" s="4">
        <f>(Table6[[#This Row],[Avg Cost for two]]/N352)-1</f>
        <v>0.10674157303370779</v>
      </c>
      <c r="P359" s="3">
        <v>40</v>
      </c>
      <c r="Q359" s="81">
        <f>(Table6[[#This Row],[Number of images per restaurant]]/P352)-1</f>
        <v>0.21212121212121215</v>
      </c>
      <c r="R359" s="81">
        <v>0.93</v>
      </c>
      <c r="S359" s="10">
        <f>(Table6[[#This Row],[Success Rate of payments]]/R352)-1</f>
        <v>1.0869565217391353E-2</v>
      </c>
      <c r="T359" s="64" t="e">
        <f>VLOOKUP(Table6[[#This Row],[Date]],Table2[#All],1,FALSE)</f>
        <v>#N/A</v>
      </c>
    </row>
    <row r="360" spans="2:20" x14ac:dyDescent="0.3">
      <c r="B360" s="38">
        <v>43824</v>
      </c>
      <c r="C360" s="80">
        <v>43824</v>
      </c>
      <c r="D360" s="3">
        <v>403674</v>
      </c>
      <c r="E360" s="4">
        <f>(Table6[[#This Row],[Count of restaurants]]/D353)-1</f>
        <v>1.8720221271097515E-2</v>
      </c>
      <c r="F360" s="4">
        <v>0.19</v>
      </c>
      <c r="G360" s="112">
        <f>(Table6[[#This Row],[Average Discount]]/F353)-1</f>
        <v>0</v>
      </c>
      <c r="H360" s="3">
        <v>38</v>
      </c>
      <c r="I360" s="112">
        <f>(Table6[[#This Row],[Out of stock Items per restaurant]]/H353)-1</f>
        <v>-5.0000000000000044E-2</v>
      </c>
      <c r="J360" s="3">
        <v>20</v>
      </c>
      <c r="K360" s="169">
        <f>(Table6[[#This Row],[Average Packaging charges]]/J353)-1</f>
        <v>-9.0909090909090939E-2</v>
      </c>
      <c r="L360" s="3">
        <v>27</v>
      </c>
      <c r="M360" s="112">
        <f>(Table6[[#This Row],[Average Delivery Charges]]/L353)-1</f>
        <v>0</v>
      </c>
      <c r="N360" s="3">
        <v>366</v>
      </c>
      <c r="O360" s="4">
        <f>(Table6[[#This Row],[Avg Cost for two]]/N353)-1</f>
        <v>1.1049723756906049E-2</v>
      </c>
      <c r="P360" s="3">
        <v>35</v>
      </c>
      <c r="Q360" s="81">
        <f>(Table6[[#This Row],[Number of images per restaurant]]/P353)-1</f>
        <v>-7.8947368421052655E-2</v>
      </c>
      <c r="R360" s="81">
        <v>0.93</v>
      </c>
      <c r="S360" s="10">
        <f>(Table6[[#This Row],[Success Rate of payments]]/R353)-1</f>
        <v>0</v>
      </c>
      <c r="T360" s="64" t="e">
        <f>VLOOKUP(Table6[[#This Row],[Date]],Table2[#All],1,FALSE)</f>
        <v>#N/A</v>
      </c>
    </row>
    <row r="361" spans="2:20" x14ac:dyDescent="0.3">
      <c r="B361" s="38">
        <v>43825</v>
      </c>
      <c r="C361" s="80">
        <v>43825</v>
      </c>
      <c r="D361" s="3">
        <v>381035</v>
      </c>
      <c r="E361" s="4">
        <f>(Table6[[#This Row],[Count of restaurants]]/D354)-1</f>
        <v>-3.7009798346639533E-2</v>
      </c>
      <c r="F361" s="4">
        <v>0.18</v>
      </c>
      <c r="G361" s="112">
        <f>(Table6[[#This Row],[Average Discount]]/F354)-1</f>
        <v>5.8823529411764497E-2</v>
      </c>
      <c r="H361" s="3">
        <v>39</v>
      </c>
      <c r="I361" s="112">
        <f>(Table6[[#This Row],[Out of stock Items per restaurant]]/H354)-1</f>
        <v>0.14705882352941169</v>
      </c>
      <c r="J361" s="3">
        <v>21</v>
      </c>
      <c r="K361" s="169">
        <f>(Table6[[#This Row],[Average Packaging charges]]/J354)-1</f>
        <v>0.10526315789473695</v>
      </c>
      <c r="L361" s="3">
        <v>29</v>
      </c>
      <c r="M361" s="112">
        <f>(Table6[[#This Row],[Average Delivery Charges]]/L354)-1</f>
        <v>-3.3333333333333326E-2</v>
      </c>
      <c r="N361" s="3">
        <v>380</v>
      </c>
      <c r="O361" s="4">
        <f>(Table6[[#This Row],[Avg Cost for two]]/N354)-1</f>
        <v>7.344632768361592E-2</v>
      </c>
      <c r="P361" s="3">
        <v>36</v>
      </c>
      <c r="Q361" s="81">
        <f>(Table6[[#This Row],[Number of images per restaurant]]/P354)-1</f>
        <v>0.125</v>
      </c>
      <c r="R361" s="81">
        <v>0.95</v>
      </c>
      <c r="S361" s="10">
        <f>(Table6[[#This Row],[Success Rate of payments]]/R354)-1</f>
        <v>3.2608695652173836E-2</v>
      </c>
      <c r="T361" s="64" t="e">
        <f>VLOOKUP(Table6[[#This Row],[Date]],Table2[#All],1,FALSE)</f>
        <v>#N/A</v>
      </c>
    </row>
    <row r="362" spans="2:20" x14ac:dyDescent="0.3">
      <c r="B362" s="38">
        <v>43826</v>
      </c>
      <c r="C362" s="80">
        <v>43826</v>
      </c>
      <c r="D362" s="3">
        <v>409390</v>
      </c>
      <c r="E362" s="4">
        <f>(Table6[[#This Row],[Count of restaurants]]/D355)-1</f>
        <v>5.3825164744645715E-2</v>
      </c>
      <c r="F362" s="4">
        <v>0.19</v>
      </c>
      <c r="G362" s="112">
        <f>(Table6[[#This Row],[Average Discount]]/F355)-1</f>
        <v>5.555555555555558E-2</v>
      </c>
      <c r="H362" s="3">
        <v>30</v>
      </c>
      <c r="I362" s="112">
        <f>(Table6[[#This Row],[Out of stock Items per restaurant]]/H355)-1</f>
        <v>-0.11764705882352944</v>
      </c>
      <c r="J362" s="3">
        <v>18</v>
      </c>
      <c r="K362" s="169">
        <f>(Table6[[#This Row],[Average Packaging charges]]/J355)-1</f>
        <v>-9.9999999999999978E-2</v>
      </c>
      <c r="L362" s="3">
        <v>27</v>
      </c>
      <c r="M362" s="112">
        <f>(Table6[[#This Row],[Average Delivery Charges]]/L355)-1</f>
        <v>0</v>
      </c>
      <c r="N362" s="3">
        <v>387</v>
      </c>
      <c r="O362" s="4">
        <f>(Table6[[#This Row],[Avg Cost for two]]/N355)-1</f>
        <v>6.9060773480662974E-2</v>
      </c>
      <c r="P362" s="3">
        <v>33</v>
      </c>
      <c r="Q362" s="81">
        <f>(Table6[[#This Row],[Number of images per restaurant]]/P355)-1</f>
        <v>-0.15384615384615385</v>
      </c>
      <c r="R362" s="81">
        <v>0.91</v>
      </c>
      <c r="S362" s="10">
        <f>(Table6[[#This Row],[Success Rate of payments]]/R355)-1</f>
        <v>-4.2105263157894646E-2</v>
      </c>
      <c r="T362" s="64" t="e">
        <f>VLOOKUP(Table6[[#This Row],[Date]],Table2[#All],1,FALSE)</f>
        <v>#N/A</v>
      </c>
    </row>
    <row r="363" spans="2:20" x14ac:dyDescent="0.3">
      <c r="B363" s="38">
        <v>43827</v>
      </c>
      <c r="C363" s="80">
        <v>43827</v>
      </c>
      <c r="D363" s="3">
        <v>383323</v>
      </c>
      <c r="E363" s="4">
        <f>(Table6[[#This Row],[Count of restaurants]]/D356)-1</f>
        <v>-4.0874845806049609E-2</v>
      </c>
      <c r="F363" s="4">
        <v>0.19</v>
      </c>
      <c r="G363" s="112">
        <f>(Table6[[#This Row],[Average Discount]]/F356)-1</f>
        <v>0.11764705882352944</v>
      </c>
      <c r="H363" s="3">
        <v>30</v>
      </c>
      <c r="I363" s="112">
        <f>(Table6[[#This Row],[Out of stock Items per restaurant]]/H356)-1</f>
        <v>-0.23076923076923073</v>
      </c>
      <c r="J363" s="3">
        <v>18</v>
      </c>
      <c r="K363" s="169">
        <f>(Table6[[#This Row],[Average Packaging charges]]/J356)-1</f>
        <v>5.8823529411764719E-2</v>
      </c>
      <c r="L363" s="3">
        <v>27</v>
      </c>
      <c r="M363" s="112">
        <f>(Table6[[#This Row],[Average Delivery Charges]]/L356)-1</f>
        <v>-6.8965517241379337E-2</v>
      </c>
      <c r="N363" s="3">
        <v>388</v>
      </c>
      <c r="O363" s="4">
        <f>(Table6[[#This Row],[Avg Cost for two]]/N356)-1</f>
        <v>0.10857142857142854</v>
      </c>
      <c r="P363" s="3">
        <v>37</v>
      </c>
      <c r="Q363" s="81">
        <f>(Table6[[#This Row],[Number of images per restaurant]]/P356)-1</f>
        <v>0.19354838709677424</v>
      </c>
      <c r="R363" s="81">
        <v>0.91</v>
      </c>
      <c r="S363" s="10">
        <f>(Table6[[#This Row],[Success Rate of payments]]/R356)-1</f>
        <v>0</v>
      </c>
      <c r="T363" s="64" t="e">
        <f>VLOOKUP(Table6[[#This Row],[Date]],Table2[#All],1,FALSE)</f>
        <v>#N/A</v>
      </c>
    </row>
    <row r="364" spans="2:20" x14ac:dyDescent="0.3">
      <c r="B364" s="38">
        <v>43828</v>
      </c>
      <c r="C364" s="80">
        <v>43828</v>
      </c>
      <c r="D364" s="3">
        <v>385433</v>
      </c>
      <c r="E364" s="4">
        <f>(Table6[[#This Row],[Count of restaurants]]/D357)-1</f>
        <v>-1.5919094743507278E-2</v>
      </c>
      <c r="F364" s="4">
        <v>0.17</v>
      </c>
      <c r="G364" s="112">
        <f>(Table6[[#This Row],[Average Discount]]/F357)-1</f>
        <v>-5.5555555555555469E-2</v>
      </c>
      <c r="H364" s="3">
        <v>38</v>
      </c>
      <c r="I364" s="112">
        <f>(Table6[[#This Row],[Out of stock Items per restaurant]]/H357)-1</f>
        <v>0.26666666666666661</v>
      </c>
      <c r="J364" s="3">
        <v>17</v>
      </c>
      <c r="K364" s="169">
        <f>(Table6[[#This Row],[Average Packaging charges]]/J357)-1</f>
        <v>-5.555555555555558E-2</v>
      </c>
      <c r="L364" s="3">
        <v>25</v>
      </c>
      <c r="M364" s="112">
        <f>(Table6[[#This Row],[Average Delivery Charges]]/L357)-1</f>
        <v>0</v>
      </c>
      <c r="N364" s="3">
        <v>350</v>
      </c>
      <c r="O364" s="4">
        <f>(Table6[[#This Row],[Avg Cost for two]]/N357)-1</f>
        <v>-0.11838790931989929</v>
      </c>
      <c r="P364" s="3">
        <v>31</v>
      </c>
      <c r="Q364" s="81">
        <f>(Table6[[#This Row],[Number of images per restaurant]]/P357)-1</f>
        <v>-0.20512820512820518</v>
      </c>
      <c r="R364" s="81">
        <v>0.94</v>
      </c>
      <c r="S364" s="10">
        <f>(Table6[[#This Row],[Success Rate of payments]]/R357)-1</f>
        <v>2.1739130434782483E-2</v>
      </c>
      <c r="T364" s="64" t="e">
        <f>VLOOKUP(Table6[[#This Row],[Date]],Table2[#All],1,FALSE)</f>
        <v>#N/A</v>
      </c>
    </row>
    <row r="365" spans="2:20" x14ac:dyDescent="0.3">
      <c r="B365" s="38">
        <v>43829</v>
      </c>
      <c r="C365" s="80">
        <v>43829</v>
      </c>
      <c r="D365" s="3">
        <v>382858</v>
      </c>
      <c r="E365" s="4">
        <f>(Table6[[#This Row],[Count of restaurants]]/D358)-1</f>
        <v>-1.1453830939802789E-2</v>
      </c>
      <c r="F365" s="4">
        <v>0.18</v>
      </c>
      <c r="G365" s="112">
        <f>(Table6[[#This Row],[Average Discount]]/F358)-1</f>
        <v>5.8823529411764497E-2</v>
      </c>
      <c r="H365" s="3">
        <v>38</v>
      </c>
      <c r="I365" s="112">
        <f>(Table6[[#This Row],[Out of stock Items per restaurant]]/H358)-1</f>
        <v>0.11764705882352944</v>
      </c>
      <c r="J365" s="3">
        <v>17</v>
      </c>
      <c r="K365" s="169">
        <f>(Table6[[#This Row],[Average Packaging charges]]/J358)-1</f>
        <v>-5.555555555555558E-2</v>
      </c>
      <c r="L365" s="3">
        <v>26</v>
      </c>
      <c r="M365" s="112">
        <f>(Table6[[#This Row],[Average Delivery Charges]]/L358)-1</f>
        <v>-0.10344827586206895</v>
      </c>
      <c r="N365" s="3">
        <v>385</v>
      </c>
      <c r="O365" s="4">
        <f>(Table6[[#This Row],[Avg Cost for two]]/N358)-1</f>
        <v>7.8431372549019551E-2</v>
      </c>
      <c r="P365" s="3">
        <v>30</v>
      </c>
      <c r="Q365" s="81">
        <f>(Table6[[#This Row],[Number of images per restaurant]]/P358)-1</f>
        <v>0</v>
      </c>
      <c r="R365" s="81">
        <v>0.95</v>
      </c>
      <c r="S365" s="10">
        <f>(Table6[[#This Row],[Success Rate of payments]]/R358)-1</f>
        <v>3.2608695652173836E-2</v>
      </c>
      <c r="T365" s="64" t="e">
        <f>VLOOKUP(Table6[[#This Row],[Date]],Table2[#All],1,FALSE)</f>
        <v>#N/A</v>
      </c>
    </row>
    <row r="366" spans="2:20" x14ac:dyDescent="0.3">
      <c r="B366" s="38">
        <v>43830</v>
      </c>
      <c r="C366" s="80">
        <v>43830</v>
      </c>
      <c r="D366" s="3">
        <v>384453</v>
      </c>
      <c r="E366" s="4">
        <f>(Table6[[#This Row],[Count of restaurants]]/D359)-1</f>
        <v>-2.3173978710042675E-3</v>
      </c>
      <c r="F366" s="4">
        <v>0.19</v>
      </c>
      <c r="G366" s="112">
        <f>(Table6[[#This Row],[Average Discount]]/F359)-1</f>
        <v>0.11764705882352944</v>
      </c>
      <c r="H366" s="3">
        <v>33</v>
      </c>
      <c r="I366" s="112">
        <f>(Table6[[#This Row],[Out of stock Items per restaurant]]/H359)-1</f>
        <v>-0.17500000000000004</v>
      </c>
      <c r="J366" s="3">
        <v>18</v>
      </c>
      <c r="K366" s="169">
        <f>(Table6[[#This Row],[Average Packaging charges]]/J359)-1</f>
        <v>5.8823529411764719E-2</v>
      </c>
      <c r="L366" s="3">
        <v>26</v>
      </c>
      <c r="M366" s="112">
        <f>(Table6[[#This Row],[Average Delivery Charges]]/L359)-1</f>
        <v>0</v>
      </c>
      <c r="N366" s="3">
        <v>357</v>
      </c>
      <c r="O366" s="4">
        <f>(Table6[[#This Row],[Avg Cost for two]]/N359)-1</f>
        <v>-9.3908629441624369E-2</v>
      </c>
      <c r="P366" s="3">
        <v>36</v>
      </c>
      <c r="Q366" s="81">
        <f>(Table6[[#This Row],[Number of images per restaurant]]/P359)-1</f>
        <v>-9.9999999999999978E-2</v>
      </c>
      <c r="R366" s="81">
        <v>0.91</v>
      </c>
      <c r="S366" s="10">
        <f>(Table6[[#This Row],[Success Rate of payments]]/R359)-1</f>
        <v>-2.1505376344086002E-2</v>
      </c>
      <c r="T366" s="64" t="e">
        <f>VLOOKUP(Table6[[#This Row],[Date]],Table2[#All],1,FALSE)</f>
        <v>#N/A</v>
      </c>
    </row>
    <row r="367" spans="2:20" x14ac:dyDescent="0.3">
      <c r="B367" s="85">
        <v>43831</v>
      </c>
      <c r="C367" s="86">
        <v>43831</v>
      </c>
      <c r="D367" s="87">
        <v>385535</v>
      </c>
      <c r="E367" s="4">
        <f>(Table6[[#This Row],[Count of restaurants]]/D360)-1</f>
        <v>-4.4934774099892438E-2</v>
      </c>
      <c r="F367" s="88">
        <v>0.17</v>
      </c>
      <c r="G367" s="112">
        <f>(Table6[[#This Row],[Average Discount]]/F360)-1</f>
        <v>-0.10526315789473684</v>
      </c>
      <c r="H367" s="87">
        <v>31</v>
      </c>
      <c r="I367" s="112">
        <f>(Table6[[#This Row],[Out of stock Items per restaurant]]/H360)-1</f>
        <v>-0.18421052631578949</v>
      </c>
      <c r="J367" s="87">
        <v>20</v>
      </c>
      <c r="K367" s="169">
        <f>(Table6[[#This Row],[Average Packaging charges]]/J360)-1</f>
        <v>0</v>
      </c>
      <c r="L367" s="87">
        <v>28</v>
      </c>
      <c r="M367" s="112">
        <f>(Table6[[#This Row],[Average Delivery Charges]]/L360)-1</f>
        <v>3.7037037037036979E-2</v>
      </c>
      <c r="N367" s="87">
        <v>397</v>
      </c>
      <c r="O367" s="4">
        <f>(Table6[[#This Row],[Avg Cost for two]]/N360)-1</f>
        <v>8.4699453551912551E-2</v>
      </c>
      <c r="P367" s="87">
        <v>33</v>
      </c>
      <c r="Q367" s="81">
        <f>(Table6[[#This Row],[Number of images per restaurant]]/P360)-1</f>
        <v>-5.7142857142857162E-2</v>
      </c>
      <c r="R367" s="89">
        <v>0.93</v>
      </c>
      <c r="S367" s="10">
        <f>(Table6[[#This Row],[Success Rate of payments]]/R360)-1</f>
        <v>0</v>
      </c>
      <c r="T367" s="64" t="e">
        <f>VLOOKUP(Table6[[#This Row],[Date]],Table2[#All],1,FALSE)</f>
        <v>#N/A</v>
      </c>
    </row>
    <row r="368" spans="2:20" x14ac:dyDescent="0.3">
      <c r="B368" s="91" t="s">
        <v>33</v>
      </c>
      <c r="C368" s="87">
        <f>SUBTOTAL(103,Table6[Day of the week])</f>
        <v>366</v>
      </c>
      <c r="D368" s="87">
        <f>SUBTOTAL(101,Table6[Count of restaurants])</f>
        <v>394905.68579234974</v>
      </c>
      <c r="E368" s="120">
        <f>SUBTOTAL(101,Table6[% Change Restaurant Count])</f>
        <v>6.2548914070871726E-4</v>
      </c>
      <c r="F368" s="121">
        <f>SUBTOTAL(101,Table6[Average Discount])</f>
        <v>0.1800819672131147</v>
      </c>
      <c r="G368" s="121">
        <f>SUBTOTAL(101,Table6[% Change Average Discount])</f>
        <v>3.7908721415657442E-3</v>
      </c>
      <c r="H368" s="87">
        <f>SUBTOTAL(101,Table6[Out of stock Items per restaurant])</f>
        <v>34.994535519125684</v>
      </c>
      <c r="I368" s="120">
        <f>SUBTOTAL(101,Table6[% Change Out of Stock Items per restaurant])</f>
        <v>1.4096900514033339E-2</v>
      </c>
      <c r="J368" s="87">
        <f>SUBTOTAL(101,Table6[Average Packaging charges])</f>
        <v>19.669398907103826</v>
      </c>
      <c r="K368" s="171"/>
      <c r="L368" s="87">
        <f>SUBTOTAL(101,Table6[Average Delivery Charges])</f>
        <v>27.560109289617486</v>
      </c>
      <c r="M368" s="120"/>
      <c r="N368" s="87">
        <f>SUBTOTAL(101,Table6[Avg Cost for two])</f>
        <v>376.14480874316939</v>
      </c>
      <c r="O368" s="118"/>
      <c r="P368" s="87">
        <f>SUBTOTAL(101,Table6[Number of images per restaurant])</f>
        <v>34.849726775956285</v>
      </c>
      <c r="Q368" s="119"/>
      <c r="R368" s="122">
        <f>SUBTOTAL(101,Table6[Success Rate of payments])</f>
        <v>0.9303005464480878</v>
      </c>
      <c r="S368" s="90"/>
      <c r="T368" s="90">
        <f>SUBTOTAL(103,Table6[Column9])</f>
        <v>366</v>
      </c>
    </row>
  </sheetData>
  <phoneticPr fontId="4" type="noConversion"/>
  <conditionalFormatting sqref="E1:E367 E369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7 G369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367 I369:I1048576 K1:K367 K369:K1048576 M1:M367 M369:M1048576 O1:O367 O369:O1048576 Q369:Q1048576 S369:S1048576 Q1:Q367 S1:S3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367 E369:E1048576 G1:G367 G369:G1048576 I1:I367 I369:I1048576 K1:K367 K369:K1048576 M1:M367 M369:M1048576 O1:O367 O369:O1048576 Q369:Q1048576 S369:S1048576 Q1:Q367 S1:S3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A7F2-7B9A-4288-8BEF-0AEA0A6FB5AE}">
  <dimension ref="A1:V368"/>
  <sheetViews>
    <sheetView topLeftCell="A84" workbookViewId="0">
      <selection activeCell="A84" sqref="A84"/>
    </sheetView>
  </sheetViews>
  <sheetFormatPr defaultColWidth="11.19921875" defaultRowHeight="15.6" x14ac:dyDescent="0.3"/>
  <cols>
    <col min="2" max="2" width="11.19921875" hidden="1" customWidth="1"/>
    <col min="4" max="12" width="13.5" customWidth="1"/>
    <col min="13" max="13" width="18.59765625" hidden="1" customWidth="1"/>
    <col min="14" max="15" width="19.3984375" customWidth="1"/>
    <col min="16" max="16" width="19.69921875" hidden="1" customWidth="1"/>
    <col min="17" max="17" width="11.8984375" hidden="1" customWidth="1"/>
    <col min="18" max="18" width="10.09765625" hidden="1" customWidth="1"/>
    <col min="19" max="19" width="12.5" hidden="1" customWidth="1"/>
    <col min="20" max="20" width="14.69921875" hidden="1" customWidth="1"/>
    <col min="21" max="21" width="20" hidden="1" customWidth="1"/>
  </cols>
  <sheetData>
    <row r="1" spans="1:22" x14ac:dyDescent="0.3">
      <c r="D1" s="181" t="s">
        <v>51</v>
      </c>
      <c r="E1" s="181"/>
      <c r="F1" s="181"/>
      <c r="G1" s="181"/>
      <c r="H1" s="27"/>
      <c r="I1" s="27"/>
      <c r="J1" s="27"/>
      <c r="K1" s="27"/>
      <c r="L1" s="27"/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2" x14ac:dyDescent="0.3">
      <c r="A2" s="5" t="s">
        <v>0</v>
      </c>
      <c r="B2" s="1" t="s">
        <v>1</v>
      </c>
      <c r="C2" s="1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52</v>
      </c>
      <c r="M2" s="8" t="s">
        <v>17</v>
      </c>
      <c r="N2" s="8" t="s">
        <v>22</v>
      </c>
      <c r="O2" s="8" t="s">
        <v>23</v>
      </c>
      <c r="P2" s="8" t="s">
        <v>24</v>
      </c>
      <c r="Q2" s="8" t="s">
        <v>18</v>
      </c>
      <c r="R2" s="8" t="s">
        <v>19</v>
      </c>
      <c r="S2" s="8" t="s">
        <v>20</v>
      </c>
      <c r="T2" s="8" t="s">
        <v>21</v>
      </c>
    </row>
    <row r="3" spans="1:22" x14ac:dyDescent="0.3">
      <c r="A3" s="2">
        <v>43466</v>
      </c>
      <c r="B3" s="3">
        <v>20848646</v>
      </c>
      <c r="C3" s="6">
        <v>1271572.67328</v>
      </c>
      <c r="D3" s="52">
        <f>VLOOKUP($A3,'Channel wise traffic'!$B$2:$K$368,7,FALSE)</f>
        <v>0</v>
      </c>
      <c r="E3" s="53">
        <f>VLOOKUP($A3,'Channel wise traffic'!$B$2:$K$368,8,FALSE)</f>
        <v>0</v>
      </c>
      <c r="F3" s="53">
        <f>VLOOKUP($A3,'Channel wise traffic'!$B$2:$K$368,9,FALSE)</f>
        <v>0</v>
      </c>
      <c r="G3" s="53">
        <f>VLOOKUP($A3,'Channel wise traffic'!$B$2:$K$368,10,FALSE)</f>
        <v>0</v>
      </c>
      <c r="H3" s="52">
        <f>VLOOKUP($A3,'Channel wise traffic'!$B$2:$P$368,11,FALSE)</f>
        <v>0</v>
      </c>
      <c r="I3" s="53">
        <f>VLOOKUP($A3,'Channel wise traffic'!$B$2:$P$368,12,FALSE)</f>
        <v>0</v>
      </c>
      <c r="J3" s="53">
        <f>VLOOKUP($A3,'Channel wise traffic'!$B$2:$P$368,13,FALSE)</f>
        <v>0</v>
      </c>
      <c r="K3" s="54">
        <f>VLOOKUP($A3,'Channel wise traffic'!$B$2:$P$368,14,FALSE)</f>
        <v>0</v>
      </c>
      <c r="L3" s="24">
        <f>VLOOKUP($A3,'Channel wise traffic'!$B$2:$P$368,15,FALSE)</f>
        <v>0</v>
      </c>
      <c r="M3" s="7">
        <f t="shared" ref="M3:M66" si="0">C3/B3</f>
        <v>6.0990659694639161E-2</v>
      </c>
      <c r="Q3" s="7" t="e">
        <f>#REF!/B3</f>
        <v>#REF!</v>
      </c>
      <c r="R3" s="7" t="e">
        <f>#REF!/#REF!</f>
        <v>#REF!</v>
      </c>
      <c r="S3" s="7" t="e">
        <f>#REF!/#REF!</f>
        <v>#REF!</v>
      </c>
      <c r="T3" s="7" t="e">
        <f>C3/#REF!</f>
        <v>#REF!</v>
      </c>
    </row>
    <row r="4" spans="1:22" x14ac:dyDescent="0.3">
      <c r="A4" s="2">
        <v>43467</v>
      </c>
      <c r="B4" s="3">
        <v>21934513</v>
      </c>
      <c r="C4" s="42">
        <v>1261133</v>
      </c>
      <c r="D4" s="48">
        <f>VLOOKUP($A4,'Channel wise traffic'!$B$2:$K$368,7,FALSE)</f>
        <v>0</v>
      </c>
      <c r="E4" s="24">
        <f>VLOOKUP($A4,'Channel wise traffic'!$B$2:$K$368,8,FALSE)</f>
        <v>0</v>
      </c>
      <c r="F4" s="24">
        <f>VLOOKUP($A4,'Channel wise traffic'!$B$2:$K$368,9,FALSE)</f>
        <v>0</v>
      </c>
      <c r="G4" s="24">
        <f>VLOOKUP($A4,'Channel wise traffic'!$B$2:$K$368,10,FALSE)</f>
        <v>0</v>
      </c>
      <c r="H4" s="48">
        <f>VLOOKUP($A4,'Channel wise traffic'!$B$2:$P$368,11,FALSE)</f>
        <v>0</v>
      </c>
      <c r="I4" s="24">
        <f>VLOOKUP($A4,'Channel wise traffic'!$B$2:$P$368,12,FALSE)</f>
        <v>0</v>
      </c>
      <c r="J4" s="24">
        <f>VLOOKUP($A4,'Channel wise traffic'!$B$2:$P$368,13,FALSE)</f>
        <v>0</v>
      </c>
      <c r="K4" s="51">
        <f>VLOOKUP($A4,'Channel wise traffic'!$B$2:$P$368,14,FALSE)</f>
        <v>0</v>
      </c>
      <c r="L4" s="24">
        <f>VLOOKUP($A4,'Channel wise traffic'!$B$2:$P$368,15,FALSE)</f>
        <v>0</v>
      </c>
      <c r="M4" s="7">
        <f t="shared" si="0"/>
        <v>5.749537270328272E-2</v>
      </c>
      <c r="Q4" s="7" t="e">
        <f>#REF!/B4</f>
        <v>#REF!</v>
      </c>
      <c r="R4" s="7" t="e">
        <f>#REF!/#REF!</f>
        <v>#REF!</v>
      </c>
      <c r="S4" s="7" t="e">
        <f>#REF!/#REF!</f>
        <v>#REF!</v>
      </c>
      <c r="T4" s="7" t="e">
        <f>C4/#REF!</f>
        <v>#REF!</v>
      </c>
    </row>
    <row r="5" spans="1:22" s="14" customFormat="1" x14ac:dyDescent="0.3">
      <c r="A5" s="15">
        <v>43468</v>
      </c>
      <c r="B5" s="16">
        <v>20848646</v>
      </c>
      <c r="C5" s="43">
        <v>1138655</v>
      </c>
      <c r="D5" s="48">
        <f>VLOOKUP($A5,'Channel wise traffic'!$B$2:$K$368,7,FALSE)</f>
        <v>0</v>
      </c>
      <c r="E5" s="24">
        <f>VLOOKUP($A5,'Channel wise traffic'!$B$2:$K$368,8,FALSE)</f>
        <v>0</v>
      </c>
      <c r="F5" s="24">
        <f>VLOOKUP($A5,'Channel wise traffic'!$B$2:$K$368,9,FALSE)</f>
        <v>0</v>
      </c>
      <c r="G5" s="24">
        <f>VLOOKUP($A5,'Channel wise traffic'!$B$2:$K$368,10,FALSE)</f>
        <v>0</v>
      </c>
      <c r="H5" s="48">
        <f>VLOOKUP($A5,'Channel wise traffic'!$B$2:$P$368,11,FALSE)</f>
        <v>0</v>
      </c>
      <c r="I5" s="24">
        <f>VLOOKUP($A5,'Channel wise traffic'!$B$2:$P$368,12,FALSE)</f>
        <v>0</v>
      </c>
      <c r="J5" s="24">
        <f>VLOOKUP($A5,'Channel wise traffic'!$B$2:$P$368,13,FALSE)</f>
        <v>0</v>
      </c>
      <c r="K5" s="51">
        <f>VLOOKUP($A5,'Channel wise traffic'!$B$2:$P$368,14,FALSE)</f>
        <v>0</v>
      </c>
      <c r="L5" s="24">
        <f>VLOOKUP($A5,'Channel wise traffic'!$B$2:$P$368,15,FALSE)</f>
        <v>0</v>
      </c>
      <c r="M5" s="7">
        <f t="shared" si="0"/>
        <v>5.4615297319547756E-2</v>
      </c>
      <c r="Q5" s="17" t="e">
        <f>#REF!/B5</f>
        <v>#REF!</v>
      </c>
      <c r="R5" s="17" t="e">
        <f>#REF!/#REF!</f>
        <v>#REF!</v>
      </c>
      <c r="S5" s="17" t="e">
        <f>#REF!/#REF!</f>
        <v>#REF!</v>
      </c>
      <c r="T5" s="17" t="e">
        <f>C5/#REF!</f>
        <v>#REF!</v>
      </c>
      <c r="U5" s="19"/>
    </row>
    <row r="6" spans="1:22" x14ac:dyDescent="0.3">
      <c r="A6" s="2">
        <v>43469</v>
      </c>
      <c r="B6" s="3">
        <v>21717340</v>
      </c>
      <c r="C6" s="42">
        <v>1296620</v>
      </c>
      <c r="D6" s="48">
        <f>VLOOKUP($A6,'Channel wise traffic'!$B$2:$K$368,7,FALSE)</f>
        <v>0</v>
      </c>
      <c r="E6" s="24">
        <f>VLOOKUP($A6,'Channel wise traffic'!$B$2:$K$368,8,FALSE)</f>
        <v>0</v>
      </c>
      <c r="F6" s="24">
        <f>VLOOKUP($A6,'Channel wise traffic'!$B$2:$K$368,9,FALSE)</f>
        <v>0</v>
      </c>
      <c r="G6" s="24">
        <f>VLOOKUP($A6,'Channel wise traffic'!$B$2:$K$368,10,FALSE)</f>
        <v>0</v>
      </c>
      <c r="H6" s="48">
        <f>VLOOKUP($A6,'Channel wise traffic'!$B$2:$P$368,11,FALSE)</f>
        <v>0</v>
      </c>
      <c r="I6" s="24">
        <f>VLOOKUP($A6,'Channel wise traffic'!$B$2:$P$368,12,FALSE)</f>
        <v>0</v>
      </c>
      <c r="J6" s="24">
        <f>VLOOKUP($A6,'Channel wise traffic'!$B$2:$P$368,13,FALSE)</f>
        <v>0</v>
      </c>
      <c r="K6" s="51">
        <f>VLOOKUP($A6,'Channel wise traffic'!$B$2:$P$368,14,FALSE)</f>
        <v>0</v>
      </c>
      <c r="L6" s="24">
        <f>VLOOKUP($A6,'Channel wise traffic'!$B$2:$P$368,15,FALSE)</f>
        <v>0</v>
      </c>
      <c r="M6" s="7">
        <f t="shared" si="0"/>
        <v>5.9704365267569601E-2</v>
      </c>
      <c r="P6" s="9"/>
      <c r="Q6" s="7" t="e">
        <f>#REF!/B6</f>
        <v>#REF!</v>
      </c>
      <c r="R6" s="7" t="e">
        <f>#REF!/#REF!</f>
        <v>#REF!</v>
      </c>
      <c r="S6" s="7" t="e">
        <f>#REF!/#REF!</f>
        <v>#REF!</v>
      </c>
      <c r="T6" s="7" t="e">
        <f>C6/#REF!</f>
        <v>#REF!</v>
      </c>
    </row>
    <row r="7" spans="1:22" x14ac:dyDescent="0.3">
      <c r="A7" s="2">
        <v>43470</v>
      </c>
      <c r="B7" s="3">
        <v>42645263</v>
      </c>
      <c r="C7" s="42">
        <v>1596026</v>
      </c>
      <c r="D7" s="48">
        <f>VLOOKUP($A7,'Channel wise traffic'!$B$2:$K$368,7,FALSE)</f>
        <v>0</v>
      </c>
      <c r="E7" s="24">
        <f>VLOOKUP($A7,'Channel wise traffic'!$B$2:$K$368,8,FALSE)</f>
        <v>0</v>
      </c>
      <c r="F7" s="24">
        <f>VLOOKUP($A7,'Channel wise traffic'!$B$2:$K$368,9,FALSE)</f>
        <v>0</v>
      </c>
      <c r="G7" s="24">
        <f>VLOOKUP($A7,'Channel wise traffic'!$B$2:$K$368,10,FALSE)</f>
        <v>0</v>
      </c>
      <c r="H7" s="48">
        <f>VLOOKUP($A7,'Channel wise traffic'!$B$2:$P$368,11,FALSE)</f>
        <v>0</v>
      </c>
      <c r="I7" s="24">
        <f>VLOOKUP($A7,'Channel wise traffic'!$B$2:$P$368,12,FALSE)</f>
        <v>0</v>
      </c>
      <c r="J7" s="24">
        <f>VLOOKUP($A7,'Channel wise traffic'!$B$2:$P$368,13,FALSE)</f>
        <v>0</v>
      </c>
      <c r="K7" s="51">
        <f>VLOOKUP($A7,'Channel wise traffic'!$B$2:$P$368,14,FALSE)</f>
        <v>0</v>
      </c>
      <c r="L7" s="24">
        <f>VLOOKUP($A7,'Channel wise traffic'!$B$2:$P$368,15,FALSE)</f>
        <v>0</v>
      </c>
      <c r="M7" s="7">
        <f t="shared" si="0"/>
        <v>3.7425633885761242E-2</v>
      </c>
      <c r="Q7" s="7" t="e">
        <f>#REF!/B7</f>
        <v>#REF!</v>
      </c>
      <c r="R7" s="7" t="e">
        <f>#REF!/#REF!</f>
        <v>#REF!</v>
      </c>
      <c r="S7" s="7" t="e">
        <f>#REF!/#REF!</f>
        <v>#REF!</v>
      </c>
      <c r="T7" s="7" t="e">
        <f>C7/#REF!</f>
        <v>#REF!</v>
      </c>
    </row>
    <row r="8" spans="1:22" x14ac:dyDescent="0.3">
      <c r="A8" s="2">
        <v>43471</v>
      </c>
      <c r="B8" s="3">
        <v>43543058</v>
      </c>
      <c r="C8" s="42">
        <v>1582881</v>
      </c>
      <c r="D8" s="48">
        <f>VLOOKUP($A8,'Channel wise traffic'!$B$2:$K$368,7,FALSE)</f>
        <v>0</v>
      </c>
      <c r="E8" s="24">
        <f>VLOOKUP($A8,'Channel wise traffic'!$B$2:$K$368,8,FALSE)</f>
        <v>0</v>
      </c>
      <c r="F8" s="24">
        <f>VLOOKUP($A8,'Channel wise traffic'!$B$2:$K$368,9,FALSE)</f>
        <v>0</v>
      </c>
      <c r="G8" s="24">
        <f>VLOOKUP($A8,'Channel wise traffic'!$B$2:$K$368,10,FALSE)</f>
        <v>0</v>
      </c>
      <c r="H8" s="48">
        <f>VLOOKUP($A8,'Channel wise traffic'!$B$2:$P$368,11,FALSE)</f>
        <v>0</v>
      </c>
      <c r="I8" s="24">
        <f>VLOOKUP($A8,'Channel wise traffic'!$B$2:$P$368,12,FALSE)</f>
        <v>0</v>
      </c>
      <c r="J8" s="24">
        <f>VLOOKUP($A8,'Channel wise traffic'!$B$2:$P$368,13,FALSE)</f>
        <v>0</v>
      </c>
      <c r="K8" s="51">
        <f>VLOOKUP($A8,'Channel wise traffic'!$B$2:$P$368,14,FALSE)</f>
        <v>0</v>
      </c>
      <c r="L8" s="24">
        <f>VLOOKUP($A8,'Channel wise traffic'!$B$2:$P$368,15,FALSE)</f>
        <v>0</v>
      </c>
      <c r="M8" s="7">
        <f t="shared" si="0"/>
        <v>3.6352086249890857E-2</v>
      </c>
      <c r="Q8" s="7" t="e">
        <f>#REF!/B8</f>
        <v>#REF!</v>
      </c>
      <c r="R8" s="7" t="e">
        <f>#REF!/#REF!</f>
        <v>#REF!</v>
      </c>
      <c r="S8" s="7" t="e">
        <f>#REF!/#REF!</f>
        <v>#REF!</v>
      </c>
      <c r="T8" s="7" t="e">
        <f>C8/#REF!</f>
        <v>#REF!</v>
      </c>
    </row>
    <row r="9" spans="1:22" x14ac:dyDescent="0.3">
      <c r="A9" s="2">
        <v>43472</v>
      </c>
      <c r="B9" s="3">
        <v>22803207</v>
      </c>
      <c r="C9" s="42">
        <v>1123504</v>
      </c>
      <c r="D9" s="48">
        <f>VLOOKUP($A9,'Channel wise traffic'!$B$2:$K$368,7,FALSE)</f>
        <v>0</v>
      </c>
      <c r="E9" s="24">
        <f>VLOOKUP($A9,'Channel wise traffic'!$B$2:$K$368,8,FALSE)</f>
        <v>0</v>
      </c>
      <c r="F9" s="24">
        <f>VLOOKUP($A9,'Channel wise traffic'!$B$2:$K$368,9,FALSE)</f>
        <v>0</v>
      </c>
      <c r="G9" s="24">
        <f>VLOOKUP($A9,'Channel wise traffic'!$B$2:$K$368,10,FALSE)</f>
        <v>0</v>
      </c>
      <c r="H9" s="48">
        <f>VLOOKUP($A9,'Channel wise traffic'!$B$2:$P$368,11,FALSE)</f>
        <v>0</v>
      </c>
      <c r="I9" s="24">
        <f>VLOOKUP($A9,'Channel wise traffic'!$B$2:$P$368,12,FALSE)</f>
        <v>0</v>
      </c>
      <c r="J9" s="24">
        <f>VLOOKUP($A9,'Channel wise traffic'!$B$2:$P$368,13,FALSE)</f>
        <v>0</v>
      </c>
      <c r="K9" s="51">
        <f>VLOOKUP($A9,'Channel wise traffic'!$B$2:$P$368,14,FALSE)</f>
        <v>0</v>
      </c>
      <c r="L9" s="24">
        <f>VLOOKUP($A9,'Channel wise traffic'!$B$2:$P$368,15,FALSE)</f>
        <v>0</v>
      </c>
      <c r="M9" s="7">
        <f t="shared" si="0"/>
        <v>4.9269561075334707E-2</v>
      </c>
      <c r="Q9" s="7" t="e">
        <f>#REF!/B9</f>
        <v>#REF!</v>
      </c>
      <c r="R9" s="7" t="e">
        <f>#REF!/#REF!</f>
        <v>#REF!</v>
      </c>
      <c r="S9" s="7" t="e">
        <f>#REF!/#REF!</f>
        <v>#REF!</v>
      </c>
      <c r="T9" s="7" t="e">
        <f>C9/#REF!</f>
        <v>#REF!</v>
      </c>
    </row>
    <row r="10" spans="1:22" x14ac:dyDescent="0.3">
      <c r="A10" s="2">
        <v>43473</v>
      </c>
      <c r="B10" s="3">
        <v>21717340</v>
      </c>
      <c r="C10" s="42">
        <v>1311445</v>
      </c>
      <c r="D10" s="48">
        <f>VLOOKUP($A10,'Channel wise traffic'!$B$2:$K$368,7,FALSE)</f>
        <v>0</v>
      </c>
      <c r="E10" s="24">
        <f>VLOOKUP($A10,'Channel wise traffic'!$B$2:$K$368,8,FALSE)</f>
        <v>0</v>
      </c>
      <c r="F10" s="24">
        <f>VLOOKUP($A10,'Channel wise traffic'!$B$2:$K$368,9,FALSE)</f>
        <v>0</v>
      </c>
      <c r="G10" s="24">
        <f>VLOOKUP($A10,'Channel wise traffic'!$B$2:$K$368,10,FALSE)</f>
        <v>0</v>
      </c>
      <c r="H10" s="48">
        <f>VLOOKUP($A10,'Channel wise traffic'!$B$2:$P$368,11,FALSE)</f>
        <v>312730</v>
      </c>
      <c r="I10" s="24">
        <f>VLOOKUP($A10,'Channel wise traffic'!$B$2:$P$368,12,FALSE)</f>
        <v>234547</v>
      </c>
      <c r="J10" s="24">
        <f>VLOOKUP($A10,'Channel wise traffic'!$B$2:$P$368,13,FALSE)</f>
        <v>95556</v>
      </c>
      <c r="K10" s="51">
        <f>VLOOKUP($A10,'Channel wise traffic'!$B$2:$P$368,14,FALSE)</f>
        <v>225860</v>
      </c>
      <c r="L10" s="24">
        <f>VLOOKUP($A10,'Channel wise traffic'!$B$2:$P$368,15,FALSE)</f>
        <v>868693</v>
      </c>
      <c r="M10" s="7">
        <f t="shared" si="0"/>
        <v>6.0386999512831684E-2</v>
      </c>
      <c r="N10" s="7">
        <f>(C10/C3)-1</f>
        <v>3.1356703048005974E-2</v>
      </c>
      <c r="O10" s="7">
        <f t="shared" ref="O10:O73" si="1">(B10/B3)-1</f>
        <v>4.1666686651977258E-2</v>
      </c>
      <c r="P10" s="7">
        <f>(M10/M3)-1</f>
        <v>-9.8975840699184747E-3</v>
      </c>
      <c r="Q10" s="7" t="e">
        <f>#REF!/B10</f>
        <v>#REF!</v>
      </c>
      <c r="R10" s="7" t="e">
        <f>#REF!/#REF!</f>
        <v>#REF!</v>
      </c>
      <c r="S10" s="7" t="e">
        <f>#REF!/#REF!</f>
        <v>#REF!</v>
      </c>
      <c r="T10" s="7" t="e">
        <f>C10/#REF!</f>
        <v>#REF!</v>
      </c>
    </row>
    <row r="11" spans="1:22" x14ac:dyDescent="0.3">
      <c r="A11" s="2">
        <v>43474</v>
      </c>
      <c r="B11" s="3">
        <v>22586034</v>
      </c>
      <c r="C11" s="42">
        <v>1506485</v>
      </c>
      <c r="D11" s="48">
        <f>VLOOKUP($A11,'Channel wise traffic'!$B$2:$K$368,7,FALSE)</f>
        <v>0</v>
      </c>
      <c r="E11" s="24">
        <f>VLOOKUP($A11,'Channel wise traffic'!$B$2:$K$368,8,FALSE)</f>
        <v>0</v>
      </c>
      <c r="F11" s="24">
        <f>VLOOKUP($A11,'Channel wise traffic'!$B$2:$K$368,9,FALSE)</f>
        <v>0</v>
      </c>
      <c r="G11" s="24">
        <f>VLOOKUP($A11,'Channel wise traffic'!$B$2:$K$368,10,FALSE)</f>
        <v>0</v>
      </c>
      <c r="H11" s="48">
        <f>VLOOKUP($A11,'Channel wise traffic'!$B$2:$P$368,11,FALSE)</f>
        <v>234548</v>
      </c>
      <c r="I11" s="24">
        <f>VLOOKUP($A11,'Channel wise traffic'!$B$2:$P$368,12,FALSE)</f>
        <v>175911</v>
      </c>
      <c r="J11" s="24">
        <f>VLOOKUP($A11,'Channel wise traffic'!$B$2:$P$368,13,FALSE)</f>
        <v>71667</v>
      </c>
      <c r="K11" s="51">
        <f>VLOOKUP($A11,'Channel wise traffic'!$B$2:$P$368,14,FALSE)</f>
        <v>169395</v>
      </c>
      <c r="L11" s="24">
        <f>VLOOKUP($A11,'Channel wise traffic'!$B$2:$P$368,15,FALSE)</f>
        <v>651521</v>
      </c>
      <c r="M11" s="7">
        <f t="shared" si="0"/>
        <v>6.6699846462641474E-2</v>
      </c>
      <c r="N11" s="7">
        <f t="shared" ref="N11:N74" si="2">(C11/C4)-1</f>
        <v>0.1945488699447242</v>
      </c>
      <c r="O11" s="7">
        <f t="shared" si="1"/>
        <v>2.9703007310898588E-2</v>
      </c>
      <c r="P11" s="7">
        <f t="shared" ref="P11:P74" si="3">(M11/M4)-1</f>
        <v>0.16009068776474278</v>
      </c>
      <c r="Q11" s="7" t="e">
        <f>#REF!/B11</f>
        <v>#REF!</v>
      </c>
      <c r="R11" s="7" t="e">
        <f>#REF!/#REF!</f>
        <v>#REF!</v>
      </c>
      <c r="S11" s="7" t="e">
        <f>#REF!/#REF!</f>
        <v>#REF!</v>
      </c>
      <c r="T11" s="7" t="e">
        <f>C11/#REF!</f>
        <v>#REF!</v>
      </c>
    </row>
    <row r="12" spans="1:22" s="35" customFormat="1" x14ac:dyDescent="0.3">
      <c r="A12" s="33">
        <v>43475</v>
      </c>
      <c r="B12" s="23">
        <v>10641496</v>
      </c>
      <c r="C12" s="44">
        <v>623698</v>
      </c>
      <c r="D12" s="49">
        <f>VLOOKUP($A12,'Channel wise traffic'!$B$2:$K$368,7,FALSE)</f>
        <v>-7118356</v>
      </c>
      <c r="E12" s="28">
        <f>VLOOKUP($A12,'Channel wise traffic'!$B$2:$K$368,8,FALSE)</f>
        <v>-2755930</v>
      </c>
      <c r="F12" s="28">
        <f>VLOOKUP($A12,'Channel wise traffic'!$B$2:$K$368,9,FALSE)</f>
        <v>-1122787</v>
      </c>
      <c r="G12" s="28">
        <f>VLOOKUP($A12,'Channel wise traffic'!$B$2:$K$368,10,FALSE)</f>
        <v>0</v>
      </c>
      <c r="H12" s="48">
        <f>VLOOKUP($A12,'Channel wise traffic'!$B$2:$P$368,11,FALSE)</f>
        <v>0</v>
      </c>
      <c r="I12" s="24">
        <f>VLOOKUP($A12,'Channel wise traffic'!$B$2:$P$368,12,FALSE)</f>
        <v>0</v>
      </c>
      <c r="J12" s="24">
        <f>VLOOKUP($A12,'Channel wise traffic'!$B$2:$P$368,13,FALSE)</f>
        <v>0</v>
      </c>
      <c r="K12" s="51">
        <f>VLOOKUP($A12,'Channel wise traffic'!$B$2:$P$368,14,FALSE)</f>
        <v>789924</v>
      </c>
      <c r="L12" s="28">
        <f>VLOOKUP($A12,'Channel wise traffic'!$B$2:$P$368,15,FALSE)</f>
        <v>-10207149</v>
      </c>
      <c r="M12" s="17">
        <f t="shared" si="0"/>
        <v>5.8609992429635833E-2</v>
      </c>
      <c r="N12" s="34">
        <f t="shared" si="2"/>
        <v>-0.4522502426107996</v>
      </c>
      <c r="O12" s="34">
        <f t="shared" si="1"/>
        <v>-0.48958335231937844</v>
      </c>
      <c r="P12" s="18">
        <f>(M12/M5)-1</f>
        <v>7.3142421741578811E-2</v>
      </c>
      <c r="Q12" s="17" t="e">
        <f>#REF!/B12</f>
        <v>#REF!</v>
      </c>
      <c r="R12" s="17" t="e">
        <f>#REF!/#REF!</f>
        <v>#REF!</v>
      </c>
      <c r="S12" s="17" t="e">
        <f>#REF!/#REF!</f>
        <v>#REF!</v>
      </c>
      <c r="T12" s="17" t="e">
        <f>C12/#REF!</f>
        <v>#REF!</v>
      </c>
      <c r="U12"/>
      <c r="V12" s="35" t="s">
        <v>35</v>
      </c>
    </row>
    <row r="13" spans="1:22" x14ac:dyDescent="0.3">
      <c r="A13" s="2">
        <v>43476</v>
      </c>
      <c r="B13" s="3">
        <v>20631473</v>
      </c>
      <c r="C13" s="42">
        <v>1126566</v>
      </c>
      <c r="D13" s="48">
        <f>VLOOKUP($A13,'Channel wise traffic'!$B$2:$K$368,7,FALSE)</f>
        <v>-390912</v>
      </c>
      <c r="E13" s="24">
        <f>VLOOKUP($A13,'Channel wise traffic'!$B$2:$K$368,8,FALSE)</f>
        <v>-293184</v>
      </c>
      <c r="F13" s="24">
        <f>VLOOKUP($A13,'Channel wise traffic'!$B$2:$K$368,9,FALSE)</f>
        <v>-119445</v>
      </c>
      <c r="G13" s="24">
        <f>VLOOKUP($A13,'Channel wise traffic'!$B$2:$K$368,10,FALSE)</f>
        <v>-282325</v>
      </c>
      <c r="H13" s="48">
        <f>VLOOKUP($A13,'Channel wise traffic'!$B$2:$P$368,11,FALSE)</f>
        <v>0</v>
      </c>
      <c r="I13" s="24">
        <f>VLOOKUP($A13,'Channel wise traffic'!$B$2:$P$368,12,FALSE)</f>
        <v>0</v>
      </c>
      <c r="J13" s="24">
        <f>VLOOKUP($A13,'Channel wise traffic'!$B$2:$P$368,13,FALSE)</f>
        <v>0</v>
      </c>
      <c r="K13" s="51">
        <f>VLOOKUP($A13,'Channel wise traffic'!$B$2:$P$368,14,FALSE)</f>
        <v>0</v>
      </c>
      <c r="L13" s="24">
        <f>VLOOKUP($A13,'Channel wise traffic'!$B$2:$P$368,15,FALSE)</f>
        <v>-1085866</v>
      </c>
      <c r="M13" s="7">
        <f t="shared" si="0"/>
        <v>5.4604244689654489E-2</v>
      </c>
      <c r="N13" s="7">
        <f t="shared" si="2"/>
        <v>-0.13115176381669258</v>
      </c>
      <c r="O13" s="7">
        <f t="shared" si="1"/>
        <v>-5.0000000000000044E-2</v>
      </c>
      <c r="P13" s="7">
        <f t="shared" si="3"/>
        <v>-8.5422909280729042E-2</v>
      </c>
      <c r="Q13" s="7" t="e">
        <f>#REF!/B13</f>
        <v>#REF!</v>
      </c>
      <c r="R13" s="7" t="e">
        <f>#REF!/#REF!</f>
        <v>#REF!</v>
      </c>
      <c r="S13" s="7" t="e">
        <f>#REF!/#REF!</f>
        <v>#REF!</v>
      </c>
      <c r="T13" s="7" t="e">
        <f>C13/#REF!</f>
        <v>#REF!</v>
      </c>
    </row>
    <row r="14" spans="1:22" x14ac:dyDescent="0.3">
      <c r="A14" s="2">
        <v>43477</v>
      </c>
      <c r="B14" s="3">
        <v>42645263</v>
      </c>
      <c r="C14" s="42">
        <v>1680410</v>
      </c>
      <c r="D14" s="48">
        <f>VLOOKUP($A14,'Channel wise traffic'!$B$2:$K$368,7,FALSE)</f>
        <v>0</v>
      </c>
      <c r="E14" s="24">
        <f>VLOOKUP($A14,'Channel wise traffic'!$B$2:$K$368,8,FALSE)</f>
        <v>0</v>
      </c>
      <c r="F14" s="24">
        <f>VLOOKUP($A14,'Channel wise traffic'!$B$2:$K$368,9,FALSE)</f>
        <v>0</v>
      </c>
      <c r="G14" s="24">
        <f>VLOOKUP($A14,'Channel wise traffic'!$B$2:$K$368,10,FALSE)</f>
        <v>0</v>
      </c>
      <c r="H14" s="48">
        <f>VLOOKUP($A14,'Channel wise traffic'!$B$2:$P$368,11,FALSE)</f>
        <v>0</v>
      </c>
      <c r="I14" s="24">
        <f>VLOOKUP($A14,'Channel wise traffic'!$B$2:$P$368,12,FALSE)</f>
        <v>0</v>
      </c>
      <c r="J14" s="24">
        <f>VLOOKUP($A14,'Channel wise traffic'!$B$2:$P$368,13,FALSE)</f>
        <v>0</v>
      </c>
      <c r="K14" s="51">
        <f>VLOOKUP($A14,'Channel wise traffic'!$B$2:$P$368,14,FALSE)</f>
        <v>0</v>
      </c>
      <c r="L14" s="24">
        <f>VLOOKUP($A14,'Channel wise traffic'!$B$2:$P$368,15,FALSE)</f>
        <v>0</v>
      </c>
      <c r="M14" s="7">
        <f t="shared" si="0"/>
        <v>3.9404376518911377E-2</v>
      </c>
      <c r="N14" s="7">
        <f t="shared" si="2"/>
        <v>5.2871319138911188E-2</v>
      </c>
      <c r="O14" s="7">
        <f t="shared" si="1"/>
        <v>0</v>
      </c>
      <c r="P14" s="7">
        <f t="shared" si="3"/>
        <v>5.2871319138911188E-2</v>
      </c>
      <c r="Q14" s="7" t="e">
        <f>#REF!/B14</f>
        <v>#REF!</v>
      </c>
      <c r="R14" s="7" t="e">
        <f>#REF!/#REF!</f>
        <v>#REF!</v>
      </c>
      <c r="S14" s="7" t="e">
        <f>#REF!/#REF!</f>
        <v>#REF!</v>
      </c>
      <c r="T14" s="7" t="e">
        <f>C14/#REF!</f>
        <v>#REF!</v>
      </c>
    </row>
    <row r="15" spans="1:22" x14ac:dyDescent="0.3">
      <c r="A15" s="2">
        <v>43478</v>
      </c>
      <c r="B15" s="3">
        <v>46236443</v>
      </c>
      <c r="C15" s="42">
        <v>1630017</v>
      </c>
      <c r="D15" s="48">
        <f>VLOOKUP($A15,'Channel wise traffic'!$B$2:$K$368,7,FALSE)</f>
        <v>0</v>
      </c>
      <c r="E15" s="24">
        <f>VLOOKUP($A15,'Channel wise traffic'!$B$2:$K$368,8,FALSE)</f>
        <v>0</v>
      </c>
      <c r="F15" s="24">
        <f>VLOOKUP($A15,'Channel wise traffic'!$B$2:$K$368,9,FALSE)</f>
        <v>0</v>
      </c>
      <c r="G15" s="24">
        <f>VLOOKUP($A15,'Channel wise traffic'!$B$2:$K$368,10,FALSE)</f>
        <v>0</v>
      </c>
      <c r="H15" s="48">
        <f>VLOOKUP($A15,'Channel wise traffic'!$B$2:$P$368,11,FALSE)</f>
        <v>969619</v>
      </c>
      <c r="I15" s="24">
        <f>VLOOKUP($A15,'Channel wise traffic'!$B$2:$P$368,12,FALSE)</f>
        <v>727214</v>
      </c>
      <c r="J15" s="24">
        <f>VLOOKUP($A15,'Channel wise traffic'!$B$2:$P$368,13,FALSE)</f>
        <v>296272</v>
      </c>
      <c r="K15" s="51">
        <f>VLOOKUP($A15,'Channel wise traffic'!$B$2:$P$368,14,FALSE)</f>
        <v>700280</v>
      </c>
      <c r="L15" s="24">
        <f>VLOOKUP($A15,'Channel wise traffic'!$B$2:$P$368,15,FALSE)</f>
        <v>2693385</v>
      </c>
      <c r="M15" s="7">
        <f t="shared" si="0"/>
        <v>3.5253944599501305E-2</v>
      </c>
      <c r="N15" s="7">
        <f t="shared" si="2"/>
        <v>2.9778612542572747E-2</v>
      </c>
      <c r="O15" s="7">
        <f t="shared" si="1"/>
        <v>6.1855669392811174E-2</v>
      </c>
      <c r="P15" s="7">
        <f t="shared" si="3"/>
        <v>-3.0208490451984704E-2</v>
      </c>
      <c r="Q15" s="7" t="e">
        <f>#REF!/B15</f>
        <v>#REF!</v>
      </c>
      <c r="R15" s="7" t="e">
        <f>#REF!/#REF!</f>
        <v>#REF!</v>
      </c>
      <c r="S15" s="7" t="e">
        <f>#REF!/#REF!</f>
        <v>#REF!</v>
      </c>
      <c r="T15" s="7" t="e">
        <f>C15/#REF!</f>
        <v>#REF!</v>
      </c>
    </row>
    <row r="16" spans="1:22" x14ac:dyDescent="0.3">
      <c r="A16" s="2">
        <v>43479</v>
      </c>
      <c r="B16" s="3">
        <v>21065820</v>
      </c>
      <c r="C16" s="42">
        <v>1197104</v>
      </c>
      <c r="D16" s="48">
        <f>VLOOKUP($A16,'Channel wise traffic'!$B$2:$K$368,7,FALSE)</f>
        <v>-625459</v>
      </c>
      <c r="E16" s="24">
        <f>VLOOKUP($A16,'Channel wise traffic'!$B$2:$K$368,8,FALSE)</f>
        <v>-469095</v>
      </c>
      <c r="F16" s="24">
        <f>VLOOKUP($A16,'Channel wise traffic'!$B$2:$K$368,9,FALSE)</f>
        <v>-191112</v>
      </c>
      <c r="G16" s="24">
        <f>VLOOKUP($A16,'Channel wise traffic'!$B$2:$K$368,10,FALSE)</f>
        <v>-451720</v>
      </c>
      <c r="H16" s="48">
        <f>VLOOKUP($A16,'Channel wise traffic'!$B$2:$P$368,11,FALSE)</f>
        <v>0</v>
      </c>
      <c r="I16" s="24">
        <f>VLOOKUP($A16,'Channel wise traffic'!$B$2:$P$368,12,FALSE)</f>
        <v>0</v>
      </c>
      <c r="J16" s="24">
        <f>VLOOKUP($A16,'Channel wise traffic'!$B$2:$P$368,13,FALSE)</f>
        <v>0</v>
      </c>
      <c r="K16" s="51">
        <f>VLOOKUP($A16,'Channel wise traffic'!$B$2:$P$368,14,FALSE)</f>
        <v>0</v>
      </c>
      <c r="L16" s="24">
        <f>VLOOKUP($A16,'Channel wise traffic'!$B$2:$P$368,15,FALSE)</f>
        <v>-1737386</v>
      </c>
      <c r="M16" s="7">
        <f t="shared" si="0"/>
        <v>5.6826840825564828E-2</v>
      </c>
      <c r="N16" s="7">
        <f t="shared" si="2"/>
        <v>6.550933508024892E-2</v>
      </c>
      <c r="O16" s="7">
        <f t="shared" si="1"/>
        <v>-7.6190467419780084E-2</v>
      </c>
      <c r="P16" s="7">
        <f t="shared" si="3"/>
        <v>0.15338638269325777</v>
      </c>
      <c r="Q16" s="7" t="e">
        <f>#REF!/B16</f>
        <v>#REF!</v>
      </c>
      <c r="R16" s="7" t="e">
        <f>#REF!/#REF!</f>
        <v>#REF!</v>
      </c>
      <c r="S16" s="7" t="e">
        <f>#REF!/#REF!</f>
        <v>#REF!</v>
      </c>
      <c r="T16" s="7" t="e">
        <f>C16/#REF!</f>
        <v>#REF!</v>
      </c>
    </row>
    <row r="17" spans="1:22" x14ac:dyDescent="0.3">
      <c r="A17" s="2">
        <v>43480</v>
      </c>
      <c r="B17" s="3">
        <v>21282993</v>
      </c>
      <c r="C17" s="42">
        <v>1198077</v>
      </c>
      <c r="D17" s="48">
        <f>VLOOKUP($A17,'Channel wise traffic'!$B$2:$K$368,7,FALSE)</f>
        <v>-156365</v>
      </c>
      <c r="E17" s="24">
        <f>VLOOKUP($A17,'Channel wise traffic'!$B$2:$K$368,8,FALSE)</f>
        <v>-117273</v>
      </c>
      <c r="F17" s="24">
        <f>VLOOKUP($A17,'Channel wise traffic'!$B$2:$K$368,9,FALSE)</f>
        <v>-47778</v>
      </c>
      <c r="G17" s="24">
        <f>VLOOKUP($A17,'Channel wise traffic'!$B$2:$K$368,10,FALSE)</f>
        <v>-112930</v>
      </c>
      <c r="H17" s="48">
        <f>VLOOKUP($A17,'Channel wise traffic'!$B$2:$P$368,11,FALSE)</f>
        <v>0</v>
      </c>
      <c r="I17" s="24">
        <f>VLOOKUP($A17,'Channel wise traffic'!$B$2:$P$368,12,FALSE)</f>
        <v>0</v>
      </c>
      <c r="J17" s="24">
        <f>VLOOKUP($A17,'Channel wise traffic'!$B$2:$P$368,13,FALSE)</f>
        <v>0</v>
      </c>
      <c r="K17" s="51">
        <f>VLOOKUP($A17,'Channel wise traffic'!$B$2:$P$368,14,FALSE)</f>
        <v>0</v>
      </c>
      <c r="L17" s="24">
        <f>VLOOKUP($A17,'Channel wise traffic'!$B$2:$P$368,15,FALSE)</f>
        <v>-434346</v>
      </c>
      <c r="M17" s="7">
        <f t="shared" si="0"/>
        <v>5.6292693419576843E-2</v>
      </c>
      <c r="N17" s="7">
        <f t="shared" si="2"/>
        <v>-8.6445104445859289E-2</v>
      </c>
      <c r="O17" s="7">
        <f t="shared" si="1"/>
        <v>-2.0000009209230951E-2</v>
      </c>
      <c r="P17" s="7">
        <f t="shared" si="3"/>
        <v>-6.7801118225535251E-2</v>
      </c>
      <c r="Q17" s="7" t="e">
        <f>#REF!/B17</f>
        <v>#REF!</v>
      </c>
      <c r="R17" s="7" t="e">
        <f>#REF!/#REF!</f>
        <v>#REF!</v>
      </c>
      <c r="S17" s="7" t="e">
        <f>#REF!/#REF!</f>
        <v>#REF!</v>
      </c>
      <c r="T17" s="7" t="e">
        <f>C17/#REF!</f>
        <v>#REF!</v>
      </c>
    </row>
    <row r="18" spans="1:22" x14ac:dyDescent="0.3">
      <c r="A18" s="2">
        <v>43481</v>
      </c>
      <c r="B18" s="3">
        <v>21065820</v>
      </c>
      <c r="C18" s="42">
        <v>1391046</v>
      </c>
      <c r="D18" s="48">
        <f>VLOOKUP($A18,'Channel wise traffic'!$B$2:$K$368,7,FALSE)</f>
        <v>-547277</v>
      </c>
      <c r="E18" s="24">
        <f>VLOOKUP($A18,'Channel wise traffic'!$B$2:$K$368,8,FALSE)</f>
        <v>-410458</v>
      </c>
      <c r="F18" s="24">
        <f>VLOOKUP($A18,'Channel wise traffic'!$B$2:$K$368,9,FALSE)</f>
        <v>-167223</v>
      </c>
      <c r="G18" s="24">
        <f>VLOOKUP($A18,'Channel wise traffic'!$B$2:$K$368,10,FALSE)</f>
        <v>-395255</v>
      </c>
      <c r="H18" s="48">
        <f>VLOOKUP($A18,'Channel wise traffic'!$B$2:$P$368,11,FALSE)</f>
        <v>0</v>
      </c>
      <c r="I18" s="24">
        <f>VLOOKUP($A18,'Channel wise traffic'!$B$2:$P$368,12,FALSE)</f>
        <v>0</v>
      </c>
      <c r="J18" s="24">
        <f>VLOOKUP($A18,'Channel wise traffic'!$B$2:$P$368,13,FALSE)</f>
        <v>0</v>
      </c>
      <c r="K18" s="51">
        <f>VLOOKUP($A18,'Channel wise traffic'!$B$2:$P$368,14,FALSE)</f>
        <v>0</v>
      </c>
      <c r="L18" s="24">
        <f>VLOOKUP($A18,'Channel wise traffic'!$B$2:$P$368,15,FALSE)</f>
        <v>-1520213</v>
      </c>
      <c r="M18" s="7">
        <f t="shared" si="0"/>
        <v>6.6033318427670989E-2</v>
      </c>
      <c r="N18" s="7">
        <f t="shared" si="2"/>
        <v>-7.6628044753183744E-2</v>
      </c>
      <c r="O18" s="7">
        <f t="shared" si="1"/>
        <v>-6.7307699970698742E-2</v>
      </c>
      <c r="P18" s="7">
        <f t="shared" si="3"/>
        <v>-9.992947065385005E-3</v>
      </c>
      <c r="Q18" s="7" t="e">
        <f>#REF!/B18</f>
        <v>#REF!</v>
      </c>
      <c r="R18" s="7" t="e">
        <f>#REF!/#REF!</f>
        <v>#REF!</v>
      </c>
      <c r="S18" s="7" t="e">
        <f>#REF!/#REF!</f>
        <v>#REF!</v>
      </c>
      <c r="T18" s="7" t="e">
        <f>C18/#REF!</f>
        <v>#REF!</v>
      </c>
    </row>
    <row r="19" spans="1:22" s="32" customFormat="1" x14ac:dyDescent="0.3">
      <c r="A19" s="30">
        <v>43482</v>
      </c>
      <c r="B19" s="16">
        <v>22368860</v>
      </c>
      <c r="C19" s="45">
        <v>1284532</v>
      </c>
      <c r="D19" s="50">
        <f>VLOOKUP($A19,'Channel wise traffic'!$B$2:$K$368,7,FALSE)</f>
        <v>0</v>
      </c>
      <c r="E19" s="29">
        <f>VLOOKUP($A19,'Channel wise traffic'!$B$2:$K$368,8,FALSE)</f>
        <v>0</v>
      </c>
      <c r="F19" s="29">
        <f>VLOOKUP($A19,'Channel wise traffic'!$B$2:$K$368,9,FALSE)</f>
        <v>0</v>
      </c>
      <c r="G19" s="29">
        <f>VLOOKUP($A19,'Channel wise traffic'!$B$2:$K$368,10,FALSE)</f>
        <v>-394669</v>
      </c>
      <c r="H19" s="48">
        <f>VLOOKUP($A19,'Channel wise traffic'!$B$2:$P$368,11,FALSE)</f>
        <v>7665633</v>
      </c>
      <c r="I19" s="24">
        <f>VLOOKUP($A19,'Channel wise traffic'!$B$2:$P$368,12,FALSE)</f>
        <v>3166388</v>
      </c>
      <c r="J19" s="24">
        <f>VLOOKUP($A19,'Channel wise traffic'!$B$2:$P$368,13,FALSE)</f>
        <v>1290010</v>
      </c>
      <c r="K19" s="51">
        <f>VLOOKUP($A19,'Channel wise traffic'!$B$2:$P$368,14,FALSE)</f>
        <v>0</v>
      </c>
      <c r="L19" s="58">
        <f>VLOOKUP($A19,'Channel wise traffic'!$B$2:$P$368,15,FALSE)</f>
        <v>11727362</v>
      </c>
      <c r="M19" s="17">
        <f t="shared" si="0"/>
        <v>5.7425009589223593E-2</v>
      </c>
      <c r="N19" s="31">
        <f t="shared" si="2"/>
        <v>1.0595416371384867</v>
      </c>
      <c r="O19" s="31">
        <f t="shared" si="1"/>
        <v>1.1020409160516529</v>
      </c>
      <c r="P19" s="17">
        <f t="shared" si="3"/>
        <v>-2.0218102601444077E-2</v>
      </c>
      <c r="Q19" s="17" t="e">
        <f>#REF!/B19</f>
        <v>#REF!</v>
      </c>
      <c r="R19" s="17" t="e">
        <f>#REF!/#REF!</f>
        <v>#REF!</v>
      </c>
      <c r="S19" s="17" t="e">
        <f>#REF!/#REF!</f>
        <v>#REF!</v>
      </c>
      <c r="T19" s="17" t="e">
        <f>C19/#REF!</f>
        <v>#REF!</v>
      </c>
      <c r="U19"/>
      <c r="V19" s="59" t="s">
        <v>35</v>
      </c>
    </row>
    <row r="20" spans="1:22" x14ac:dyDescent="0.3">
      <c r="A20" s="2">
        <v>43483</v>
      </c>
      <c r="B20" s="3">
        <v>22151687</v>
      </c>
      <c r="C20" s="42">
        <v>1307991</v>
      </c>
      <c r="D20" s="48">
        <f>VLOOKUP($A20,'Channel wise traffic'!$B$2:$K$368,7,FALSE)</f>
        <v>0</v>
      </c>
      <c r="E20" s="24">
        <f>VLOOKUP($A20,'Channel wise traffic'!$B$2:$K$368,8,FALSE)</f>
        <v>0</v>
      </c>
      <c r="F20" s="24">
        <f>VLOOKUP($A20,'Channel wise traffic'!$B$2:$K$368,9,FALSE)</f>
        <v>0</v>
      </c>
      <c r="G20" s="24">
        <f>VLOOKUP($A20,'Channel wise traffic'!$B$2:$K$368,10,FALSE)</f>
        <v>0</v>
      </c>
      <c r="H20" s="48">
        <f>VLOOKUP($A20,'Channel wise traffic'!$B$2:$P$368,11,FALSE)</f>
        <v>547277</v>
      </c>
      <c r="I20" s="24">
        <f>VLOOKUP($A20,'Channel wise traffic'!$B$2:$P$368,12,FALSE)</f>
        <v>410458</v>
      </c>
      <c r="J20" s="24">
        <f>VLOOKUP($A20,'Channel wise traffic'!$B$2:$P$368,13,FALSE)</f>
        <v>167223</v>
      </c>
      <c r="K20" s="51">
        <f>VLOOKUP($A20,'Channel wise traffic'!$B$2:$P$368,14,FALSE)</f>
        <v>395255</v>
      </c>
      <c r="L20" s="24">
        <f>VLOOKUP($A20,'Channel wise traffic'!$B$2:$P$368,15,FALSE)</f>
        <v>1520213</v>
      </c>
      <c r="M20" s="7">
        <f t="shared" si="0"/>
        <v>5.9047015245385151E-2</v>
      </c>
      <c r="N20" s="7">
        <f t="shared" si="2"/>
        <v>0.16104249551291261</v>
      </c>
      <c r="O20" s="7">
        <f t="shared" si="1"/>
        <v>7.3684220220243013E-2</v>
      </c>
      <c r="P20" s="7">
        <f t="shared" si="3"/>
        <v>8.136309880269077E-2</v>
      </c>
      <c r="Q20" s="7" t="e">
        <f>#REF!/B20</f>
        <v>#REF!</v>
      </c>
      <c r="R20" s="7" t="e">
        <f>#REF!/#REF!</f>
        <v>#REF!</v>
      </c>
      <c r="S20" s="7" t="e">
        <f>#REF!/#REF!</f>
        <v>#REF!</v>
      </c>
      <c r="T20" s="7" t="e">
        <f>C20/#REF!</f>
        <v>#REF!</v>
      </c>
    </row>
    <row r="21" spans="1:22" x14ac:dyDescent="0.3">
      <c r="A21" s="2">
        <v>43484</v>
      </c>
      <c r="B21" s="3">
        <v>42645263</v>
      </c>
      <c r="C21" s="42">
        <v>1612594</v>
      </c>
      <c r="D21" s="48">
        <f>VLOOKUP($A21,'Channel wise traffic'!$B$2:$K$368,7,FALSE)</f>
        <v>0</v>
      </c>
      <c r="E21" s="24">
        <f>VLOOKUP($A21,'Channel wise traffic'!$B$2:$K$368,8,FALSE)</f>
        <v>0</v>
      </c>
      <c r="F21" s="24">
        <f>VLOOKUP($A21,'Channel wise traffic'!$B$2:$K$368,9,FALSE)</f>
        <v>0</v>
      </c>
      <c r="G21" s="24">
        <f>VLOOKUP($A21,'Channel wise traffic'!$B$2:$K$368,10,FALSE)</f>
        <v>0</v>
      </c>
      <c r="H21" s="48">
        <f>VLOOKUP($A21,'Channel wise traffic'!$B$2:$P$368,11,FALSE)</f>
        <v>0</v>
      </c>
      <c r="I21" s="24">
        <f>VLOOKUP($A21,'Channel wise traffic'!$B$2:$P$368,12,FALSE)</f>
        <v>0</v>
      </c>
      <c r="J21" s="24">
        <f>VLOOKUP($A21,'Channel wise traffic'!$B$2:$P$368,13,FALSE)</f>
        <v>0</v>
      </c>
      <c r="K21" s="51">
        <f>VLOOKUP($A21,'Channel wise traffic'!$B$2:$P$368,14,FALSE)</f>
        <v>0</v>
      </c>
      <c r="L21" s="24">
        <f>VLOOKUP($A21,'Channel wise traffic'!$B$2:$P$368,15,FALSE)</f>
        <v>0</v>
      </c>
      <c r="M21" s="7">
        <f t="shared" si="0"/>
        <v>3.7814141279888462E-2</v>
      </c>
      <c r="N21" s="7">
        <f t="shared" si="2"/>
        <v>-4.0356817681399204E-2</v>
      </c>
      <c r="O21" s="7">
        <f t="shared" si="1"/>
        <v>0</v>
      </c>
      <c r="P21" s="7">
        <f t="shared" si="3"/>
        <v>-4.0356817681399204E-2</v>
      </c>
      <c r="Q21" s="7" t="e">
        <f>#REF!/B21</f>
        <v>#REF!</v>
      </c>
      <c r="R21" s="7" t="e">
        <f>#REF!/#REF!</f>
        <v>#REF!</v>
      </c>
      <c r="S21" s="7" t="e">
        <f>#REF!/#REF!</f>
        <v>#REF!</v>
      </c>
      <c r="T21" s="7" t="e">
        <f>C21/#REF!</f>
        <v>#REF!</v>
      </c>
    </row>
    <row r="22" spans="1:22" x14ac:dyDescent="0.3">
      <c r="A22" s="2">
        <v>43485</v>
      </c>
      <c r="B22" s="3">
        <v>44440853</v>
      </c>
      <c r="C22" s="42">
        <v>1820150</v>
      </c>
      <c r="D22" s="48">
        <f>VLOOKUP($A22,'Channel wise traffic'!$B$2:$K$368,7,FALSE)</f>
        <v>-646412</v>
      </c>
      <c r="E22" s="24">
        <f>VLOOKUP($A22,'Channel wise traffic'!$B$2:$K$368,8,FALSE)</f>
        <v>-484809</v>
      </c>
      <c r="F22" s="24">
        <f>VLOOKUP($A22,'Channel wise traffic'!$B$2:$K$368,9,FALSE)</f>
        <v>-197515</v>
      </c>
      <c r="G22" s="24">
        <f>VLOOKUP($A22,'Channel wise traffic'!$B$2:$K$368,10,FALSE)</f>
        <v>-466854</v>
      </c>
      <c r="H22" s="48">
        <f>VLOOKUP($A22,'Channel wise traffic'!$B$2:$P$368,11,FALSE)</f>
        <v>0</v>
      </c>
      <c r="I22" s="24">
        <f>VLOOKUP($A22,'Channel wise traffic'!$B$2:$P$368,12,FALSE)</f>
        <v>0</v>
      </c>
      <c r="J22" s="24">
        <f>VLOOKUP($A22,'Channel wise traffic'!$B$2:$P$368,13,FALSE)</f>
        <v>0</v>
      </c>
      <c r="K22" s="51">
        <f>VLOOKUP($A22,'Channel wise traffic'!$B$2:$P$368,14,FALSE)</f>
        <v>0</v>
      </c>
      <c r="L22" s="24">
        <f>VLOOKUP($A22,'Channel wise traffic'!$B$2:$P$368,15,FALSE)</f>
        <v>-1795590</v>
      </c>
      <c r="M22" s="7">
        <f t="shared" si="0"/>
        <v>4.0956684607291405E-2</v>
      </c>
      <c r="N22" s="7">
        <f t="shared" si="2"/>
        <v>0.11664479572912434</v>
      </c>
      <c r="O22" s="7">
        <f t="shared" si="1"/>
        <v>-3.8834951036350263E-2</v>
      </c>
      <c r="P22" s="7">
        <f t="shared" si="3"/>
        <v>0.16176175666511861</v>
      </c>
      <c r="Q22" s="7" t="e">
        <f>#REF!/B22</f>
        <v>#REF!</v>
      </c>
      <c r="R22" s="7" t="e">
        <f>#REF!/#REF!</f>
        <v>#REF!</v>
      </c>
      <c r="S22" s="7" t="e">
        <f>#REF!/#REF!</f>
        <v>#REF!</v>
      </c>
      <c r="T22" s="7" t="e">
        <f>C22/#REF!</f>
        <v>#REF!</v>
      </c>
    </row>
    <row r="23" spans="1:22" x14ac:dyDescent="0.3">
      <c r="A23" s="15">
        <v>43486</v>
      </c>
      <c r="B23" s="16">
        <v>22151687</v>
      </c>
      <c r="C23" s="46">
        <v>1476653</v>
      </c>
      <c r="D23" s="48">
        <f>VLOOKUP($A23,'Channel wise traffic'!$B$2:$K$368,7,FALSE)</f>
        <v>0</v>
      </c>
      <c r="E23" s="24">
        <f>VLOOKUP($A23,'Channel wise traffic'!$B$2:$K$368,8,FALSE)</f>
        <v>0</v>
      </c>
      <c r="F23" s="24">
        <f>VLOOKUP($A23,'Channel wise traffic'!$B$2:$K$368,9,FALSE)</f>
        <v>0</v>
      </c>
      <c r="G23" s="24">
        <f>VLOOKUP($A23,'Channel wise traffic'!$B$2:$K$368,10,FALSE)</f>
        <v>0</v>
      </c>
      <c r="H23" s="48">
        <f>VLOOKUP($A23,'Channel wise traffic'!$B$2:$P$368,11,FALSE)</f>
        <v>390912</v>
      </c>
      <c r="I23" s="24">
        <f>VLOOKUP($A23,'Channel wise traffic'!$B$2:$P$368,12,FALSE)</f>
        <v>293184</v>
      </c>
      <c r="J23" s="24">
        <f>VLOOKUP($A23,'Channel wise traffic'!$B$2:$P$368,13,FALSE)</f>
        <v>119445</v>
      </c>
      <c r="K23" s="51">
        <f>VLOOKUP($A23,'Channel wise traffic'!$B$2:$P$368,14,FALSE)</f>
        <v>282325</v>
      </c>
      <c r="L23" s="24">
        <f>VLOOKUP($A23,'Channel wise traffic'!$B$2:$P$368,15,FALSE)</f>
        <v>1085866</v>
      </c>
      <c r="M23" s="17">
        <f t="shared" si="0"/>
        <v>6.6660972593193465E-2</v>
      </c>
      <c r="N23" s="13">
        <f t="shared" si="2"/>
        <v>0.23352106416819263</v>
      </c>
      <c r="O23" s="13">
        <f t="shared" si="1"/>
        <v>5.154639126319327E-2</v>
      </c>
      <c r="P23" s="17">
        <f t="shared" si="3"/>
        <v>0.17305434588235169</v>
      </c>
      <c r="Q23" s="17" t="e">
        <f>#REF!/B23</f>
        <v>#REF!</v>
      </c>
      <c r="R23" s="17" t="e">
        <f>#REF!/#REF!</f>
        <v>#REF!</v>
      </c>
      <c r="S23" s="17" t="e">
        <f>#REF!/#REF!</f>
        <v>#REF!</v>
      </c>
      <c r="T23" s="17" t="e">
        <f>C23/#REF!</f>
        <v>#REF!</v>
      </c>
    </row>
    <row r="24" spans="1:22" s="32" customFormat="1" x14ac:dyDescent="0.3">
      <c r="A24" s="30">
        <v>43487</v>
      </c>
      <c r="B24" s="16">
        <v>37570998</v>
      </c>
      <c r="C24" s="45">
        <v>2221600</v>
      </c>
      <c r="D24" s="50">
        <f>VLOOKUP($A24,'Channel wise traffic'!$B$2:$K$368,7,FALSE)</f>
        <v>0</v>
      </c>
      <c r="E24" s="29">
        <f>VLOOKUP($A24,'Channel wise traffic'!$B$2:$K$368,8,FALSE)</f>
        <v>-3717575</v>
      </c>
      <c r="F24" s="29">
        <f>VLOOKUP($A24,'Channel wise traffic'!$B$2:$K$368,9,FALSE)</f>
        <v>0</v>
      </c>
      <c r="G24" s="29">
        <f>VLOOKUP($A24,'Channel wise traffic'!$B$2:$K$368,10,FALSE)</f>
        <v>-3344340</v>
      </c>
      <c r="H24" s="48">
        <f>VLOOKUP($A24,'Channel wise traffic'!$B$2:$P$368,11,FALSE)</f>
        <v>5863682</v>
      </c>
      <c r="I24" s="24">
        <f>VLOOKUP($A24,'Channel wise traffic'!$B$2:$P$368,12,FALSE)</f>
        <v>0</v>
      </c>
      <c r="J24" s="24">
        <f>VLOOKUP($A24,'Channel wise traffic'!$B$2:$P$368,13,FALSE)</f>
        <v>17486238</v>
      </c>
      <c r="K24" s="51">
        <f>VLOOKUP($A24,'Channel wise traffic'!$B$2:$P$368,14,FALSE)</f>
        <v>0</v>
      </c>
      <c r="L24" s="58">
        <f>VLOOKUP($A24,'Channel wise traffic'!$B$2:$P$368,15,FALSE)</f>
        <v>16288005</v>
      </c>
      <c r="M24" s="17">
        <f t="shared" si="0"/>
        <v>5.9130715665311848E-2</v>
      </c>
      <c r="N24" s="31">
        <f t="shared" si="2"/>
        <v>0.85430485686646174</v>
      </c>
      <c r="O24" s="31">
        <f t="shared" si="1"/>
        <v>0.76530612964069489</v>
      </c>
      <c r="P24" s="17">
        <f t="shared" si="3"/>
        <v>5.041546377221362E-2</v>
      </c>
      <c r="Q24" s="17" t="e">
        <f>#REF!/B24</f>
        <v>#REF!</v>
      </c>
      <c r="R24" s="17" t="e">
        <f>#REF!/#REF!</f>
        <v>#REF!</v>
      </c>
      <c r="S24" s="17" t="e">
        <f>#REF!/#REF!</f>
        <v>#REF!</v>
      </c>
      <c r="T24" s="17" t="e">
        <f>C24/#REF!</f>
        <v>#REF!</v>
      </c>
      <c r="U24"/>
      <c r="V24" s="59" t="s">
        <v>36</v>
      </c>
    </row>
    <row r="25" spans="1:22" x14ac:dyDescent="0.3">
      <c r="A25" s="2">
        <v>43488</v>
      </c>
      <c r="B25" s="3">
        <v>21500167</v>
      </c>
      <c r="C25" s="42">
        <v>1392420</v>
      </c>
      <c r="D25" s="48">
        <f>VLOOKUP($A25,'Channel wise traffic'!$B$2:$K$368,7,FALSE)</f>
        <v>0</v>
      </c>
      <c r="E25" s="24">
        <f>VLOOKUP($A25,'Channel wise traffic'!$B$2:$K$368,8,FALSE)</f>
        <v>0</v>
      </c>
      <c r="F25" s="24">
        <f>VLOOKUP($A25,'Channel wise traffic'!$B$2:$K$368,9,FALSE)</f>
        <v>0</v>
      </c>
      <c r="G25" s="24">
        <f>VLOOKUP($A25,'Channel wise traffic'!$B$2:$K$368,10,FALSE)</f>
        <v>0</v>
      </c>
      <c r="H25" s="48">
        <f>VLOOKUP($A25,'Channel wise traffic'!$B$2:$P$368,11,FALSE)</f>
        <v>156365</v>
      </c>
      <c r="I25" s="24">
        <f>VLOOKUP($A25,'Channel wise traffic'!$B$2:$P$368,12,FALSE)</f>
        <v>117274</v>
      </c>
      <c r="J25" s="24">
        <f>VLOOKUP($A25,'Channel wise traffic'!$B$2:$P$368,13,FALSE)</f>
        <v>47778</v>
      </c>
      <c r="K25" s="51">
        <f>VLOOKUP($A25,'Channel wise traffic'!$B$2:$P$368,14,FALSE)</f>
        <v>112930</v>
      </c>
      <c r="L25" s="24">
        <f>VLOOKUP($A25,'Channel wise traffic'!$B$2:$P$368,15,FALSE)</f>
        <v>434347</v>
      </c>
      <c r="M25" s="7">
        <f t="shared" si="0"/>
        <v>6.4763217885702939E-2</v>
      </c>
      <c r="N25" s="7">
        <f t="shared" si="2"/>
        <v>9.8774591206907125E-4</v>
      </c>
      <c r="O25" s="7">
        <f t="shared" si="1"/>
        <v>2.0618565999329652E-2</v>
      </c>
      <c r="P25" s="7">
        <f t="shared" si="3"/>
        <v>-1.9234237688042999E-2</v>
      </c>
      <c r="Q25" s="7" t="e">
        <f>#REF!/B25</f>
        <v>#REF!</v>
      </c>
      <c r="R25" s="7" t="e">
        <f>#REF!/#REF!</f>
        <v>#REF!</v>
      </c>
      <c r="S25" s="7" t="e">
        <f>#REF!/#REF!</f>
        <v>#REF!</v>
      </c>
      <c r="T25" s="7" t="e">
        <f>C25/#REF!</f>
        <v>#REF!</v>
      </c>
    </row>
    <row r="26" spans="1:22" x14ac:dyDescent="0.3">
      <c r="A26" s="2">
        <v>43489</v>
      </c>
      <c r="B26" s="3">
        <v>20631473</v>
      </c>
      <c r="C26" s="42">
        <v>1059526</v>
      </c>
      <c r="D26" s="48">
        <f>VLOOKUP($A26,'Channel wise traffic'!$B$2:$K$368,7,FALSE)</f>
        <v>-625459</v>
      </c>
      <c r="E26" s="24">
        <f>VLOOKUP($A26,'Channel wise traffic'!$B$2:$K$368,8,FALSE)</f>
        <v>-469095</v>
      </c>
      <c r="F26" s="24">
        <f>VLOOKUP($A26,'Channel wise traffic'!$B$2:$K$368,9,FALSE)</f>
        <v>-191112</v>
      </c>
      <c r="G26" s="24">
        <f>VLOOKUP($A26,'Channel wise traffic'!$B$2:$K$368,10,FALSE)</f>
        <v>-451720</v>
      </c>
      <c r="H26" s="48">
        <f>VLOOKUP($A26,'Channel wise traffic'!$B$2:$P$368,11,FALSE)</f>
        <v>0</v>
      </c>
      <c r="I26" s="24">
        <f>VLOOKUP($A26,'Channel wise traffic'!$B$2:$P$368,12,FALSE)</f>
        <v>0</v>
      </c>
      <c r="J26" s="24">
        <f>VLOOKUP($A26,'Channel wise traffic'!$B$2:$P$368,13,FALSE)</f>
        <v>0</v>
      </c>
      <c r="K26" s="51">
        <f>VLOOKUP($A26,'Channel wise traffic'!$B$2:$P$368,14,FALSE)</f>
        <v>0</v>
      </c>
      <c r="L26" s="24">
        <f>VLOOKUP($A26,'Channel wise traffic'!$B$2:$P$368,15,FALSE)</f>
        <v>-1737386</v>
      </c>
      <c r="M26" s="7">
        <f t="shared" si="0"/>
        <v>5.1354840248197496E-2</v>
      </c>
      <c r="N26" s="7">
        <f t="shared" si="2"/>
        <v>-0.17516574129721951</v>
      </c>
      <c r="O26" s="7">
        <f t="shared" si="1"/>
        <v>-7.7669894666066996E-2</v>
      </c>
      <c r="P26" s="7">
        <f t="shared" si="3"/>
        <v>-0.10570602224444781</v>
      </c>
      <c r="Q26" s="7" t="e">
        <f>#REF!/B26</f>
        <v>#REF!</v>
      </c>
      <c r="R26" s="7" t="e">
        <f>#REF!/#REF!</f>
        <v>#REF!</v>
      </c>
      <c r="S26" s="7" t="e">
        <f>#REF!/#REF!</f>
        <v>#REF!</v>
      </c>
      <c r="T26" s="7" t="e">
        <f>C26/#REF!</f>
        <v>#REF!</v>
      </c>
    </row>
    <row r="27" spans="1:22" x14ac:dyDescent="0.3">
      <c r="A27" s="2">
        <v>43490</v>
      </c>
      <c r="B27" s="3">
        <v>20631473</v>
      </c>
      <c r="C27" s="42">
        <v>1234142</v>
      </c>
      <c r="D27" s="48">
        <f>VLOOKUP($A27,'Channel wise traffic'!$B$2:$K$368,7,FALSE)</f>
        <v>-547277</v>
      </c>
      <c r="E27" s="24">
        <f>VLOOKUP($A27,'Channel wise traffic'!$B$2:$K$368,8,FALSE)</f>
        <v>-410458</v>
      </c>
      <c r="F27" s="24">
        <f>VLOOKUP($A27,'Channel wise traffic'!$B$2:$K$368,9,FALSE)</f>
        <v>-167223</v>
      </c>
      <c r="G27" s="24">
        <f>VLOOKUP($A27,'Channel wise traffic'!$B$2:$K$368,10,FALSE)</f>
        <v>-395255</v>
      </c>
      <c r="H27" s="48">
        <f>VLOOKUP($A27,'Channel wise traffic'!$B$2:$P$368,11,FALSE)</f>
        <v>0</v>
      </c>
      <c r="I27" s="24">
        <f>VLOOKUP($A27,'Channel wise traffic'!$B$2:$P$368,12,FALSE)</f>
        <v>0</v>
      </c>
      <c r="J27" s="24">
        <f>VLOOKUP($A27,'Channel wise traffic'!$B$2:$P$368,13,FALSE)</f>
        <v>0</v>
      </c>
      <c r="K27" s="51">
        <f>VLOOKUP($A27,'Channel wise traffic'!$B$2:$P$368,14,FALSE)</f>
        <v>0</v>
      </c>
      <c r="L27" s="24">
        <f>VLOOKUP($A27,'Channel wise traffic'!$B$2:$P$368,15,FALSE)</f>
        <v>-1520213</v>
      </c>
      <c r="M27" s="7">
        <f t="shared" si="0"/>
        <v>5.9818414322622526E-2</v>
      </c>
      <c r="N27" s="7">
        <f t="shared" si="2"/>
        <v>-5.6459868607658614E-2</v>
      </c>
      <c r="O27" s="7">
        <f t="shared" si="1"/>
        <v>-6.8627459389436152E-2</v>
      </c>
      <c r="P27" s="7">
        <f t="shared" si="3"/>
        <v>1.3064150220491788E-2</v>
      </c>
      <c r="Q27" s="7" t="e">
        <f>#REF!/B27</f>
        <v>#REF!</v>
      </c>
      <c r="R27" s="7" t="e">
        <f>#REF!/#REF!</f>
        <v>#REF!</v>
      </c>
      <c r="S27" s="7" t="e">
        <f>#REF!/#REF!</f>
        <v>#REF!</v>
      </c>
      <c r="T27" s="7" t="e">
        <f>C27/#REF!</f>
        <v>#REF!</v>
      </c>
    </row>
    <row r="28" spans="1:22" x14ac:dyDescent="0.3">
      <c r="A28" s="2">
        <v>43491</v>
      </c>
      <c r="B28" s="3">
        <v>47134238</v>
      </c>
      <c r="C28" s="42">
        <v>1762376</v>
      </c>
      <c r="D28" s="48">
        <f>VLOOKUP($A28,'Channel wise traffic'!$B$2:$K$368,7,FALSE)</f>
        <v>0</v>
      </c>
      <c r="E28" s="24">
        <f>VLOOKUP($A28,'Channel wise traffic'!$B$2:$K$368,8,FALSE)</f>
        <v>0</v>
      </c>
      <c r="F28" s="24">
        <f>VLOOKUP($A28,'Channel wise traffic'!$B$2:$K$368,9,FALSE)</f>
        <v>0</v>
      </c>
      <c r="G28" s="24">
        <f>VLOOKUP($A28,'Channel wise traffic'!$B$2:$K$368,10,FALSE)</f>
        <v>0</v>
      </c>
      <c r="H28" s="48">
        <f>VLOOKUP($A28,'Channel wise traffic'!$B$2:$P$368,11,FALSE)</f>
        <v>1616031</v>
      </c>
      <c r="I28" s="24">
        <f>VLOOKUP($A28,'Channel wise traffic'!$B$2:$P$368,12,FALSE)</f>
        <v>1212023</v>
      </c>
      <c r="J28" s="24">
        <f>VLOOKUP($A28,'Channel wise traffic'!$B$2:$P$368,13,FALSE)</f>
        <v>493788</v>
      </c>
      <c r="K28" s="51">
        <f>VLOOKUP($A28,'Channel wise traffic'!$B$2:$P$368,14,FALSE)</f>
        <v>1167133</v>
      </c>
      <c r="L28" s="24">
        <f>VLOOKUP($A28,'Channel wise traffic'!$B$2:$P$368,15,FALSE)</f>
        <v>4488975</v>
      </c>
      <c r="M28" s="7">
        <f t="shared" si="0"/>
        <v>3.7390569462478637E-2</v>
      </c>
      <c r="N28" s="7">
        <f t="shared" si="2"/>
        <v>9.2882647461171253E-2</v>
      </c>
      <c r="O28" s="7">
        <f t="shared" si="1"/>
        <v>0.10526315666056507</v>
      </c>
      <c r="P28" s="7">
        <f t="shared" si="3"/>
        <v>-1.120141309767364E-2</v>
      </c>
      <c r="Q28" s="7" t="e">
        <f>#REF!/B28</f>
        <v>#REF!</v>
      </c>
      <c r="R28" s="7" t="e">
        <f>#REF!/#REF!</f>
        <v>#REF!</v>
      </c>
      <c r="S28" s="7" t="e">
        <f>#REF!/#REF!</f>
        <v>#REF!</v>
      </c>
      <c r="T28" s="7" t="e">
        <f>C28/#REF!</f>
        <v>#REF!</v>
      </c>
    </row>
    <row r="29" spans="1:22" x14ac:dyDescent="0.3">
      <c r="A29" s="2">
        <v>43492</v>
      </c>
      <c r="B29" s="3">
        <v>45338648</v>
      </c>
      <c r="C29" s="42">
        <v>1784419</v>
      </c>
      <c r="D29" s="48">
        <f>VLOOKUP($A29,'Channel wise traffic'!$B$2:$K$368,7,FALSE)</f>
        <v>0</v>
      </c>
      <c r="E29" s="24">
        <f>VLOOKUP($A29,'Channel wise traffic'!$B$2:$K$368,8,FALSE)</f>
        <v>0</v>
      </c>
      <c r="F29" s="24">
        <f>VLOOKUP($A29,'Channel wise traffic'!$B$2:$K$368,9,FALSE)</f>
        <v>0</v>
      </c>
      <c r="G29" s="24">
        <f>VLOOKUP($A29,'Channel wise traffic'!$B$2:$K$368,10,FALSE)</f>
        <v>0</v>
      </c>
      <c r="H29" s="48">
        <f>VLOOKUP($A29,'Channel wise traffic'!$B$2:$P$368,11,FALSE)</f>
        <v>323206</v>
      </c>
      <c r="I29" s="24">
        <f>VLOOKUP($A29,'Channel wise traffic'!$B$2:$P$368,12,FALSE)</f>
        <v>242405</v>
      </c>
      <c r="J29" s="24">
        <f>VLOOKUP($A29,'Channel wise traffic'!$B$2:$P$368,13,FALSE)</f>
        <v>98758</v>
      </c>
      <c r="K29" s="51">
        <f>VLOOKUP($A29,'Channel wise traffic'!$B$2:$P$368,14,FALSE)</f>
        <v>233427</v>
      </c>
      <c r="L29" s="24">
        <f>VLOOKUP($A29,'Channel wise traffic'!$B$2:$P$368,15,FALSE)</f>
        <v>897796</v>
      </c>
      <c r="M29" s="7">
        <f t="shared" si="0"/>
        <v>3.9357569727266679E-2</v>
      </c>
      <c r="N29" s="7">
        <f t="shared" si="2"/>
        <v>-1.9630799659368758E-2</v>
      </c>
      <c r="O29" s="7">
        <f t="shared" si="1"/>
        <v>2.0202019974729035E-2</v>
      </c>
      <c r="P29" s="7">
        <f t="shared" si="3"/>
        <v>-3.9044050937170782E-2</v>
      </c>
      <c r="Q29" s="7" t="e">
        <f>#REF!/B29</f>
        <v>#REF!</v>
      </c>
      <c r="R29" s="7" t="e">
        <f>#REF!/#REF!</f>
        <v>#REF!</v>
      </c>
      <c r="S29" s="7" t="e">
        <f>#REF!/#REF!</f>
        <v>#REF!</v>
      </c>
      <c r="T29" s="7" t="e">
        <f>C29/#REF!</f>
        <v>#REF!</v>
      </c>
    </row>
    <row r="30" spans="1:22" x14ac:dyDescent="0.3">
      <c r="A30" s="2">
        <v>43493</v>
      </c>
      <c r="B30" s="3">
        <v>21282993</v>
      </c>
      <c r="C30" s="42">
        <v>1310529</v>
      </c>
      <c r="D30" s="48">
        <f>VLOOKUP($A30,'Channel wise traffic'!$B$2:$K$368,7,FALSE)</f>
        <v>-312730</v>
      </c>
      <c r="E30" s="24">
        <f>VLOOKUP($A30,'Channel wise traffic'!$B$2:$K$368,8,FALSE)</f>
        <v>-234547</v>
      </c>
      <c r="F30" s="24">
        <f>VLOOKUP($A30,'Channel wise traffic'!$B$2:$K$368,9,FALSE)</f>
        <v>-95556</v>
      </c>
      <c r="G30" s="24">
        <f>VLOOKUP($A30,'Channel wise traffic'!$B$2:$K$368,10,FALSE)</f>
        <v>-225860</v>
      </c>
      <c r="H30" s="48">
        <f>VLOOKUP($A30,'Channel wise traffic'!$B$2:$P$368,11,FALSE)</f>
        <v>0</v>
      </c>
      <c r="I30" s="24">
        <f>VLOOKUP($A30,'Channel wise traffic'!$B$2:$P$368,12,FALSE)</f>
        <v>0</v>
      </c>
      <c r="J30" s="24">
        <f>VLOOKUP($A30,'Channel wise traffic'!$B$2:$P$368,13,FALSE)</f>
        <v>0</v>
      </c>
      <c r="K30" s="51">
        <f>VLOOKUP($A30,'Channel wise traffic'!$B$2:$P$368,14,FALSE)</f>
        <v>0</v>
      </c>
      <c r="L30" s="24">
        <f>VLOOKUP($A30,'Channel wise traffic'!$B$2:$P$368,15,FALSE)</f>
        <v>-868693</v>
      </c>
      <c r="M30" s="7">
        <f t="shared" si="0"/>
        <v>6.157634877763668E-2</v>
      </c>
      <c r="N30" s="7">
        <f t="shared" si="2"/>
        <v>-0.11250036399885421</v>
      </c>
      <c r="O30" s="7">
        <f t="shared" si="1"/>
        <v>-3.9215703977760197E-2</v>
      </c>
      <c r="P30" s="7">
        <f t="shared" si="3"/>
        <v>-7.6275872039646142E-2</v>
      </c>
      <c r="Q30" s="7" t="e">
        <f>#REF!/B30</f>
        <v>#REF!</v>
      </c>
      <c r="R30" s="7" t="e">
        <f>#REF!/#REF!</f>
        <v>#REF!</v>
      </c>
      <c r="S30" s="7" t="e">
        <f>#REF!/#REF!</f>
        <v>#REF!</v>
      </c>
      <c r="T30" s="7" t="e">
        <f>C30/#REF!</f>
        <v>#REF!</v>
      </c>
    </row>
    <row r="31" spans="1:22" s="35" customFormat="1" x14ac:dyDescent="0.3">
      <c r="A31" s="36">
        <v>43494</v>
      </c>
      <c r="B31" s="16">
        <v>22368860</v>
      </c>
      <c r="C31" s="47">
        <v>628519</v>
      </c>
      <c r="D31" s="49">
        <f>VLOOKUP($A31,'Channel wise traffic'!$B$2:$K$368,7,FALSE)</f>
        <v>-5472770</v>
      </c>
      <c r="E31" s="28">
        <f>VLOOKUP($A31,'Channel wise traffic'!$B$2:$K$368,8,FALSE)</f>
        <v>0</v>
      </c>
      <c r="F31" s="28">
        <f>VLOOKUP($A31,'Channel wise traffic'!$B$2:$K$368,9,FALSE)</f>
        <v>-17366793</v>
      </c>
      <c r="G31" s="28">
        <f>VLOOKUP($A31,'Channel wise traffic'!$B$2:$K$368,10,FALSE)</f>
        <v>0</v>
      </c>
      <c r="H31" s="48">
        <f>VLOOKUP($A31,'Channel wise traffic'!$B$2:$P$368,11,FALSE)</f>
        <v>0</v>
      </c>
      <c r="I31" s="24">
        <f>VLOOKUP($A31,'Channel wise traffic'!$B$2:$P$368,12,FALSE)</f>
        <v>4010759</v>
      </c>
      <c r="J31" s="24">
        <f>VLOOKUP($A31,'Channel wise traffic'!$B$2:$P$368,13,FALSE)</f>
        <v>0</v>
      </c>
      <c r="K31" s="51">
        <f>VLOOKUP($A31,'Channel wise traffic'!$B$2:$P$368,14,FALSE)</f>
        <v>3626665</v>
      </c>
      <c r="L31" s="28">
        <f>VLOOKUP($A31,'Channel wise traffic'!$B$2:$P$368,15,FALSE)</f>
        <v>-15202139</v>
      </c>
      <c r="M31" s="17">
        <f t="shared" si="0"/>
        <v>2.8097945089736356E-2</v>
      </c>
      <c r="N31" s="34">
        <f t="shared" si="2"/>
        <v>-0.71708723442563915</v>
      </c>
      <c r="O31" s="34">
        <f t="shared" si="1"/>
        <v>-0.40462427961056557</v>
      </c>
      <c r="P31" s="17">
        <f t="shared" si="3"/>
        <v>-0.52481642115115479</v>
      </c>
      <c r="Q31" s="17" t="e">
        <f>#REF!/B31</f>
        <v>#REF!</v>
      </c>
      <c r="R31" s="17" t="e">
        <f>#REF!/#REF!</f>
        <v>#REF!</v>
      </c>
      <c r="S31" s="17" t="e">
        <f>#REF!/#REF!</f>
        <v>#REF!</v>
      </c>
      <c r="T31" s="17" t="e">
        <f>C31/#REF!</f>
        <v>#REF!</v>
      </c>
      <c r="U31"/>
      <c r="V31" s="35" t="s">
        <v>39</v>
      </c>
    </row>
    <row r="32" spans="1:22" x14ac:dyDescent="0.3">
      <c r="A32" s="2">
        <v>43495</v>
      </c>
      <c r="B32" s="3">
        <v>22368860</v>
      </c>
      <c r="C32" s="42">
        <v>1283784</v>
      </c>
      <c r="D32" s="48">
        <f>VLOOKUP($A32,'Channel wise traffic'!$B$2:$K$368,7,FALSE)</f>
        <v>0</v>
      </c>
      <c r="E32" s="24">
        <f>VLOOKUP($A32,'Channel wise traffic'!$B$2:$K$368,8,FALSE)</f>
        <v>0</v>
      </c>
      <c r="F32" s="24">
        <f>VLOOKUP($A32,'Channel wise traffic'!$B$2:$K$368,9,FALSE)</f>
        <v>0</v>
      </c>
      <c r="G32" s="24">
        <f>VLOOKUP($A32,'Channel wise traffic'!$B$2:$K$368,10,FALSE)</f>
        <v>0</v>
      </c>
      <c r="H32" s="48">
        <f>VLOOKUP($A32,'Channel wise traffic'!$B$2:$P$368,11,FALSE)</f>
        <v>312729</v>
      </c>
      <c r="I32" s="24">
        <f>VLOOKUP($A32,'Channel wise traffic'!$B$2:$P$368,12,FALSE)</f>
        <v>234547</v>
      </c>
      <c r="J32" s="24">
        <f>VLOOKUP($A32,'Channel wise traffic'!$B$2:$P$368,13,FALSE)</f>
        <v>95556</v>
      </c>
      <c r="K32" s="51">
        <f>VLOOKUP($A32,'Channel wise traffic'!$B$2:$P$368,14,FALSE)</f>
        <v>225860</v>
      </c>
      <c r="L32" s="24">
        <f>VLOOKUP($A32,'Channel wise traffic'!$B$2:$P$368,15,FALSE)</f>
        <v>868692</v>
      </c>
      <c r="M32" s="7">
        <f t="shared" si="0"/>
        <v>5.739157024542154E-2</v>
      </c>
      <c r="N32" s="7">
        <f t="shared" si="2"/>
        <v>-7.8019563062868946E-2</v>
      </c>
      <c r="O32" s="7">
        <f t="shared" si="1"/>
        <v>4.0404011745583279E-2</v>
      </c>
      <c r="P32" s="7">
        <f t="shared" si="3"/>
        <v>-0.11382460416483964</v>
      </c>
      <c r="Q32" s="7" t="e">
        <f>#REF!/B32</f>
        <v>#REF!</v>
      </c>
      <c r="R32" s="7" t="e">
        <f>#REF!/#REF!</f>
        <v>#REF!</v>
      </c>
      <c r="S32" s="7" t="e">
        <f>#REF!/#REF!</f>
        <v>#REF!</v>
      </c>
      <c r="T32" s="7" t="e">
        <f>C32/#REF!</f>
        <v>#REF!</v>
      </c>
    </row>
    <row r="33" spans="1:20" x14ac:dyDescent="0.3">
      <c r="A33" s="15">
        <v>43496</v>
      </c>
      <c r="B33" s="16">
        <v>20848646</v>
      </c>
      <c r="C33" s="46">
        <v>1272061</v>
      </c>
      <c r="D33" s="48">
        <f>VLOOKUP($A33,'Channel wise traffic'!$B$2:$K$368,7,FALSE)</f>
        <v>0</v>
      </c>
      <c r="E33" s="24">
        <f>VLOOKUP($A33,'Channel wise traffic'!$B$2:$K$368,8,FALSE)</f>
        <v>0</v>
      </c>
      <c r="F33" s="24">
        <f>VLOOKUP($A33,'Channel wise traffic'!$B$2:$K$368,9,FALSE)</f>
        <v>0</v>
      </c>
      <c r="G33" s="24">
        <f>VLOOKUP($A33,'Channel wise traffic'!$B$2:$K$368,10,FALSE)</f>
        <v>0</v>
      </c>
      <c r="H33" s="48">
        <f>VLOOKUP($A33,'Channel wise traffic'!$B$2:$P$368,11,FALSE)</f>
        <v>78182</v>
      </c>
      <c r="I33" s="24">
        <f>VLOOKUP($A33,'Channel wise traffic'!$B$2:$P$368,12,FALSE)</f>
        <v>58637</v>
      </c>
      <c r="J33" s="24">
        <f>VLOOKUP($A33,'Channel wise traffic'!$B$2:$P$368,13,FALSE)</f>
        <v>23889</v>
      </c>
      <c r="K33" s="51">
        <f>VLOOKUP($A33,'Channel wise traffic'!$B$2:$P$368,14,FALSE)</f>
        <v>56465</v>
      </c>
      <c r="L33" s="24">
        <f>VLOOKUP($A33,'Channel wise traffic'!$B$2:$P$368,15,FALSE)</f>
        <v>217173</v>
      </c>
      <c r="M33" s="17">
        <f t="shared" si="0"/>
        <v>6.1014082161498638E-2</v>
      </c>
      <c r="N33" s="13">
        <f t="shared" si="2"/>
        <v>0.20059441674862155</v>
      </c>
      <c r="O33" s="13">
        <f t="shared" si="1"/>
        <v>1.0526296401619062E-2</v>
      </c>
      <c r="P33" s="17">
        <f t="shared" si="3"/>
        <v>0.18808824770202981</v>
      </c>
      <c r="Q33" s="17" t="e">
        <f>#REF!/B33</f>
        <v>#REF!</v>
      </c>
      <c r="R33" s="17" t="e">
        <f>#REF!/#REF!</f>
        <v>#REF!</v>
      </c>
      <c r="S33" s="17" t="e">
        <f>#REF!/#REF!</f>
        <v>#REF!</v>
      </c>
      <c r="T33" s="17" t="e">
        <f>C33/#REF!</f>
        <v>#REF!</v>
      </c>
    </row>
    <row r="34" spans="1:20" x14ac:dyDescent="0.3">
      <c r="A34" s="2">
        <v>43497</v>
      </c>
      <c r="B34" s="3">
        <v>20631473</v>
      </c>
      <c r="C34" s="42">
        <v>1322527</v>
      </c>
      <c r="D34" s="48">
        <f>VLOOKUP($A34,'Channel wise traffic'!$B$2:$K$368,7,FALSE)</f>
        <v>0</v>
      </c>
      <c r="E34" s="24">
        <f>VLOOKUP($A34,'Channel wise traffic'!$B$2:$K$368,8,FALSE)</f>
        <v>0</v>
      </c>
      <c r="F34" s="24">
        <f>VLOOKUP($A34,'Channel wise traffic'!$B$2:$K$368,9,FALSE)</f>
        <v>0</v>
      </c>
      <c r="G34" s="24">
        <f>VLOOKUP($A34,'Channel wise traffic'!$B$2:$K$368,10,FALSE)</f>
        <v>0</v>
      </c>
      <c r="H34" s="48">
        <f>VLOOKUP($A34,'Channel wise traffic'!$B$2:$P$368,11,FALSE)</f>
        <v>0</v>
      </c>
      <c r="I34" s="24">
        <f>VLOOKUP($A34,'Channel wise traffic'!$B$2:$P$368,12,FALSE)</f>
        <v>0</v>
      </c>
      <c r="J34" s="24">
        <f>VLOOKUP($A34,'Channel wise traffic'!$B$2:$P$368,13,FALSE)</f>
        <v>0</v>
      </c>
      <c r="K34" s="51">
        <f>VLOOKUP($A34,'Channel wise traffic'!$B$2:$P$368,14,FALSE)</f>
        <v>0</v>
      </c>
      <c r="L34" s="24">
        <f>VLOOKUP($A34,'Channel wise traffic'!$B$2:$P$368,15,FALSE)</f>
        <v>0</v>
      </c>
      <c r="M34" s="7">
        <f t="shared" si="0"/>
        <v>6.4102403158514176E-2</v>
      </c>
      <c r="N34" s="7">
        <f t="shared" si="2"/>
        <v>7.1616556279585408E-2</v>
      </c>
      <c r="O34" s="7">
        <f t="shared" si="1"/>
        <v>0</v>
      </c>
      <c r="P34" s="7">
        <f t="shared" si="3"/>
        <v>7.1616556279585408E-2</v>
      </c>
      <c r="Q34" s="7" t="e">
        <f>#REF!/B34</f>
        <v>#REF!</v>
      </c>
      <c r="R34" s="7" t="e">
        <f>#REF!/#REF!</f>
        <v>#REF!</v>
      </c>
      <c r="S34" s="7" t="e">
        <f>#REF!/#REF!</f>
        <v>#REF!</v>
      </c>
      <c r="T34" s="7" t="e">
        <f>C34/#REF!</f>
        <v>#REF!</v>
      </c>
    </row>
    <row r="35" spans="1:20" x14ac:dyDescent="0.3">
      <c r="A35" s="2">
        <v>43498</v>
      </c>
      <c r="B35" s="3">
        <v>43543058</v>
      </c>
      <c r="C35" s="42">
        <v>1566749</v>
      </c>
      <c r="D35" s="48">
        <f>VLOOKUP($A35,'Channel wise traffic'!$B$2:$K$368,7,FALSE)</f>
        <v>-1292825</v>
      </c>
      <c r="E35" s="24">
        <f>VLOOKUP($A35,'Channel wise traffic'!$B$2:$K$368,8,FALSE)</f>
        <v>-969619</v>
      </c>
      <c r="F35" s="24">
        <f>VLOOKUP($A35,'Channel wise traffic'!$B$2:$K$368,9,FALSE)</f>
        <v>-395030</v>
      </c>
      <c r="G35" s="24">
        <f>VLOOKUP($A35,'Channel wise traffic'!$B$2:$K$368,10,FALSE)</f>
        <v>-933706</v>
      </c>
      <c r="H35" s="48">
        <f>VLOOKUP($A35,'Channel wise traffic'!$B$2:$P$368,11,FALSE)</f>
        <v>0</v>
      </c>
      <c r="I35" s="24">
        <f>VLOOKUP($A35,'Channel wise traffic'!$B$2:$P$368,12,FALSE)</f>
        <v>0</v>
      </c>
      <c r="J35" s="24">
        <f>VLOOKUP($A35,'Channel wise traffic'!$B$2:$P$368,13,FALSE)</f>
        <v>0</v>
      </c>
      <c r="K35" s="51">
        <f>VLOOKUP($A35,'Channel wise traffic'!$B$2:$P$368,14,FALSE)</f>
        <v>0</v>
      </c>
      <c r="L35" s="24">
        <f>VLOOKUP($A35,'Channel wise traffic'!$B$2:$P$368,15,FALSE)</f>
        <v>-3591180</v>
      </c>
      <c r="M35" s="7">
        <f t="shared" si="0"/>
        <v>3.598160239457688E-2</v>
      </c>
      <c r="N35" s="7">
        <f t="shared" si="2"/>
        <v>-0.11100185204519353</v>
      </c>
      <c r="O35" s="7">
        <f t="shared" si="1"/>
        <v>-7.6190475382247658E-2</v>
      </c>
      <c r="P35" s="7">
        <f t="shared" si="3"/>
        <v>-3.7682418004241769E-2</v>
      </c>
      <c r="Q35" s="7" t="e">
        <f>#REF!/B35</f>
        <v>#REF!</v>
      </c>
      <c r="R35" s="7" t="e">
        <f>#REF!/#REF!</f>
        <v>#REF!</v>
      </c>
      <c r="S35" s="7" t="e">
        <f>#REF!/#REF!</f>
        <v>#REF!</v>
      </c>
      <c r="T35" s="7" t="e">
        <f>C35/#REF!</f>
        <v>#REF!</v>
      </c>
    </row>
    <row r="36" spans="1:20" x14ac:dyDescent="0.3">
      <c r="A36" s="2">
        <v>43499</v>
      </c>
      <c r="B36" s="3">
        <v>44889750</v>
      </c>
      <c r="C36" s="42">
        <v>1892971</v>
      </c>
      <c r="D36" s="48">
        <f>VLOOKUP($A36,'Channel wise traffic'!$B$2:$K$368,7,FALSE)</f>
        <v>-161603</v>
      </c>
      <c r="E36" s="24">
        <f>VLOOKUP($A36,'Channel wise traffic'!$B$2:$K$368,8,FALSE)</f>
        <v>-121203</v>
      </c>
      <c r="F36" s="24">
        <f>VLOOKUP($A36,'Channel wise traffic'!$B$2:$K$368,9,FALSE)</f>
        <v>-49379</v>
      </c>
      <c r="G36" s="24">
        <f>VLOOKUP($A36,'Channel wise traffic'!$B$2:$K$368,10,FALSE)</f>
        <v>-116713</v>
      </c>
      <c r="H36" s="48">
        <f>VLOOKUP($A36,'Channel wise traffic'!$B$2:$P$368,11,FALSE)</f>
        <v>0</v>
      </c>
      <c r="I36" s="24">
        <f>VLOOKUP($A36,'Channel wise traffic'!$B$2:$P$368,12,FALSE)</f>
        <v>0</v>
      </c>
      <c r="J36" s="24">
        <f>VLOOKUP($A36,'Channel wise traffic'!$B$2:$P$368,13,FALSE)</f>
        <v>0</v>
      </c>
      <c r="K36" s="51">
        <f>VLOOKUP($A36,'Channel wise traffic'!$B$2:$P$368,14,FALSE)</f>
        <v>0</v>
      </c>
      <c r="L36" s="24">
        <f>VLOOKUP($A36,'Channel wise traffic'!$B$2:$P$368,15,FALSE)</f>
        <v>-448898</v>
      </c>
      <c r="M36" s="7">
        <f t="shared" si="0"/>
        <v>4.2169337098112596E-2</v>
      </c>
      <c r="N36" s="7">
        <f t="shared" si="2"/>
        <v>6.0833246003320962E-2</v>
      </c>
      <c r="O36" s="7">
        <f t="shared" si="1"/>
        <v>-9.9010010179394481E-3</v>
      </c>
      <c r="P36" s="7">
        <f t="shared" si="3"/>
        <v>7.1441590279339273E-2</v>
      </c>
      <c r="Q36" s="7" t="e">
        <f>#REF!/B36</f>
        <v>#REF!</v>
      </c>
      <c r="R36" s="7" t="e">
        <f>#REF!/#REF!</f>
        <v>#REF!</v>
      </c>
      <c r="S36" s="7" t="e">
        <f>#REF!/#REF!</f>
        <v>#REF!</v>
      </c>
      <c r="T36" s="7" t="e">
        <f>C36/#REF!</f>
        <v>#REF!</v>
      </c>
    </row>
    <row r="37" spans="1:20" x14ac:dyDescent="0.3">
      <c r="A37" s="2">
        <v>43500</v>
      </c>
      <c r="B37" s="3">
        <v>21282993</v>
      </c>
      <c r="C37" s="42">
        <v>1198077</v>
      </c>
      <c r="D37" s="48">
        <f>VLOOKUP($A37,'Channel wise traffic'!$B$2:$K$368,7,FALSE)</f>
        <v>0</v>
      </c>
      <c r="E37" s="24">
        <f>VLOOKUP($A37,'Channel wise traffic'!$B$2:$K$368,8,FALSE)</f>
        <v>0</v>
      </c>
      <c r="F37" s="24">
        <f>VLOOKUP($A37,'Channel wise traffic'!$B$2:$K$368,9,FALSE)</f>
        <v>0</v>
      </c>
      <c r="G37" s="24">
        <f>VLOOKUP($A37,'Channel wise traffic'!$B$2:$K$368,10,FALSE)</f>
        <v>0</v>
      </c>
      <c r="H37" s="48">
        <f>VLOOKUP($A37,'Channel wise traffic'!$B$2:$P$368,11,FALSE)</f>
        <v>0</v>
      </c>
      <c r="I37" s="24">
        <f>VLOOKUP($A37,'Channel wise traffic'!$B$2:$P$368,12,FALSE)</f>
        <v>0</v>
      </c>
      <c r="J37" s="24">
        <f>VLOOKUP($A37,'Channel wise traffic'!$B$2:$P$368,13,FALSE)</f>
        <v>0</v>
      </c>
      <c r="K37" s="51">
        <f>VLOOKUP($A37,'Channel wise traffic'!$B$2:$P$368,14,FALSE)</f>
        <v>0</v>
      </c>
      <c r="L37" s="24">
        <f>VLOOKUP($A37,'Channel wise traffic'!$B$2:$P$368,15,FALSE)</f>
        <v>0</v>
      </c>
      <c r="M37" s="7">
        <f t="shared" si="0"/>
        <v>5.6292693419576843E-2</v>
      </c>
      <c r="N37" s="7">
        <f t="shared" si="2"/>
        <v>-8.5806571239552931E-2</v>
      </c>
      <c r="O37" s="7">
        <f t="shared" si="1"/>
        <v>0</v>
      </c>
      <c r="P37" s="7">
        <f t="shared" si="3"/>
        <v>-8.5806571239552931E-2</v>
      </c>
      <c r="Q37" s="7" t="e">
        <f>#REF!/B37</f>
        <v>#REF!</v>
      </c>
      <c r="R37" s="7" t="e">
        <f>#REF!/#REF!</f>
        <v>#REF!</v>
      </c>
      <c r="S37" s="7" t="e">
        <f>#REF!/#REF!</f>
        <v>#REF!</v>
      </c>
      <c r="T37" s="7" t="e">
        <f>C37/#REF!</f>
        <v>#REF!</v>
      </c>
    </row>
    <row r="38" spans="1:20" x14ac:dyDescent="0.3">
      <c r="A38" s="15">
        <v>43501</v>
      </c>
      <c r="B38" s="16">
        <v>22368860</v>
      </c>
      <c r="C38" s="46">
        <v>1349861</v>
      </c>
      <c r="D38" s="48">
        <f>VLOOKUP($A38,'Channel wise traffic'!$B$2:$K$368,7,FALSE)</f>
        <v>0</v>
      </c>
      <c r="E38" s="24">
        <f>VLOOKUP($A38,'Channel wise traffic'!$B$2:$K$368,8,FALSE)</f>
        <v>0</v>
      </c>
      <c r="F38" s="24">
        <f>VLOOKUP($A38,'Channel wise traffic'!$B$2:$K$368,9,FALSE)</f>
        <v>0</v>
      </c>
      <c r="G38" s="24">
        <f>VLOOKUP($A38,'Channel wise traffic'!$B$2:$K$368,10,FALSE)</f>
        <v>0</v>
      </c>
      <c r="H38" s="48">
        <f>VLOOKUP($A38,'Channel wise traffic'!$B$2:$P$368,11,FALSE)</f>
        <v>0</v>
      </c>
      <c r="I38" s="24">
        <f>VLOOKUP($A38,'Channel wise traffic'!$B$2:$P$368,12,FALSE)</f>
        <v>0</v>
      </c>
      <c r="J38" s="24">
        <f>VLOOKUP($A38,'Channel wise traffic'!$B$2:$P$368,13,FALSE)</f>
        <v>0</v>
      </c>
      <c r="K38" s="51">
        <f>VLOOKUP($A38,'Channel wise traffic'!$B$2:$P$368,14,FALSE)</f>
        <v>0</v>
      </c>
      <c r="L38" s="24">
        <f>VLOOKUP($A38,'Channel wise traffic'!$B$2:$P$368,15,FALSE)</f>
        <v>0</v>
      </c>
      <c r="M38" s="17">
        <f t="shared" si="0"/>
        <v>6.0345542866288224E-2</v>
      </c>
      <c r="N38" s="13">
        <f t="shared" si="2"/>
        <v>1.1476852728398028</v>
      </c>
      <c r="O38" s="13">
        <f t="shared" si="1"/>
        <v>0</v>
      </c>
      <c r="P38" s="17">
        <f t="shared" si="3"/>
        <v>1.1476852728398028</v>
      </c>
      <c r="Q38" s="17" t="e">
        <f>#REF!/B38</f>
        <v>#REF!</v>
      </c>
      <c r="R38" s="17" t="e">
        <f>#REF!/#REF!</f>
        <v>#REF!</v>
      </c>
      <c r="S38" s="17" t="e">
        <f>#REF!/#REF!</f>
        <v>#REF!</v>
      </c>
      <c r="T38" s="17" t="e">
        <f>C38/#REF!</f>
        <v>#REF!</v>
      </c>
    </row>
    <row r="39" spans="1:20" x14ac:dyDescent="0.3">
      <c r="A39" s="2">
        <v>43502</v>
      </c>
      <c r="B39" s="3">
        <v>20631473</v>
      </c>
      <c r="C39" s="42">
        <v>1281189</v>
      </c>
      <c r="D39" s="48">
        <f>VLOOKUP($A39,'Channel wise traffic'!$B$2:$K$368,7,FALSE)</f>
        <v>-625459</v>
      </c>
      <c r="E39" s="24">
        <f>VLOOKUP($A39,'Channel wise traffic'!$B$2:$K$368,8,FALSE)</f>
        <v>-469095</v>
      </c>
      <c r="F39" s="24">
        <f>VLOOKUP($A39,'Channel wise traffic'!$B$2:$K$368,9,FALSE)</f>
        <v>-191112</v>
      </c>
      <c r="G39" s="24">
        <f>VLOOKUP($A39,'Channel wise traffic'!$B$2:$K$368,10,FALSE)</f>
        <v>-451720</v>
      </c>
      <c r="H39" s="48">
        <f>VLOOKUP($A39,'Channel wise traffic'!$B$2:$P$368,11,FALSE)</f>
        <v>0</v>
      </c>
      <c r="I39" s="24">
        <f>VLOOKUP($A39,'Channel wise traffic'!$B$2:$P$368,12,FALSE)</f>
        <v>0</v>
      </c>
      <c r="J39" s="24">
        <f>VLOOKUP($A39,'Channel wise traffic'!$B$2:$P$368,13,FALSE)</f>
        <v>0</v>
      </c>
      <c r="K39" s="51">
        <f>VLOOKUP($A39,'Channel wise traffic'!$B$2:$P$368,14,FALSE)</f>
        <v>0</v>
      </c>
      <c r="L39" s="24">
        <f>VLOOKUP($A39,'Channel wise traffic'!$B$2:$P$368,15,FALSE)</f>
        <v>-1737386</v>
      </c>
      <c r="M39" s="7">
        <f t="shared" si="0"/>
        <v>6.2098765318404553E-2</v>
      </c>
      <c r="N39" s="7">
        <f t="shared" si="2"/>
        <v>-2.0213680806117074E-3</v>
      </c>
      <c r="O39" s="7">
        <f t="shared" si="1"/>
        <v>-7.7669894666066996E-2</v>
      </c>
      <c r="P39" s="7">
        <f t="shared" si="3"/>
        <v>8.2018928090899168E-2</v>
      </c>
      <c r="Q39" s="7" t="e">
        <f>#REF!/B39</f>
        <v>#REF!</v>
      </c>
      <c r="R39" s="7" t="e">
        <f>#REF!/#REF!</f>
        <v>#REF!</v>
      </c>
      <c r="S39" s="7" t="e">
        <f>#REF!/#REF!</f>
        <v>#REF!</v>
      </c>
      <c r="T39" s="7" t="e">
        <f>C39/#REF!</f>
        <v>#REF!</v>
      </c>
    </row>
    <row r="40" spans="1:20" x14ac:dyDescent="0.3">
      <c r="A40" s="2">
        <v>43503</v>
      </c>
      <c r="B40" s="3">
        <v>22151687</v>
      </c>
      <c r="C40" s="42">
        <v>1378902</v>
      </c>
      <c r="D40" s="48">
        <f>VLOOKUP($A40,'Channel wise traffic'!$B$2:$K$368,7,FALSE)</f>
        <v>0</v>
      </c>
      <c r="E40" s="24">
        <f>VLOOKUP($A40,'Channel wise traffic'!$B$2:$K$368,8,FALSE)</f>
        <v>0</v>
      </c>
      <c r="F40" s="24">
        <f>VLOOKUP($A40,'Channel wise traffic'!$B$2:$K$368,9,FALSE)</f>
        <v>0</v>
      </c>
      <c r="G40" s="24">
        <f>VLOOKUP($A40,'Channel wise traffic'!$B$2:$K$368,10,FALSE)</f>
        <v>0</v>
      </c>
      <c r="H40" s="48">
        <f>VLOOKUP($A40,'Channel wise traffic'!$B$2:$P$368,11,FALSE)</f>
        <v>469095</v>
      </c>
      <c r="I40" s="24">
        <f>VLOOKUP($A40,'Channel wise traffic'!$B$2:$P$368,12,FALSE)</f>
        <v>351821</v>
      </c>
      <c r="J40" s="24">
        <f>VLOOKUP($A40,'Channel wise traffic'!$B$2:$P$368,13,FALSE)</f>
        <v>143334</v>
      </c>
      <c r="K40" s="51">
        <f>VLOOKUP($A40,'Channel wise traffic'!$B$2:$P$368,14,FALSE)</f>
        <v>338790</v>
      </c>
      <c r="L40" s="24">
        <f>VLOOKUP($A40,'Channel wise traffic'!$B$2:$P$368,15,FALSE)</f>
        <v>1303040</v>
      </c>
      <c r="M40" s="7">
        <f t="shared" si="0"/>
        <v>6.2248170985803472E-2</v>
      </c>
      <c r="N40" s="7">
        <f t="shared" si="2"/>
        <v>8.3990469010527091E-2</v>
      </c>
      <c r="O40" s="7">
        <f t="shared" si="1"/>
        <v>6.2500029977965887E-2</v>
      </c>
      <c r="P40" s="7">
        <f t="shared" si="3"/>
        <v>2.0226294989381444E-2</v>
      </c>
      <c r="Q40" s="7" t="e">
        <f>#REF!/B40</f>
        <v>#REF!</v>
      </c>
      <c r="R40" s="7" t="e">
        <f>#REF!/#REF!</f>
        <v>#REF!</v>
      </c>
      <c r="S40" s="7" t="e">
        <f>#REF!/#REF!</f>
        <v>#REF!</v>
      </c>
      <c r="T40" s="7" t="e">
        <f>C40/#REF!</f>
        <v>#REF!</v>
      </c>
    </row>
    <row r="41" spans="1:20" x14ac:dyDescent="0.3">
      <c r="A41" s="2">
        <v>43504</v>
      </c>
      <c r="B41" s="3">
        <v>21934513</v>
      </c>
      <c r="C41" s="42">
        <v>1246469</v>
      </c>
      <c r="D41" s="48">
        <f>VLOOKUP($A41,'Channel wise traffic'!$B$2:$K$368,7,FALSE)</f>
        <v>0</v>
      </c>
      <c r="E41" s="24">
        <f>VLOOKUP($A41,'Channel wise traffic'!$B$2:$K$368,8,FALSE)</f>
        <v>0</v>
      </c>
      <c r="F41" s="24">
        <f>VLOOKUP($A41,'Channel wise traffic'!$B$2:$K$368,9,FALSE)</f>
        <v>0</v>
      </c>
      <c r="G41" s="24">
        <f>VLOOKUP($A41,'Channel wise traffic'!$B$2:$K$368,10,FALSE)</f>
        <v>0</v>
      </c>
      <c r="H41" s="48">
        <f>VLOOKUP($A41,'Channel wise traffic'!$B$2:$P$368,11,FALSE)</f>
        <v>469094</v>
      </c>
      <c r="I41" s="24">
        <f>VLOOKUP($A41,'Channel wise traffic'!$B$2:$P$368,12,FALSE)</f>
        <v>351821</v>
      </c>
      <c r="J41" s="24">
        <f>VLOOKUP($A41,'Channel wise traffic'!$B$2:$P$368,13,FALSE)</f>
        <v>143334</v>
      </c>
      <c r="K41" s="51">
        <f>VLOOKUP($A41,'Channel wise traffic'!$B$2:$P$368,14,FALSE)</f>
        <v>338790</v>
      </c>
      <c r="L41" s="24">
        <f>VLOOKUP($A41,'Channel wise traffic'!$B$2:$P$368,15,FALSE)</f>
        <v>1303039</v>
      </c>
      <c r="M41" s="7">
        <f t="shared" si="0"/>
        <v>5.6826837231353164E-2</v>
      </c>
      <c r="N41" s="7">
        <f t="shared" si="2"/>
        <v>-5.7509600938203898E-2</v>
      </c>
      <c r="O41" s="7">
        <f t="shared" si="1"/>
        <v>6.3157875348987425E-2</v>
      </c>
      <c r="P41" s="7">
        <f t="shared" si="3"/>
        <v>-0.11349911342902064</v>
      </c>
      <c r="Q41" s="7" t="e">
        <f>#REF!/B41</f>
        <v>#REF!</v>
      </c>
      <c r="R41" s="7" t="e">
        <f>#REF!/#REF!</f>
        <v>#REF!</v>
      </c>
      <c r="S41" s="7" t="e">
        <f>#REF!/#REF!</f>
        <v>#REF!</v>
      </c>
      <c r="T41" s="7" t="e">
        <f>C41/#REF!</f>
        <v>#REF!</v>
      </c>
    </row>
    <row r="42" spans="1:20" x14ac:dyDescent="0.3">
      <c r="A42" s="2">
        <v>43505</v>
      </c>
      <c r="B42" s="3">
        <v>43991955</v>
      </c>
      <c r="C42" s="42">
        <v>1855111</v>
      </c>
      <c r="D42" s="48">
        <f>VLOOKUP($A42,'Channel wise traffic'!$B$2:$K$368,7,FALSE)</f>
        <v>0</v>
      </c>
      <c r="E42" s="24">
        <f>VLOOKUP($A42,'Channel wise traffic'!$B$2:$K$368,8,FALSE)</f>
        <v>0</v>
      </c>
      <c r="F42" s="24">
        <f>VLOOKUP($A42,'Channel wise traffic'!$B$2:$K$368,9,FALSE)</f>
        <v>0</v>
      </c>
      <c r="G42" s="24">
        <f>VLOOKUP($A42,'Channel wise traffic'!$B$2:$K$368,10,FALSE)</f>
        <v>0</v>
      </c>
      <c r="H42" s="48">
        <f>VLOOKUP($A42,'Channel wise traffic'!$B$2:$P$368,11,FALSE)</f>
        <v>161604</v>
      </c>
      <c r="I42" s="24">
        <f>VLOOKUP($A42,'Channel wise traffic'!$B$2:$P$368,12,FALSE)</f>
        <v>121203</v>
      </c>
      <c r="J42" s="24">
        <f>VLOOKUP($A42,'Channel wise traffic'!$B$2:$P$368,13,FALSE)</f>
        <v>49379</v>
      </c>
      <c r="K42" s="51">
        <f>VLOOKUP($A42,'Channel wise traffic'!$B$2:$P$368,14,FALSE)</f>
        <v>116713</v>
      </c>
      <c r="L42" s="24">
        <f>VLOOKUP($A42,'Channel wise traffic'!$B$2:$P$368,15,FALSE)</f>
        <v>448899</v>
      </c>
      <c r="M42" s="7">
        <f t="shared" si="0"/>
        <v>4.2169323913883797E-2</v>
      </c>
      <c r="N42" s="7">
        <f t="shared" si="2"/>
        <v>0.1840511785869976</v>
      </c>
      <c r="O42" s="7">
        <f t="shared" si="1"/>
        <v>1.0309266749248591E-2</v>
      </c>
      <c r="P42" s="7">
        <f t="shared" si="3"/>
        <v>0.1719690371610445</v>
      </c>
      <c r="Q42" s="7" t="e">
        <f>#REF!/B42</f>
        <v>#REF!</v>
      </c>
      <c r="R42" s="7" t="e">
        <f>#REF!/#REF!</f>
        <v>#REF!</v>
      </c>
      <c r="S42" s="7" t="e">
        <f>#REF!/#REF!</f>
        <v>#REF!</v>
      </c>
      <c r="T42" s="7" t="e">
        <f>C42/#REF!</f>
        <v>#REF!</v>
      </c>
    </row>
    <row r="43" spans="1:20" x14ac:dyDescent="0.3">
      <c r="A43" s="2">
        <v>43506</v>
      </c>
      <c r="B43" s="3">
        <v>46236443</v>
      </c>
      <c r="C43" s="42">
        <v>1799778</v>
      </c>
      <c r="D43" s="48">
        <f>VLOOKUP($A43,'Channel wise traffic'!$B$2:$K$368,7,FALSE)</f>
        <v>0</v>
      </c>
      <c r="E43" s="24">
        <f>VLOOKUP($A43,'Channel wise traffic'!$B$2:$K$368,8,FALSE)</f>
        <v>0</v>
      </c>
      <c r="F43" s="24">
        <f>VLOOKUP($A43,'Channel wise traffic'!$B$2:$K$368,9,FALSE)</f>
        <v>0</v>
      </c>
      <c r="G43" s="24">
        <f>VLOOKUP($A43,'Channel wise traffic'!$B$2:$K$368,10,FALSE)</f>
        <v>0</v>
      </c>
      <c r="H43" s="48">
        <f>VLOOKUP($A43,'Channel wise traffic'!$B$2:$P$368,11,FALSE)</f>
        <v>484809</v>
      </c>
      <c r="I43" s="24">
        <f>VLOOKUP($A43,'Channel wise traffic'!$B$2:$P$368,12,FALSE)</f>
        <v>363607</v>
      </c>
      <c r="J43" s="24">
        <f>VLOOKUP($A43,'Channel wise traffic'!$B$2:$P$368,13,FALSE)</f>
        <v>148136</v>
      </c>
      <c r="K43" s="51">
        <f>VLOOKUP($A43,'Channel wise traffic'!$B$2:$P$368,14,FALSE)</f>
        <v>350140</v>
      </c>
      <c r="L43" s="24">
        <f>VLOOKUP($A43,'Channel wise traffic'!$B$2:$P$368,15,FALSE)</f>
        <v>1346692</v>
      </c>
      <c r="M43" s="7">
        <f t="shared" si="0"/>
        <v>3.892552893828792E-2</v>
      </c>
      <c r="N43" s="7">
        <f t="shared" si="2"/>
        <v>-4.9231076440156785E-2</v>
      </c>
      <c r="O43" s="7">
        <f t="shared" si="1"/>
        <v>3.0000011138400229E-2</v>
      </c>
      <c r="P43" s="7">
        <f t="shared" si="3"/>
        <v>-7.6923385166750902E-2</v>
      </c>
      <c r="Q43" s="7" t="e">
        <f>#REF!/B43</f>
        <v>#REF!</v>
      </c>
      <c r="R43" s="7" t="e">
        <f>#REF!/#REF!</f>
        <v>#REF!</v>
      </c>
      <c r="S43" s="7" t="e">
        <f>#REF!/#REF!</f>
        <v>#REF!</v>
      </c>
      <c r="T43" s="7" t="e">
        <f>C43/#REF!</f>
        <v>#REF!</v>
      </c>
    </row>
    <row r="44" spans="1:20" x14ac:dyDescent="0.3">
      <c r="A44" s="2">
        <v>43507</v>
      </c>
      <c r="B44" s="3">
        <v>22368860</v>
      </c>
      <c r="C44" s="42">
        <v>1297491</v>
      </c>
      <c r="D44" s="48">
        <f>VLOOKUP($A44,'Channel wise traffic'!$B$2:$K$368,7,FALSE)</f>
        <v>0</v>
      </c>
      <c r="E44" s="24">
        <f>VLOOKUP($A44,'Channel wise traffic'!$B$2:$K$368,8,FALSE)</f>
        <v>0</v>
      </c>
      <c r="F44" s="24">
        <f>VLOOKUP($A44,'Channel wise traffic'!$B$2:$K$368,9,FALSE)</f>
        <v>0</v>
      </c>
      <c r="G44" s="24">
        <f>VLOOKUP($A44,'Channel wise traffic'!$B$2:$K$368,10,FALSE)</f>
        <v>0</v>
      </c>
      <c r="H44" s="48">
        <f>VLOOKUP($A44,'Channel wise traffic'!$B$2:$P$368,11,FALSE)</f>
        <v>390912</v>
      </c>
      <c r="I44" s="24">
        <f>VLOOKUP($A44,'Channel wise traffic'!$B$2:$P$368,12,FALSE)</f>
        <v>293184</v>
      </c>
      <c r="J44" s="24">
        <f>VLOOKUP($A44,'Channel wise traffic'!$B$2:$P$368,13,FALSE)</f>
        <v>119445</v>
      </c>
      <c r="K44" s="51">
        <f>VLOOKUP($A44,'Channel wise traffic'!$B$2:$P$368,14,FALSE)</f>
        <v>282325</v>
      </c>
      <c r="L44" s="24">
        <f>VLOOKUP($A44,'Channel wise traffic'!$B$2:$P$368,15,FALSE)</f>
        <v>1085866</v>
      </c>
      <c r="M44" s="7">
        <f t="shared" si="0"/>
        <v>5.8004341750093655E-2</v>
      </c>
      <c r="N44" s="7">
        <f t="shared" si="2"/>
        <v>8.2977972200451333E-2</v>
      </c>
      <c r="O44" s="7">
        <f t="shared" si="1"/>
        <v>5.1020408642713067E-2</v>
      </c>
      <c r="P44" s="7">
        <f t="shared" si="3"/>
        <v>3.0406225507084272E-2</v>
      </c>
      <c r="Q44" s="7" t="e">
        <f>#REF!/B44</f>
        <v>#REF!</v>
      </c>
      <c r="R44" s="7" t="e">
        <f>#REF!/#REF!</f>
        <v>#REF!</v>
      </c>
      <c r="S44" s="7" t="e">
        <f>#REF!/#REF!</f>
        <v>#REF!</v>
      </c>
      <c r="T44" s="7" t="e">
        <f>C44/#REF!</f>
        <v>#REF!</v>
      </c>
    </row>
    <row r="45" spans="1:20" x14ac:dyDescent="0.3">
      <c r="A45" s="2">
        <v>43508</v>
      </c>
      <c r="B45" s="3">
        <v>22803207</v>
      </c>
      <c r="C45" s="42">
        <v>1404552</v>
      </c>
      <c r="D45" s="48">
        <f>VLOOKUP($A45,'Channel wise traffic'!$B$2:$K$368,7,FALSE)</f>
        <v>0</v>
      </c>
      <c r="E45" s="24">
        <f>VLOOKUP($A45,'Channel wise traffic'!$B$2:$K$368,8,FALSE)</f>
        <v>0</v>
      </c>
      <c r="F45" s="24">
        <f>VLOOKUP($A45,'Channel wise traffic'!$B$2:$K$368,9,FALSE)</f>
        <v>0</v>
      </c>
      <c r="G45" s="24">
        <f>VLOOKUP($A45,'Channel wise traffic'!$B$2:$K$368,10,FALSE)</f>
        <v>0</v>
      </c>
      <c r="H45" s="48">
        <f>VLOOKUP($A45,'Channel wise traffic'!$B$2:$P$368,11,FALSE)</f>
        <v>156365</v>
      </c>
      <c r="I45" s="24">
        <f>VLOOKUP($A45,'Channel wise traffic'!$B$2:$P$368,12,FALSE)</f>
        <v>117274</v>
      </c>
      <c r="J45" s="24">
        <f>VLOOKUP($A45,'Channel wise traffic'!$B$2:$P$368,13,FALSE)</f>
        <v>47778</v>
      </c>
      <c r="K45" s="51">
        <f>VLOOKUP($A45,'Channel wise traffic'!$B$2:$P$368,14,FALSE)</f>
        <v>112930</v>
      </c>
      <c r="L45" s="24">
        <f>VLOOKUP($A45,'Channel wise traffic'!$B$2:$P$368,15,FALSE)</f>
        <v>434347</v>
      </c>
      <c r="M45" s="7">
        <f t="shared" si="0"/>
        <v>6.1594494142863325E-2</v>
      </c>
      <c r="N45" s="7">
        <f t="shared" si="2"/>
        <v>4.0516023501679044E-2</v>
      </c>
      <c r="O45" s="7">
        <f t="shared" si="1"/>
        <v>1.9417484842767951E-2</v>
      </c>
      <c r="P45" s="7">
        <f t="shared" si="3"/>
        <v>2.0696661547025652E-2</v>
      </c>
      <c r="Q45" s="7" t="e">
        <f>#REF!/B45</f>
        <v>#REF!</v>
      </c>
      <c r="R45" s="7" t="e">
        <f>#REF!/#REF!</f>
        <v>#REF!</v>
      </c>
      <c r="S45" s="7" t="e">
        <f>#REF!/#REF!</f>
        <v>#REF!</v>
      </c>
      <c r="T45" s="7" t="e">
        <f>C45/#REF!</f>
        <v>#REF!</v>
      </c>
    </row>
    <row r="46" spans="1:20" x14ac:dyDescent="0.3">
      <c r="A46" s="2">
        <v>43509</v>
      </c>
      <c r="B46" s="3">
        <v>21717340</v>
      </c>
      <c r="C46" s="42">
        <v>1393232</v>
      </c>
      <c r="D46" s="48">
        <f>VLOOKUP($A46,'Channel wise traffic'!$B$2:$K$368,7,FALSE)</f>
        <v>0</v>
      </c>
      <c r="E46" s="24">
        <f>VLOOKUP($A46,'Channel wise traffic'!$B$2:$K$368,8,FALSE)</f>
        <v>0</v>
      </c>
      <c r="F46" s="24">
        <f>VLOOKUP($A46,'Channel wise traffic'!$B$2:$K$368,9,FALSE)</f>
        <v>0</v>
      </c>
      <c r="G46" s="24">
        <f>VLOOKUP($A46,'Channel wise traffic'!$B$2:$K$368,10,FALSE)</f>
        <v>0</v>
      </c>
      <c r="H46" s="48">
        <f>VLOOKUP($A46,'Channel wise traffic'!$B$2:$P$368,11,FALSE)</f>
        <v>390912</v>
      </c>
      <c r="I46" s="24">
        <f>VLOOKUP($A46,'Channel wise traffic'!$B$2:$P$368,12,FALSE)</f>
        <v>293184</v>
      </c>
      <c r="J46" s="24">
        <f>VLOOKUP($A46,'Channel wise traffic'!$B$2:$P$368,13,FALSE)</f>
        <v>119445</v>
      </c>
      <c r="K46" s="51">
        <f>VLOOKUP($A46,'Channel wise traffic'!$B$2:$P$368,14,FALSE)</f>
        <v>282325</v>
      </c>
      <c r="L46" s="24">
        <f>VLOOKUP($A46,'Channel wise traffic'!$B$2:$P$368,15,FALSE)</f>
        <v>1085866</v>
      </c>
      <c r="M46" s="7">
        <f t="shared" si="0"/>
        <v>6.4152976377401652E-2</v>
      </c>
      <c r="N46" s="7">
        <f t="shared" si="2"/>
        <v>8.7452358707419409E-2</v>
      </c>
      <c r="O46" s="7">
        <f t="shared" si="1"/>
        <v>5.2631578947368363E-2</v>
      </c>
      <c r="P46" s="7">
        <f t="shared" si="3"/>
        <v>3.3079740772048449E-2</v>
      </c>
      <c r="Q46" s="7" t="e">
        <f>#REF!/B46</f>
        <v>#REF!</v>
      </c>
      <c r="R46" s="7" t="e">
        <f>#REF!/#REF!</f>
        <v>#REF!</v>
      </c>
      <c r="S46" s="7" t="e">
        <f>#REF!/#REF!</f>
        <v>#REF!</v>
      </c>
      <c r="T46" s="7" t="e">
        <f>C46/#REF!</f>
        <v>#REF!</v>
      </c>
    </row>
    <row r="47" spans="1:20" x14ac:dyDescent="0.3">
      <c r="A47" s="2">
        <v>43510</v>
      </c>
      <c r="B47" s="3">
        <v>21500167</v>
      </c>
      <c r="C47" s="42">
        <v>1184903</v>
      </c>
      <c r="D47" s="48">
        <f>VLOOKUP($A47,'Channel wise traffic'!$B$2:$K$368,7,FALSE)</f>
        <v>-234547</v>
      </c>
      <c r="E47" s="24">
        <f>VLOOKUP($A47,'Channel wise traffic'!$B$2:$K$368,8,FALSE)</f>
        <v>-175910</v>
      </c>
      <c r="F47" s="24">
        <f>VLOOKUP($A47,'Channel wise traffic'!$B$2:$K$368,9,FALSE)</f>
        <v>-71667</v>
      </c>
      <c r="G47" s="24">
        <f>VLOOKUP($A47,'Channel wise traffic'!$B$2:$K$368,10,FALSE)</f>
        <v>-169395</v>
      </c>
      <c r="H47" s="48">
        <f>VLOOKUP($A47,'Channel wise traffic'!$B$2:$P$368,11,FALSE)</f>
        <v>0</v>
      </c>
      <c r="I47" s="24">
        <f>VLOOKUP($A47,'Channel wise traffic'!$B$2:$P$368,12,FALSE)</f>
        <v>0</v>
      </c>
      <c r="J47" s="24">
        <f>VLOOKUP($A47,'Channel wise traffic'!$B$2:$P$368,13,FALSE)</f>
        <v>0</v>
      </c>
      <c r="K47" s="51">
        <f>VLOOKUP($A47,'Channel wise traffic'!$B$2:$P$368,14,FALSE)</f>
        <v>0</v>
      </c>
      <c r="L47" s="24">
        <f>VLOOKUP($A47,'Channel wise traffic'!$B$2:$P$368,15,FALSE)</f>
        <v>-651519</v>
      </c>
      <c r="M47" s="7">
        <f t="shared" si="0"/>
        <v>5.5111339367736073E-2</v>
      </c>
      <c r="N47" s="7">
        <f t="shared" si="2"/>
        <v>-0.14069092654880477</v>
      </c>
      <c r="O47" s="7">
        <f t="shared" si="1"/>
        <v>-2.9411755411675844E-2</v>
      </c>
      <c r="P47" s="7">
        <f t="shared" si="3"/>
        <v>-0.1146512661343102</v>
      </c>
      <c r="Q47" s="7" t="e">
        <f>#REF!/B47</f>
        <v>#REF!</v>
      </c>
      <c r="R47" s="7" t="e">
        <f>#REF!/#REF!</f>
        <v>#REF!</v>
      </c>
      <c r="S47" s="7" t="e">
        <f>#REF!/#REF!</f>
        <v>#REF!</v>
      </c>
      <c r="T47" s="7" t="e">
        <f>C47/#REF!</f>
        <v>#REF!</v>
      </c>
    </row>
    <row r="48" spans="1:20" x14ac:dyDescent="0.3">
      <c r="A48" s="2">
        <v>43511</v>
      </c>
      <c r="B48" s="3">
        <v>21500167</v>
      </c>
      <c r="C48" s="42">
        <v>1285561</v>
      </c>
      <c r="D48" s="48">
        <f>VLOOKUP($A48,'Channel wise traffic'!$B$2:$K$368,7,FALSE)</f>
        <v>-156364</v>
      </c>
      <c r="E48" s="24">
        <f>VLOOKUP($A48,'Channel wise traffic'!$B$2:$K$368,8,FALSE)</f>
        <v>-117273</v>
      </c>
      <c r="F48" s="24">
        <f>VLOOKUP($A48,'Channel wise traffic'!$B$2:$K$368,9,FALSE)</f>
        <v>-47778</v>
      </c>
      <c r="G48" s="24">
        <f>VLOOKUP($A48,'Channel wise traffic'!$B$2:$K$368,10,FALSE)</f>
        <v>-112930</v>
      </c>
      <c r="H48" s="48">
        <f>VLOOKUP($A48,'Channel wise traffic'!$B$2:$P$368,11,FALSE)</f>
        <v>0</v>
      </c>
      <c r="I48" s="24">
        <f>VLOOKUP($A48,'Channel wise traffic'!$B$2:$P$368,12,FALSE)</f>
        <v>0</v>
      </c>
      <c r="J48" s="24">
        <f>VLOOKUP($A48,'Channel wise traffic'!$B$2:$P$368,13,FALSE)</f>
        <v>0</v>
      </c>
      <c r="K48" s="51">
        <f>VLOOKUP($A48,'Channel wise traffic'!$B$2:$P$368,14,FALSE)</f>
        <v>0</v>
      </c>
      <c r="L48" s="24">
        <f>VLOOKUP($A48,'Channel wise traffic'!$B$2:$P$368,15,FALSE)</f>
        <v>-434345</v>
      </c>
      <c r="M48" s="7">
        <f t="shared" si="0"/>
        <v>5.9793070444522596E-2</v>
      </c>
      <c r="N48" s="7">
        <f t="shared" si="2"/>
        <v>3.1362191919734883E-2</v>
      </c>
      <c r="O48" s="7">
        <f t="shared" si="1"/>
        <v>-1.9801944086928258E-2</v>
      </c>
      <c r="P48" s="7">
        <f t="shared" si="3"/>
        <v>5.2197752992891644E-2</v>
      </c>
      <c r="Q48" s="7" t="e">
        <f>#REF!/B48</f>
        <v>#REF!</v>
      </c>
      <c r="R48" s="7" t="e">
        <f>#REF!/#REF!</f>
        <v>#REF!</v>
      </c>
      <c r="S48" s="7" t="e">
        <f>#REF!/#REF!</f>
        <v>#REF!</v>
      </c>
      <c r="T48" s="7" t="e">
        <f>C48/#REF!</f>
        <v>#REF!</v>
      </c>
    </row>
    <row r="49" spans="1:22" x14ac:dyDescent="0.3">
      <c r="A49" s="2">
        <v>43512</v>
      </c>
      <c r="B49" s="3">
        <v>45787545</v>
      </c>
      <c r="C49" s="42">
        <v>1768503</v>
      </c>
      <c r="D49" s="48">
        <f>VLOOKUP($A49,'Channel wise traffic'!$B$2:$K$368,7,FALSE)</f>
        <v>0</v>
      </c>
      <c r="E49" s="24">
        <f>VLOOKUP($A49,'Channel wise traffic'!$B$2:$K$368,8,FALSE)</f>
        <v>0</v>
      </c>
      <c r="F49" s="24">
        <f>VLOOKUP($A49,'Channel wise traffic'!$B$2:$K$368,9,FALSE)</f>
        <v>0</v>
      </c>
      <c r="G49" s="24">
        <f>VLOOKUP($A49,'Channel wise traffic'!$B$2:$K$368,10,FALSE)</f>
        <v>0</v>
      </c>
      <c r="H49" s="48">
        <f>VLOOKUP($A49,'Channel wise traffic'!$B$2:$P$368,11,FALSE)</f>
        <v>646412</v>
      </c>
      <c r="I49" s="24">
        <f>VLOOKUP($A49,'Channel wise traffic'!$B$2:$P$368,12,FALSE)</f>
        <v>484809</v>
      </c>
      <c r="J49" s="24">
        <f>VLOOKUP($A49,'Channel wise traffic'!$B$2:$P$368,13,FALSE)</f>
        <v>197515</v>
      </c>
      <c r="K49" s="51">
        <f>VLOOKUP($A49,'Channel wise traffic'!$B$2:$P$368,14,FALSE)</f>
        <v>466853</v>
      </c>
      <c r="L49" s="24">
        <f>VLOOKUP($A49,'Channel wise traffic'!$B$2:$P$368,15,FALSE)</f>
        <v>1795589</v>
      </c>
      <c r="M49" s="7">
        <f t="shared" si="0"/>
        <v>3.8624106184334629E-2</v>
      </c>
      <c r="N49" s="7">
        <f t="shared" si="2"/>
        <v>-4.6686155168073507E-2</v>
      </c>
      <c r="O49" s="7">
        <f t="shared" si="1"/>
        <v>4.081632653061229E-2</v>
      </c>
      <c r="P49" s="7">
        <f t="shared" si="3"/>
        <v>-8.4071011828148912E-2</v>
      </c>
      <c r="Q49" s="7" t="e">
        <f>#REF!/B49</f>
        <v>#REF!</v>
      </c>
      <c r="R49" s="7" t="e">
        <f>#REF!/#REF!</f>
        <v>#REF!</v>
      </c>
      <c r="S49" s="7" t="e">
        <f>#REF!/#REF!</f>
        <v>#REF!</v>
      </c>
      <c r="T49" s="7" t="e">
        <f>C49/#REF!</f>
        <v>#REF!</v>
      </c>
    </row>
    <row r="50" spans="1:22" x14ac:dyDescent="0.3">
      <c r="A50" s="2">
        <v>43513</v>
      </c>
      <c r="B50" s="3">
        <v>45338648</v>
      </c>
      <c r="C50" s="42">
        <v>1579683</v>
      </c>
      <c r="D50" s="48">
        <f>VLOOKUP($A50,'Channel wise traffic'!$B$2:$K$368,7,FALSE)</f>
        <v>-323206</v>
      </c>
      <c r="E50" s="24">
        <f>VLOOKUP($A50,'Channel wise traffic'!$B$2:$K$368,8,FALSE)</f>
        <v>-242404</v>
      </c>
      <c r="F50" s="24">
        <f>VLOOKUP($A50,'Channel wise traffic'!$B$2:$K$368,9,FALSE)</f>
        <v>-98757</v>
      </c>
      <c r="G50" s="24">
        <f>VLOOKUP($A50,'Channel wise traffic'!$B$2:$K$368,10,FALSE)</f>
        <v>-233427</v>
      </c>
      <c r="H50" s="48">
        <f>VLOOKUP($A50,'Channel wise traffic'!$B$2:$P$368,11,FALSE)</f>
        <v>0</v>
      </c>
      <c r="I50" s="24">
        <f>VLOOKUP($A50,'Channel wise traffic'!$B$2:$P$368,12,FALSE)</f>
        <v>0</v>
      </c>
      <c r="J50" s="24">
        <f>VLOOKUP($A50,'Channel wise traffic'!$B$2:$P$368,13,FALSE)</f>
        <v>0</v>
      </c>
      <c r="K50" s="51">
        <f>VLOOKUP($A50,'Channel wise traffic'!$B$2:$P$368,14,FALSE)</f>
        <v>0</v>
      </c>
      <c r="L50" s="24">
        <f>VLOOKUP($A50,'Channel wise traffic'!$B$2:$P$368,15,FALSE)</f>
        <v>-897794</v>
      </c>
      <c r="M50" s="7">
        <f t="shared" si="0"/>
        <v>3.4841863833257665E-2</v>
      </c>
      <c r="N50" s="7">
        <f t="shared" si="2"/>
        <v>-0.12229008244350137</v>
      </c>
      <c r="O50" s="7">
        <f t="shared" si="1"/>
        <v>-1.9417475518175187E-2</v>
      </c>
      <c r="P50" s="7">
        <f t="shared" si="3"/>
        <v>-0.10490968822811508</v>
      </c>
      <c r="Q50" s="7" t="e">
        <f>#REF!/B50</f>
        <v>#REF!</v>
      </c>
      <c r="R50" s="7" t="e">
        <f>#REF!/#REF!</f>
        <v>#REF!</v>
      </c>
      <c r="S50" s="7" t="e">
        <f>#REF!/#REF!</f>
        <v>#REF!</v>
      </c>
      <c r="T50" s="7" t="e">
        <f>C50/#REF!</f>
        <v>#REF!</v>
      </c>
    </row>
    <row r="51" spans="1:22" x14ac:dyDescent="0.3">
      <c r="A51" s="2">
        <v>43514</v>
      </c>
      <c r="B51" s="3">
        <v>21717340</v>
      </c>
      <c r="C51" s="42">
        <v>1431960</v>
      </c>
      <c r="D51" s="48">
        <f>VLOOKUP($A51,'Channel wise traffic'!$B$2:$K$368,7,FALSE)</f>
        <v>-234547</v>
      </c>
      <c r="E51" s="24">
        <f>VLOOKUP($A51,'Channel wise traffic'!$B$2:$K$368,8,FALSE)</f>
        <v>-175911</v>
      </c>
      <c r="F51" s="24">
        <f>VLOOKUP($A51,'Channel wise traffic'!$B$2:$K$368,9,FALSE)</f>
        <v>-71667</v>
      </c>
      <c r="G51" s="24">
        <f>VLOOKUP($A51,'Channel wise traffic'!$B$2:$K$368,10,FALSE)</f>
        <v>-169395</v>
      </c>
      <c r="H51" s="48">
        <f>VLOOKUP($A51,'Channel wise traffic'!$B$2:$P$368,11,FALSE)</f>
        <v>0</v>
      </c>
      <c r="I51" s="24">
        <f>VLOOKUP($A51,'Channel wise traffic'!$B$2:$P$368,12,FALSE)</f>
        <v>0</v>
      </c>
      <c r="J51" s="24">
        <f>VLOOKUP($A51,'Channel wise traffic'!$B$2:$P$368,13,FALSE)</f>
        <v>0</v>
      </c>
      <c r="K51" s="51">
        <f>VLOOKUP($A51,'Channel wise traffic'!$B$2:$P$368,14,FALSE)</f>
        <v>0</v>
      </c>
      <c r="L51" s="24">
        <f>VLOOKUP($A51,'Channel wise traffic'!$B$2:$P$368,15,FALSE)</f>
        <v>-651520</v>
      </c>
      <c r="M51" s="7">
        <f t="shared" si="0"/>
        <v>6.5936251861415815E-2</v>
      </c>
      <c r="N51" s="7">
        <f t="shared" si="2"/>
        <v>0.10363771309396363</v>
      </c>
      <c r="O51" s="7">
        <f t="shared" si="1"/>
        <v>-2.9126204911649523E-2</v>
      </c>
      <c r="P51" s="7">
        <f t="shared" si="3"/>
        <v>0.13674683432312817</v>
      </c>
      <c r="Q51" s="7" t="e">
        <f>#REF!/B51</f>
        <v>#REF!</v>
      </c>
      <c r="R51" s="7" t="e">
        <f>#REF!/#REF!</f>
        <v>#REF!</v>
      </c>
      <c r="S51" s="7" t="e">
        <f>#REF!/#REF!</f>
        <v>#REF!</v>
      </c>
      <c r="T51" s="7" t="e">
        <f>C51/#REF!</f>
        <v>#REF!</v>
      </c>
    </row>
    <row r="52" spans="1:22" s="35" customFormat="1" x14ac:dyDescent="0.3">
      <c r="A52" s="36">
        <v>43515</v>
      </c>
      <c r="B52" s="16">
        <v>21934513</v>
      </c>
      <c r="C52" s="47">
        <v>620260</v>
      </c>
      <c r="D52" s="49">
        <f>VLOOKUP($A52,'Channel wise traffic'!$B$2:$K$368,7,FALSE)</f>
        <v>-312730</v>
      </c>
      <c r="E52" s="28">
        <f>VLOOKUP($A52,'Channel wise traffic'!$B$2:$K$368,8,FALSE)</f>
        <v>-234548</v>
      </c>
      <c r="F52" s="28">
        <f>VLOOKUP($A52,'Channel wise traffic'!$B$2:$K$368,9,FALSE)</f>
        <v>-95556</v>
      </c>
      <c r="G52" s="28">
        <f>VLOOKUP($A52,'Channel wise traffic'!$B$2:$K$368,10,FALSE)</f>
        <v>-225860</v>
      </c>
      <c r="H52" s="48">
        <f>VLOOKUP($A52,'Channel wise traffic'!$B$2:$P$368,11,FALSE)</f>
        <v>0</v>
      </c>
      <c r="I52" s="24">
        <f>VLOOKUP($A52,'Channel wise traffic'!$B$2:$P$368,12,FALSE)</f>
        <v>0</v>
      </c>
      <c r="J52" s="24">
        <f>VLOOKUP($A52,'Channel wise traffic'!$B$2:$P$368,13,FALSE)</f>
        <v>0</v>
      </c>
      <c r="K52" s="51">
        <f>VLOOKUP($A52,'Channel wise traffic'!$B$2:$P$368,14,FALSE)</f>
        <v>0</v>
      </c>
      <c r="L52" s="28">
        <f>VLOOKUP($A52,'Channel wise traffic'!$B$2:$P$368,15,FALSE)</f>
        <v>-868694</v>
      </c>
      <c r="M52" s="17">
        <f t="shared" si="0"/>
        <v>2.8277810407735061E-2</v>
      </c>
      <c r="N52" s="34">
        <f t="shared" si="2"/>
        <v>-0.55839299648571217</v>
      </c>
      <c r="O52" s="34">
        <f t="shared" si="1"/>
        <v>-3.809525563663041E-2</v>
      </c>
      <c r="P52" s="17">
        <f t="shared" si="3"/>
        <v>-0.54090360183579034</v>
      </c>
      <c r="Q52" s="17" t="e">
        <f>#REF!/B52</f>
        <v>#REF!</v>
      </c>
      <c r="R52" s="17" t="e">
        <f>#REF!/#REF!</f>
        <v>#REF!</v>
      </c>
      <c r="S52" s="17" t="e">
        <f>#REF!/#REF!</f>
        <v>#REF!</v>
      </c>
      <c r="T52" s="17" t="e">
        <f>C52/#REF!</f>
        <v>#REF!</v>
      </c>
      <c r="U52"/>
      <c r="V52" s="35" t="s">
        <v>40</v>
      </c>
    </row>
    <row r="53" spans="1:22" x14ac:dyDescent="0.3">
      <c r="A53" s="2">
        <v>43516</v>
      </c>
      <c r="B53" s="3">
        <v>22151687</v>
      </c>
      <c r="C53" s="42">
        <v>1222680</v>
      </c>
      <c r="D53" s="48">
        <f>VLOOKUP($A53,'Channel wise traffic'!$B$2:$K$368,7,FALSE)</f>
        <v>0</v>
      </c>
      <c r="E53" s="24">
        <f>VLOOKUP($A53,'Channel wise traffic'!$B$2:$K$368,8,FALSE)</f>
        <v>0</v>
      </c>
      <c r="F53" s="24">
        <f>VLOOKUP($A53,'Channel wise traffic'!$B$2:$K$368,9,FALSE)</f>
        <v>0</v>
      </c>
      <c r="G53" s="24">
        <f>VLOOKUP($A53,'Channel wise traffic'!$B$2:$K$368,10,FALSE)</f>
        <v>0</v>
      </c>
      <c r="H53" s="48">
        <f>VLOOKUP($A53,'Channel wise traffic'!$B$2:$P$368,11,FALSE)</f>
        <v>156365</v>
      </c>
      <c r="I53" s="24">
        <f>VLOOKUP($A53,'Channel wise traffic'!$B$2:$P$368,12,FALSE)</f>
        <v>117274</v>
      </c>
      <c r="J53" s="24">
        <f>VLOOKUP($A53,'Channel wise traffic'!$B$2:$P$368,13,FALSE)</f>
        <v>47778</v>
      </c>
      <c r="K53" s="51">
        <f>VLOOKUP($A53,'Channel wise traffic'!$B$2:$P$368,14,FALSE)</f>
        <v>112930</v>
      </c>
      <c r="L53" s="24">
        <f>VLOOKUP($A53,'Channel wise traffic'!$B$2:$P$368,15,FALSE)</f>
        <v>434347</v>
      </c>
      <c r="M53" s="7">
        <f t="shared" si="0"/>
        <v>5.5195796148618387E-2</v>
      </c>
      <c r="N53" s="7">
        <f t="shared" si="2"/>
        <v>-0.12241464451003137</v>
      </c>
      <c r="O53" s="7">
        <f t="shared" si="1"/>
        <v>2.0000009209230951E-2</v>
      </c>
      <c r="P53" s="7">
        <f t="shared" si="3"/>
        <v>-0.13962220826808736</v>
      </c>
      <c r="Q53" s="7" t="e">
        <f>#REF!/B53</f>
        <v>#REF!</v>
      </c>
      <c r="R53" s="7" t="e">
        <f>#REF!/#REF!</f>
        <v>#REF!</v>
      </c>
      <c r="S53" s="7" t="e">
        <f>#REF!/#REF!</f>
        <v>#REF!</v>
      </c>
      <c r="T53" s="7" t="e">
        <f>C53/#REF!</f>
        <v>#REF!</v>
      </c>
    </row>
    <row r="54" spans="1:22" x14ac:dyDescent="0.3">
      <c r="A54" s="2">
        <v>43517</v>
      </c>
      <c r="B54" s="3">
        <v>20848646</v>
      </c>
      <c r="C54" s="42">
        <v>1149121</v>
      </c>
      <c r="D54" s="48">
        <f>VLOOKUP($A54,'Channel wise traffic'!$B$2:$K$368,7,FALSE)</f>
        <v>-234548</v>
      </c>
      <c r="E54" s="24">
        <f>VLOOKUP($A54,'Channel wise traffic'!$B$2:$K$368,8,FALSE)</f>
        <v>-175911</v>
      </c>
      <c r="F54" s="24">
        <f>VLOOKUP($A54,'Channel wise traffic'!$B$2:$K$368,9,FALSE)</f>
        <v>-71667</v>
      </c>
      <c r="G54" s="24">
        <f>VLOOKUP($A54,'Channel wise traffic'!$B$2:$K$368,10,FALSE)</f>
        <v>-169395</v>
      </c>
      <c r="H54" s="48">
        <f>VLOOKUP($A54,'Channel wise traffic'!$B$2:$P$368,11,FALSE)</f>
        <v>0</v>
      </c>
      <c r="I54" s="24">
        <f>VLOOKUP($A54,'Channel wise traffic'!$B$2:$P$368,12,FALSE)</f>
        <v>0</v>
      </c>
      <c r="J54" s="24">
        <f>VLOOKUP($A54,'Channel wise traffic'!$B$2:$P$368,13,FALSE)</f>
        <v>0</v>
      </c>
      <c r="K54" s="51">
        <f>VLOOKUP($A54,'Channel wise traffic'!$B$2:$P$368,14,FALSE)</f>
        <v>0</v>
      </c>
      <c r="L54" s="24">
        <f>VLOOKUP($A54,'Channel wise traffic'!$B$2:$P$368,15,FALSE)</f>
        <v>-651521</v>
      </c>
      <c r="M54" s="7">
        <f t="shared" si="0"/>
        <v>5.5117296346247138E-2</v>
      </c>
      <c r="N54" s="7">
        <f t="shared" si="2"/>
        <v>-3.019825251518482E-2</v>
      </c>
      <c r="O54" s="7">
        <f t="shared" si="1"/>
        <v>-3.0303066948270674E-2</v>
      </c>
      <c r="P54" s="7">
        <f t="shared" si="3"/>
        <v>1.0808988820465437E-4</v>
      </c>
      <c r="Q54" s="7" t="e">
        <f>#REF!/B54</f>
        <v>#REF!</v>
      </c>
      <c r="R54" s="7" t="e">
        <f>#REF!/#REF!</f>
        <v>#REF!</v>
      </c>
      <c r="S54" s="7" t="e">
        <f>#REF!/#REF!</f>
        <v>#REF!</v>
      </c>
      <c r="T54" s="7" t="e">
        <f>C54/#REF!</f>
        <v>#REF!</v>
      </c>
    </row>
    <row r="55" spans="1:22" x14ac:dyDescent="0.3">
      <c r="A55" s="2">
        <v>43518</v>
      </c>
      <c r="B55" s="3">
        <v>22151687</v>
      </c>
      <c r="C55" s="42">
        <v>1377230</v>
      </c>
      <c r="D55" s="48">
        <f>VLOOKUP($A55,'Channel wise traffic'!$B$2:$K$368,7,FALSE)</f>
        <v>0</v>
      </c>
      <c r="E55" s="24">
        <f>VLOOKUP($A55,'Channel wise traffic'!$B$2:$K$368,8,FALSE)</f>
        <v>0</v>
      </c>
      <c r="F55" s="24">
        <f>VLOOKUP($A55,'Channel wise traffic'!$B$2:$K$368,9,FALSE)</f>
        <v>0</v>
      </c>
      <c r="G55" s="24">
        <f>VLOOKUP($A55,'Channel wise traffic'!$B$2:$K$368,10,FALSE)</f>
        <v>0</v>
      </c>
      <c r="H55" s="48">
        <f>VLOOKUP($A55,'Channel wise traffic'!$B$2:$P$368,11,FALSE)</f>
        <v>234547</v>
      </c>
      <c r="I55" s="24">
        <f>VLOOKUP($A55,'Channel wise traffic'!$B$2:$P$368,12,FALSE)</f>
        <v>175910</v>
      </c>
      <c r="J55" s="24">
        <f>VLOOKUP($A55,'Channel wise traffic'!$B$2:$P$368,13,FALSE)</f>
        <v>71667</v>
      </c>
      <c r="K55" s="51">
        <f>VLOOKUP($A55,'Channel wise traffic'!$B$2:$P$368,14,FALSE)</f>
        <v>169395</v>
      </c>
      <c r="L55" s="24">
        <f>VLOOKUP($A55,'Channel wise traffic'!$B$2:$P$368,15,FALSE)</f>
        <v>651519</v>
      </c>
      <c r="M55" s="7">
        <f t="shared" si="0"/>
        <v>6.2172691407205237E-2</v>
      </c>
      <c r="N55" s="7">
        <f t="shared" si="2"/>
        <v>7.1306612443905903E-2</v>
      </c>
      <c r="O55" s="7">
        <f t="shared" si="1"/>
        <v>3.0303020437004058E-2</v>
      </c>
      <c r="P55" s="7">
        <f t="shared" si="3"/>
        <v>3.9797604387794561E-2</v>
      </c>
      <c r="Q55" s="7" t="e">
        <f>#REF!/B55</f>
        <v>#REF!</v>
      </c>
      <c r="R55" s="7" t="e">
        <f>#REF!/#REF!</f>
        <v>#REF!</v>
      </c>
      <c r="S55" s="7" t="e">
        <f>#REF!/#REF!</f>
        <v>#REF!</v>
      </c>
      <c r="T55" s="7" t="e">
        <f>C55/#REF!</f>
        <v>#REF!</v>
      </c>
    </row>
    <row r="56" spans="1:22" x14ac:dyDescent="0.3">
      <c r="A56" s="2">
        <v>43519</v>
      </c>
      <c r="B56" s="3">
        <v>43094160</v>
      </c>
      <c r="C56" s="42">
        <v>1443732</v>
      </c>
      <c r="D56" s="48">
        <f>VLOOKUP($A56,'Channel wise traffic'!$B$2:$K$368,7,FALSE)</f>
        <v>-969619</v>
      </c>
      <c r="E56" s="24">
        <f>VLOOKUP($A56,'Channel wise traffic'!$B$2:$K$368,8,FALSE)</f>
        <v>-727214</v>
      </c>
      <c r="F56" s="24">
        <f>VLOOKUP($A56,'Channel wise traffic'!$B$2:$K$368,9,FALSE)</f>
        <v>-296273</v>
      </c>
      <c r="G56" s="24">
        <f>VLOOKUP($A56,'Channel wise traffic'!$B$2:$K$368,10,FALSE)</f>
        <v>-700280</v>
      </c>
      <c r="H56" s="48">
        <f>VLOOKUP($A56,'Channel wise traffic'!$B$2:$P$368,11,FALSE)</f>
        <v>0</v>
      </c>
      <c r="I56" s="24">
        <f>VLOOKUP($A56,'Channel wise traffic'!$B$2:$P$368,12,FALSE)</f>
        <v>0</v>
      </c>
      <c r="J56" s="24">
        <f>VLOOKUP($A56,'Channel wise traffic'!$B$2:$P$368,13,FALSE)</f>
        <v>0</v>
      </c>
      <c r="K56" s="51">
        <f>VLOOKUP($A56,'Channel wise traffic'!$B$2:$P$368,14,FALSE)</f>
        <v>0</v>
      </c>
      <c r="L56" s="24">
        <f>VLOOKUP($A56,'Channel wise traffic'!$B$2:$P$368,15,FALSE)</f>
        <v>-2693386</v>
      </c>
      <c r="M56" s="7">
        <f t="shared" si="0"/>
        <v>3.3501801636230989E-2</v>
      </c>
      <c r="N56" s="7">
        <f t="shared" si="2"/>
        <v>-0.18364175802924843</v>
      </c>
      <c r="O56" s="7">
        <f t="shared" si="1"/>
        <v>-5.8823529411764719E-2</v>
      </c>
      <c r="P56" s="7">
        <f t="shared" si="3"/>
        <v>-0.13261936790607654</v>
      </c>
      <c r="Q56" s="7" t="e">
        <f>#REF!/B56</f>
        <v>#REF!</v>
      </c>
      <c r="R56" s="7" t="e">
        <f>#REF!/#REF!</f>
        <v>#REF!</v>
      </c>
      <c r="S56" s="7" t="e">
        <f>#REF!/#REF!</f>
        <v>#REF!</v>
      </c>
      <c r="T56" s="7" t="e">
        <f>C56/#REF!</f>
        <v>#REF!</v>
      </c>
    </row>
    <row r="57" spans="1:22" x14ac:dyDescent="0.3">
      <c r="A57" s="2">
        <v>43520</v>
      </c>
      <c r="B57" s="3">
        <v>44440853</v>
      </c>
      <c r="C57" s="42">
        <v>1644180</v>
      </c>
      <c r="D57" s="48">
        <f>VLOOKUP($A57,'Channel wise traffic'!$B$2:$K$368,7,FALSE)</f>
        <v>-323206</v>
      </c>
      <c r="E57" s="24">
        <f>VLOOKUP($A57,'Channel wise traffic'!$B$2:$K$368,8,FALSE)</f>
        <v>-242405</v>
      </c>
      <c r="F57" s="24">
        <f>VLOOKUP($A57,'Channel wise traffic'!$B$2:$K$368,9,FALSE)</f>
        <v>-98758</v>
      </c>
      <c r="G57" s="24">
        <f>VLOOKUP($A57,'Channel wise traffic'!$B$2:$K$368,10,FALSE)</f>
        <v>-233427</v>
      </c>
      <c r="H57" s="48">
        <f>VLOOKUP($A57,'Channel wise traffic'!$B$2:$P$368,11,FALSE)</f>
        <v>0</v>
      </c>
      <c r="I57" s="24">
        <f>VLOOKUP($A57,'Channel wise traffic'!$B$2:$P$368,12,FALSE)</f>
        <v>0</v>
      </c>
      <c r="J57" s="24">
        <f>VLOOKUP($A57,'Channel wise traffic'!$B$2:$P$368,13,FALSE)</f>
        <v>0</v>
      </c>
      <c r="K57" s="51">
        <f>VLOOKUP($A57,'Channel wise traffic'!$B$2:$P$368,14,FALSE)</f>
        <v>0</v>
      </c>
      <c r="L57" s="24">
        <f>VLOOKUP($A57,'Channel wise traffic'!$B$2:$P$368,15,FALSE)</f>
        <v>-897796</v>
      </c>
      <c r="M57" s="7">
        <f t="shared" si="0"/>
        <v>3.699703963828057E-2</v>
      </c>
      <c r="N57" s="7">
        <f t="shared" si="2"/>
        <v>4.0829077732684294E-2</v>
      </c>
      <c r="O57" s="7">
        <f t="shared" si="1"/>
        <v>-1.9801979979641171E-2</v>
      </c>
      <c r="P57" s="7">
        <f t="shared" si="3"/>
        <v>6.1855927551318857E-2</v>
      </c>
      <c r="Q57" s="7" t="e">
        <f>#REF!/B57</f>
        <v>#REF!</v>
      </c>
      <c r="R57" s="7" t="e">
        <f>#REF!/#REF!</f>
        <v>#REF!</v>
      </c>
      <c r="S57" s="7" t="e">
        <f>#REF!/#REF!</f>
        <v>#REF!</v>
      </c>
      <c r="T57" s="7" t="e">
        <f>C57/#REF!</f>
        <v>#REF!</v>
      </c>
    </row>
    <row r="58" spans="1:22" x14ac:dyDescent="0.3">
      <c r="A58" s="2">
        <v>43521</v>
      </c>
      <c r="B58" s="3">
        <v>21065820</v>
      </c>
      <c r="C58" s="42">
        <v>1271939</v>
      </c>
      <c r="D58" s="48">
        <f>VLOOKUP($A58,'Channel wise traffic'!$B$2:$K$368,7,FALSE)</f>
        <v>-234547</v>
      </c>
      <c r="E58" s="24">
        <f>VLOOKUP($A58,'Channel wise traffic'!$B$2:$K$368,8,FALSE)</f>
        <v>-175910</v>
      </c>
      <c r="F58" s="24">
        <f>VLOOKUP($A58,'Channel wise traffic'!$B$2:$K$368,9,FALSE)</f>
        <v>-71667</v>
      </c>
      <c r="G58" s="24">
        <f>VLOOKUP($A58,'Channel wise traffic'!$B$2:$K$368,10,FALSE)</f>
        <v>-169395</v>
      </c>
      <c r="H58" s="48">
        <f>VLOOKUP($A58,'Channel wise traffic'!$B$2:$P$368,11,FALSE)</f>
        <v>0</v>
      </c>
      <c r="I58" s="24">
        <f>VLOOKUP($A58,'Channel wise traffic'!$B$2:$P$368,12,FALSE)</f>
        <v>0</v>
      </c>
      <c r="J58" s="24">
        <f>VLOOKUP($A58,'Channel wise traffic'!$B$2:$P$368,13,FALSE)</f>
        <v>0</v>
      </c>
      <c r="K58" s="51">
        <f>VLOOKUP($A58,'Channel wise traffic'!$B$2:$P$368,14,FALSE)</f>
        <v>0</v>
      </c>
      <c r="L58" s="24">
        <f>VLOOKUP($A58,'Channel wise traffic'!$B$2:$P$368,15,FALSE)</f>
        <v>-651519</v>
      </c>
      <c r="M58" s="7">
        <f t="shared" si="0"/>
        <v>6.0379277901358691E-2</v>
      </c>
      <c r="N58" s="7">
        <f t="shared" si="2"/>
        <v>-0.11174962987792958</v>
      </c>
      <c r="O58" s="7">
        <f t="shared" si="1"/>
        <v>-2.9999990790768982E-2</v>
      </c>
      <c r="P58" s="7">
        <f t="shared" si="3"/>
        <v>-8.427797764023226E-2</v>
      </c>
      <c r="Q58" s="7" t="e">
        <f>#REF!/B58</f>
        <v>#REF!</v>
      </c>
      <c r="R58" s="7" t="e">
        <f>#REF!/#REF!</f>
        <v>#REF!</v>
      </c>
      <c r="S58" s="7" t="e">
        <f>#REF!/#REF!</f>
        <v>#REF!</v>
      </c>
      <c r="T58" s="7" t="e">
        <f>C58/#REF!</f>
        <v>#REF!</v>
      </c>
    </row>
    <row r="59" spans="1:22" x14ac:dyDescent="0.3">
      <c r="A59" s="15">
        <v>43522</v>
      </c>
      <c r="B59" s="16">
        <v>22368860</v>
      </c>
      <c r="C59" s="46">
        <v>1364832</v>
      </c>
      <c r="D59" s="48">
        <f>VLOOKUP($A59,'Channel wise traffic'!$B$2:$K$368,7,FALSE)</f>
        <v>0</v>
      </c>
      <c r="E59" s="24">
        <f>VLOOKUP($A59,'Channel wise traffic'!$B$2:$K$368,8,FALSE)</f>
        <v>0</v>
      </c>
      <c r="F59" s="24">
        <f>VLOOKUP($A59,'Channel wise traffic'!$B$2:$K$368,9,FALSE)</f>
        <v>0</v>
      </c>
      <c r="G59" s="24">
        <f>VLOOKUP($A59,'Channel wise traffic'!$B$2:$K$368,10,FALSE)</f>
        <v>0</v>
      </c>
      <c r="H59" s="48">
        <f>VLOOKUP($A59,'Channel wise traffic'!$B$2:$P$368,11,FALSE)</f>
        <v>156365</v>
      </c>
      <c r="I59" s="24">
        <f>VLOOKUP($A59,'Channel wise traffic'!$B$2:$P$368,12,FALSE)</f>
        <v>117274</v>
      </c>
      <c r="J59" s="24">
        <f>VLOOKUP($A59,'Channel wise traffic'!$B$2:$P$368,13,FALSE)</f>
        <v>47778</v>
      </c>
      <c r="K59" s="51">
        <f>VLOOKUP($A59,'Channel wise traffic'!$B$2:$P$368,14,FALSE)</f>
        <v>112930</v>
      </c>
      <c r="L59" s="24">
        <f>VLOOKUP($A59,'Channel wise traffic'!$B$2:$P$368,15,FALSE)</f>
        <v>434347</v>
      </c>
      <c r="M59" s="17">
        <f t="shared" si="0"/>
        <v>6.1014821497385206E-2</v>
      </c>
      <c r="N59" s="13">
        <f t="shared" si="2"/>
        <v>1.2004191790539451</v>
      </c>
      <c r="O59" s="13">
        <f t="shared" si="1"/>
        <v>1.9801989677181275E-2</v>
      </c>
      <c r="P59" s="17">
        <f t="shared" si="3"/>
        <v>1.157692572996929</v>
      </c>
      <c r="Q59" s="17" t="e">
        <f>#REF!/B59</f>
        <v>#REF!</v>
      </c>
      <c r="R59" s="17" t="e">
        <f>#REF!/#REF!</f>
        <v>#REF!</v>
      </c>
      <c r="S59" s="17" t="e">
        <f>#REF!/#REF!</f>
        <v>#REF!</v>
      </c>
      <c r="T59" s="17" t="e">
        <f>C59/#REF!</f>
        <v>#REF!</v>
      </c>
    </row>
    <row r="60" spans="1:22" x14ac:dyDescent="0.3">
      <c r="A60" s="2">
        <v>43523</v>
      </c>
      <c r="B60" s="3">
        <v>21500167</v>
      </c>
      <c r="C60" s="42">
        <v>1323241</v>
      </c>
      <c r="D60" s="48">
        <f>VLOOKUP($A60,'Channel wise traffic'!$B$2:$K$368,7,FALSE)</f>
        <v>-234547</v>
      </c>
      <c r="E60" s="24">
        <f>VLOOKUP($A60,'Channel wise traffic'!$B$2:$K$368,8,FALSE)</f>
        <v>-175910</v>
      </c>
      <c r="F60" s="24">
        <f>VLOOKUP($A60,'Channel wise traffic'!$B$2:$K$368,9,FALSE)</f>
        <v>-71667</v>
      </c>
      <c r="G60" s="24">
        <f>VLOOKUP($A60,'Channel wise traffic'!$B$2:$K$368,10,FALSE)</f>
        <v>-169395</v>
      </c>
      <c r="H60" s="48">
        <f>VLOOKUP($A60,'Channel wise traffic'!$B$2:$P$368,11,FALSE)</f>
        <v>0</v>
      </c>
      <c r="I60" s="24">
        <f>VLOOKUP($A60,'Channel wise traffic'!$B$2:$P$368,12,FALSE)</f>
        <v>0</v>
      </c>
      <c r="J60" s="24">
        <f>VLOOKUP($A60,'Channel wise traffic'!$B$2:$P$368,13,FALSE)</f>
        <v>0</v>
      </c>
      <c r="K60" s="51">
        <f>VLOOKUP($A60,'Channel wise traffic'!$B$2:$P$368,14,FALSE)</f>
        <v>0</v>
      </c>
      <c r="L60" s="24">
        <f>VLOOKUP($A60,'Channel wise traffic'!$B$2:$P$368,15,FALSE)</f>
        <v>-651519</v>
      </c>
      <c r="M60" s="7">
        <f t="shared" si="0"/>
        <v>6.1545614971269758E-2</v>
      </c>
      <c r="N60" s="7">
        <f t="shared" si="2"/>
        <v>8.2246376811594191E-2</v>
      </c>
      <c r="O60" s="7">
        <f t="shared" si="1"/>
        <v>-2.9411755411675844E-2</v>
      </c>
      <c r="P60" s="7">
        <f t="shared" si="3"/>
        <v>0.11504171088598958</v>
      </c>
      <c r="Q60" s="7" t="e">
        <f>#REF!/B60</f>
        <v>#REF!</v>
      </c>
      <c r="R60" s="7" t="e">
        <f>#REF!/#REF!</f>
        <v>#REF!</v>
      </c>
      <c r="S60" s="7" t="e">
        <f>#REF!/#REF!</f>
        <v>#REF!</v>
      </c>
      <c r="T60" s="7" t="e">
        <f>C60/#REF!</f>
        <v>#REF!</v>
      </c>
    </row>
    <row r="61" spans="1:22" x14ac:dyDescent="0.3">
      <c r="A61" s="15">
        <v>43524</v>
      </c>
      <c r="B61" s="16">
        <v>22586034</v>
      </c>
      <c r="C61" s="46">
        <v>1405660</v>
      </c>
      <c r="D61" s="48">
        <f>VLOOKUP($A61,'Channel wise traffic'!$B$2:$K$368,7,FALSE)</f>
        <v>0</v>
      </c>
      <c r="E61" s="24">
        <f>VLOOKUP($A61,'Channel wise traffic'!$B$2:$K$368,8,FALSE)</f>
        <v>0</v>
      </c>
      <c r="F61" s="24">
        <f>VLOOKUP($A61,'Channel wise traffic'!$B$2:$K$368,9,FALSE)</f>
        <v>0</v>
      </c>
      <c r="G61" s="24">
        <f>VLOOKUP($A61,'Channel wise traffic'!$B$2:$K$368,10,FALSE)</f>
        <v>0</v>
      </c>
      <c r="H61" s="48">
        <f>VLOOKUP($A61,'Channel wise traffic'!$B$2:$P$368,11,FALSE)</f>
        <v>625460</v>
      </c>
      <c r="I61" s="24">
        <f>VLOOKUP($A61,'Channel wise traffic'!$B$2:$P$368,12,FALSE)</f>
        <v>469095</v>
      </c>
      <c r="J61" s="24">
        <f>VLOOKUP($A61,'Channel wise traffic'!$B$2:$P$368,13,FALSE)</f>
        <v>191112</v>
      </c>
      <c r="K61" s="51">
        <f>VLOOKUP($A61,'Channel wise traffic'!$B$2:$P$368,14,FALSE)</f>
        <v>451720</v>
      </c>
      <c r="L61" s="24">
        <f>VLOOKUP($A61,'Channel wise traffic'!$B$2:$P$368,15,FALSE)</f>
        <v>1737387</v>
      </c>
      <c r="M61" s="17">
        <f t="shared" si="0"/>
        <v>6.2235804656984049E-2</v>
      </c>
      <c r="N61" s="13">
        <f t="shared" si="2"/>
        <v>0.22324803045110131</v>
      </c>
      <c r="O61" s="13">
        <f t="shared" si="1"/>
        <v>8.3333373303954517E-2</v>
      </c>
      <c r="P61" s="17">
        <f t="shared" si="3"/>
        <v>0.12915198644756454</v>
      </c>
      <c r="Q61" s="17" t="e">
        <f>#REF!/B61</f>
        <v>#REF!</v>
      </c>
      <c r="R61" s="17" t="e">
        <f>#REF!/#REF!</f>
        <v>#REF!</v>
      </c>
      <c r="S61" s="17" t="e">
        <f>#REF!/#REF!</f>
        <v>#REF!</v>
      </c>
      <c r="T61" s="17" t="e">
        <f>C61/#REF!</f>
        <v>#REF!</v>
      </c>
    </row>
    <row r="62" spans="1:22" x14ac:dyDescent="0.3">
      <c r="A62" s="2">
        <v>43525</v>
      </c>
      <c r="B62" s="3">
        <v>22368860</v>
      </c>
      <c r="C62" s="42">
        <v>1458532</v>
      </c>
      <c r="D62" s="48">
        <f>VLOOKUP($A62,'Channel wise traffic'!$B$2:$K$368,7,FALSE)</f>
        <v>0</v>
      </c>
      <c r="E62" s="24">
        <f>VLOOKUP($A62,'Channel wise traffic'!$B$2:$K$368,8,FALSE)</f>
        <v>0</v>
      </c>
      <c r="F62" s="24">
        <f>VLOOKUP($A62,'Channel wise traffic'!$B$2:$K$368,9,FALSE)</f>
        <v>0</v>
      </c>
      <c r="G62" s="24">
        <f>VLOOKUP($A62,'Channel wise traffic'!$B$2:$K$368,10,FALSE)</f>
        <v>0</v>
      </c>
      <c r="H62" s="48">
        <f>VLOOKUP($A62,'Channel wise traffic'!$B$2:$P$368,11,FALSE)</f>
        <v>78182</v>
      </c>
      <c r="I62" s="24">
        <f>VLOOKUP($A62,'Channel wise traffic'!$B$2:$P$368,12,FALSE)</f>
        <v>58637</v>
      </c>
      <c r="J62" s="24">
        <f>VLOOKUP($A62,'Channel wise traffic'!$B$2:$P$368,13,FALSE)</f>
        <v>23889</v>
      </c>
      <c r="K62" s="51">
        <f>VLOOKUP($A62,'Channel wise traffic'!$B$2:$P$368,14,FALSE)</f>
        <v>56465</v>
      </c>
      <c r="L62" s="24">
        <f>VLOOKUP($A62,'Channel wise traffic'!$B$2:$P$368,15,FALSE)</f>
        <v>217173</v>
      </c>
      <c r="M62" s="7">
        <f t="shared" si="0"/>
        <v>6.5203680473658474E-2</v>
      </c>
      <c r="N62" s="7">
        <f t="shared" si="2"/>
        <v>5.9032986501891482E-2</v>
      </c>
      <c r="O62" s="7">
        <f t="shared" si="1"/>
        <v>9.80390342279569E-3</v>
      </c>
      <c r="P62" s="7">
        <f t="shared" si="3"/>
        <v>4.8751131692233107E-2</v>
      </c>
      <c r="Q62" s="7" t="e">
        <f>#REF!/B62</f>
        <v>#REF!</v>
      </c>
      <c r="R62" s="7" t="e">
        <f>#REF!/#REF!</f>
        <v>#REF!</v>
      </c>
      <c r="S62" s="7" t="e">
        <f>#REF!/#REF!</f>
        <v>#REF!</v>
      </c>
      <c r="T62" s="7" t="e">
        <f>C62/#REF!</f>
        <v>#REF!</v>
      </c>
    </row>
    <row r="63" spans="1:22" x14ac:dyDescent="0.3">
      <c r="A63" s="15">
        <v>43526</v>
      </c>
      <c r="B63" s="16">
        <v>46685340</v>
      </c>
      <c r="C63" s="46">
        <v>900972</v>
      </c>
      <c r="D63" s="48">
        <f>VLOOKUP($A63,'Channel wise traffic'!$B$2:$K$368,7,FALSE)</f>
        <v>0</v>
      </c>
      <c r="E63" s="24">
        <f>VLOOKUP($A63,'Channel wise traffic'!$B$2:$K$368,8,FALSE)</f>
        <v>0</v>
      </c>
      <c r="F63" s="24">
        <f>VLOOKUP($A63,'Channel wise traffic'!$B$2:$K$368,9,FALSE)</f>
        <v>0</v>
      </c>
      <c r="G63" s="24">
        <f>VLOOKUP($A63,'Channel wise traffic'!$B$2:$K$368,10,FALSE)</f>
        <v>0</v>
      </c>
      <c r="H63" s="48">
        <f>VLOOKUP($A63,'Channel wise traffic'!$B$2:$P$368,11,FALSE)</f>
        <v>1292825</v>
      </c>
      <c r="I63" s="24">
        <f>VLOOKUP($A63,'Channel wise traffic'!$B$2:$P$368,12,FALSE)</f>
        <v>969619</v>
      </c>
      <c r="J63" s="24">
        <f>VLOOKUP($A63,'Channel wise traffic'!$B$2:$P$368,13,FALSE)</f>
        <v>395030</v>
      </c>
      <c r="K63" s="51">
        <f>VLOOKUP($A63,'Channel wise traffic'!$B$2:$P$368,14,FALSE)</f>
        <v>933707</v>
      </c>
      <c r="L63" s="24">
        <f>VLOOKUP($A63,'Channel wise traffic'!$B$2:$P$368,15,FALSE)</f>
        <v>3591181</v>
      </c>
      <c r="M63" s="17">
        <f t="shared" si="0"/>
        <v>1.9298820571939712E-2</v>
      </c>
      <c r="N63" s="13">
        <f t="shared" si="2"/>
        <v>-0.37594234941110949</v>
      </c>
      <c r="O63" s="13">
        <f t="shared" si="1"/>
        <v>8.3333333333333259E-2</v>
      </c>
      <c r="P63" s="17">
        <f t="shared" si="3"/>
        <v>-0.42394678407179354</v>
      </c>
      <c r="Q63" s="17" t="e">
        <f>#REF!/B63</f>
        <v>#REF!</v>
      </c>
      <c r="R63" s="17" t="e">
        <f>#REF!/#REF!</f>
        <v>#REF!</v>
      </c>
      <c r="S63" s="17" t="e">
        <f>#REF!/#REF!</f>
        <v>#REF!</v>
      </c>
      <c r="T63" s="17" t="e">
        <f>C63/#REF!</f>
        <v>#REF!</v>
      </c>
    </row>
    <row r="64" spans="1:22" x14ac:dyDescent="0.3">
      <c r="A64" s="2">
        <v>43527</v>
      </c>
      <c r="B64" s="3">
        <v>43991955</v>
      </c>
      <c r="C64" s="42">
        <v>1694106</v>
      </c>
      <c r="D64" s="48">
        <f>VLOOKUP($A64,'Channel wise traffic'!$B$2:$K$368,7,FALSE)</f>
        <v>-161603</v>
      </c>
      <c r="E64" s="24">
        <f>VLOOKUP($A64,'Channel wise traffic'!$B$2:$K$368,8,FALSE)</f>
        <v>-121202</v>
      </c>
      <c r="F64" s="24">
        <f>VLOOKUP($A64,'Channel wise traffic'!$B$2:$K$368,9,FALSE)</f>
        <v>-49378</v>
      </c>
      <c r="G64" s="24">
        <f>VLOOKUP($A64,'Channel wise traffic'!$B$2:$K$368,10,FALSE)</f>
        <v>-116713</v>
      </c>
      <c r="H64" s="48">
        <f>VLOOKUP($A64,'Channel wise traffic'!$B$2:$P$368,11,FALSE)</f>
        <v>0</v>
      </c>
      <c r="I64" s="24">
        <f>VLOOKUP($A64,'Channel wise traffic'!$B$2:$P$368,12,FALSE)</f>
        <v>0</v>
      </c>
      <c r="J64" s="24">
        <f>VLOOKUP($A64,'Channel wise traffic'!$B$2:$P$368,13,FALSE)</f>
        <v>0</v>
      </c>
      <c r="K64" s="51">
        <f>VLOOKUP($A64,'Channel wise traffic'!$B$2:$P$368,14,FALSE)</f>
        <v>0</v>
      </c>
      <c r="L64" s="24">
        <f>VLOOKUP($A64,'Channel wise traffic'!$B$2:$P$368,15,FALSE)</f>
        <v>-448896</v>
      </c>
      <c r="M64" s="7">
        <f t="shared" si="0"/>
        <v>3.8509450193791116E-2</v>
      </c>
      <c r="N64" s="7">
        <f t="shared" si="2"/>
        <v>3.03652884720651E-2</v>
      </c>
      <c r="O64" s="7">
        <f t="shared" si="1"/>
        <v>-1.0101021238273722E-2</v>
      </c>
      <c r="P64" s="7">
        <f t="shared" si="3"/>
        <v>4.0879231697923846E-2</v>
      </c>
      <c r="Q64" s="7" t="e">
        <f>#REF!/B64</f>
        <v>#REF!</v>
      </c>
      <c r="R64" s="7" t="e">
        <f>#REF!/#REF!</f>
        <v>#REF!</v>
      </c>
      <c r="S64" s="7" t="e">
        <f>#REF!/#REF!</f>
        <v>#REF!</v>
      </c>
      <c r="T64" s="7" t="e">
        <f>C64/#REF!</f>
        <v>#REF!</v>
      </c>
    </row>
    <row r="65" spans="1:20" x14ac:dyDescent="0.3">
      <c r="A65" s="2">
        <v>43528</v>
      </c>
      <c r="B65" s="3">
        <v>21717340</v>
      </c>
      <c r="C65" s="42">
        <v>1375592</v>
      </c>
      <c r="D65" s="48">
        <f>VLOOKUP($A65,'Channel wise traffic'!$B$2:$K$368,7,FALSE)</f>
        <v>0</v>
      </c>
      <c r="E65" s="24">
        <f>VLOOKUP($A65,'Channel wise traffic'!$B$2:$K$368,8,FALSE)</f>
        <v>0</v>
      </c>
      <c r="F65" s="24">
        <f>VLOOKUP($A65,'Channel wise traffic'!$B$2:$K$368,9,FALSE)</f>
        <v>0</v>
      </c>
      <c r="G65" s="24">
        <f>VLOOKUP($A65,'Channel wise traffic'!$B$2:$K$368,10,FALSE)</f>
        <v>0</v>
      </c>
      <c r="H65" s="48">
        <f>VLOOKUP($A65,'Channel wise traffic'!$B$2:$P$368,11,FALSE)</f>
        <v>234547</v>
      </c>
      <c r="I65" s="24">
        <f>VLOOKUP($A65,'Channel wise traffic'!$B$2:$P$368,12,FALSE)</f>
        <v>175910</v>
      </c>
      <c r="J65" s="24">
        <f>VLOOKUP($A65,'Channel wise traffic'!$B$2:$P$368,13,FALSE)</f>
        <v>71667</v>
      </c>
      <c r="K65" s="51">
        <f>VLOOKUP($A65,'Channel wise traffic'!$B$2:$P$368,14,FALSE)</f>
        <v>169395</v>
      </c>
      <c r="L65" s="24">
        <f>VLOOKUP($A65,'Channel wise traffic'!$B$2:$P$368,15,FALSE)</f>
        <v>651519</v>
      </c>
      <c r="M65" s="7">
        <f t="shared" si="0"/>
        <v>6.3340722206310721E-2</v>
      </c>
      <c r="N65" s="7">
        <f t="shared" si="2"/>
        <v>8.1492115581014435E-2</v>
      </c>
      <c r="O65" s="7">
        <f t="shared" si="1"/>
        <v>3.0927825263863395E-2</v>
      </c>
      <c r="P65" s="7">
        <f t="shared" si="3"/>
        <v>4.9047362073294742E-2</v>
      </c>
      <c r="Q65" s="7" t="e">
        <f>#REF!/B65</f>
        <v>#REF!</v>
      </c>
      <c r="R65" s="7" t="e">
        <f>#REF!/#REF!</f>
        <v>#REF!</v>
      </c>
      <c r="S65" s="7" t="e">
        <f>#REF!/#REF!</f>
        <v>#REF!</v>
      </c>
      <c r="T65" s="7" t="e">
        <f>C65/#REF!</f>
        <v>#REF!</v>
      </c>
    </row>
    <row r="66" spans="1:20" x14ac:dyDescent="0.3">
      <c r="A66" s="2">
        <v>43529</v>
      </c>
      <c r="B66" s="3">
        <v>21717340</v>
      </c>
      <c r="C66" s="42">
        <v>1258566</v>
      </c>
      <c r="D66" s="48">
        <f>VLOOKUP($A66,'Channel wise traffic'!$B$2:$K$368,7,FALSE)</f>
        <v>-234547</v>
      </c>
      <c r="E66" s="24">
        <f>VLOOKUP($A66,'Channel wise traffic'!$B$2:$K$368,8,FALSE)</f>
        <v>-175911</v>
      </c>
      <c r="F66" s="24">
        <f>VLOOKUP($A66,'Channel wise traffic'!$B$2:$K$368,9,FALSE)</f>
        <v>-71667</v>
      </c>
      <c r="G66" s="24">
        <f>VLOOKUP($A66,'Channel wise traffic'!$B$2:$K$368,10,FALSE)</f>
        <v>-169395</v>
      </c>
      <c r="H66" s="48">
        <f>VLOOKUP($A66,'Channel wise traffic'!$B$2:$P$368,11,FALSE)</f>
        <v>0</v>
      </c>
      <c r="I66" s="24">
        <f>VLOOKUP($A66,'Channel wise traffic'!$B$2:$P$368,12,FALSE)</f>
        <v>0</v>
      </c>
      <c r="J66" s="24">
        <f>VLOOKUP($A66,'Channel wise traffic'!$B$2:$P$368,13,FALSE)</f>
        <v>0</v>
      </c>
      <c r="K66" s="51">
        <f>VLOOKUP($A66,'Channel wise traffic'!$B$2:$P$368,14,FALSE)</f>
        <v>0</v>
      </c>
      <c r="L66" s="24">
        <f>VLOOKUP($A66,'Channel wise traffic'!$B$2:$P$368,15,FALSE)</f>
        <v>-651520</v>
      </c>
      <c r="M66" s="7">
        <f t="shared" si="0"/>
        <v>5.7952124891906653E-2</v>
      </c>
      <c r="N66" s="7">
        <f t="shared" si="2"/>
        <v>-7.7860132236055479E-2</v>
      </c>
      <c r="O66" s="7">
        <f t="shared" si="1"/>
        <v>-2.9126204911649523E-2</v>
      </c>
      <c r="P66" s="7">
        <f t="shared" si="3"/>
        <v>-5.019594469533617E-2</v>
      </c>
      <c r="Q66" s="7" t="e">
        <f>#REF!/B66</f>
        <v>#REF!</v>
      </c>
      <c r="R66" s="7" t="e">
        <f>#REF!/#REF!</f>
        <v>#REF!</v>
      </c>
      <c r="S66" s="7" t="e">
        <f>#REF!/#REF!</f>
        <v>#REF!</v>
      </c>
      <c r="T66" s="7" t="e">
        <f>C66/#REF!</f>
        <v>#REF!</v>
      </c>
    </row>
    <row r="67" spans="1:20" x14ac:dyDescent="0.3">
      <c r="A67" s="2">
        <v>43530</v>
      </c>
      <c r="B67" s="3">
        <v>21065820</v>
      </c>
      <c r="C67" s="42">
        <v>1104608</v>
      </c>
      <c r="D67" s="48">
        <f>VLOOKUP($A67,'Channel wise traffic'!$B$2:$K$368,7,FALSE)</f>
        <v>-156365</v>
      </c>
      <c r="E67" s="24">
        <f>VLOOKUP($A67,'Channel wise traffic'!$B$2:$K$368,8,FALSE)</f>
        <v>-117274</v>
      </c>
      <c r="F67" s="24">
        <f>VLOOKUP($A67,'Channel wise traffic'!$B$2:$K$368,9,FALSE)</f>
        <v>-47778</v>
      </c>
      <c r="G67" s="24">
        <f>VLOOKUP($A67,'Channel wise traffic'!$B$2:$K$368,10,FALSE)</f>
        <v>-112930</v>
      </c>
      <c r="H67" s="48">
        <f>VLOOKUP($A67,'Channel wise traffic'!$B$2:$P$368,11,FALSE)</f>
        <v>0</v>
      </c>
      <c r="I67" s="24">
        <f>VLOOKUP($A67,'Channel wise traffic'!$B$2:$P$368,12,FALSE)</f>
        <v>0</v>
      </c>
      <c r="J67" s="24">
        <f>VLOOKUP($A67,'Channel wise traffic'!$B$2:$P$368,13,FALSE)</f>
        <v>0</v>
      </c>
      <c r="K67" s="51">
        <f>VLOOKUP($A67,'Channel wise traffic'!$B$2:$P$368,14,FALSE)</f>
        <v>0</v>
      </c>
      <c r="L67" s="24">
        <f>VLOOKUP($A67,'Channel wise traffic'!$B$2:$P$368,15,FALSE)</f>
        <v>-434347</v>
      </c>
      <c r="M67" s="7">
        <f t="shared" ref="M67:M130" si="4">C67/B67</f>
        <v>5.2436031448099336E-2</v>
      </c>
      <c r="N67" s="7">
        <f t="shared" si="2"/>
        <v>-0.16522538222440208</v>
      </c>
      <c r="O67" s="7">
        <f t="shared" si="1"/>
        <v>-2.0202029128424948E-2</v>
      </c>
      <c r="P67" s="7">
        <f t="shared" si="3"/>
        <v>-0.14801352667323064</v>
      </c>
      <c r="Q67" s="7" t="e">
        <f>#REF!/B67</f>
        <v>#REF!</v>
      </c>
      <c r="R67" s="7" t="e">
        <f>#REF!/#REF!</f>
        <v>#REF!</v>
      </c>
      <c r="S67" s="7" t="e">
        <f>#REF!/#REF!</f>
        <v>#REF!</v>
      </c>
      <c r="T67" s="7" t="e">
        <f>C67/#REF!</f>
        <v>#REF!</v>
      </c>
    </row>
    <row r="68" spans="1:20" x14ac:dyDescent="0.3">
      <c r="A68" s="2">
        <v>43531</v>
      </c>
      <c r="B68" s="3">
        <v>21717340</v>
      </c>
      <c r="C68" s="42">
        <v>1221549</v>
      </c>
      <c r="D68" s="48">
        <f>VLOOKUP($A68,'Channel wise traffic'!$B$2:$K$368,7,FALSE)</f>
        <v>-312730</v>
      </c>
      <c r="E68" s="24">
        <f>VLOOKUP($A68,'Channel wise traffic'!$B$2:$K$368,8,FALSE)</f>
        <v>-234548</v>
      </c>
      <c r="F68" s="24">
        <f>VLOOKUP($A68,'Channel wise traffic'!$B$2:$K$368,9,FALSE)</f>
        <v>-95556</v>
      </c>
      <c r="G68" s="24">
        <f>VLOOKUP($A68,'Channel wise traffic'!$B$2:$K$368,10,FALSE)</f>
        <v>-225860</v>
      </c>
      <c r="H68" s="48">
        <f>VLOOKUP($A68,'Channel wise traffic'!$B$2:$P$368,11,FALSE)</f>
        <v>0</v>
      </c>
      <c r="I68" s="24">
        <f>VLOOKUP($A68,'Channel wise traffic'!$B$2:$P$368,12,FALSE)</f>
        <v>0</v>
      </c>
      <c r="J68" s="24">
        <f>VLOOKUP($A68,'Channel wise traffic'!$B$2:$P$368,13,FALSE)</f>
        <v>0</v>
      </c>
      <c r="K68" s="51">
        <f>VLOOKUP($A68,'Channel wise traffic'!$B$2:$P$368,14,FALSE)</f>
        <v>0</v>
      </c>
      <c r="L68" s="24">
        <f>VLOOKUP($A68,'Channel wise traffic'!$B$2:$P$368,15,FALSE)</f>
        <v>-868694</v>
      </c>
      <c r="M68" s="7">
        <f t="shared" si="4"/>
        <v>5.624763437879593E-2</v>
      </c>
      <c r="N68" s="7">
        <f t="shared" si="2"/>
        <v>-0.13097833046398133</v>
      </c>
      <c r="O68" s="7">
        <f t="shared" si="1"/>
        <v>-3.8461555490441612E-2</v>
      </c>
      <c r="P68" s="7">
        <f t="shared" si="3"/>
        <v>-9.6217447676498091E-2</v>
      </c>
      <c r="Q68" s="7" t="e">
        <f>#REF!/B68</f>
        <v>#REF!</v>
      </c>
      <c r="R68" s="7" t="e">
        <f>#REF!/#REF!</f>
        <v>#REF!</v>
      </c>
      <c r="S68" s="7" t="e">
        <f>#REF!/#REF!</f>
        <v>#REF!</v>
      </c>
      <c r="T68" s="7" t="e">
        <f>C68/#REF!</f>
        <v>#REF!</v>
      </c>
    </row>
    <row r="69" spans="1:20" x14ac:dyDescent="0.3">
      <c r="A69" s="2">
        <v>43532</v>
      </c>
      <c r="B69" s="3">
        <v>21717340</v>
      </c>
      <c r="C69" s="42">
        <v>1390539</v>
      </c>
      <c r="D69" s="48">
        <f>VLOOKUP($A69,'Channel wise traffic'!$B$2:$K$368,7,FALSE)</f>
        <v>-234547</v>
      </c>
      <c r="E69" s="24">
        <f>VLOOKUP($A69,'Channel wise traffic'!$B$2:$K$368,8,FALSE)</f>
        <v>-175911</v>
      </c>
      <c r="F69" s="24">
        <f>VLOOKUP($A69,'Channel wise traffic'!$B$2:$K$368,9,FALSE)</f>
        <v>-71667</v>
      </c>
      <c r="G69" s="24">
        <f>VLOOKUP($A69,'Channel wise traffic'!$B$2:$K$368,10,FALSE)</f>
        <v>-169395</v>
      </c>
      <c r="H69" s="48">
        <f>VLOOKUP($A69,'Channel wise traffic'!$B$2:$P$368,11,FALSE)</f>
        <v>0</v>
      </c>
      <c r="I69" s="24">
        <f>VLOOKUP($A69,'Channel wise traffic'!$B$2:$P$368,12,FALSE)</f>
        <v>0</v>
      </c>
      <c r="J69" s="24">
        <f>VLOOKUP($A69,'Channel wise traffic'!$B$2:$P$368,13,FALSE)</f>
        <v>0</v>
      </c>
      <c r="K69" s="51">
        <f>VLOOKUP($A69,'Channel wise traffic'!$B$2:$P$368,14,FALSE)</f>
        <v>0</v>
      </c>
      <c r="L69" s="24">
        <f>VLOOKUP($A69,'Channel wise traffic'!$B$2:$P$368,15,FALSE)</f>
        <v>-651520</v>
      </c>
      <c r="M69" s="7">
        <f t="shared" si="4"/>
        <v>6.402897408246129E-2</v>
      </c>
      <c r="N69" s="7">
        <f t="shared" si="2"/>
        <v>-4.6617420803931608E-2</v>
      </c>
      <c r="O69" s="7">
        <f t="shared" si="1"/>
        <v>-2.9126204911649523E-2</v>
      </c>
      <c r="P69" s="7">
        <f t="shared" si="3"/>
        <v>-1.8015952207970032E-2</v>
      </c>
      <c r="Q69" s="7" t="e">
        <f>#REF!/B69</f>
        <v>#REF!</v>
      </c>
      <c r="R69" s="7" t="e">
        <f>#REF!/#REF!</f>
        <v>#REF!</v>
      </c>
      <c r="S69" s="7" t="e">
        <f>#REF!/#REF!</f>
        <v>#REF!</v>
      </c>
      <c r="T69" s="7" t="e">
        <f>C69/#REF!</f>
        <v>#REF!</v>
      </c>
    </row>
    <row r="70" spans="1:20" x14ac:dyDescent="0.3">
      <c r="A70" s="15">
        <v>43533</v>
      </c>
      <c r="B70" s="16">
        <v>46685340</v>
      </c>
      <c r="C70" s="46">
        <v>1820150</v>
      </c>
      <c r="D70" s="48">
        <f>VLOOKUP($A70,'Channel wise traffic'!$B$2:$K$368,7,FALSE)</f>
        <v>0</v>
      </c>
      <c r="E70" s="24">
        <f>VLOOKUP($A70,'Channel wise traffic'!$B$2:$K$368,8,FALSE)</f>
        <v>0</v>
      </c>
      <c r="F70" s="24">
        <f>VLOOKUP($A70,'Channel wise traffic'!$B$2:$K$368,9,FALSE)</f>
        <v>0</v>
      </c>
      <c r="G70" s="24">
        <f>VLOOKUP($A70,'Channel wise traffic'!$B$2:$K$368,10,FALSE)</f>
        <v>0</v>
      </c>
      <c r="H70" s="48">
        <f>VLOOKUP($A70,'Channel wise traffic'!$B$2:$P$368,11,FALSE)</f>
        <v>0</v>
      </c>
      <c r="I70" s="24">
        <f>VLOOKUP($A70,'Channel wise traffic'!$B$2:$P$368,12,FALSE)</f>
        <v>0</v>
      </c>
      <c r="J70" s="24">
        <f>VLOOKUP($A70,'Channel wise traffic'!$B$2:$P$368,13,FALSE)</f>
        <v>0</v>
      </c>
      <c r="K70" s="51">
        <f>VLOOKUP($A70,'Channel wise traffic'!$B$2:$P$368,14,FALSE)</f>
        <v>0</v>
      </c>
      <c r="L70" s="24">
        <f>VLOOKUP($A70,'Channel wise traffic'!$B$2:$P$368,15,FALSE)</f>
        <v>0</v>
      </c>
      <c r="M70" s="17">
        <f t="shared" si="4"/>
        <v>3.8987613670586958E-2</v>
      </c>
      <c r="N70" s="13">
        <f t="shared" si="2"/>
        <v>1.0202070652584099</v>
      </c>
      <c r="O70" s="13">
        <f t="shared" si="1"/>
        <v>0</v>
      </c>
      <c r="P70" s="17">
        <f t="shared" si="3"/>
        <v>1.0202070652584103</v>
      </c>
      <c r="Q70" s="17" t="e">
        <f>#REF!/B70</f>
        <v>#REF!</v>
      </c>
      <c r="R70" s="17" t="e">
        <f>#REF!/#REF!</f>
        <v>#REF!</v>
      </c>
      <c r="S70" s="17" t="e">
        <f>#REF!/#REF!</f>
        <v>#REF!</v>
      </c>
      <c r="T70" s="17" t="e">
        <f>C70/#REF!</f>
        <v>#REF!</v>
      </c>
    </row>
    <row r="71" spans="1:20" x14ac:dyDescent="0.3">
      <c r="A71" s="2">
        <v>43534</v>
      </c>
      <c r="B71" s="3">
        <v>46236443</v>
      </c>
      <c r="C71" s="42">
        <v>1711650</v>
      </c>
      <c r="D71" s="48">
        <f>VLOOKUP($A71,'Channel wise traffic'!$B$2:$K$368,7,FALSE)</f>
        <v>0</v>
      </c>
      <c r="E71" s="24">
        <f>VLOOKUP($A71,'Channel wise traffic'!$B$2:$K$368,8,FALSE)</f>
        <v>0</v>
      </c>
      <c r="F71" s="24">
        <f>VLOOKUP($A71,'Channel wise traffic'!$B$2:$K$368,9,FALSE)</f>
        <v>0</v>
      </c>
      <c r="G71" s="24">
        <f>VLOOKUP($A71,'Channel wise traffic'!$B$2:$K$368,10,FALSE)</f>
        <v>0</v>
      </c>
      <c r="H71" s="48">
        <f>VLOOKUP($A71,'Channel wise traffic'!$B$2:$P$368,11,FALSE)</f>
        <v>808015</v>
      </c>
      <c r="I71" s="24">
        <f>VLOOKUP($A71,'Channel wise traffic'!$B$2:$P$368,12,FALSE)</f>
        <v>606011</v>
      </c>
      <c r="J71" s="24">
        <f>VLOOKUP($A71,'Channel wise traffic'!$B$2:$P$368,13,FALSE)</f>
        <v>246893</v>
      </c>
      <c r="K71" s="51">
        <f>VLOOKUP($A71,'Channel wise traffic'!$B$2:$P$368,14,FALSE)</f>
        <v>583567</v>
      </c>
      <c r="L71" s="24">
        <f>VLOOKUP($A71,'Channel wise traffic'!$B$2:$P$368,15,FALSE)</f>
        <v>2244486</v>
      </c>
      <c r="M71" s="7">
        <f t="shared" si="4"/>
        <v>3.7019499964562587E-2</v>
      </c>
      <c r="N71" s="7">
        <f t="shared" si="2"/>
        <v>1.0355904530176874E-2</v>
      </c>
      <c r="O71" s="7">
        <f t="shared" si="1"/>
        <v>5.1020419528979843E-2</v>
      </c>
      <c r="P71" s="7">
        <f t="shared" si="3"/>
        <v>-3.8690508997938244E-2</v>
      </c>
      <c r="Q71" s="7" t="e">
        <f>#REF!/B71</f>
        <v>#REF!</v>
      </c>
      <c r="R71" s="7" t="e">
        <f>#REF!/#REF!</f>
        <v>#REF!</v>
      </c>
      <c r="S71" s="7" t="e">
        <f>#REF!/#REF!</f>
        <v>#REF!</v>
      </c>
      <c r="T71" s="7" t="e">
        <f>C71/#REF!</f>
        <v>#REF!</v>
      </c>
    </row>
    <row r="72" spans="1:20" x14ac:dyDescent="0.3">
      <c r="A72" s="2">
        <v>43535</v>
      </c>
      <c r="B72" s="3">
        <v>21282993</v>
      </c>
      <c r="C72" s="42">
        <v>1220679</v>
      </c>
      <c r="D72" s="48">
        <f>VLOOKUP($A72,'Channel wise traffic'!$B$2:$K$368,7,FALSE)</f>
        <v>-156365</v>
      </c>
      <c r="E72" s="24">
        <f>VLOOKUP($A72,'Channel wise traffic'!$B$2:$K$368,8,FALSE)</f>
        <v>-117273</v>
      </c>
      <c r="F72" s="24">
        <f>VLOOKUP($A72,'Channel wise traffic'!$B$2:$K$368,9,FALSE)</f>
        <v>-47778</v>
      </c>
      <c r="G72" s="24">
        <f>VLOOKUP($A72,'Channel wise traffic'!$B$2:$K$368,10,FALSE)</f>
        <v>-112930</v>
      </c>
      <c r="H72" s="48">
        <f>VLOOKUP($A72,'Channel wise traffic'!$B$2:$P$368,11,FALSE)</f>
        <v>0</v>
      </c>
      <c r="I72" s="24">
        <f>VLOOKUP($A72,'Channel wise traffic'!$B$2:$P$368,12,FALSE)</f>
        <v>0</v>
      </c>
      <c r="J72" s="24">
        <f>VLOOKUP($A72,'Channel wise traffic'!$B$2:$P$368,13,FALSE)</f>
        <v>0</v>
      </c>
      <c r="K72" s="51">
        <f>VLOOKUP($A72,'Channel wise traffic'!$B$2:$P$368,14,FALSE)</f>
        <v>0</v>
      </c>
      <c r="L72" s="24">
        <f>VLOOKUP($A72,'Channel wise traffic'!$B$2:$P$368,15,FALSE)</f>
        <v>-434346</v>
      </c>
      <c r="M72" s="7">
        <f t="shared" si="4"/>
        <v>5.735466811458332E-2</v>
      </c>
      <c r="N72" s="7">
        <f t="shared" si="2"/>
        <v>-0.11261551390237801</v>
      </c>
      <c r="O72" s="7">
        <f t="shared" si="1"/>
        <v>-2.0000009209230951E-2</v>
      </c>
      <c r="P72" s="7">
        <f t="shared" si="3"/>
        <v>-9.4505617921909368E-2</v>
      </c>
      <c r="Q72" s="7" t="e">
        <f>#REF!/B72</f>
        <v>#REF!</v>
      </c>
      <c r="R72" s="7" t="e">
        <f>#REF!/#REF!</f>
        <v>#REF!</v>
      </c>
      <c r="S72" s="7" t="e">
        <f>#REF!/#REF!</f>
        <v>#REF!</v>
      </c>
      <c r="T72" s="7" t="e">
        <f>C72/#REF!</f>
        <v>#REF!</v>
      </c>
    </row>
    <row r="73" spans="1:20" x14ac:dyDescent="0.3">
      <c r="A73" s="2">
        <v>43536</v>
      </c>
      <c r="B73" s="3">
        <v>21500167</v>
      </c>
      <c r="C73" s="42">
        <v>1299482</v>
      </c>
      <c r="D73" s="48">
        <f>VLOOKUP($A73,'Channel wise traffic'!$B$2:$K$368,7,FALSE)</f>
        <v>-78182</v>
      </c>
      <c r="E73" s="24">
        <f>VLOOKUP($A73,'Channel wise traffic'!$B$2:$K$368,8,FALSE)</f>
        <v>-58636</v>
      </c>
      <c r="F73" s="24">
        <f>VLOOKUP($A73,'Channel wise traffic'!$B$2:$K$368,9,FALSE)</f>
        <v>-23889</v>
      </c>
      <c r="G73" s="24">
        <f>VLOOKUP($A73,'Channel wise traffic'!$B$2:$K$368,10,FALSE)</f>
        <v>-56465</v>
      </c>
      <c r="H73" s="48">
        <f>VLOOKUP($A73,'Channel wise traffic'!$B$2:$P$368,11,FALSE)</f>
        <v>0</v>
      </c>
      <c r="I73" s="24">
        <f>VLOOKUP($A73,'Channel wise traffic'!$B$2:$P$368,12,FALSE)</f>
        <v>0</v>
      </c>
      <c r="J73" s="24">
        <f>VLOOKUP($A73,'Channel wise traffic'!$B$2:$P$368,13,FALSE)</f>
        <v>0</v>
      </c>
      <c r="K73" s="51">
        <f>VLOOKUP($A73,'Channel wise traffic'!$B$2:$P$368,14,FALSE)</f>
        <v>0</v>
      </c>
      <c r="L73" s="24">
        <f>VLOOKUP($A73,'Channel wise traffic'!$B$2:$P$368,15,FALSE)</f>
        <v>-217172</v>
      </c>
      <c r="M73" s="7">
        <f t="shared" si="4"/>
        <v>6.04405537873264E-2</v>
      </c>
      <c r="N73" s="7">
        <f t="shared" si="2"/>
        <v>3.2510015366695066E-2</v>
      </c>
      <c r="O73" s="7">
        <f t="shared" si="1"/>
        <v>-9.9999815815380311E-3</v>
      </c>
      <c r="P73" s="7">
        <f t="shared" si="3"/>
        <v>4.2939390057935123E-2</v>
      </c>
      <c r="Q73" s="7" t="e">
        <f>#REF!/B73</f>
        <v>#REF!</v>
      </c>
      <c r="R73" s="7" t="e">
        <f>#REF!/#REF!</f>
        <v>#REF!</v>
      </c>
      <c r="S73" s="7" t="e">
        <f>#REF!/#REF!</f>
        <v>#REF!</v>
      </c>
      <c r="T73" s="7" t="e">
        <f>C73/#REF!</f>
        <v>#REF!</v>
      </c>
    </row>
    <row r="74" spans="1:20" x14ac:dyDescent="0.3">
      <c r="A74" s="2">
        <v>43537</v>
      </c>
      <c r="B74" s="3">
        <v>21717340</v>
      </c>
      <c r="C74" s="42">
        <v>1232690</v>
      </c>
      <c r="D74" s="48">
        <f>VLOOKUP($A74,'Channel wise traffic'!$B$2:$K$368,7,FALSE)</f>
        <v>0</v>
      </c>
      <c r="E74" s="24">
        <f>VLOOKUP($A74,'Channel wise traffic'!$B$2:$K$368,8,FALSE)</f>
        <v>0</v>
      </c>
      <c r="F74" s="24">
        <f>VLOOKUP($A74,'Channel wise traffic'!$B$2:$K$368,9,FALSE)</f>
        <v>0</v>
      </c>
      <c r="G74" s="24">
        <f>VLOOKUP($A74,'Channel wise traffic'!$B$2:$K$368,10,FALSE)</f>
        <v>0</v>
      </c>
      <c r="H74" s="48">
        <f>VLOOKUP($A74,'Channel wise traffic'!$B$2:$P$368,11,FALSE)</f>
        <v>234547</v>
      </c>
      <c r="I74" s="24">
        <f>VLOOKUP($A74,'Channel wise traffic'!$B$2:$P$368,12,FALSE)</f>
        <v>175910</v>
      </c>
      <c r="J74" s="24">
        <f>VLOOKUP($A74,'Channel wise traffic'!$B$2:$P$368,13,FALSE)</f>
        <v>71667</v>
      </c>
      <c r="K74" s="51">
        <f>VLOOKUP($A74,'Channel wise traffic'!$B$2:$P$368,14,FALSE)</f>
        <v>169395</v>
      </c>
      <c r="L74" s="24">
        <f>VLOOKUP($A74,'Channel wise traffic'!$B$2:$P$368,15,FALSE)</f>
        <v>651519</v>
      </c>
      <c r="M74" s="7">
        <f t="shared" si="4"/>
        <v>5.6760634589687317E-2</v>
      </c>
      <c r="N74" s="7">
        <f t="shared" si="2"/>
        <v>0.11595244647875091</v>
      </c>
      <c r="O74" s="7">
        <f t="shared" ref="O74:O137" si="5">(B74/B67)-1</f>
        <v>3.0927825263863395E-2</v>
      </c>
      <c r="P74" s="7">
        <f t="shared" si="3"/>
        <v>8.2473883361452227E-2</v>
      </c>
      <c r="Q74" s="7" t="e">
        <f>#REF!/B74</f>
        <v>#REF!</v>
      </c>
      <c r="R74" s="7" t="e">
        <f>#REF!/#REF!</f>
        <v>#REF!</v>
      </c>
      <c r="S74" s="7" t="e">
        <f>#REF!/#REF!</f>
        <v>#REF!</v>
      </c>
      <c r="T74" s="7" t="e">
        <f>C74/#REF!</f>
        <v>#REF!</v>
      </c>
    </row>
    <row r="75" spans="1:20" x14ac:dyDescent="0.3">
      <c r="A75" s="2">
        <v>43538</v>
      </c>
      <c r="B75" s="3">
        <v>22803207</v>
      </c>
      <c r="C75" s="42">
        <v>1268377</v>
      </c>
      <c r="D75" s="48">
        <f>VLOOKUP($A75,'Channel wise traffic'!$B$2:$K$368,7,FALSE)</f>
        <v>0</v>
      </c>
      <c r="E75" s="24">
        <f>VLOOKUP($A75,'Channel wise traffic'!$B$2:$K$368,8,FALSE)</f>
        <v>0</v>
      </c>
      <c r="F75" s="24">
        <f>VLOOKUP($A75,'Channel wise traffic'!$B$2:$K$368,9,FALSE)</f>
        <v>0</v>
      </c>
      <c r="G75" s="24">
        <f>VLOOKUP($A75,'Channel wise traffic'!$B$2:$K$368,10,FALSE)</f>
        <v>0</v>
      </c>
      <c r="H75" s="48">
        <f>VLOOKUP($A75,'Channel wise traffic'!$B$2:$P$368,11,FALSE)</f>
        <v>390912</v>
      </c>
      <c r="I75" s="24">
        <f>VLOOKUP($A75,'Channel wise traffic'!$B$2:$P$368,12,FALSE)</f>
        <v>293185</v>
      </c>
      <c r="J75" s="24">
        <f>VLOOKUP($A75,'Channel wise traffic'!$B$2:$P$368,13,FALSE)</f>
        <v>119445</v>
      </c>
      <c r="K75" s="51">
        <f>VLOOKUP($A75,'Channel wise traffic'!$B$2:$P$368,14,FALSE)</f>
        <v>282325</v>
      </c>
      <c r="L75" s="24">
        <f>VLOOKUP($A75,'Channel wise traffic'!$B$2:$P$368,15,FALSE)</f>
        <v>1085867</v>
      </c>
      <c r="M75" s="7">
        <f t="shared" si="4"/>
        <v>5.5622746397030909E-2</v>
      </c>
      <c r="N75" s="7">
        <f t="shared" ref="N75:N138" si="6">(C75/C68)-1</f>
        <v>3.8334933760332257E-2</v>
      </c>
      <c r="O75" s="7">
        <f t="shared" si="5"/>
        <v>5.0000000000000044E-2</v>
      </c>
      <c r="P75" s="7">
        <f t="shared" ref="P75:P138" si="7">(M75/M68)-1</f>
        <v>-1.1109586894921697E-2</v>
      </c>
      <c r="Q75" s="7" t="e">
        <f>#REF!/B75</f>
        <v>#REF!</v>
      </c>
      <c r="R75" s="7" t="e">
        <f>#REF!/#REF!</f>
        <v>#REF!</v>
      </c>
      <c r="S75" s="7" t="e">
        <f>#REF!/#REF!</f>
        <v>#REF!</v>
      </c>
      <c r="T75" s="7" t="e">
        <f>C75/#REF!</f>
        <v>#REF!</v>
      </c>
    </row>
    <row r="76" spans="1:20" x14ac:dyDescent="0.3">
      <c r="A76" s="2">
        <v>43539</v>
      </c>
      <c r="B76" s="3">
        <v>21500167</v>
      </c>
      <c r="C76" s="42">
        <v>1183818</v>
      </c>
      <c r="D76" s="48">
        <f>VLOOKUP($A76,'Channel wise traffic'!$B$2:$K$368,7,FALSE)</f>
        <v>-78182</v>
      </c>
      <c r="E76" s="24">
        <f>VLOOKUP($A76,'Channel wise traffic'!$B$2:$K$368,8,FALSE)</f>
        <v>-58636</v>
      </c>
      <c r="F76" s="24">
        <f>VLOOKUP($A76,'Channel wise traffic'!$B$2:$K$368,9,FALSE)</f>
        <v>-23889</v>
      </c>
      <c r="G76" s="24">
        <f>VLOOKUP($A76,'Channel wise traffic'!$B$2:$K$368,10,FALSE)</f>
        <v>-56465</v>
      </c>
      <c r="H76" s="48">
        <f>VLOOKUP($A76,'Channel wise traffic'!$B$2:$P$368,11,FALSE)</f>
        <v>0</v>
      </c>
      <c r="I76" s="24">
        <f>VLOOKUP($A76,'Channel wise traffic'!$B$2:$P$368,12,FALSE)</f>
        <v>0</v>
      </c>
      <c r="J76" s="24">
        <f>VLOOKUP($A76,'Channel wise traffic'!$B$2:$P$368,13,FALSE)</f>
        <v>0</v>
      </c>
      <c r="K76" s="51">
        <f>VLOOKUP($A76,'Channel wise traffic'!$B$2:$P$368,14,FALSE)</f>
        <v>0</v>
      </c>
      <c r="L76" s="24">
        <f>VLOOKUP($A76,'Channel wise traffic'!$B$2:$P$368,15,FALSE)</f>
        <v>-217172</v>
      </c>
      <c r="M76" s="7">
        <f t="shared" si="4"/>
        <v>5.5060874643438819E-2</v>
      </c>
      <c r="N76" s="7">
        <f t="shared" si="6"/>
        <v>-0.14866249706049239</v>
      </c>
      <c r="O76" s="7">
        <f t="shared" si="5"/>
        <v>-9.9999815815380311E-3</v>
      </c>
      <c r="P76" s="7">
        <f t="shared" si="7"/>
        <v>-0.14006314434263278</v>
      </c>
      <c r="Q76" s="7" t="e">
        <f>#REF!/B76</f>
        <v>#REF!</v>
      </c>
      <c r="R76" s="7" t="e">
        <f>#REF!/#REF!</f>
        <v>#REF!</v>
      </c>
      <c r="S76" s="7" t="e">
        <f>#REF!/#REF!</f>
        <v>#REF!</v>
      </c>
      <c r="T76" s="7" t="e">
        <f>C76/#REF!</f>
        <v>#REF!</v>
      </c>
    </row>
    <row r="77" spans="1:20" x14ac:dyDescent="0.3">
      <c r="A77" s="2">
        <v>43540</v>
      </c>
      <c r="B77" s="3">
        <v>42645263</v>
      </c>
      <c r="C77" s="42">
        <v>1815781</v>
      </c>
      <c r="D77" s="48">
        <f>VLOOKUP($A77,'Channel wise traffic'!$B$2:$K$368,7,FALSE)</f>
        <v>-1454428</v>
      </c>
      <c r="E77" s="24">
        <f>VLOOKUP($A77,'Channel wise traffic'!$B$2:$K$368,8,FALSE)</f>
        <v>-1090821</v>
      </c>
      <c r="F77" s="24">
        <f>VLOOKUP($A77,'Channel wise traffic'!$B$2:$K$368,9,FALSE)</f>
        <v>-444409</v>
      </c>
      <c r="G77" s="24">
        <f>VLOOKUP($A77,'Channel wise traffic'!$B$2:$K$368,10,FALSE)</f>
        <v>-1050420</v>
      </c>
      <c r="H77" s="48">
        <f>VLOOKUP($A77,'Channel wise traffic'!$B$2:$P$368,11,FALSE)</f>
        <v>0</v>
      </c>
      <c r="I77" s="24">
        <f>VLOOKUP($A77,'Channel wise traffic'!$B$2:$P$368,12,FALSE)</f>
        <v>0</v>
      </c>
      <c r="J77" s="24">
        <f>VLOOKUP($A77,'Channel wise traffic'!$B$2:$P$368,13,FALSE)</f>
        <v>0</v>
      </c>
      <c r="K77" s="51">
        <f>VLOOKUP($A77,'Channel wise traffic'!$B$2:$P$368,14,FALSE)</f>
        <v>0</v>
      </c>
      <c r="L77" s="24">
        <f>VLOOKUP($A77,'Channel wise traffic'!$B$2:$P$368,15,FALSE)</f>
        <v>-4040078</v>
      </c>
      <c r="M77" s="7">
        <f t="shared" si="4"/>
        <v>4.2578726739239479E-2</v>
      </c>
      <c r="N77" s="7">
        <f t="shared" si="6"/>
        <v>-2.4003516193720209E-3</v>
      </c>
      <c r="O77" s="7">
        <f t="shared" si="5"/>
        <v>-8.6538450828461344E-2</v>
      </c>
      <c r="P77" s="7">
        <f t="shared" si="7"/>
        <v>9.2109075948952679E-2</v>
      </c>
      <c r="Q77" s="7" t="e">
        <f>#REF!/B77</f>
        <v>#REF!</v>
      </c>
      <c r="R77" s="7" t="e">
        <f>#REF!/#REF!</f>
        <v>#REF!</v>
      </c>
      <c r="S77" s="7" t="e">
        <f>#REF!/#REF!</f>
        <v>#REF!</v>
      </c>
      <c r="T77" s="7" t="e">
        <f>C77/#REF!</f>
        <v>#REF!</v>
      </c>
    </row>
    <row r="78" spans="1:20" x14ac:dyDescent="0.3">
      <c r="A78" s="2">
        <v>43541</v>
      </c>
      <c r="B78" s="3">
        <v>42645263</v>
      </c>
      <c r="C78" s="42">
        <v>1504514</v>
      </c>
      <c r="D78" s="48">
        <f>VLOOKUP($A78,'Channel wise traffic'!$B$2:$K$368,7,FALSE)</f>
        <v>-1292825</v>
      </c>
      <c r="E78" s="24">
        <f>VLOOKUP($A78,'Channel wise traffic'!$B$2:$K$368,8,FALSE)</f>
        <v>-969618</v>
      </c>
      <c r="F78" s="24">
        <f>VLOOKUP($A78,'Channel wise traffic'!$B$2:$K$368,9,FALSE)</f>
        <v>-395030</v>
      </c>
      <c r="G78" s="24">
        <f>VLOOKUP($A78,'Channel wise traffic'!$B$2:$K$368,10,FALSE)</f>
        <v>-933707</v>
      </c>
      <c r="H78" s="48">
        <f>VLOOKUP($A78,'Channel wise traffic'!$B$2:$P$368,11,FALSE)</f>
        <v>0</v>
      </c>
      <c r="I78" s="24">
        <f>VLOOKUP($A78,'Channel wise traffic'!$B$2:$P$368,12,FALSE)</f>
        <v>0</v>
      </c>
      <c r="J78" s="24">
        <f>VLOOKUP($A78,'Channel wise traffic'!$B$2:$P$368,13,FALSE)</f>
        <v>0</v>
      </c>
      <c r="K78" s="51">
        <f>VLOOKUP($A78,'Channel wise traffic'!$B$2:$P$368,14,FALSE)</f>
        <v>0</v>
      </c>
      <c r="L78" s="24">
        <f>VLOOKUP($A78,'Channel wise traffic'!$B$2:$P$368,15,FALSE)</f>
        <v>-3591180</v>
      </c>
      <c r="M78" s="7">
        <f t="shared" si="4"/>
        <v>3.5279744903906445E-2</v>
      </c>
      <c r="N78" s="7">
        <f t="shared" si="6"/>
        <v>-0.12101539450238075</v>
      </c>
      <c r="O78" s="7">
        <f t="shared" si="5"/>
        <v>-7.7669902072700525E-2</v>
      </c>
      <c r="P78" s="7">
        <f t="shared" si="7"/>
        <v>-4.6995639117804022E-2</v>
      </c>
      <c r="Q78" s="7" t="e">
        <f>#REF!/B78</f>
        <v>#REF!</v>
      </c>
      <c r="R78" s="7" t="e">
        <f>#REF!/#REF!</f>
        <v>#REF!</v>
      </c>
      <c r="S78" s="7" t="e">
        <f>#REF!/#REF!</f>
        <v>#REF!</v>
      </c>
      <c r="T78" s="7" t="e">
        <f>C78/#REF!</f>
        <v>#REF!</v>
      </c>
    </row>
    <row r="79" spans="1:20" x14ac:dyDescent="0.3">
      <c r="A79" s="2">
        <v>43542</v>
      </c>
      <c r="B79" s="3">
        <v>22368860</v>
      </c>
      <c r="C79" s="42">
        <v>1310254</v>
      </c>
      <c r="D79" s="48">
        <f>VLOOKUP($A79,'Channel wise traffic'!$B$2:$K$368,7,FALSE)</f>
        <v>0</v>
      </c>
      <c r="E79" s="24">
        <f>VLOOKUP($A79,'Channel wise traffic'!$B$2:$K$368,8,FALSE)</f>
        <v>0</v>
      </c>
      <c r="F79" s="24">
        <f>VLOOKUP($A79,'Channel wise traffic'!$B$2:$K$368,9,FALSE)</f>
        <v>0</v>
      </c>
      <c r="G79" s="24">
        <f>VLOOKUP($A79,'Channel wise traffic'!$B$2:$K$368,10,FALSE)</f>
        <v>0</v>
      </c>
      <c r="H79" s="48">
        <f>VLOOKUP($A79,'Channel wise traffic'!$B$2:$P$368,11,FALSE)</f>
        <v>390912</v>
      </c>
      <c r="I79" s="24">
        <f>VLOOKUP($A79,'Channel wise traffic'!$B$2:$P$368,12,FALSE)</f>
        <v>293184</v>
      </c>
      <c r="J79" s="24">
        <f>VLOOKUP($A79,'Channel wise traffic'!$B$2:$P$368,13,FALSE)</f>
        <v>119445</v>
      </c>
      <c r="K79" s="51">
        <f>VLOOKUP($A79,'Channel wise traffic'!$B$2:$P$368,14,FALSE)</f>
        <v>282325</v>
      </c>
      <c r="L79" s="24">
        <f>VLOOKUP($A79,'Channel wise traffic'!$B$2:$P$368,15,FALSE)</f>
        <v>1085866</v>
      </c>
      <c r="M79" s="7">
        <f t="shared" si="4"/>
        <v>5.8574911729967462E-2</v>
      </c>
      <c r="N79" s="7">
        <f t="shared" si="6"/>
        <v>7.3381290249115549E-2</v>
      </c>
      <c r="O79" s="7">
        <f t="shared" si="5"/>
        <v>5.1020408642713067E-2</v>
      </c>
      <c r="P79" s="7">
        <f t="shared" si="7"/>
        <v>2.1275401907066005E-2</v>
      </c>
      <c r="Q79" s="7" t="e">
        <f>#REF!/B79</f>
        <v>#REF!</v>
      </c>
      <c r="R79" s="7" t="e">
        <f>#REF!/#REF!</f>
        <v>#REF!</v>
      </c>
      <c r="S79" s="7" t="e">
        <f>#REF!/#REF!</f>
        <v>#REF!</v>
      </c>
      <c r="T79" s="7" t="e">
        <f>C79/#REF!</f>
        <v>#REF!</v>
      </c>
    </row>
    <row r="80" spans="1:20" x14ac:dyDescent="0.3">
      <c r="A80" s="15">
        <v>43543</v>
      </c>
      <c r="B80" s="16">
        <v>21934513</v>
      </c>
      <c r="C80" s="46">
        <v>707578</v>
      </c>
      <c r="D80" s="48">
        <f>VLOOKUP($A80,'Channel wise traffic'!$B$2:$K$368,7,FALSE)</f>
        <v>0</v>
      </c>
      <c r="E80" s="24">
        <f>VLOOKUP($A80,'Channel wise traffic'!$B$2:$K$368,8,FALSE)</f>
        <v>0</v>
      </c>
      <c r="F80" s="24">
        <f>VLOOKUP($A80,'Channel wise traffic'!$B$2:$K$368,9,FALSE)</f>
        <v>0</v>
      </c>
      <c r="G80" s="24">
        <f>VLOOKUP($A80,'Channel wise traffic'!$B$2:$K$368,10,FALSE)</f>
        <v>0</v>
      </c>
      <c r="H80" s="48">
        <f>VLOOKUP($A80,'Channel wise traffic'!$B$2:$P$368,11,FALSE)</f>
        <v>156364</v>
      </c>
      <c r="I80" s="24">
        <f>VLOOKUP($A80,'Channel wise traffic'!$B$2:$P$368,12,FALSE)</f>
        <v>117273</v>
      </c>
      <c r="J80" s="24">
        <f>VLOOKUP($A80,'Channel wise traffic'!$B$2:$P$368,13,FALSE)</f>
        <v>47778</v>
      </c>
      <c r="K80" s="51">
        <f>VLOOKUP($A80,'Channel wise traffic'!$B$2:$P$368,14,FALSE)</f>
        <v>112930</v>
      </c>
      <c r="L80" s="24">
        <f>VLOOKUP($A80,'Channel wise traffic'!$B$2:$P$368,15,FALSE)</f>
        <v>434345</v>
      </c>
      <c r="M80" s="17">
        <f t="shared" si="4"/>
        <v>3.2258660130726403E-2</v>
      </c>
      <c r="N80" s="13">
        <f t="shared" si="6"/>
        <v>-0.45549226537958976</v>
      </c>
      <c r="O80" s="13">
        <f t="shared" si="5"/>
        <v>2.0201982617158221E-2</v>
      </c>
      <c r="P80" s="17">
        <f t="shared" si="7"/>
        <v>-0.46627457709544307</v>
      </c>
      <c r="Q80" s="17" t="e">
        <f>#REF!/B80</f>
        <v>#REF!</v>
      </c>
      <c r="R80" s="17" t="e">
        <f>#REF!/#REF!</f>
        <v>#REF!</v>
      </c>
      <c r="S80" s="17" t="e">
        <f>#REF!/#REF!</f>
        <v>#REF!</v>
      </c>
      <c r="T80" s="17" t="e">
        <f>C80/#REF!</f>
        <v>#REF!</v>
      </c>
    </row>
    <row r="81" spans="1:22" x14ac:dyDescent="0.3">
      <c r="A81" s="2">
        <v>43544</v>
      </c>
      <c r="B81" s="3">
        <v>21282993</v>
      </c>
      <c r="C81" s="42">
        <v>1377825</v>
      </c>
      <c r="D81" s="48">
        <f>VLOOKUP($A81,'Channel wise traffic'!$B$2:$K$368,7,FALSE)</f>
        <v>-156365</v>
      </c>
      <c r="E81" s="24">
        <f>VLOOKUP($A81,'Channel wise traffic'!$B$2:$K$368,8,FALSE)</f>
        <v>-117273</v>
      </c>
      <c r="F81" s="24">
        <f>VLOOKUP($A81,'Channel wise traffic'!$B$2:$K$368,9,FALSE)</f>
        <v>-47778</v>
      </c>
      <c r="G81" s="24">
        <f>VLOOKUP($A81,'Channel wise traffic'!$B$2:$K$368,10,FALSE)</f>
        <v>-112930</v>
      </c>
      <c r="H81" s="48">
        <f>VLOOKUP($A81,'Channel wise traffic'!$B$2:$P$368,11,FALSE)</f>
        <v>0</v>
      </c>
      <c r="I81" s="24">
        <f>VLOOKUP($A81,'Channel wise traffic'!$B$2:$P$368,12,FALSE)</f>
        <v>0</v>
      </c>
      <c r="J81" s="24">
        <f>VLOOKUP($A81,'Channel wise traffic'!$B$2:$P$368,13,FALSE)</f>
        <v>0</v>
      </c>
      <c r="K81" s="51">
        <f>VLOOKUP($A81,'Channel wise traffic'!$B$2:$P$368,14,FALSE)</f>
        <v>0</v>
      </c>
      <c r="L81" s="24">
        <f>VLOOKUP($A81,'Channel wise traffic'!$B$2:$P$368,15,FALSE)</f>
        <v>-434346</v>
      </c>
      <c r="M81" s="7">
        <f t="shared" si="4"/>
        <v>6.4738310067573676E-2</v>
      </c>
      <c r="N81" s="7">
        <f t="shared" si="6"/>
        <v>0.11773844194404104</v>
      </c>
      <c r="O81" s="7">
        <f t="shared" si="5"/>
        <v>-2.0000009209230951E-2</v>
      </c>
      <c r="P81" s="7">
        <f t="shared" si="7"/>
        <v>0.14054944127308611</v>
      </c>
      <c r="Q81" s="7" t="e">
        <f>#REF!/B81</f>
        <v>#REF!</v>
      </c>
      <c r="R81" s="7" t="e">
        <f>#REF!/#REF!</f>
        <v>#REF!</v>
      </c>
      <c r="S81" s="7" t="e">
        <f>#REF!/#REF!</f>
        <v>#REF!</v>
      </c>
      <c r="T81" s="7" t="e">
        <f>C81/#REF!</f>
        <v>#REF!</v>
      </c>
    </row>
    <row r="82" spans="1:22" x14ac:dyDescent="0.3">
      <c r="A82" s="2">
        <v>43545</v>
      </c>
      <c r="B82" s="3">
        <v>21717340</v>
      </c>
      <c r="C82" s="42">
        <v>1234506</v>
      </c>
      <c r="D82" s="48">
        <f>VLOOKUP($A82,'Channel wise traffic'!$B$2:$K$368,7,FALSE)</f>
        <v>-390912</v>
      </c>
      <c r="E82" s="24">
        <f>VLOOKUP($A82,'Channel wise traffic'!$B$2:$K$368,8,FALSE)</f>
        <v>-293185</v>
      </c>
      <c r="F82" s="24">
        <f>VLOOKUP($A82,'Channel wise traffic'!$B$2:$K$368,9,FALSE)</f>
        <v>-119445</v>
      </c>
      <c r="G82" s="24">
        <f>VLOOKUP($A82,'Channel wise traffic'!$B$2:$K$368,10,FALSE)</f>
        <v>-282325</v>
      </c>
      <c r="H82" s="48">
        <f>VLOOKUP($A82,'Channel wise traffic'!$B$2:$P$368,11,FALSE)</f>
        <v>0</v>
      </c>
      <c r="I82" s="24">
        <f>VLOOKUP($A82,'Channel wise traffic'!$B$2:$P$368,12,FALSE)</f>
        <v>0</v>
      </c>
      <c r="J82" s="24">
        <f>VLOOKUP($A82,'Channel wise traffic'!$B$2:$P$368,13,FALSE)</f>
        <v>0</v>
      </c>
      <c r="K82" s="51">
        <f>VLOOKUP($A82,'Channel wise traffic'!$B$2:$P$368,14,FALSE)</f>
        <v>0</v>
      </c>
      <c r="L82" s="24">
        <f>VLOOKUP($A82,'Channel wise traffic'!$B$2:$P$368,15,FALSE)</f>
        <v>-1085867</v>
      </c>
      <c r="M82" s="7">
        <f t="shared" si="4"/>
        <v>5.6844254406847247E-2</v>
      </c>
      <c r="N82" s="7">
        <f t="shared" si="6"/>
        <v>-2.6704205453110585E-2</v>
      </c>
      <c r="O82" s="7">
        <f t="shared" si="5"/>
        <v>-4.7619047619047672E-2</v>
      </c>
      <c r="P82" s="7">
        <f t="shared" si="7"/>
        <v>2.1960584274233863E-2</v>
      </c>
      <c r="Q82" s="7" t="e">
        <f>#REF!/B82</f>
        <v>#REF!</v>
      </c>
      <c r="R82" s="7" t="e">
        <f>#REF!/#REF!</f>
        <v>#REF!</v>
      </c>
      <c r="S82" s="7" t="e">
        <f>#REF!/#REF!</f>
        <v>#REF!</v>
      </c>
      <c r="T82" s="7" t="e">
        <f>C82/#REF!</f>
        <v>#REF!</v>
      </c>
    </row>
    <row r="83" spans="1:22" x14ac:dyDescent="0.3">
      <c r="A83" s="2">
        <v>43546</v>
      </c>
      <c r="B83" s="3">
        <v>21065820</v>
      </c>
      <c r="C83" s="42">
        <v>1361589</v>
      </c>
      <c r="D83" s="48">
        <f>VLOOKUP($A83,'Channel wise traffic'!$B$2:$K$368,7,FALSE)</f>
        <v>-156365</v>
      </c>
      <c r="E83" s="24">
        <f>VLOOKUP($A83,'Channel wise traffic'!$B$2:$K$368,8,FALSE)</f>
        <v>-117274</v>
      </c>
      <c r="F83" s="24">
        <f>VLOOKUP($A83,'Channel wise traffic'!$B$2:$K$368,9,FALSE)</f>
        <v>-47778</v>
      </c>
      <c r="G83" s="24">
        <f>VLOOKUP($A83,'Channel wise traffic'!$B$2:$K$368,10,FALSE)</f>
        <v>-112930</v>
      </c>
      <c r="H83" s="48">
        <f>VLOOKUP($A83,'Channel wise traffic'!$B$2:$P$368,11,FALSE)</f>
        <v>0</v>
      </c>
      <c r="I83" s="24">
        <f>VLOOKUP($A83,'Channel wise traffic'!$B$2:$P$368,12,FALSE)</f>
        <v>0</v>
      </c>
      <c r="J83" s="24">
        <f>VLOOKUP($A83,'Channel wise traffic'!$B$2:$P$368,13,FALSE)</f>
        <v>0</v>
      </c>
      <c r="K83" s="51">
        <f>VLOOKUP($A83,'Channel wise traffic'!$B$2:$P$368,14,FALSE)</f>
        <v>0</v>
      </c>
      <c r="L83" s="24">
        <f>VLOOKUP($A83,'Channel wise traffic'!$B$2:$P$368,15,FALSE)</f>
        <v>-434347</v>
      </c>
      <c r="M83" s="7">
        <f t="shared" si="4"/>
        <v>6.4634986912448691E-2</v>
      </c>
      <c r="N83" s="7">
        <f t="shared" si="6"/>
        <v>0.15016750885693586</v>
      </c>
      <c r="O83" s="7">
        <f t="shared" si="5"/>
        <v>-2.0202029128424948E-2</v>
      </c>
      <c r="P83" s="7">
        <f t="shared" si="7"/>
        <v>0.17388231354858696</v>
      </c>
      <c r="Q83" s="7" t="e">
        <f>#REF!/B83</f>
        <v>#REF!</v>
      </c>
      <c r="R83" s="7" t="e">
        <f>#REF!/#REF!</f>
        <v>#REF!</v>
      </c>
      <c r="S83" s="7" t="e">
        <f>#REF!/#REF!</f>
        <v>#REF!</v>
      </c>
      <c r="T83" s="7" t="e">
        <f>C83/#REF!</f>
        <v>#REF!</v>
      </c>
    </row>
    <row r="84" spans="1:22" x14ac:dyDescent="0.3">
      <c r="A84" s="2">
        <v>43547</v>
      </c>
      <c r="B84" s="3">
        <v>44440853</v>
      </c>
      <c r="C84" s="42">
        <v>1874769</v>
      </c>
      <c r="D84" s="48">
        <f>VLOOKUP($A84,'Channel wise traffic'!$B$2:$K$368,7,FALSE)</f>
        <v>0</v>
      </c>
      <c r="E84" s="24">
        <f>VLOOKUP($A84,'Channel wise traffic'!$B$2:$K$368,8,FALSE)</f>
        <v>0</v>
      </c>
      <c r="F84" s="24">
        <f>VLOOKUP($A84,'Channel wise traffic'!$B$2:$K$368,9,FALSE)</f>
        <v>0</v>
      </c>
      <c r="G84" s="24">
        <f>VLOOKUP($A84,'Channel wise traffic'!$B$2:$K$368,10,FALSE)</f>
        <v>0</v>
      </c>
      <c r="H84" s="48">
        <f>VLOOKUP($A84,'Channel wise traffic'!$B$2:$P$368,11,FALSE)</f>
        <v>646413</v>
      </c>
      <c r="I84" s="24">
        <f>VLOOKUP($A84,'Channel wise traffic'!$B$2:$P$368,12,FALSE)</f>
        <v>484809</v>
      </c>
      <c r="J84" s="24">
        <f>VLOOKUP($A84,'Channel wise traffic'!$B$2:$P$368,13,FALSE)</f>
        <v>197515</v>
      </c>
      <c r="K84" s="51">
        <f>VLOOKUP($A84,'Channel wise traffic'!$B$2:$P$368,14,FALSE)</f>
        <v>466853</v>
      </c>
      <c r="L84" s="24">
        <f>VLOOKUP($A84,'Channel wise traffic'!$B$2:$P$368,15,FALSE)</f>
        <v>1795590</v>
      </c>
      <c r="M84" s="7">
        <f t="shared" si="4"/>
        <v>4.2185711421875723E-2</v>
      </c>
      <c r="N84" s="7">
        <f t="shared" si="6"/>
        <v>3.2486296530253478E-2</v>
      </c>
      <c r="O84" s="7">
        <f t="shared" si="5"/>
        <v>4.2105262664225984E-2</v>
      </c>
      <c r="P84" s="7">
        <f t="shared" si="7"/>
        <v>-9.2303210420231485E-3</v>
      </c>
      <c r="Q84" s="7" t="e">
        <f>#REF!/B84</f>
        <v>#REF!</v>
      </c>
      <c r="R84" s="7" t="e">
        <f>#REF!/#REF!</f>
        <v>#REF!</v>
      </c>
      <c r="S84" s="7" t="e">
        <f>#REF!/#REF!</f>
        <v>#REF!</v>
      </c>
      <c r="T84" s="7" t="e">
        <f>C84/#REF!</f>
        <v>#REF!</v>
      </c>
    </row>
    <row r="85" spans="1:22" x14ac:dyDescent="0.3">
      <c r="A85" s="15">
        <v>43548</v>
      </c>
      <c r="B85" s="16">
        <v>45338648</v>
      </c>
      <c r="C85" s="46">
        <v>1839416</v>
      </c>
      <c r="D85" s="48">
        <f>VLOOKUP($A85,'Channel wise traffic'!$B$2:$K$368,7,FALSE)</f>
        <v>0</v>
      </c>
      <c r="E85" s="24">
        <f>VLOOKUP($A85,'Channel wise traffic'!$B$2:$K$368,8,FALSE)</f>
        <v>0</v>
      </c>
      <c r="F85" s="24">
        <f>VLOOKUP($A85,'Channel wise traffic'!$B$2:$K$368,9,FALSE)</f>
        <v>0</v>
      </c>
      <c r="G85" s="24">
        <f>VLOOKUP($A85,'Channel wise traffic'!$B$2:$K$368,10,FALSE)</f>
        <v>0</v>
      </c>
      <c r="H85" s="48">
        <f>VLOOKUP($A85,'Channel wise traffic'!$B$2:$P$368,11,FALSE)</f>
        <v>969619</v>
      </c>
      <c r="I85" s="24">
        <f>VLOOKUP($A85,'Channel wise traffic'!$B$2:$P$368,12,FALSE)</f>
        <v>727214</v>
      </c>
      <c r="J85" s="24">
        <f>VLOOKUP($A85,'Channel wise traffic'!$B$2:$P$368,13,FALSE)</f>
        <v>296273</v>
      </c>
      <c r="K85" s="51">
        <f>VLOOKUP($A85,'Channel wise traffic'!$B$2:$P$368,14,FALSE)</f>
        <v>700280</v>
      </c>
      <c r="L85" s="24">
        <f>VLOOKUP($A85,'Channel wise traffic'!$B$2:$P$368,15,FALSE)</f>
        <v>2693386</v>
      </c>
      <c r="M85" s="17">
        <f t="shared" si="4"/>
        <v>4.05705966353474E-2</v>
      </c>
      <c r="N85" s="13">
        <f t="shared" si="6"/>
        <v>0.22259812803337153</v>
      </c>
      <c r="O85" s="13">
        <f t="shared" si="5"/>
        <v>6.3157893996339087E-2</v>
      </c>
      <c r="P85" s="17">
        <f t="shared" si="7"/>
        <v>0.14996853706998059</v>
      </c>
      <c r="Q85" s="17" t="e">
        <f>#REF!/B85</f>
        <v>#REF!</v>
      </c>
      <c r="R85" s="17" t="e">
        <f>#REF!/#REF!</f>
        <v>#REF!</v>
      </c>
      <c r="S85" s="17" t="e">
        <f>#REF!/#REF!</f>
        <v>#REF!</v>
      </c>
      <c r="T85" s="17" t="e">
        <f>C85/#REF!</f>
        <v>#REF!</v>
      </c>
    </row>
    <row r="86" spans="1:22" x14ac:dyDescent="0.3">
      <c r="A86" s="2">
        <v>43549</v>
      </c>
      <c r="B86" s="3">
        <v>22368860</v>
      </c>
      <c r="C86" s="42">
        <v>1351986</v>
      </c>
      <c r="D86" s="48">
        <f>VLOOKUP($A86,'Channel wise traffic'!$B$2:$K$368,7,FALSE)</f>
        <v>0</v>
      </c>
      <c r="E86" s="24">
        <f>VLOOKUP($A86,'Channel wise traffic'!$B$2:$K$368,8,FALSE)</f>
        <v>0</v>
      </c>
      <c r="F86" s="24">
        <f>VLOOKUP($A86,'Channel wise traffic'!$B$2:$K$368,9,FALSE)</f>
        <v>0</v>
      </c>
      <c r="G86" s="24">
        <f>VLOOKUP($A86,'Channel wise traffic'!$B$2:$K$368,10,FALSE)</f>
        <v>0</v>
      </c>
      <c r="H86" s="48">
        <f>VLOOKUP($A86,'Channel wise traffic'!$B$2:$P$368,11,FALSE)</f>
        <v>0</v>
      </c>
      <c r="I86" s="24">
        <f>VLOOKUP($A86,'Channel wise traffic'!$B$2:$P$368,12,FALSE)</f>
        <v>0</v>
      </c>
      <c r="J86" s="24">
        <f>VLOOKUP($A86,'Channel wise traffic'!$B$2:$P$368,13,FALSE)</f>
        <v>0</v>
      </c>
      <c r="K86" s="51">
        <f>VLOOKUP($A86,'Channel wise traffic'!$B$2:$P$368,14,FALSE)</f>
        <v>0</v>
      </c>
      <c r="L86" s="24">
        <f>VLOOKUP($A86,'Channel wise traffic'!$B$2:$P$368,15,FALSE)</f>
        <v>0</v>
      </c>
      <c r="M86" s="7">
        <f t="shared" si="4"/>
        <v>6.044054100208951E-2</v>
      </c>
      <c r="N86" s="7">
        <f t="shared" si="6"/>
        <v>3.1850312992747876E-2</v>
      </c>
      <c r="O86" s="7">
        <f t="shared" si="5"/>
        <v>0</v>
      </c>
      <c r="P86" s="7">
        <f t="shared" si="7"/>
        <v>3.1850312992747876E-2</v>
      </c>
      <c r="Q86" s="7" t="e">
        <f>#REF!/B86</f>
        <v>#REF!</v>
      </c>
      <c r="R86" s="7" t="e">
        <f>#REF!/#REF!</f>
        <v>#REF!</v>
      </c>
      <c r="S86" s="7" t="e">
        <f>#REF!/#REF!</f>
        <v>#REF!</v>
      </c>
      <c r="T86" s="7" t="e">
        <f>C86/#REF!</f>
        <v>#REF!</v>
      </c>
    </row>
    <row r="87" spans="1:22" s="35" customFormat="1" x14ac:dyDescent="0.3">
      <c r="A87" s="36">
        <v>43550</v>
      </c>
      <c r="B87" s="16">
        <v>20848646</v>
      </c>
      <c r="C87" s="47">
        <v>1259241</v>
      </c>
      <c r="D87" s="49">
        <f>VLOOKUP($A87,'Channel wise traffic'!$B$2:$K$368,7,FALSE)</f>
        <v>-390912</v>
      </c>
      <c r="E87" s="28">
        <f>VLOOKUP($A87,'Channel wise traffic'!$B$2:$K$368,8,FALSE)</f>
        <v>-293184</v>
      </c>
      <c r="F87" s="28">
        <f>VLOOKUP($A87,'Channel wise traffic'!$B$2:$K$368,9,FALSE)</f>
        <v>-119445</v>
      </c>
      <c r="G87" s="28">
        <f>VLOOKUP($A87,'Channel wise traffic'!$B$2:$K$368,10,FALSE)</f>
        <v>-282325</v>
      </c>
      <c r="H87" s="48">
        <f>VLOOKUP($A87,'Channel wise traffic'!$B$2:$P$368,11,FALSE)</f>
        <v>0</v>
      </c>
      <c r="I87" s="24">
        <f>VLOOKUP($A87,'Channel wise traffic'!$B$2:$P$368,12,FALSE)</f>
        <v>0</v>
      </c>
      <c r="J87" s="24">
        <f>VLOOKUP($A87,'Channel wise traffic'!$B$2:$P$368,13,FALSE)</f>
        <v>0</v>
      </c>
      <c r="K87" s="51">
        <f>VLOOKUP($A87,'Channel wise traffic'!$B$2:$P$368,14,FALSE)</f>
        <v>0</v>
      </c>
      <c r="L87" s="24">
        <f>VLOOKUP($A87,'Channel wise traffic'!$B$2:$P$368,15,FALSE)</f>
        <v>-1085866</v>
      </c>
      <c r="M87" s="17">
        <f t="shared" si="4"/>
        <v>6.0399174123825596E-2</v>
      </c>
      <c r="N87" s="34">
        <f t="shared" si="6"/>
        <v>0.77964973472889199</v>
      </c>
      <c r="O87" s="34">
        <f t="shared" si="5"/>
        <v>-4.9504951397826846E-2</v>
      </c>
      <c r="P87" s="17">
        <f t="shared" si="7"/>
        <v>0.87233982685769784</v>
      </c>
      <c r="Q87" s="17" t="e">
        <f>#REF!/B87</f>
        <v>#REF!</v>
      </c>
      <c r="R87" s="17" t="e">
        <f>#REF!/#REF!</f>
        <v>#REF!</v>
      </c>
      <c r="S87" s="17" t="e">
        <f>#REF!/#REF!</f>
        <v>#REF!</v>
      </c>
      <c r="T87" s="17" t="e">
        <f>C87/#REF!</f>
        <v>#REF!</v>
      </c>
      <c r="U87"/>
      <c r="V87" s="35" t="s">
        <v>40</v>
      </c>
    </row>
    <row r="88" spans="1:22" x14ac:dyDescent="0.3">
      <c r="A88" s="2">
        <v>43551</v>
      </c>
      <c r="B88" s="3">
        <v>20848646</v>
      </c>
      <c r="C88" s="42">
        <v>1150032</v>
      </c>
      <c r="D88" s="48">
        <f>VLOOKUP($A88,'Channel wise traffic'!$B$2:$K$368,7,FALSE)</f>
        <v>-156365</v>
      </c>
      <c r="E88" s="24">
        <f>VLOOKUP($A88,'Channel wise traffic'!$B$2:$K$368,8,FALSE)</f>
        <v>-117274</v>
      </c>
      <c r="F88" s="24">
        <f>VLOOKUP($A88,'Channel wise traffic'!$B$2:$K$368,9,FALSE)</f>
        <v>-47778</v>
      </c>
      <c r="G88" s="24">
        <f>VLOOKUP($A88,'Channel wise traffic'!$B$2:$K$368,10,FALSE)</f>
        <v>-112930</v>
      </c>
      <c r="H88" s="48">
        <f>VLOOKUP($A88,'Channel wise traffic'!$B$2:$P$368,11,FALSE)</f>
        <v>0</v>
      </c>
      <c r="I88" s="24">
        <f>VLOOKUP($A88,'Channel wise traffic'!$B$2:$P$368,12,FALSE)</f>
        <v>0</v>
      </c>
      <c r="J88" s="24">
        <f>VLOOKUP($A88,'Channel wise traffic'!$B$2:$P$368,13,FALSE)</f>
        <v>0</v>
      </c>
      <c r="K88" s="51">
        <f>VLOOKUP($A88,'Channel wise traffic'!$B$2:$P$368,14,FALSE)</f>
        <v>0</v>
      </c>
      <c r="L88" s="24">
        <f>VLOOKUP($A88,'Channel wise traffic'!$B$2:$P$368,15,FALSE)</f>
        <v>-434347</v>
      </c>
      <c r="M88" s="7">
        <f t="shared" si="4"/>
        <v>5.5160992229423438E-2</v>
      </c>
      <c r="N88" s="7">
        <f t="shared" si="6"/>
        <v>-0.16532796254967064</v>
      </c>
      <c r="O88" s="7">
        <f t="shared" si="5"/>
        <v>-2.0408172854259776E-2</v>
      </c>
      <c r="P88" s="7">
        <f t="shared" si="7"/>
        <v>-0.14793895342886554</v>
      </c>
      <c r="Q88" s="7" t="e">
        <f>#REF!/B88</f>
        <v>#REF!</v>
      </c>
      <c r="R88" s="7" t="e">
        <f>#REF!/#REF!</f>
        <v>#REF!</v>
      </c>
      <c r="S88" s="7" t="e">
        <f>#REF!/#REF!</f>
        <v>#REF!</v>
      </c>
      <c r="T88" s="7" t="e">
        <f>C88/#REF!</f>
        <v>#REF!</v>
      </c>
    </row>
    <row r="89" spans="1:22" x14ac:dyDescent="0.3">
      <c r="A89" s="2">
        <v>43552</v>
      </c>
      <c r="B89" s="3">
        <v>21500167</v>
      </c>
      <c r="C89" s="42">
        <v>1311309</v>
      </c>
      <c r="D89" s="48">
        <f>VLOOKUP($A89,'Channel wise traffic'!$B$2:$K$368,7,FALSE)</f>
        <v>-78182</v>
      </c>
      <c r="E89" s="24">
        <f>VLOOKUP($A89,'Channel wise traffic'!$B$2:$K$368,8,FALSE)</f>
        <v>-58636</v>
      </c>
      <c r="F89" s="24">
        <f>VLOOKUP($A89,'Channel wise traffic'!$B$2:$K$368,9,FALSE)</f>
        <v>-23889</v>
      </c>
      <c r="G89" s="24">
        <f>VLOOKUP($A89,'Channel wise traffic'!$B$2:$K$368,10,FALSE)</f>
        <v>-56465</v>
      </c>
      <c r="H89" s="48">
        <f>VLOOKUP($A89,'Channel wise traffic'!$B$2:$P$368,11,FALSE)</f>
        <v>0</v>
      </c>
      <c r="I89" s="24">
        <f>VLOOKUP($A89,'Channel wise traffic'!$B$2:$P$368,12,FALSE)</f>
        <v>0</v>
      </c>
      <c r="J89" s="24">
        <f>VLOOKUP($A89,'Channel wise traffic'!$B$2:$P$368,13,FALSE)</f>
        <v>0</v>
      </c>
      <c r="K89" s="51">
        <f>VLOOKUP($A89,'Channel wise traffic'!$B$2:$P$368,14,FALSE)</f>
        <v>0</v>
      </c>
      <c r="L89" s="24">
        <f>VLOOKUP($A89,'Channel wise traffic'!$B$2:$P$368,15,FALSE)</f>
        <v>-217172</v>
      </c>
      <c r="M89" s="7">
        <f t="shared" si="4"/>
        <v>6.0990642537799823E-2</v>
      </c>
      <c r="N89" s="7">
        <f t="shared" si="6"/>
        <v>6.221354938736634E-2</v>
      </c>
      <c r="O89" s="7">
        <f t="shared" si="5"/>
        <v>-9.9999815815380311E-3</v>
      </c>
      <c r="P89" s="7">
        <f t="shared" si="7"/>
        <v>7.2942959217582981E-2</v>
      </c>
      <c r="Q89" s="7" t="e">
        <f>#REF!/B89</f>
        <v>#REF!</v>
      </c>
      <c r="R89" s="7" t="e">
        <f>#REF!/#REF!</f>
        <v>#REF!</v>
      </c>
      <c r="S89" s="7" t="e">
        <f>#REF!/#REF!</f>
        <v>#REF!</v>
      </c>
      <c r="T89" s="7" t="e">
        <f>C89/#REF!</f>
        <v>#REF!</v>
      </c>
    </row>
    <row r="90" spans="1:22" x14ac:dyDescent="0.3">
      <c r="A90" s="2">
        <v>43553</v>
      </c>
      <c r="B90" s="3">
        <v>22803207</v>
      </c>
      <c r="C90" s="42">
        <v>1390113</v>
      </c>
      <c r="D90" s="48">
        <f>VLOOKUP($A90,'Channel wise traffic'!$B$2:$K$368,7,FALSE)</f>
        <v>0</v>
      </c>
      <c r="E90" s="24">
        <f>VLOOKUP($A90,'Channel wise traffic'!$B$2:$K$368,8,FALSE)</f>
        <v>0</v>
      </c>
      <c r="F90" s="24">
        <f>VLOOKUP($A90,'Channel wise traffic'!$B$2:$K$368,9,FALSE)</f>
        <v>0</v>
      </c>
      <c r="G90" s="24">
        <f>VLOOKUP($A90,'Channel wise traffic'!$B$2:$K$368,10,FALSE)</f>
        <v>0</v>
      </c>
      <c r="H90" s="48">
        <f>VLOOKUP($A90,'Channel wise traffic'!$B$2:$P$368,11,FALSE)</f>
        <v>625459</v>
      </c>
      <c r="I90" s="24">
        <f>VLOOKUP($A90,'Channel wise traffic'!$B$2:$P$368,12,FALSE)</f>
        <v>469095</v>
      </c>
      <c r="J90" s="24">
        <f>VLOOKUP($A90,'Channel wise traffic'!$B$2:$P$368,13,FALSE)</f>
        <v>191112</v>
      </c>
      <c r="K90" s="51">
        <f>VLOOKUP($A90,'Channel wise traffic'!$B$2:$P$368,14,FALSE)</f>
        <v>451720</v>
      </c>
      <c r="L90" s="24">
        <f>VLOOKUP($A90,'Channel wise traffic'!$B$2:$P$368,15,FALSE)</f>
        <v>1737386</v>
      </c>
      <c r="M90" s="7">
        <f t="shared" si="4"/>
        <v>6.0961293733815598E-2</v>
      </c>
      <c r="N90" s="7">
        <f t="shared" si="6"/>
        <v>2.0949052908036059E-2</v>
      </c>
      <c r="O90" s="7">
        <f t="shared" si="5"/>
        <v>8.2474216527056665E-2</v>
      </c>
      <c r="P90" s="7">
        <f t="shared" si="7"/>
        <v>-5.6837532644808841E-2</v>
      </c>
      <c r="Q90" s="7" t="e">
        <f>#REF!/B90</f>
        <v>#REF!</v>
      </c>
      <c r="R90" s="7" t="e">
        <f>#REF!/#REF!</f>
        <v>#REF!</v>
      </c>
      <c r="S90" s="7" t="e">
        <f>#REF!/#REF!</f>
        <v>#REF!</v>
      </c>
      <c r="T90" s="7" t="e">
        <f>C90/#REF!</f>
        <v>#REF!</v>
      </c>
    </row>
    <row r="91" spans="1:22" x14ac:dyDescent="0.3">
      <c r="A91" s="2">
        <v>43554</v>
      </c>
      <c r="B91" s="3">
        <v>44889750</v>
      </c>
      <c r="C91" s="42">
        <v>1748764</v>
      </c>
      <c r="D91" s="48">
        <f>VLOOKUP($A91,'Channel wise traffic'!$B$2:$K$368,7,FALSE)</f>
        <v>0</v>
      </c>
      <c r="E91" s="24">
        <f>VLOOKUP($A91,'Channel wise traffic'!$B$2:$K$368,8,FALSE)</f>
        <v>0</v>
      </c>
      <c r="F91" s="24">
        <f>VLOOKUP($A91,'Channel wise traffic'!$B$2:$K$368,9,FALSE)</f>
        <v>0</v>
      </c>
      <c r="G91" s="24">
        <f>VLOOKUP($A91,'Channel wise traffic'!$B$2:$K$368,10,FALSE)</f>
        <v>0</v>
      </c>
      <c r="H91" s="48">
        <f>VLOOKUP($A91,'Channel wise traffic'!$B$2:$P$368,11,FALSE)</f>
        <v>161603</v>
      </c>
      <c r="I91" s="24">
        <f>VLOOKUP($A91,'Channel wise traffic'!$B$2:$P$368,12,FALSE)</f>
        <v>121202</v>
      </c>
      <c r="J91" s="24">
        <f>VLOOKUP($A91,'Channel wise traffic'!$B$2:$P$368,13,FALSE)</f>
        <v>49379</v>
      </c>
      <c r="K91" s="51">
        <f>VLOOKUP($A91,'Channel wise traffic'!$B$2:$P$368,14,FALSE)</f>
        <v>116714</v>
      </c>
      <c r="L91" s="24">
        <f>VLOOKUP($A91,'Channel wise traffic'!$B$2:$P$368,15,FALSE)</f>
        <v>448898</v>
      </c>
      <c r="M91" s="7">
        <f t="shared" si="4"/>
        <v>3.8956866545258102E-2</v>
      </c>
      <c r="N91" s="7">
        <f t="shared" si="6"/>
        <v>-6.7210947055343917E-2</v>
      </c>
      <c r="O91" s="7">
        <f t="shared" si="5"/>
        <v>1.0100998736455313E-2</v>
      </c>
      <c r="P91" s="7">
        <f t="shared" si="7"/>
        <v>-7.6538827195012704E-2</v>
      </c>
      <c r="Q91" s="7" t="e">
        <f>#REF!/B91</f>
        <v>#REF!</v>
      </c>
      <c r="R91" s="7" t="e">
        <f>#REF!/#REF!</f>
        <v>#REF!</v>
      </c>
      <c r="S91" s="7" t="e">
        <f>#REF!/#REF!</f>
        <v>#REF!</v>
      </c>
      <c r="T91" s="7" t="e">
        <f>C91/#REF!</f>
        <v>#REF!</v>
      </c>
    </row>
    <row r="92" spans="1:22" x14ac:dyDescent="0.3">
      <c r="A92" s="2">
        <v>43555</v>
      </c>
      <c r="B92" s="3">
        <v>42645263</v>
      </c>
      <c r="C92" s="42">
        <v>1640943</v>
      </c>
      <c r="D92" s="48">
        <f>VLOOKUP($A92,'Channel wise traffic'!$B$2:$K$368,7,FALSE)</f>
        <v>-969619</v>
      </c>
      <c r="E92" s="24">
        <f>VLOOKUP($A92,'Channel wise traffic'!$B$2:$K$368,8,FALSE)</f>
        <v>-727214</v>
      </c>
      <c r="F92" s="24">
        <f>VLOOKUP($A92,'Channel wise traffic'!$B$2:$K$368,9,FALSE)</f>
        <v>-296273</v>
      </c>
      <c r="G92" s="24">
        <f>VLOOKUP($A92,'Channel wise traffic'!$B$2:$K$368,10,FALSE)</f>
        <v>-700280</v>
      </c>
      <c r="H92" s="48">
        <f>VLOOKUP($A92,'Channel wise traffic'!$B$2:$P$368,11,FALSE)</f>
        <v>0</v>
      </c>
      <c r="I92" s="24">
        <f>VLOOKUP($A92,'Channel wise traffic'!$B$2:$P$368,12,FALSE)</f>
        <v>0</v>
      </c>
      <c r="J92" s="24">
        <f>VLOOKUP($A92,'Channel wise traffic'!$B$2:$P$368,13,FALSE)</f>
        <v>0</v>
      </c>
      <c r="K92" s="51">
        <f>VLOOKUP($A92,'Channel wise traffic'!$B$2:$P$368,14,FALSE)</f>
        <v>0</v>
      </c>
      <c r="L92" s="24">
        <f>VLOOKUP($A92,'Channel wise traffic'!$B$2:$P$368,15,FALSE)</f>
        <v>-2693386</v>
      </c>
      <c r="M92" s="7">
        <f t="shared" si="4"/>
        <v>3.8478904444791441E-2</v>
      </c>
      <c r="N92" s="7">
        <f t="shared" si="6"/>
        <v>-0.10790000739365102</v>
      </c>
      <c r="O92" s="7">
        <f t="shared" si="5"/>
        <v>-5.9405939938923624E-2</v>
      </c>
      <c r="P92" s="7">
        <f t="shared" si="7"/>
        <v>-5.1556850626484518E-2</v>
      </c>
      <c r="Q92" s="7" t="e">
        <f>#REF!/B92</f>
        <v>#REF!</v>
      </c>
      <c r="R92" s="7" t="e">
        <f>#REF!/#REF!</f>
        <v>#REF!</v>
      </c>
      <c r="S92" s="7" t="e">
        <f>#REF!/#REF!</f>
        <v>#REF!</v>
      </c>
      <c r="T92" s="7" t="e">
        <f>C92/#REF!</f>
        <v>#REF!</v>
      </c>
    </row>
    <row r="93" spans="1:22" x14ac:dyDescent="0.3">
      <c r="A93" s="2">
        <v>43556</v>
      </c>
      <c r="B93" s="3">
        <v>21065820</v>
      </c>
      <c r="C93" s="42">
        <v>1363225</v>
      </c>
      <c r="D93" s="48">
        <f>VLOOKUP($A93,'Channel wise traffic'!$B$2:$K$368,7,FALSE)</f>
        <v>-469094</v>
      </c>
      <c r="E93" s="24">
        <f>VLOOKUP($A93,'Channel wise traffic'!$B$2:$K$368,8,FALSE)</f>
        <v>-351821</v>
      </c>
      <c r="F93" s="24">
        <f>VLOOKUP($A93,'Channel wise traffic'!$B$2:$K$368,9,FALSE)</f>
        <v>-143334</v>
      </c>
      <c r="G93" s="24">
        <f>VLOOKUP($A93,'Channel wise traffic'!$B$2:$K$368,10,FALSE)</f>
        <v>-338790</v>
      </c>
      <c r="H93" s="48">
        <f>VLOOKUP($A93,'Channel wise traffic'!$B$2:$P$368,11,FALSE)</f>
        <v>0</v>
      </c>
      <c r="I93" s="24">
        <f>VLOOKUP($A93,'Channel wise traffic'!$B$2:$P$368,12,FALSE)</f>
        <v>0</v>
      </c>
      <c r="J93" s="24">
        <f>VLOOKUP($A93,'Channel wise traffic'!$B$2:$P$368,13,FALSE)</f>
        <v>0</v>
      </c>
      <c r="K93" s="51">
        <f>VLOOKUP($A93,'Channel wise traffic'!$B$2:$P$368,14,FALSE)</f>
        <v>0</v>
      </c>
      <c r="L93" s="24">
        <f>VLOOKUP($A93,'Channel wise traffic'!$B$2:$P$368,15,FALSE)</f>
        <v>-1303039</v>
      </c>
      <c r="M93" s="7">
        <f t="shared" si="4"/>
        <v>6.4712648261496586E-2</v>
      </c>
      <c r="N93" s="7">
        <f t="shared" si="6"/>
        <v>8.3129559033894296E-3</v>
      </c>
      <c r="O93" s="7">
        <f t="shared" si="5"/>
        <v>-5.8252409823299045E-2</v>
      </c>
      <c r="P93" s="7">
        <f t="shared" si="7"/>
        <v>7.068280972632901E-2</v>
      </c>
      <c r="Q93" s="7" t="e">
        <f>#REF!/B93</f>
        <v>#REF!</v>
      </c>
      <c r="R93" s="7" t="e">
        <f>#REF!/#REF!</f>
        <v>#REF!</v>
      </c>
      <c r="S93" s="7" t="e">
        <f>#REF!/#REF!</f>
        <v>#REF!</v>
      </c>
      <c r="T93" s="7" t="e">
        <f>C93/#REF!</f>
        <v>#REF!</v>
      </c>
    </row>
    <row r="94" spans="1:22" x14ac:dyDescent="0.3">
      <c r="A94" s="2">
        <v>43557</v>
      </c>
      <c r="B94" s="3">
        <v>22803207</v>
      </c>
      <c r="C94" s="42">
        <v>1309458</v>
      </c>
      <c r="D94" s="48">
        <f>VLOOKUP($A94,'Channel wise traffic'!$B$2:$K$368,7,FALSE)</f>
        <v>0</v>
      </c>
      <c r="E94" s="24">
        <f>VLOOKUP($A94,'Channel wise traffic'!$B$2:$K$368,8,FALSE)</f>
        <v>0</v>
      </c>
      <c r="F94" s="24">
        <f>VLOOKUP($A94,'Channel wise traffic'!$B$2:$K$368,9,FALSE)</f>
        <v>0</v>
      </c>
      <c r="G94" s="24">
        <f>VLOOKUP($A94,'Channel wise traffic'!$B$2:$K$368,10,FALSE)</f>
        <v>0</v>
      </c>
      <c r="H94" s="48">
        <f>VLOOKUP($A94,'Channel wise traffic'!$B$2:$P$368,11,FALSE)</f>
        <v>703642</v>
      </c>
      <c r="I94" s="24">
        <f>VLOOKUP($A94,'Channel wise traffic'!$B$2:$P$368,12,FALSE)</f>
        <v>527732</v>
      </c>
      <c r="J94" s="24">
        <f>VLOOKUP($A94,'Channel wise traffic'!$B$2:$P$368,13,FALSE)</f>
        <v>215001</v>
      </c>
      <c r="K94" s="51">
        <f>VLOOKUP($A94,'Channel wise traffic'!$B$2:$P$368,14,FALSE)</f>
        <v>508185</v>
      </c>
      <c r="L94" s="24">
        <f>VLOOKUP($A94,'Channel wise traffic'!$B$2:$P$368,15,FALSE)</f>
        <v>1954560</v>
      </c>
      <c r="M94" s="7">
        <f t="shared" si="4"/>
        <v>5.7424291241139895E-2</v>
      </c>
      <c r="N94" s="7">
        <f t="shared" si="6"/>
        <v>3.9878784124722788E-2</v>
      </c>
      <c r="O94" s="7">
        <f t="shared" si="5"/>
        <v>9.3750020984576077E-2</v>
      </c>
      <c r="P94" s="7">
        <f t="shared" si="7"/>
        <v>-4.9253701326889554E-2</v>
      </c>
      <c r="Q94" s="7" t="e">
        <f>#REF!/B94</f>
        <v>#REF!</v>
      </c>
      <c r="R94" s="7" t="e">
        <f>#REF!/#REF!</f>
        <v>#REF!</v>
      </c>
      <c r="S94" s="7" t="e">
        <f>#REF!/#REF!</f>
        <v>#REF!</v>
      </c>
      <c r="T94" s="7" t="e">
        <f>C94/#REF!</f>
        <v>#REF!</v>
      </c>
    </row>
    <row r="95" spans="1:22" x14ac:dyDescent="0.3">
      <c r="A95" s="2">
        <v>43558</v>
      </c>
      <c r="B95" s="3">
        <v>22368860</v>
      </c>
      <c r="C95" s="42">
        <v>1335896</v>
      </c>
      <c r="D95" s="48">
        <f>VLOOKUP($A95,'Channel wise traffic'!$B$2:$K$368,7,FALSE)</f>
        <v>0</v>
      </c>
      <c r="E95" s="24">
        <f>VLOOKUP($A95,'Channel wise traffic'!$B$2:$K$368,8,FALSE)</f>
        <v>0</v>
      </c>
      <c r="F95" s="24">
        <f>VLOOKUP($A95,'Channel wise traffic'!$B$2:$K$368,9,FALSE)</f>
        <v>0</v>
      </c>
      <c r="G95" s="24">
        <f>VLOOKUP($A95,'Channel wise traffic'!$B$2:$K$368,10,FALSE)</f>
        <v>0</v>
      </c>
      <c r="H95" s="48">
        <f>VLOOKUP($A95,'Channel wise traffic'!$B$2:$P$368,11,FALSE)</f>
        <v>547277</v>
      </c>
      <c r="I95" s="24">
        <f>VLOOKUP($A95,'Channel wise traffic'!$B$2:$P$368,12,FALSE)</f>
        <v>410458</v>
      </c>
      <c r="J95" s="24">
        <f>VLOOKUP($A95,'Channel wise traffic'!$B$2:$P$368,13,FALSE)</f>
        <v>167223</v>
      </c>
      <c r="K95" s="51">
        <f>VLOOKUP($A95,'Channel wise traffic'!$B$2:$P$368,14,FALSE)</f>
        <v>395255</v>
      </c>
      <c r="L95" s="24">
        <f>VLOOKUP($A95,'Channel wise traffic'!$B$2:$P$368,15,FALSE)</f>
        <v>1520213</v>
      </c>
      <c r="M95" s="7">
        <f t="shared" si="4"/>
        <v>5.9721237470304701E-2</v>
      </c>
      <c r="N95" s="7">
        <f t="shared" si="6"/>
        <v>0.16161637241398497</v>
      </c>
      <c r="O95" s="7">
        <f t="shared" si="5"/>
        <v>7.2916677658587448E-2</v>
      </c>
      <c r="P95" s="7">
        <f t="shared" si="7"/>
        <v>8.267155931340886E-2</v>
      </c>
      <c r="Q95" s="7" t="e">
        <f>#REF!/B95</f>
        <v>#REF!</v>
      </c>
      <c r="R95" s="7" t="e">
        <f>#REF!/#REF!</f>
        <v>#REF!</v>
      </c>
      <c r="S95" s="7" t="e">
        <f>#REF!/#REF!</f>
        <v>#REF!</v>
      </c>
      <c r="T95" s="7" t="e">
        <f>C95/#REF!</f>
        <v>#REF!</v>
      </c>
    </row>
    <row r="96" spans="1:22" x14ac:dyDescent="0.3">
      <c r="A96" s="15">
        <v>43559</v>
      </c>
      <c r="B96" s="16">
        <v>22151687</v>
      </c>
      <c r="C96" s="46">
        <v>628275</v>
      </c>
      <c r="D96" s="48">
        <f>VLOOKUP($A96,'Channel wise traffic'!$B$2:$K$368,7,FALSE)</f>
        <v>0</v>
      </c>
      <c r="E96" s="24">
        <f>VLOOKUP($A96,'Channel wise traffic'!$B$2:$K$368,8,FALSE)</f>
        <v>0</v>
      </c>
      <c r="F96" s="24">
        <f>VLOOKUP($A96,'Channel wise traffic'!$B$2:$K$368,9,FALSE)</f>
        <v>0</v>
      </c>
      <c r="G96" s="24">
        <f>VLOOKUP($A96,'Channel wise traffic'!$B$2:$K$368,10,FALSE)</f>
        <v>0</v>
      </c>
      <c r="H96" s="48">
        <f>VLOOKUP($A96,'Channel wise traffic'!$B$2:$P$368,11,FALSE)</f>
        <v>234547</v>
      </c>
      <c r="I96" s="24">
        <f>VLOOKUP($A96,'Channel wise traffic'!$B$2:$P$368,12,FALSE)</f>
        <v>175910</v>
      </c>
      <c r="J96" s="24">
        <f>VLOOKUP($A96,'Channel wise traffic'!$B$2:$P$368,13,FALSE)</f>
        <v>71667</v>
      </c>
      <c r="K96" s="51">
        <f>VLOOKUP($A96,'Channel wise traffic'!$B$2:$P$368,14,FALSE)</f>
        <v>169395</v>
      </c>
      <c r="L96" s="24">
        <f>VLOOKUP($A96,'Channel wise traffic'!$B$2:$P$368,15,FALSE)</f>
        <v>651519</v>
      </c>
      <c r="M96" s="17">
        <f t="shared" si="4"/>
        <v>2.8362399667348135E-2</v>
      </c>
      <c r="N96" s="13">
        <f t="shared" si="6"/>
        <v>-0.52087951809985289</v>
      </c>
      <c r="O96" s="13">
        <f t="shared" si="5"/>
        <v>3.0303020437004058E-2</v>
      </c>
      <c r="P96" s="17">
        <f t="shared" si="7"/>
        <v>-0.53497129252622422</v>
      </c>
      <c r="Q96" s="17" t="e">
        <f>#REF!/B96</f>
        <v>#REF!</v>
      </c>
      <c r="R96" s="17" t="e">
        <f>#REF!/#REF!</f>
        <v>#REF!</v>
      </c>
      <c r="S96" s="17" t="e">
        <f>#REF!/#REF!</f>
        <v>#REF!</v>
      </c>
      <c r="T96" s="17" t="e">
        <f>C96/#REF!</f>
        <v>#REF!</v>
      </c>
    </row>
    <row r="97" spans="1:22" x14ac:dyDescent="0.3">
      <c r="A97" s="2">
        <v>43560</v>
      </c>
      <c r="B97" s="3">
        <v>22586034</v>
      </c>
      <c r="C97" s="42">
        <v>1566003</v>
      </c>
      <c r="D97" s="48">
        <f>VLOOKUP($A97,'Channel wise traffic'!$B$2:$K$368,7,FALSE)</f>
        <v>-78182</v>
      </c>
      <c r="E97" s="24">
        <f>VLOOKUP($A97,'Channel wise traffic'!$B$2:$K$368,8,FALSE)</f>
        <v>-58637</v>
      </c>
      <c r="F97" s="24">
        <f>VLOOKUP($A97,'Channel wise traffic'!$B$2:$K$368,9,FALSE)</f>
        <v>-23889</v>
      </c>
      <c r="G97" s="24">
        <f>VLOOKUP($A97,'Channel wise traffic'!$B$2:$K$368,10,FALSE)</f>
        <v>-56465</v>
      </c>
      <c r="H97" s="48">
        <f>VLOOKUP($A97,'Channel wise traffic'!$B$2:$P$368,11,FALSE)</f>
        <v>0</v>
      </c>
      <c r="I97" s="24">
        <f>VLOOKUP($A97,'Channel wise traffic'!$B$2:$P$368,12,FALSE)</f>
        <v>0</v>
      </c>
      <c r="J97" s="24">
        <f>VLOOKUP($A97,'Channel wise traffic'!$B$2:$P$368,13,FALSE)</f>
        <v>0</v>
      </c>
      <c r="K97" s="51">
        <f>VLOOKUP($A97,'Channel wise traffic'!$B$2:$P$368,14,FALSE)</f>
        <v>0</v>
      </c>
      <c r="L97" s="24">
        <f>VLOOKUP($A97,'Channel wise traffic'!$B$2:$P$368,15,FALSE)</f>
        <v>-217173</v>
      </c>
      <c r="M97" s="7">
        <f t="shared" si="4"/>
        <v>6.9335014726357003E-2</v>
      </c>
      <c r="N97" s="7">
        <f t="shared" si="6"/>
        <v>0.12652928215188264</v>
      </c>
      <c r="O97" s="7">
        <f t="shared" si="5"/>
        <v>-9.5237919824172623E-3</v>
      </c>
      <c r="P97" s="7">
        <f t="shared" si="7"/>
        <v>0.13736127433753009</v>
      </c>
      <c r="Q97" s="7" t="e">
        <f>#REF!/B97</f>
        <v>#REF!</v>
      </c>
      <c r="R97" s="7" t="e">
        <f>#REF!/#REF!</f>
        <v>#REF!</v>
      </c>
      <c r="S97" s="7" t="e">
        <f>#REF!/#REF!</f>
        <v>#REF!</v>
      </c>
      <c r="T97" s="7" t="e">
        <f>C97/#REF!</f>
        <v>#REF!</v>
      </c>
    </row>
    <row r="98" spans="1:22" x14ac:dyDescent="0.3">
      <c r="A98" s="2">
        <v>43561</v>
      </c>
      <c r="B98" s="3">
        <v>46685340</v>
      </c>
      <c r="C98" s="42">
        <v>1856364</v>
      </c>
      <c r="D98" s="48">
        <f>VLOOKUP($A98,'Channel wise traffic'!$B$2:$K$368,7,FALSE)</f>
        <v>0</v>
      </c>
      <c r="E98" s="24">
        <f>VLOOKUP($A98,'Channel wise traffic'!$B$2:$K$368,8,FALSE)</f>
        <v>0</v>
      </c>
      <c r="F98" s="24">
        <f>VLOOKUP($A98,'Channel wise traffic'!$B$2:$K$368,9,FALSE)</f>
        <v>0</v>
      </c>
      <c r="G98" s="24">
        <f>VLOOKUP($A98,'Channel wise traffic'!$B$2:$K$368,10,FALSE)</f>
        <v>0</v>
      </c>
      <c r="H98" s="48">
        <f>VLOOKUP($A98,'Channel wise traffic'!$B$2:$P$368,11,FALSE)</f>
        <v>646412</v>
      </c>
      <c r="I98" s="24">
        <f>VLOOKUP($A98,'Channel wise traffic'!$B$2:$P$368,12,FALSE)</f>
        <v>484810</v>
      </c>
      <c r="J98" s="24">
        <f>VLOOKUP($A98,'Channel wise traffic'!$B$2:$P$368,13,FALSE)</f>
        <v>197515</v>
      </c>
      <c r="K98" s="51">
        <f>VLOOKUP($A98,'Channel wise traffic'!$B$2:$P$368,14,FALSE)</f>
        <v>466853</v>
      </c>
      <c r="L98" s="24">
        <f>VLOOKUP($A98,'Channel wise traffic'!$B$2:$P$368,15,FALSE)</f>
        <v>1795590</v>
      </c>
      <c r="M98" s="7">
        <f t="shared" si="4"/>
        <v>3.9763317563929063E-2</v>
      </c>
      <c r="N98" s="7">
        <f t="shared" si="6"/>
        <v>6.1529171460528609E-2</v>
      </c>
      <c r="O98" s="7">
        <f t="shared" si="5"/>
        <v>4.0000000000000036E-2</v>
      </c>
      <c r="P98" s="7">
        <f t="shared" si="7"/>
        <v>2.0701126404354619E-2</v>
      </c>
      <c r="Q98" s="7" t="e">
        <f>#REF!/B98</f>
        <v>#REF!</v>
      </c>
      <c r="R98" s="7" t="e">
        <f>#REF!/#REF!</f>
        <v>#REF!</v>
      </c>
      <c r="S98" s="7" t="e">
        <f>#REF!/#REF!</f>
        <v>#REF!</v>
      </c>
      <c r="T98" s="7" t="e">
        <f>C98/#REF!</f>
        <v>#REF!</v>
      </c>
    </row>
    <row r="99" spans="1:22" x14ac:dyDescent="0.3">
      <c r="A99" s="2">
        <v>43562</v>
      </c>
      <c r="B99" s="3">
        <v>43094160</v>
      </c>
      <c r="C99" s="42">
        <v>1503900</v>
      </c>
      <c r="D99" s="48">
        <f>VLOOKUP($A99,'Channel wise traffic'!$B$2:$K$368,7,FALSE)</f>
        <v>0</v>
      </c>
      <c r="E99" s="24">
        <f>VLOOKUP($A99,'Channel wise traffic'!$B$2:$K$368,8,FALSE)</f>
        <v>0</v>
      </c>
      <c r="F99" s="24">
        <f>VLOOKUP($A99,'Channel wise traffic'!$B$2:$K$368,9,FALSE)</f>
        <v>0</v>
      </c>
      <c r="G99" s="24">
        <f>VLOOKUP($A99,'Channel wise traffic'!$B$2:$K$368,10,FALSE)</f>
        <v>0</v>
      </c>
      <c r="H99" s="48">
        <f>VLOOKUP($A99,'Channel wise traffic'!$B$2:$P$368,11,FALSE)</f>
        <v>161603</v>
      </c>
      <c r="I99" s="24">
        <f>VLOOKUP($A99,'Channel wise traffic'!$B$2:$P$368,12,FALSE)</f>
        <v>121202</v>
      </c>
      <c r="J99" s="24">
        <f>VLOOKUP($A99,'Channel wise traffic'!$B$2:$P$368,13,FALSE)</f>
        <v>49379</v>
      </c>
      <c r="K99" s="51">
        <f>VLOOKUP($A99,'Channel wise traffic'!$B$2:$P$368,14,FALSE)</f>
        <v>116713</v>
      </c>
      <c r="L99" s="24">
        <f>VLOOKUP($A99,'Channel wise traffic'!$B$2:$P$368,15,FALSE)</f>
        <v>448897</v>
      </c>
      <c r="M99" s="7">
        <f t="shared" si="4"/>
        <v>3.4898000100245602E-2</v>
      </c>
      <c r="N99" s="7">
        <f t="shared" si="6"/>
        <v>-8.3514783877319365E-2</v>
      </c>
      <c r="O99" s="7">
        <f t="shared" si="5"/>
        <v>1.0526303941424953E-2</v>
      </c>
      <c r="P99" s="7">
        <f t="shared" si="7"/>
        <v>-9.306149424507737E-2</v>
      </c>
      <c r="Q99" s="7" t="e">
        <f>#REF!/B99</f>
        <v>#REF!</v>
      </c>
      <c r="R99" s="7" t="e">
        <f>#REF!/#REF!</f>
        <v>#REF!</v>
      </c>
      <c r="S99" s="7" t="e">
        <f>#REF!/#REF!</f>
        <v>#REF!</v>
      </c>
      <c r="T99" s="7" t="e">
        <f>C99/#REF!</f>
        <v>#REF!</v>
      </c>
    </row>
    <row r="100" spans="1:22" x14ac:dyDescent="0.3">
      <c r="A100" s="2">
        <v>43563</v>
      </c>
      <c r="B100" s="3">
        <v>21500167</v>
      </c>
      <c r="C100" s="42">
        <v>1259605</v>
      </c>
      <c r="D100" s="48">
        <f>VLOOKUP($A100,'Channel wise traffic'!$B$2:$K$368,7,FALSE)</f>
        <v>0</v>
      </c>
      <c r="E100" s="24">
        <f>VLOOKUP($A100,'Channel wise traffic'!$B$2:$K$368,8,FALSE)</f>
        <v>0</v>
      </c>
      <c r="F100" s="24">
        <f>VLOOKUP($A100,'Channel wise traffic'!$B$2:$K$368,9,FALSE)</f>
        <v>0</v>
      </c>
      <c r="G100" s="24">
        <f>VLOOKUP($A100,'Channel wise traffic'!$B$2:$K$368,10,FALSE)</f>
        <v>0</v>
      </c>
      <c r="H100" s="48">
        <f>VLOOKUP($A100,'Channel wise traffic'!$B$2:$P$368,11,FALSE)</f>
        <v>156365</v>
      </c>
      <c r="I100" s="24">
        <f>VLOOKUP($A100,'Channel wise traffic'!$B$2:$P$368,12,FALSE)</f>
        <v>117274</v>
      </c>
      <c r="J100" s="24">
        <f>VLOOKUP($A100,'Channel wise traffic'!$B$2:$P$368,13,FALSE)</f>
        <v>47778</v>
      </c>
      <c r="K100" s="51">
        <f>VLOOKUP($A100,'Channel wise traffic'!$B$2:$P$368,14,FALSE)</f>
        <v>112930</v>
      </c>
      <c r="L100" s="24">
        <f>VLOOKUP($A100,'Channel wise traffic'!$B$2:$P$368,15,FALSE)</f>
        <v>434347</v>
      </c>
      <c r="M100" s="7">
        <f t="shared" si="4"/>
        <v>5.8585824007785614E-2</v>
      </c>
      <c r="N100" s="7">
        <f t="shared" si="6"/>
        <v>-7.6010929963872487E-2</v>
      </c>
      <c r="O100" s="7">
        <f t="shared" si="5"/>
        <v>2.0618565999329652E-2</v>
      </c>
      <c r="P100" s="7">
        <f t="shared" si="7"/>
        <v>-9.46773840710885E-2</v>
      </c>
      <c r="Q100" s="7" t="e">
        <f>#REF!/B100</f>
        <v>#REF!</v>
      </c>
      <c r="R100" s="7" t="e">
        <f>#REF!/#REF!</f>
        <v>#REF!</v>
      </c>
      <c r="S100" s="7" t="e">
        <f>#REF!/#REF!</f>
        <v>#REF!</v>
      </c>
      <c r="T100" s="7" t="e">
        <f>C100/#REF!</f>
        <v>#REF!</v>
      </c>
    </row>
    <row r="101" spans="1:22" x14ac:dyDescent="0.3">
      <c r="A101" s="2">
        <v>43564</v>
      </c>
      <c r="B101" s="3">
        <v>21717340</v>
      </c>
      <c r="C101" s="42">
        <v>1322295</v>
      </c>
      <c r="D101" s="48">
        <f>VLOOKUP($A101,'Channel wise traffic'!$B$2:$K$368,7,FALSE)</f>
        <v>-390912</v>
      </c>
      <c r="E101" s="24">
        <f>VLOOKUP($A101,'Channel wise traffic'!$B$2:$K$368,8,FALSE)</f>
        <v>-293185</v>
      </c>
      <c r="F101" s="24">
        <f>VLOOKUP($A101,'Channel wise traffic'!$B$2:$K$368,9,FALSE)</f>
        <v>-119445</v>
      </c>
      <c r="G101" s="24">
        <f>VLOOKUP($A101,'Channel wise traffic'!$B$2:$K$368,10,FALSE)</f>
        <v>-282325</v>
      </c>
      <c r="H101" s="48">
        <f>VLOOKUP($A101,'Channel wise traffic'!$B$2:$P$368,11,FALSE)</f>
        <v>0</v>
      </c>
      <c r="I101" s="24">
        <f>VLOOKUP($A101,'Channel wise traffic'!$B$2:$P$368,12,FALSE)</f>
        <v>0</v>
      </c>
      <c r="J101" s="24">
        <f>VLOOKUP($A101,'Channel wise traffic'!$B$2:$P$368,13,FALSE)</f>
        <v>0</v>
      </c>
      <c r="K101" s="51">
        <f>VLOOKUP($A101,'Channel wise traffic'!$B$2:$P$368,14,FALSE)</f>
        <v>0</v>
      </c>
      <c r="L101" s="24">
        <f>VLOOKUP($A101,'Channel wise traffic'!$B$2:$P$368,15,FALSE)</f>
        <v>-1085867</v>
      </c>
      <c r="M101" s="7">
        <f t="shared" si="4"/>
        <v>6.088660029266936E-2</v>
      </c>
      <c r="N101" s="7">
        <f t="shared" si="6"/>
        <v>9.8032926600166714E-3</v>
      </c>
      <c r="O101" s="7">
        <f t="shared" si="5"/>
        <v>-4.7619047619047672E-2</v>
      </c>
      <c r="P101" s="7">
        <f t="shared" si="7"/>
        <v>6.0293457293017383E-2</v>
      </c>
      <c r="Q101" s="7" t="e">
        <f>#REF!/B101</f>
        <v>#REF!</v>
      </c>
      <c r="R101" s="7" t="e">
        <f>#REF!/#REF!</f>
        <v>#REF!</v>
      </c>
      <c r="S101" s="7" t="e">
        <f>#REF!/#REF!</f>
        <v>#REF!</v>
      </c>
      <c r="T101" s="7" t="e">
        <f>C101/#REF!</f>
        <v>#REF!</v>
      </c>
    </row>
    <row r="102" spans="1:22" x14ac:dyDescent="0.3">
      <c r="A102" s="2">
        <v>43565</v>
      </c>
      <c r="B102" s="3">
        <v>21500167</v>
      </c>
      <c r="C102" s="42">
        <v>1210438</v>
      </c>
      <c r="D102" s="48">
        <f>VLOOKUP($A102,'Channel wise traffic'!$B$2:$K$368,7,FALSE)</f>
        <v>-312729</v>
      </c>
      <c r="E102" s="24">
        <f>VLOOKUP($A102,'Channel wise traffic'!$B$2:$K$368,8,FALSE)</f>
        <v>-234547</v>
      </c>
      <c r="F102" s="24">
        <f>VLOOKUP($A102,'Channel wise traffic'!$B$2:$K$368,9,FALSE)</f>
        <v>-95556</v>
      </c>
      <c r="G102" s="24">
        <f>VLOOKUP($A102,'Channel wise traffic'!$B$2:$K$368,10,FALSE)</f>
        <v>-225860</v>
      </c>
      <c r="H102" s="48">
        <f>VLOOKUP($A102,'Channel wise traffic'!$B$2:$P$368,11,FALSE)</f>
        <v>0</v>
      </c>
      <c r="I102" s="24">
        <f>VLOOKUP($A102,'Channel wise traffic'!$B$2:$P$368,12,FALSE)</f>
        <v>0</v>
      </c>
      <c r="J102" s="24">
        <f>VLOOKUP($A102,'Channel wise traffic'!$B$2:$P$368,13,FALSE)</f>
        <v>0</v>
      </c>
      <c r="K102" s="51">
        <f>VLOOKUP($A102,'Channel wise traffic'!$B$2:$P$368,14,FALSE)</f>
        <v>0</v>
      </c>
      <c r="L102" s="24">
        <f>VLOOKUP($A102,'Channel wise traffic'!$B$2:$P$368,15,FALSE)</f>
        <v>-868692</v>
      </c>
      <c r="M102" s="7">
        <f t="shared" si="4"/>
        <v>5.6299004561220382E-2</v>
      </c>
      <c r="N102" s="7">
        <f t="shared" si="6"/>
        <v>-9.3912999215507775E-2</v>
      </c>
      <c r="O102" s="7">
        <f t="shared" si="5"/>
        <v>-3.8834924980530983E-2</v>
      </c>
      <c r="P102" s="7">
        <f t="shared" si="7"/>
        <v>-5.7303449393291017E-2</v>
      </c>
      <c r="Q102" s="7" t="e">
        <f>#REF!/B102</f>
        <v>#REF!</v>
      </c>
      <c r="R102" s="7" t="e">
        <f>#REF!/#REF!</f>
        <v>#REF!</v>
      </c>
      <c r="S102" s="7" t="e">
        <f>#REF!/#REF!</f>
        <v>#REF!</v>
      </c>
      <c r="T102" s="7" t="e">
        <f>C102/#REF!</f>
        <v>#REF!</v>
      </c>
    </row>
    <row r="103" spans="1:22" s="35" customFormat="1" x14ac:dyDescent="0.3">
      <c r="A103" s="36">
        <v>43566</v>
      </c>
      <c r="B103" s="16">
        <v>20631473</v>
      </c>
      <c r="C103" s="47">
        <v>1208741</v>
      </c>
      <c r="D103" s="49">
        <f>VLOOKUP($A103,'Channel wise traffic'!$B$2:$K$368,7,FALSE)</f>
        <v>-547277</v>
      </c>
      <c r="E103" s="28">
        <f>VLOOKUP($A103,'Channel wise traffic'!$B$2:$K$368,8,FALSE)</f>
        <v>-410458</v>
      </c>
      <c r="F103" s="28">
        <f>VLOOKUP($A103,'Channel wise traffic'!$B$2:$K$368,9,FALSE)</f>
        <v>-167223</v>
      </c>
      <c r="G103" s="28">
        <f>VLOOKUP($A103,'Channel wise traffic'!$B$2:$K$368,10,FALSE)</f>
        <v>-395255</v>
      </c>
      <c r="H103" s="48">
        <f>VLOOKUP($A103,'Channel wise traffic'!$B$2:$P$368,11,FALSE)</f>
        <v>0</v>
      </c>
      <c r="I103" s="24">
        <f>VLOOKUP($A103,'Channel wise traffic'!$B$2:$P$368,12,FALSE)</f>
        <v>0</v>
      </c>
      <c r="J103" s="24">
        <f>VLOOKUP($A103,'Channel wise traffic'!$B$2:$P$368,13,FALSE)</f>
        <v>0</v>
      </c>
      <c r="K103" s="51">
        <f>VLOOKUP($A103,'Channel wise traffic'!$B$2:$P$368,14,FALSE)</f>
        <v>0</v>
      </c>
      <c r="L103" s="28">
        <f>VLOOKUP($A103,'Channel wise traffic'!$B$2:$P$368,15,FALSE)</f>
        <v>-1520213</v>
      </c>
      <c r="M103" s="17">
        <f t="shared" si="4"/>
        <v>5.8587237081908793E-2</v>
      </c>
      <c r="N103" s="34">
        <f t="shared" si="6"/>
        <v>0.9239043412518404</v>
      </c>
      <c r="O103" s="34">
        <f t="shared" si="5"/>
        <v>-6.8627459389436152E-2</v>
      </c>
      <c r="P103" s="17">
        <f t="shared" si="7"/>
        <v>1.0656657324153227</v>
      </c>
      <c r="Q103" s="17" t="e">
        <f>#REF!/B103</f>
        <v>#REF!</v>
      </c>
      <c r="R103" s="17" t="e">
        <f>#REF!/#REF!</f>
        <v>#REF!</v>
      </c>
      <c r="S103" s="17" t="e">
        <f>#REF!/#REF!</f>
        <v>#REF!</v>
      </c>
      <c r="T103" s="17" t="e">
        <f>C103/#REF!</f>
        <v>#REF!</v>
      </c>
      <c r="U103"/>
      <c r="V103" s="35" t="s">
        <v>40</v>
      </c>
    </row>
    <row r="104" spans="1:22" s="35" customFormat="1" x14ac:dyDescent="0.3">
      <c r="A104" s="36">
        <v>43567</v>
      </c>
      <c r="B104" s="16">
        <v>20631473</v>
      </c>
      <c r="C104" s="47">
        <v>1138287</v>
      </c>
      <c r="D104" s="49">
        <f>VLOOKUP($A104,'Channel wise traffic'!$B$2:$K$368,7,FALSE)</f>
        <v>-703642</v>
      </c>
      <c r="E104" s="28">
        <f>VLOOKUP($A104,'Channel wise traffic'!$B$2:$K$368,8,FALSE)</f>
        <v>-527732</v>
      </c>
      <c r="F104" s="28">
        <f>VLOOKUP($A104,'Channel wise traffic'!$B$2:$K$368,9,FALSE)</f>
        <v>-215001</v>
      </c>
      <c r="G104" s="28">
        <f>VLOOKUP($A104,'Channel wise traffic'!$B$2:$K$368,10,FALSE)</f>
        <v>-508185</v>
      </c>
      <c r="H104" s="48">
        <f>VLOOKUP($A104,'Channel wise traffic'!$B$2:$P$368,11,FALSE)</f>
        <v>0</v>
      </c>
      <c r="I104" s="24">
        <f>VLOOKUP($A104,'Channel wise traffic'!$B$2:$P$368,12,FALSE)</f>
        <v>0</v>
      </c>
      <c r="J104" s="24">
        <f>VLOOKUP($A104,'Channel wise traffic'!$B$2:$P$368,13,FALSE)</f>
        <v>0</v>
      </c>
      <c r="K104" s="51">
        <f>VLOOKUP($A104,'Channel wise traffic'!$B$2:$P$368,14,FALSE)</f>
        <v>0</v>
      </c>
      <c r="L104" s="28">
        <f>VLOOKUP($A104,'Channel wise traffic'!$B$2:$P$368,15,FALSE)</f>
        <v>-1954560</v>
      </c>
      <c r="M104" s="17">
        <f t="shared" si="4"/>
        <v>5.5172357300906243E-2</v>
      </c>
      <c r="N104" s="34">
        <f t="shared" si="6"/>
        <v>-0.27312591355188975</v>
      </c>
      <c r="O104" s="34">
        <f t="shared" si="5"/>
        <v>-8.6538477715919493E-2</v>
      </c>
      <c r="P104" s="17">
        <f t="shared" si="7"/>
        <v>-0.20426414390111858</v>
      </c>
      <c r="Q104" s="17" t="e">
        <f>#REF!/B104</f>
        <v>#REF!</v>
      </c>
      <c r="R104" s="17" t="e">
        <f>#REF!/#REF!</f>
        <v>#REF!</v>
      </c>
      <c r="S104" s="17" t="e">
        <f>#REF!/#REF!</f>
        <v>#REF!</v>
      </c>
      <c r="T104" s="17" t="e">
        <f>C104/#REF!</f>
        <v>#REF!</v>
      </c>
      <c r="U104"/>
      <c r="V104" s="35" t="s">
        <v>40</v>
      </c>
    </row>
    <row r="105" spans="1:22" x14ac:dyDescent="0.3">
      <c r="A105" s="2">
        <v>43568</v>
      </c>
      <c r="B105" s="3">
        <v>43094160</v>
      </c>
      <c r="C105" s="42">
        <v>1598870</v>
      </c>
      <c r="D105" s="48">
        <f>VLOOKUP($A105,'Channel wise traffic'!$B$2:$K$368,7,FALSE)</f>
        <v>-1292825</v>
      </c>
      <c r="E105" s="24">
        <f>VLOOKUP($A105,'Channel wise traffic'!$B$2:$K$368,8,FALSE)</f>
        <v>-969619</v>
      </c>
      <c r="F105" s="24">
        <f>VLOOKUP($A105,'Channel wise traffic'!$B$2:$K$368,9,FALSE)</f>
        <v>-395030</v>
      </c>
      <c r="G105" s="24">
        <f>VLOOKUP($A105,'Channel wise traffic'!$B$2:$K$368,10,FALSE)</f>
        <v>-933707</v>
      </c>
      <c r="H105" s="48">
        <f>VLOOKUP($A105,'Channel wise traffic'!$B$2:$P$368,11,FALSE)</f>
        <v>0</v>
      </c>
      <c r="I105" s="24">
        <f>VLOOKUP($A105,'Channel wise traffic'!$B$2:$P$368,12,FALSE)</f>
        <v>0</v>
      </c>
      <c r="J105" s="24">
        <f>VLOOKUP($A105,'Channel wise traffic'!$B$2:$P$368,13,FALSE)</f>
        <v>0</v>
      </c>
      <c r="K105" s="51">
        <f>VLOOKUP($A105,'Channel wise traffic'!$B$2:$P$368,14,FALSE)</f>
        <v>0</v>
      </c>
      <c r="L105" s="28">
        <f>VLOOKUP($A105,'Channel wise traffic'!$B$2:$P$368,15,FALSE)</f>
        <v>-3591181</v>
      </c>
      <c r="M105" s="7">
        <f t="shared" si="4"/>
        <v>3.7101778988150598E-2</v>
      </c>
      <c r="N105" s="7">
        <f t="shared" si="6"/>
        <v>-0.13870878771620221</v>
      </c>
      <c r="O105" s="7">
        <f t="shared" si="5"/>
        <v>-7.6923076923076872E-2</v>
      </c>
      <c r="P105" s="7">
        <f t="shared" si="7"/>
        <v>-6.6934520025885735E-2</v>
      </c>
      <c r="Q105" s="7" t="e">
        <f>#REF!/B105</f>
        <v>#REF!</v>
      </c>
      <c r="R105" s="7" t="e">
        <f>#REF!/#REF!</f>
        <v>#REF!</v>
      </c>
      <c r="S105" s="7" t="e">
        <f>#REF!/#REF!</f>
        <v>#REF!</v>
      </c>
      <c r="T105" s="7" t="e">
        <f>C105/#REF!</f>
        <v>#REF!</v>
      </c>
    </row>
    <row r="106" spans="1:22" x14ac:dyDescent="0.3">
      <c r="A106" s="15">
        <v>43569</v>
      </c>
      <c r="B106" s="16">
        <v>46685340</v>
      </c>
      <c r="C106" s="46">
        <v>1930656</v>
      </c>
      <c r="D106" s="48">
        <f>VLOOKUP($A106,'Channel wise traffic'!$B$2:$K$368,7,FALSE)</f>
        <v>0</v>
      </c>
      <c r="E106" s="24">
        <f>VLOOKUP($A106,'Channel wise traffic'!$B$2:$K$368,8,FALSE)</f>
        <v>0</v>
      </c>
      <c r="F106" s="24">
        <f>VLOOKUP($A106,'Channel wise traffic'!$B$2:$K$368,9,FALSE)</f>
        <v>0</v>
      </c>
      <c r="G106" s="24">
        <f>VLOOKUP($A106,'Channel wise traffic'!$B$2:$K$368,10,FALSE)</f>
        <v>0</v>
      </c>
      <c r="H106" s="48">
        <f>VLOOKUP($A106,'Channel wise traffic'!$B$2:$P$368,11,FALSE)</f>
        <v>1292825</v>
      </c>
      <c r="I106" s="24">
        <f>VLOOKUP($A106,'Channel wise traffic'!$B$2:$P$368,12,FALSE)</f>
        <v>969619</v>
      </c>
      <c r="J106" s="24">
        <f>VLOOKUP($A106,'Channel wise traffic'!$B$2:$P$368,13,FALSE)</f>
        <v>395030</v>
      </c>
      <c r="K106" s="51">
        <f>VLOOKUP($A106,'Channel wise traffic'!$B$2:$P$368,14,FALSE)</f>
        <v>933707</v>
      </c>
      <c r="L106" s="24">
        <f>VLOOKUP($A106,'Channel wise traffic'!$B$2:$P$368,15,FALSE)</f>
        <v>3591181</v>
      </c>
      <c r="M106" s="17">
        <f t="shared" si="4"/>
        <v>4.1354652231300019E-2</v>
      </c>
      <c r="N106" s="13">
        <f t="shared" si="6"/>
        <v>0.28376620785956508</v>
      </c>
      <c r="O106" s="13">
        <f t="shared" si="5"/>
        <v>8.3333333333333259E-2</v>
      </c>
      <c r="P106" s="17">
        <f t="shared" si="7"/>
        <v>0.18501496110113713</v>
      </c>
      <c r="Q106" s="17" t="e">
        <f>#REF!/B106</f>
        <v>#REF!</v>
      </c>
      <c r="R106" s="17" t="e">
        <f>#REF!/#REF!</f>
        <v>#REF!</v>
      </c>
      <c r="S106" s="17" t="e">
        <f>#REF!/#REF!</f>
        <v>#REF!</v>
      </c>
      <c r="T106" s="17" t="e">
        <f>C106/#REF!</f>
        <v>#REF!</v>
      </c>
    </row>
    <row r="107" spans="1:22" x14ac:dyDescent="0.3">
      <c r="A107" s="2">
        <v>43570</v>
      </c>
      <c r="B107" s="3">
        <v>21065820</v>
      </c>
      <c r="C107" s="42">
        <v>1418322</v>
      </c>
      <c r="D107" s="48">
        <f>VLOOKUP($A107,'Channel wise traffic'!$B$2:$K$368,7,FALSE)</f>
        <v>-156365</v>
      </c>
      <c r="E107" s="24">
        <f>VLOOKUP($A107,'Channel wise traffic'!$B$2:$K$368,8,FALSE)</f>
        <v>-117274</v>
      </c>
      <c r="F107" s="24">
        <f>VLOOKUP($A107,'Channel wise traffic'!$B$2:$K$368,9,FALSE)</f>
        <v>-47778</v>
      </c>
      <c r="G107" s="24">
        <f>VLOOKUP($A107,'Channel wise traffic'!$B$2:$K$368,10,FALSE)</f>
        <v>-112930</v>
      </c>
      <c r="H107" s="48">
        <f>VLOOKUP($A107,'Channel wise traffic'!$B$2:$P$368,11,FALSE)</f>
        <v>0</v>
      </c>
      <c r="I107" s="24">
        <f>VLOOKUP($A107,'Channel wise traffic'!$B$2:$P$368,12,FALSE)</f>
        <v>0</v>
      </c>
      <c r="J107" s="24">
        <f>VLOOKUP($A107,'Channel wise traffic'!$B$2:$P$368,13,FALSE)</f>
        <v>0</v>
      </c>
      <c r="K107" s="51">
        <f>VLOOKUP($A107,'Channel wise traffic'!$B$2:$P$368,14,FALSE)</f>
        <v>0</v>
      </c>
      <c r="L107" s="24">
        <f>VLOOKUP($A107,'Channel wise traffic'!$B$2:$P$368,15,FALSE)</f>
        <v>-434347</v>
      </c>
      <c r="M107" s="7">
        <f t="shared" si="4"/>
        <v>6.732811730091684E-2</v>
      </c>
      <c r="N107" s="7">
        <f t="shared" si="6"/>
        <v>0.12600537470079898</v>
      </c>
      <c r="O107" s="7">
        <f t="shared" si="5"/>
        <v>-2.0202029128424948E-2</v>
      </c>
      <c r="P107" s="7">
        <f t="shared" si="7"/>
        <v>0.14922199083466747</v>
      </c>
      <c r="Q107" s="7" t="e">
        <f>#REF!/B107</f>
        <v>#REF!</v>
      </c>
      <c r="R107" s="7" t="e">
        <f>#REF!/#REF!</f>
        <v>#REF!</v>
      </c>
      <c r="S107" s="7" t="e">
        <f>#REF!/#REF!</f>
        <v>#REF!</v>
      </c>
      <c r="T107" s="7" t="e">
        <f>C107/#REF!</f>
        <v>#REF!</v>
      </c>
    </row>
    <row r="108" spans="1:22" x14ac:dyDescent="0.3">
      <c r="A108" s="2">
        <v>43571</v>
      </c>
      <c r="B108" s="3">
        <v>22586034</v>
      </c>
      <c r="C108" s="42">
        <v>1296248</v>
      </c>
      <c r="D108" s="48">
        <f>VLOOKUP($A108,'Channel wise traffic'!$B$2:$K$368,7,FALSE)</f>
        <v>0</v>
      </c>
      <c r="E108" s="24">
        <f>VLOOKUP($A108,'Channel wise traffic'!$B$2:$K$368,8,FALSE)</f>
        <v>0</v>
      </c>
      <c r="F108" s="24">
        <f>VLOOKUP($A108,'Channel wise traffic'!$B$2:$K$368,9,FALSE)</f>
        <v>0</v>
      </c>
      <c r="G108" s="24">
        <f>VLOOKUP($A108,'Channel wise traffic'!$B$2:$K$368,10,FALSE)</f>
        <v>0</v>
      </c>
      <c r="H108" s="48">
        <f>VLOOKUP($A108,'Channel wise traffic'!$B$2:$P$368,11,FALSE)</f>
        <v>312730</v>
      </c>
      <c r="I108" s="24">
        <f>VLOOKUP($A108,'Channel wise traffic'!$B$2:$P$368,12,FALSE)</f>
        <v>234548</v>
      </c>
      <c r="J108" s="24">
        <f>VLOOKUP($A108,'Channel wise traffic'!$B$2:$P$368,13,FALSE)</f>
        <v>95556</v>
      </c>
      <c r="K108" s="51">
        <f>VLOOKUP($A108,'Channel wise traffic'!$B$2:$P$368,14,FALSE)</f>
        <v>225860</v>
      </c>
      <c r="L108" s="24">
        <f>VLOOKUP($A108,'Channel wise traffic'!$B$2:$P$368,15,FALSE)</f>
        <v>868694</v>
      </c>
      <c r="M108" s="7">
        <f t="shared" si="4"/>
        <v>5.7391572154721807E-2</v>
      </c>
      <c r="N108" s="7">
        <f t="shared" si="6"/>
        <v>-1.9698327529031001E-2</v>
      </c>
      <c r="O108" s="7">
        <f t="shared" si="5"/>
        <v>4.0000018418461902E-2</v>
      </c>
      <c r="P108" s="7">
        <f t="shared" si="7"/>
        <v>-5.7402254702145883E-2</v>
      </c>
      <c r="Q108" s="7" t="e">
        <f>#REF!/B108</f>
        <v>#REF!</v>
      </c>
      <c r="R108" s="7" t="e">
        <f>#REF!/#REF!</f>
        <v>#REF!</v>
      </c>
      <c r="S108" s="7" t="e">
        <f>#REF!/#REF!</f>
        <v>#REF!</v>
      </c>
      <c r="T108" s="7" t="e">
        <f>C108/#REF!</f>
        <v>#REF!</v>
      </c>
    </row>
    <row r="109" spans="1:22" x14ac:dyDescent="0.3">
      <c r="A109" s="2">
        <v>43572</v>
      </c>
      <c r="B109" s="3">
        <v>21934513</v>
      </c>
      <c r="C109" s="42">
        <v>1336086</v>
      </c>
      <c r="D109" s="48">
        <f>VLOOKUP($A109,'Channel wise traffic'!$B$2:$K$368,7,FALSE)</f>
        <v>0</v>
      </c>
      <c r="E109" s="24">
        <f>VLOOKUP($A109,'Channel wise traffic'!$B$2:$K$368,8,FALSE)</f>
        <v>0</v>
      </c>
      <c r="F109" s="24">
        <f>VLOOKUP($A109,'Channel wise traffic'!$B$2:$K$368,9,FALSE)</f>
        <v>0</v>
      </c>
      <c r="G109" s="24">
        <f>VLOOKUP($A109,'Channel wise traffic'!$B$2:$K$368,10,FALSE)</f>
        <v>0</v>
      </c>
      <c r="H109" s="48">
        <f>VLOOKUP($A109,'Channel wise traffic'!$B$2:$P$368,11,FALSE)</f>
        <v>156364</v>
      </c>
      <c r="I109" s="24">
        <f>VLOOKUP($A109,'Channel wise traffic'!$B$2:$P$368,12,FALSE)</f>
        <v>117273</v>
      </c>
      <c r="J109" s="24">
        <f>VLOOKUP($A109,'Channel wise traffic'!$B$2:$P$368,13,FALSE)</f>
        <v>47778</v>
      </c>
      <c r="K109" s="51">
        <f>VLOOKUP($A109,'Channel wise traffic'!$B$2:$P$368,14,FALSE)</f>
        <v>112930</v>
      </c>
      <c r="L109" s="24">
        <f>VLOOKUP($A109,'Channel wise traffic'!$B$2:$P$368,15,FALSE)</f>
        <v>434345</v>
      </c>
      <c r="M109" s="7">
        <f t="shared" si="4"/>
        <v>6.0912498946295274E-2</v>
      </c>
      <c r="N109" s="7">
        <f t="shared" si="6"/>
        <v>0.10380374707337348</v>
      </c>
      <c r="O109" s="7">
        <f t="shared" si="5"/>
        <v>2.0201982617158221E-2</v>
      </c>
      <c r="P109" s="7">
        <f t="shared" si="7"/>
        <v>8.1946286990884687E-2</v>
      </c>
      <c r="Q109" s="7" t="e">
        <f>#REF!/B109</f>
        <v>#REF!</v>
      </c>
      <c r="R109" s="7" t="e">
        <f>#REF!/#REF!</f>
        <v>#REF!</v>
      </c>
      <c r="S109" s="7" t="e">
        <f>#REF!/#REF!</f>
        <v>#REF!</v>
      </c>
      <c r="T109" s="7" t="e">
        <f>C109/#REF!</f>
        <v>#REF!</v>
      </c>
    </row>
    <row r="110" spans="1:22" x14ac:dyDescent="0.3">
      <c r="A110" s="15">
        <v>43573</v>
      </c>
      <c r="B110" s="16">
        <v>22803207</v>
      </c>
      <c r="C110" s="46">
        <v>2091398</v>
      </c>
      <c r="D110" s="48">
        <f>VLOOKUP($A110,'Channel wise traffic'!$B$2:$K$368,7,FALSE)</f>
        <v>0</v>
      </c>
      <c r="E110" s="24">
        <f>VLOOKUP($A110,'Channel wise traffic'!$B$2:$K$368,8,FALSE)</f>
        <v>0</v>
      </c>
      <c r="F110" s="24">
        <f>VLOOKUP($A110,'Channel wise traffic'!$B$2:$K$368,9,FALSE)</f>
        <v>0</v>
      </c>
      <c r="G110" s="24">
        <f>VLOOKUP($A110,'Channel wise traffic'!$B$2:$K$368,10,FALSE)</f>
        <v>0</v>
      </c>
      <c r="H110" s="48">
        <f>VLOOKUP($A110,'Channel wise traffic'!$B$2:$P$368,11,FALSE)</f>
        <v>781824</v>
      </c>
      <c r="I110" s="24">
        <f>VLOOKUP($A110,'Channel wise traffic'!$B$2:$P$368,12,FALSE)</f>
        <v>586369</v>
      </c>
      <c r="J110" s="24">
        <f>VLOOKUP($A110,'Channel wise traffic'!$B$2:$P$368,13,FALSE)</f>
        <v>238890</v>
      </c>
      <c r="K110" s="51">
        <f>VLOOKUP($A110,'Channel wise traffic'!$B$2:$P$368,14,FALSE)</f>
        <v>564650</v>
      </c>
      <c r="L110" s="24">
        <f>VLOOKUP($A110,'Channel wise traffic'!$B$2:$P$368,15,FALSE)</f>
        <v>2171733</v>
      </c>
      <c r="M110" s="17">
        <f t="shared" si="4"/>
        <v>9.1715082005789803E-2</v>
      </c>
      <c r="N110" s="13">
        <f t="shared" si="6"/>
        <v>0.7302283946685022</v>
      </c>
      <c r="O110" s="13">
        <f t="shared" si="5"/>
        <v>0.10526315789473695</v>
      </c>
      <c r="P110" s="17">
        <f t="shared" si="7"/>
        <v>0.56544473803340667</v>
      </c>
      <c r="Q110" s="17" t="e">
        <f>#REF!/B110</f>
        <v>#REF!</v>
      </c>
      <c r="R110" s="17" t="e">
        <f>#REF!/#REF!</f>
        <v>#REF!</v>
      </c>
      <c r="S110" s="17" t="e">
        <f>#REF!/#REF!</f>
        <v>#REF!</v>
      </c>
      <c r="T110" s="17" t="e">
        <f>C110/#REF!</f>
        <v>#REF!</v>
      </c>
    </row>
    <row r="111" spans="1:22" x14ac:dyDescent="0.3">
      <c r="A111" s="15">
        <v>43574</v>
      </c>
      <c r="B111" s="16">
        <v>22151687</v>
      </c>
      <c r="C111" s="46">
        <v>1419728</v>
      </c>
      <c r="D111" s="48">
        <f>VLOOKUP($A111,'Channel wise traffic'!$B$2:$K$368,7,FALSE)</f>
        <v>0</v>
      </c>
      <c r="E111" s="24">
        <f>VLOOKUP($A111,'Channel wise traffic'!$B$2:$K$368,8,FALSE)</f>
        <v>0</v>
      </c>
      <c r="F111" s="24">
        <f>VLOOKUP($A111,'Channel wise traffic'!$B$2:$K$368,9,FALSE)</f>
        <v>0</v>
      </c>
      <c r="G111" s="24">
        <f>VLOOKUP($A111,'Channel wise traffic'!$B$2:$K$368,10,FALSE)</f>
        <v>0</v>
      </c>
      <c r="H111" s="48">
        <f>VLOOKUP($A111,'Channel wise traffic'!$B$2:$P$368,11,FALSE)</f>
        <v>547277</v>
      </c>
      <c r="I111" s="24">
        <f>VLOOKUP($A111,'Channel wise traffic'!$B$2:$P$368,12,FALSE)</f>
        <v>410458</v>
      </c>
      <c r="J111" s="24">
        <f>VLOOKUP($A111,'Channel wise traffic'!$B$2:$P$368,13,FALSE)</f>
        <v>167223</v>
      </c>
      <c r="K111" s="51">
        <f>VLOOKUP($A111,'Channel wise traffic'!$B$2:$P$368,14,FALSE)</f>
        <v>395255</v>
      </c>
      <c r="L111" s="24">
        <f>VLOOKUP($A111,'Channel wise traffic'!$B$2:$P$368,15,FALSE)</f>
        <v>1520213</v>
      </c>
      <c r="M111" s="17">
        <f t="shared" si="4"/>
        <v>6.409119088762856E-2</v>
      </c>
      <c r="N111" s="13">
        <f t="shared" si="6"/>
        <v>0.2472495952251057</v>
      </c>
      <c r="O111" s="13">
        <f t="shared" si="5"/>
        <v>7.3684220220243013E-2</v>
      </c>
      <c r="P111" s="17">
        <f t="shared" si="7"/>
        <v>0.16165402428030418</v>
      </c>
      <c r="Q111" s="17" t="e">
        <f>#REF!/B111</f>
        <v>#REF!</v>
      </c>
      <c r="R111" s="17" t="e">
        <f>#REF!/#REF!</f>
        <v>#REF!</v>
      </c>
      <c r="S111" s="17" t="e">
        <f>#REF!/#REF!</f>
        <v>#REF!</v>
      </c>
      <c r="T111" s="17" t="e">
        <f>C111/#REF!</f>
        <v>#REF!</v>
      </c>
    </row>
    <row r="112" spans="1:22" x14ac:dyDescent="0.3">
      <c r="A112" s="2">
        <v>43575</v>
      </c>
      <c r="B112" s="3">
        <v>44440853</v>
      </c>
      <c r="C112" s="42">
        <v>1596752</v>
      </c>
      <c r="D112" s="48">
        <f>VLOOKUP($A112,'Channel wise traffic'!$B$2:$K$368,7,FALSE)</f>
        <v>0</v>
      </c>
      <c r="E112" s="24">
        <f>VLOOKUP($A112,'Channel wise traffic'!$B$2:$K$368,8,FALSE)</f>
        <v>0</v>
      </c>
      <c r="F112" s="24">
        <f>VLOOKUP($A112,'Channel wise traffic'!$B$2:$K$368,9,FALSE)</f>
        <v>0</v>
      </c>
      <c r="G112" s="24">
        <f>VLOOKUP($A112,'Channel wise traffic'!$B$2:$K$368,10,FALSE)</f>
        <v>0</v>
      </c>
      <c r="H112" s="48">
        <f>VLOOKUP($A112,'Channel wise traffic'!$B$2:$P$368,11,FALSE)</f>
        <v>484810</v>
      </c>
      <c r="I112" s="24">
        <f>VLOOKUP($A112,'Channel wise traffic'!$B$2:$P$368,12,FALSE)</f>
        <v>363607</v>
      </c>
      <c r="J112" s="24">
        <f>VLOOKUP($A112,'Channel wise traffic'!$B$2:$P$368,13,FALSE)</f>
        <v>148136</v>
      </c>
      <c r="K112" s="51">
        <f>VLOOKUP($A112,'Channel wise traffic'!$B$2:$P$368,14,FALSE)</f>
        <v>350140</v>
      </c>
      <c r="L112" s="24">
        <f>VLOOKUP($A112,'Channel wise traffic'!$B$2:$P$368,15,FALSE)</f>
        <v>1346693</v>
      </c>
      <c r="M112" s="7">
        <f t="shared" si="4"/>
        <v>3.5929823399204329E-2</v>
      </c>
      <c r="N112" s="7">
        <f t="shared" si="6"/>
        <v>-1.3246855591761975E-3</v>
      </c>
      <c r="O112" s="7">
        <f t="shared" si="5"/>
        <v>3.1250011602500294E-2</v>
      </c>
      <c r="P112" s="7">
        <f t="shared" si="7"/>
        <v>-3.1587584771085031E-2</v>
      </c>
      <c r="Q112" s="7" t="e">
        <f>#REF!/B112</f>
        <v>#REF!</v>
      </c>
      <c r="R112" s="7" t="e">
        <f>#REF!/#REF!</f>
        <v>#REF!</v>
      </c>
      <c r="S112" s="7" t="e">
        <f>#REF!/#REF!</f>
        <v>#REF!</v>
      </c>
      <c r="T112" s="7" t="e">
        <f>C112/#REF!</f>
        <v>#REF!</v>
      </c>
    </row>
    <row r="113" spans="1:20" x14ac:dyDescent="0.3">
      <c r="A113" s="2">
        <v>43576</v>
      </c>
      <c r="B113" s="3">
        <v>46685340</v>
      </c>
      <c r="C113" s="42">
        <v>1930065</v>
      </c>
      <c r="D113" s="48">
        <f>VLOOKUP($A113,'Channel wise traffic'!$B$2:$K$368,7,FALSE)</f>
        <v>0</v>
      </c>
      <c r="E113" s="24">
        <f>VLOOKUP($A113,'Channel wise traffic'!$B$2:$K$368,8,FALSE)</f>
        <v>0</v>
      </c>
      <c r="F113" s="24">
        <f>VLOOKUP($A113,'Channel wise traffic'!$B$2:$K$368,9,FALSE)</f>
        <v>0</v>
      </c>
      <c r="G113" s="24">
        <f>VLOOKUP($A113,'Channel wise traffic'!$B$2:$K$368,10,FALSE)</f>
        <v>0</v>
      </c>
      <c r="H113" s="48">
        <f>VLOOKUP($A113,'Channel wise traffic'!$B$2:$P$368,11,FALSE)</f>
        <v>0</v>
      </c>
      <c r="I113" s="24">
        <f>VLOOKUP($A113,'Channel wise traffic'!$B$2:$P$368,12,FALSE)</f>
        <v>0</v>
      </c>
      <c r="J113" s="24">
        <f>VLOOKUP($A113,'Channel wise traffic'!$B$2:$P$368,13,FALSE)</f>
        <v>0</v>
      </c>
      <c r="K113" s="51">
        <f>VLOOKUP($A113,'Channel wise traffic'!$B$2:$P$368,14,FALSE)</f>
        <v>0</v>
      </c>
      <c r="L113" s="24">
        <f>VLOOKUP($A113,'Channel wise traffic'!$B$2:$P$368,15,FALSE)</f>
        <v>0</v>
      </c>
      <c r="M113" s="7">
        <f t="shared" si="4"/>
        <v>4.1341993011082281E-2</v>
      </c>
      <c r="N113" s="7">
        <f t="shared" si="6"/>
        <v>-3.0611356968823777E-4</v>
      </c>
      <c r="O113" s="7">
        <f t="shared" si="5"/>
        <v>0</v>
      </c>
      <c r="P113" s="7">
        <f t="shared" si="7"/>
        <v>-3.0611356968823777E-4</v>
      </c>
      <c r="Q113" s="7" t="e">
        <f>#REF!/B113</f>
        <v>#REF!</v>
      </c>
      <c r="R113" s="7" t="e">
        <f>#REF!/#REF!</f>
        <v>#REF!</v>
      </c>
      <c r="S113" s="7" t="e">
        <f>#REF!/#REF!</f>
        <v>#REF!</v>
      </c>
      <c r="T113" s="7" t="e">
        <f>C113/#REF!</f>
        <v>#REF!</v>
      </c>
    </row>
    <row r="114" spans="1:20" x14ac:dyDescent="0.3">
      <c r="A114" s="2">
        <v>43577</v>
      </c>
      <c r="B114" s="3">
        <v>20848646</v>
      </c>
      <c r="C114" s="42">
        <v>1459713</v>
      </c>
      <c r="D114" s="48">
        <f>VLOOKUP($A114,'Channel wise traffic'!$B$2:$K$368,7,FALSE)</f>
        <v>-78183</v>
      </c>
      <c r="E114" s="24">
        <f>VLOOKUP($A114,'Channel wise traffic'!$B$2:$K$368,8,FALSE)</f>
        <v>-58637</v>
      </c>
      <c r="F114" s="24">
        <f>VLOOKUP($A114,'Channel wise traffic'!$B$2:$K$368,9,FALSE)</f>
        <v>-23889</v>
      </c>
      <c r="G114" s="24">
        <f>VLOOKUP($A114,'Channel wise traffic'!$B$2:$K$368,10,FALSE)</f>
        <v>-56465</v>
      </c>
      <c r="H114" s="48">
        <f>VLOOKUP($A114,'Channel wise traffic'!$B$2:$P$368,11,FALSE)</f>
        <v>0</v>
      </c>
      <c r="I114" s="24">
        <f>VLOOKUP($A114,'Channel wise traffic'!$B$2:$P$368,12,FALSE)</f>
        <v>0</v>
      </c>
      <c r="J114" s="24">
        <f>VLOOKUP($A114,'Channel wise traffic'!$B$2:$P$368,13,FALSE)</f>
        <v>0</v>
      </c>
      <c r="K114" s="51">
        <f>VLOOKUP($A114,'Channel wise traffic'!$B$2:$P$368,14,FALSE)</f>
        <v>0</v>
      </c>
      <c r="L114" s="24">
        <f>VLOOKUP($A114,'Channel wise traffic'!$B$2:$P$368,15,FALSE)</f>
        <v>-217174</v>
      </c>
      <c r="M114" s="7">
        <f t="shared" si="4"/>
        <v>7.0014762589378707E-2</v>
      </c>
      <c r="N114" s="7">
        <f t="shared" si="6"/>
        <v>2.9183076903552152E-2</v>
      </c>
      <c r="O114" s="7">
        <f t="shared" si="5"/>
        <v>-1.030930673479602E-2</v>
      </c>
      <c r="P114" s="7">
        <f t="shared" si="7"/>
        <v>3.9903763779018941E-2</v>
      </c>
      <c r="Q114" s="7" t="e">
        <f>#REF!/B114</f>
        <v>#REF!</v>
      </c>
      <c r="R114" s="7" t="e">
        <f>#REF!/#REF!</f>
        <v>#REF!</v>
      </c>
      <c r="S114" s="7" t="e">
        <f>#REF!/#REF!</f>
        <v>#REF!</v>
      </c>
      <c r="T114" s="7" t="e">
        <f>C114/#REF!</f>
        <v>#REF!</v>
      </c>
    </row>
    <row r="115" spans="1:20" x14ac:dyDescent="0.3">
      <c r="A115" s="2">
        <v>43578</v>
      </c>
      <c r="B115" s="3">
        <v>20631473</v>
      </c>
      <c r="C115" s="42">
        <v>1148508</v>
      </c>
      <c r="D115" s="48">
        <f>VLOOKUP($A115,'Channel wise traffic'!$B$2:$K$368,7,FALSE)</f>
        <v>-703642</v>
      </c>
      <c r="E115" s="24">
        <f>VLOOKUP($A115,'Channel wise traffic'!$B$2:$K$368,8,FALSE)</f>
        <v>-527732</v>
      </c>
      <c r="F115" s="24">
        <f>VLOOKUP($A115,'Channel wise traffic'!$B$2:$K$368,9,FALSE)</f>
        <v>-215001</v>
      </c>
      <c r="G115" s="24">
        <f>VLOOKUP($A115,'Channel wise traffic'!$B$2:$K$368,10,FALSE)</f>
        <v>-508185</v>
      </c>
      <c r="H115" s="48">
        <f>VLOOKUP($A115,'Channel wise traffic'!$B$2:$P$368,11,FALSE)</f>
        <v>0</v>
      </c>
      <c r="I115" s="24">
        <f>VLOOKUP($A115,'Channel wise traffic'!$B$2:$P$368,12,FALSE)</f>
        <v>0</v>
      </c>
      <c r="J115" s="24">
        <f>VLOOKUP($A115,'Channel wise traffic'!$B$2:$P$368,13,FALSE)</f>
        <v>0</v>
      </c>
      <c r="K115" s="51">
        <f>VLOOKUP($A115,'Channel wise traffic'!$B$2:$P$368,14,FALSE)</f>
        <v>0</v>
      </c>
      <c r="L115" s="24">
        <f>VLOOKUP($A115,'Channel wise traffic'!$B$2:$P$368,15,FALSE)</f>
        <v>-1954560</v>
      </c>
      <c r="M115" s="7">
        <f t="shared" si="4"/>
        <v>5.5667765457173127E-2</v>
      </c>
      <c r="N115" s="7">
        <f t="shared" si="6"/>
        <v>-0.11397510352957152</v>
      </c>
      <c r="O115" s="7">
        <f t="shared" si="5"/>
        <v>-8.6538477715919493E-2</v>
      </c>
      <c r="P115" s="7">
        <f t="shared" si="7"/>
        <v>-3.0035885633198478E-2</v>
      </c>
      <c r="Q115" s="7" t="e">
        <f>#REF!/B115</f>
        <v>#REF!</v>
      </c>
      <c r="R115" s="7" t="e">
        <f>#REF!/#REF!</f>
        <v>#REF!</v>
      </c>
      <c r="S115" s="7" t="e">
        <f>#REF!/#REF!</f>
        <v>#REF!</v>
      </c>
      <c r="T115" s="7" t="e">
        <f>C115/#REF!</f>
        <v>#REF!</v>
      </c>
    </row>
    <row r="116" spans="1:20" x14ac:dyDescent="0.3">
      <c r="A116" s="2">
        <v>43579</v>
      </c>
      <c r="B116" s="3">
        <v>21717340</v>
      </c>
      <c r="C116" s="42">
        <v>1476951</v>
      </c>
      <c r="D116" s="48">
        <f>VLOOKUP($A116,'Channel wise traffic'!$B$2:$K$368,7,FALSE)</f>
        <v>-78182</v>
      </c>
      <c r="E116" s="24">
        <f>VLOOKUP($A116,'Channel wise traffic'!$B$2:$K$368,8,FALSE)</f>
        <v>-58637</v>
      </c>
      <c r="F116" s="24">
        <f>VLOOKUP($A116,'Channel wise traffic'!$B$2:$K$368,9,FALSE)</f>
        <v>-23889</v>
      </c>
      <c r="G116" s="24">
        <f>VLOOKUP($A116,'Channel wise traffic'!$B$2:$K$368,10,FALSE)</f>
        <v>-56465</v>
      </c>
      <c r="H116" s="48">
        <f>VLOOKUP($A116,'Channel wise traffic'!$B$2:$P$368,11,FALSE)</f>
        <v>0</v>
      </c>
      <c r="I116" s="24">
        <f>VLOOKUP($A116,'Channel wise traffic'!$B$2:$P$368,12,FALSE)</f>
        <v>0</v>
      </c>
      <c r="J116" s="24">
        <f>VLOOKUP($A116,'Channel wise traffic'!$B$2:$P$368,13,FALSE)</f>
        <v>0</v>
      </c>
      <c r="K116" s="51">
        <f>VLOOKUP($A116,'Channel wise traffic'!$B$2:$P$368,14,FALSE)</f>
        <v>0</v>
      </c>
      <c r="L116" s="24">
        <f>VLOOKUP($A116,'Channel wise traffic'!$B$2:$P$368,15,FALSE)</f>
        <v>-217173</v>
      </c>
      <c r="M116" s="7">
        <f t="shared" si="4"/>
        <v>6.8007914413091106E-2</v>
      </c>
      <c r="N116" s="7">
        <f t="shared" si="6"/>
        <v>0.10543108751981545</v>
      </c>
      <c r="O116" s="7">
        <f t="shared" si="5"/>
        <v>-9.9009720434640736E-3</v>
      </c>
      <c r="P116" s="7">
        <f t="shared" si="7"/>
        <v>0.11648537803467307</v>
      </c>
      <c r="Q116" s="7" t="e">
        <f>#REF!/B116</f>
        <v>#REF!</v>
      </c>
      <c r="R116" s="7" t="e">
        <f>#REF!/#REF!</f>
        <v>#REF!</v>
      </c>
      <c r="S116" s="7" t="e">
        <f>#REF!/#REF!</f>
        <v>#REF!</v>
      </c>
      <c r="T116" s="7" t="e">
        <f>C116/#REF!</f>
        <v>#REF!</v>
      </c>
    </row>
    <row r="117" spans="1:20" x14ac:dyDescent="0.3">
      <c r="A117" s="15">
        <v>43580</v>
      </c>
      <c r="B117" s="16">
        <v>22803207</v>
      </c>
      <c r="C117" s="46">
        <v>1282226</v>
      </c>
      <c r="D117" s="48">
        <f>VLOOKUP($A117,'Channel wise traffic'!$B$2:$K$368,7,FALSE)</f>
        <v>0</v>
      </c>
      <c r="E117" s="24">
        <f>VLOOKUP($A117,'Channel wise traffic'!$B$2:$K$368,8,FALSE)</f>
        <v>0</v>
      </c>
      <c r="F117" s="24">
        <f>VLOOKUP($A117,'Channel wise traffic'!$B$2:$K$368,9,FALSE)</f>
        <v>0</v>
      </c>
      <c r="G117" s="24">
        <f>VLOOKUP($A117,'Channel wise traffic'!$B$2:$K$368,10,FALSE)</f>
        <v>0</v>
      </c>
      <c r="H117" s="48">
        <f>VLOOKUP($A117,'Channel wise traffic'!$B$2:$P$368,11,FALSE)</f>
        <v>0</v>
      </c>
      <c r="I117" s="24">
        <f>VLOOKUP($A117,'Channel wise traffic'!$B$2:$P$368,12,FALSE)</f>
        <v>0</v>
      </c>
      <c r="J117" s="24">
        <f>VLOOKUP($A117,'Channel wise traffic'!$B$2:$P$368,13,FALSE)</f>
        <v>0</v>
      </c>
      <c r="K117" s="51">
        <f>VLOOKUP($A117,'Channel wise traffic'!$B$2:$P$368,14,FALSE)</f>
        <v>0</v>
      </c>
      <c r="L117" s="24">
        <f>VLOOKUP($A117,'Channel wise traffic'!$B$2:$P$368,15,FALSE)</f>
        <v>0</v>
      </c>
      <c r="M117" s="17">
        <f t="shared" si="4"/>
        <v>5.6230073252415767E-2</v>
      </c>
      <c r="N117" s="13">
        <f t="shared" si="6"/>
        <v>-0.38690483590402214</v>
      </c>
      <c r="O117" s="13">
        <f t="shared" si="5"/>
        <v>0</v>
      </c>
      <c r="P117" s="17">
        <f t="shared" si="7"/>
        <v>-0.38690483590402214</v>
      </c>
      <c r="Q117" s="17" t="e">
        <f>#REF!/B117</f>
        <v>#REF!</v>
      </c>
      <c r="R117" s="17" t="e">
        <f>#REF!/#REF!</f>
        <v>#REF!</v>
      </c>
      <c r="S117" s="17" t="e">
        <f>#REF!/#REF!</f>
        <v>#REF!</v>
      </c>
      <c r="T117" s="17" t="e">
        <f>C117/#REF!</f>
        <v>#REF!</v>
      </c>
    </row>
    <row r="118" spans="1:20" x14ac:dyDescent="0.3">
      <c r="A118" s="2">
        <v>43581</v>
      </c>
      <c r="B118" s="3">
        <v>22151687</v>
      </c>
      <c r="C118" s="42">
        <v>1307991</v>
      </c>
      <c r="D118" s="48">
        <f>VLOOKUP($A118,'Channel wise traffic'!$B$2:$K$368,7,FALSE)</f>
        <v>0</v>
      </c>
      <c r="E118" s="24">
        <f>VLOOKUP($A118,'Channel wise traffic'!$B$2:$K$368,8,FALSE)</f>
        <v>0</v>
      </c>
      <c r="F118" s="24">
        <f>VLOOKUP($A118,'Channel wise traffic'!$B$2:$K$368,9,FALSE)</f>
        <v>0</v>
      </c>
      <c r="G118" s="24">
        <f>VLOOKUP($A118,'Channel wise traffic'!$B$2:$K$368,10,FALSE)</f>
        <v>0</v>
      </c>
      <c r="H118" s="48">
        <f>VLOOKUP($A118,'Channel wise traffic'!$B$2:$P$368,11,FALSE)</f>
        <v>0</v>
      </c>
      <c r="I118" s="24">
        <f>VLOOKUP($A118,'Channel wise traffic'!$B$2:$P$368,12,FALSE)</f>
        <v>0</v>
      </c>
      <c r="J118" s="24">
        <f>VLOOKUP($A118,'Channel wise traffic'!$B$2:$P$368,13,FALSE)</f>
        <v>0</v>
      </c>
      <c r="K118" s="51">
        <f>VLOOKUP($A118,'Channel wise traffic'!$B$2:$P$368,14,FALSE)</f>
        <v>0</v>
      </c>
      <c r="L118" s="24">
        <f>VLOOKUP($A118,'Channel wise traffic'!$B$2:$P$368,15,FALSE)</f>
        <v>0</v>
      </c>
      <c r="M118" s="7">
        <f t="shared" si="4"/>
        <v>5.9047015245385151E-2</v>
      </c>
      <c r="N118" s="7">
        <f t="shared" si="6"/>
        <v>-7.8703103693101739E-2</v>
      </c>
      <c r="O118" s="7">
        <f t="shared" si="5"/>
        <v>0</v>
      </c>
      <c r="P118" s="7">
        <f t="shared" si="7"/>
        <v>-7.8703103693101739E-2</v>
      </c>
      <c r="Q118" s="7" t="e">
        <f>#REF!/B118</f>
        <v>#REF!</v>
      </c>
      <c r="R118" s="7" t="e">
        <f>#REF!/#REF!</f>
        <v>#REF!</v>
      </c>
      <c r="S118" s="7" t="e">
        <f>#REF!/#REF!</f>
        <v>#REF!</v>
      </c>
      <c r="T118" s="7" t="e">
        <f>C118/#REF!</f>
        <v>#REF!</v>
      </c>
    </row>
    <row r="119" spans="1:20" x14ac:dyDescent="0.3">
      <c r="A119" s="2">
        <v>43582</v>
      </c>
      <c r="B119" s="3">
        <v>47134238</v>
      </c>
      <c r="C119" s="42">
        <v>1744392</v>
      </c>
      <c r="D119" s="48">
        <f>VLOOKUP($A119,'Channel wise traffic'!$B$2:$K$368,7,FALSE)</f>
        <v>0</v>
      </c>
      <c r="E119" s="24">
        <f>VLOOKUP($A119,'Channel wise traffic'!$B$2:$K$368,8,FALSE)</f>
        <v>0</v>
      </c>
      <c r="F119" s="24">
        <f>VLOOKUP($A119,'Channel wise traffic'!$B$2:$K$368,9,FALSE)</f>
        <v>0</v>
      </c>
      <c r="G119" s="24">
        <f>VLOOKUP($A119,'Channel wise traffic'!$B$2:$K$368,10,FALSE)</f>
        <v>0</v>
      </c>
      <c r="H119" s="48">
        <f>VLOOKUP($A119,'Channel wise traffic'!$B$2:$P$368,11,FALSE)</f>
        <v>969618</v>
      </c>
      <c r="I119" s="24">
        <f>VLOOKUP($A119,'Channel wise traffic'!$B$2:$P$368,12,FALSE)</f>
        <v>727214</v>
      </c>
      <c r="J119" s="24">
        <f>VLOOKUP($A119,'Channel wise traffic'!$B$2:$P$368,13,FALSE)</f>
        <v>296273</v>
      </c>
      <c r="K119" s="51">
        <f>VLOOKUP($A119,'Channel wise traffic'!$B$2:$P$368,14,FALSE)</f>
        <v>700280</v>
      </c>
      <c r="L119" s="24">
        <f>VLOOKUP($A119,'Channel wise traffic'!$B$2:$P$368,15,FALSE)</f>
        <v>2693385</v>
      </c>
      <c r="M119" s="7">
        <f t="shared" si="4"/>
        <v>3.7009020915963468E-2</v>
      </c>
      <c r="N119" s="7">
        <f t="shared" si="6"/>
        <v>9.246269927953743E-2</v>
      </c>
      <c r="O119" s="7">
        <f t="shared" si="5"/>
        <v>6.0606059924187328E-2</v>
      </c>
      <c r="P119" s="7">
        <f t="shared" si="7"/>
        <v>3.0036259982926472E-2</v>
      </c>
      <c r="Q119" s="7" t="e">
        <f>#REF!/B119</f>
        <v>#REF!</v>
      </c>
      <c r="R119" s="7" t="e">
        <f>#REF!/#REF!</f>
        <v>#REF!</v>
      </c>
      <c r="S119" s="7" t="e">
        <f>#REF!/#REF!</f>
        <v>#REF!</v>
      </c>
      <c r="T119" s="7" t="e">
        <f>C119/#REF!</f>
        <v>#REF!</v>
      </c>
    </row>
    <row r="120" spans="1:20" x14ac:dyDescent="0.3">
      <c r="A120" s="2">
        <v>43583</v>
      </c>
      <c r="B120" s="3">
        <v>46236443</v>
      </c>
      <c r="C120" s="42">
        <v>1644526</v>
      </c>
      <c r="D120" s="48">
        <f>VLOOKUP($A120,'Channel wise traffic'!$B$2:$K$368,7,FALSE)</f>
        <v>-161603</v>
      </c>
      <c r="E120" s="24">
        <f>VLOOKUP($A120,'Channel wise traffic'!$B$2:$K$368,8,FALSE)</f>
        <v>-121203</v>
      </c>
      <c r="F120" s="24">
        <f>VLOOKUP($A120,'Channel wise traffic'!$B$2:$K$368,9,FALSE)</f>
        <v>-49379</v>
      </c>
      <c r="G120" s="24">
        <f>VLOOKUP($A120,'Channel wise traffic'!$B$2:$K$368,10,FALSE)</f>
        <v>-116713</v>
      </c>
      <c r="H120" s="48">
        <f>VLOOKUP($A120,'Channel wise traffic'!$B$2:$P$368,11,FALSE)</f>
        <v>0</v>
      </c>
      <c r="I120" s="24">
        <f>VLOOKUP($A120,'Channel wise traffic'!$B$2:$P$368,12,FALSE)</f>
        <v>0</v>
      </c>
      <c r="J120" s="24">
        <f>VLOOKUP($A120,'Channel wise traffic'!$B$2:$P$368,13,FALSE)</f>
        <v>0</v>
      </c>
      <c r="K120" s="51">
        <f>VLOOKUP($A120,'Channel wise traffic'!$B$2:$P$368,14,FALSE)</f>
        <v>0</v>
      </c>
      <c r="L120" s="24">
        <f>VLOOKUP($A120,'Channel wise traffic'!$B$2:$P$368,15,FALSE)</f>
        <v>-448898</v>
      </c>
      <c r="M120" s="7">
        <f t="shared" si="4"/>
        <v>3.5567744690048933E-2</v>
      </c>
      <c r="N120" s="7">
        <f t="shared" si="6"/>
        <v>-0.14794268586809256</v>
      </c>
      <c r="O120" s="7">
        <f t="shared" si="5"/>
        <v>-9.6153739053844722E-3</v>
      </c>
      <c r="P120" s="7">
        <f t="shared" si="7"/>
        <v>-0.13967029406360465</v>
      </c>
      <c r="Q120" s="7" t="e">
        <f>#REF!/B120</f>
        <v>#REF!</v>
      </c>
      <c r="R120" s="7" t="e">
        <f>#REF!/#REF!</f>
        <v>#REF!</v>
      </c>
      <c r="S120" s="7" t="e">
        <f>#REF!/#REF!</f>
        <v>#REF!</v>
      </c>
      <c r="T120" s="7" t="e">
        <f>C120/#REF!</f>
        <v>#REF!</v>
      </c>
    </row>
    <row r="121" spans="1:20" x14ac:dyDescent="0.3">
      <c r="A121" s="2">
        <v>43584</v>
      </c>
      <c r="B121" s="3">
        <v>20631473</v>
      </c>
      <c r="C121" s="42">
        <v>1210178</v>
      </c>
      <c r="D121" s="48">
        <f>VLOOKUP($A121,'Channel wise traffic'!$B$2:$K$368,7,FALSE)</f>
        <v>-78182</v>
      </c>
      <c r="E121" s="24">
        <f>VLOOKUP($A121,'Channel wise traffic'!$B$2:$K$368,8,FALSE)</f>
        <v>-58637</v>
      </c>
      <c r="F121" s="24">
        <f>VLOOKUP($A121,'Channel wise traffic'!$B$2:$K$368,9,FALSE)</f>
        <v>-23889</v>
      </c>
      <c r="G121" s="24">
        <f>VLOOKUP($A121,'Channel wise traffic'!$B$2:$K$368,10,FALSE)</f>
        <v>-56465</v>
      </c>
      <c r="H121" s="48">
        <f>VLOOKUP($A121,'Channel wise traffic'!$B$2:$P$368,11,FALSE)</f>
        <v>0</v>
      </c>
      <c r="I121" s="24">
        <f>VLOOKUP($A121,'Channel wise traffic'!$B$2:$P$368,12,FALSE)</f>
        <v>0</v>
      </c>
      <c r="J121" s="24">
        <f>VLOOKUP($A121,'Channel wise traffic'!$B$2:$P$368,13,FALSE)</f>
        <v>0</v>
      </c>
      <c r="K121" s="51">
        <f>VLOOKUP($A121,'Channel wise traffic'!$B$2:$P$368,14,FALSE)</f>
        <v>0</v>
      </c>
      <c r="L121" s="24">
        <f>VLOOKUP($A121,'Channel wise traffic'!$B$2:$P$368,15,FALSE)</f>
        <v>-217173</v>
      </c>
      <c r="M121" s="7">
        <f t="shared" si="4"/>
        <v>5.8656887949784291E-2</v>
      </c>
      <c r="N121" s="7">
        <f t="shared" si="6"/>
        <v>-0.17094798772087394</v>
      </c>
      <c r="O121" s="7">
        <f t="shared" si="5"/>
        <v>-1.041664768062156E-2</v>
      </c>
      <c r="P121" s="7">
        <f t="shared" si="7"/>
        <v>-0.16222114050726522</v>
      </c>
      <c r="Q121" s="7" t="e">
        <f>#REF!/B121</f>
        <v>#REF!</v>
      </c>
      <c r="R121" s="7" t="e">
        <f>#REF!/#REF!</f>
        <v>#REF!</v>
      </c>
      <c r="S121" s="7" t="e">
        <f>#REF!/#REF!</f>
        <v>#REF!</v>
      </c>
      <c r="T121" s="7" t="e">
        <f>C121/#REF!</f>
        <v>#REF!</v>
      </c>
    </row>
    <row r="122" spans="1:20" x14ac:dyDescent="0.3">
      <c r="A122" s="2">
        <v>43585</v>
      </c>
      <c r="B122" s="3">
        <v>21065820</v>
      </c>
      <c r="C122" s="42">
        <v>1246469</v>
      </c>
      <c r="D122" s="48">
        <f>VLOOKUP($A122,'Channel wise traffic'!$B$2:$K$368,7,FALSE)</f>
        <v>0</v>
      </c>
      <c r="E122" s="24">
        <f>VLOOKUP($A122,'Channel wise traffic'!$B$2:$K$368,8,FALSE)</f>
        <v>0</v>
      </c>
      <c r="F122" s="24">
        <f>VLOOKUP($A122,'Channel wise traffic'!$B$2:$K$368,9,FALSE)</f>
        <v>0</v>
      </c>
      <c r="G122" s="24">
        <f>VLOOKUP($A122,'Channel wise traffic'!$B$2:$K$368,10,FALSE)</f>
        <v>0</v>
      </c>
      <c r="H122" s="48">
        <f>VLOOKUP($A122,'Channel wise traffic'!$B$2:$P$368,11,FALSE)</f>
        <v>156365</v>
      </c>
      <c r="I122" s="24">
        <f>VLOOKUP($A122,'Channel wise traffic'!$B$2:$P$368,12,FALSE)</f>
        <v>117274</v>
      </c>
      <c r="J122" s="24">
        <f>VLOOKUP($A122,'Channel wise traffic'!$B$2:$P$368,13,FALSE)</f>
        <v>47778</v>
      </c>
      <c r="K122" s="51">
        <f>VLOOKUP($A122,'Channel wise traffic'!$B$2:$P$368,14,FALSE)</f>
        <v>112930</v>
      </c>
      <c r="L122" s="24">
        <f>VLOOKUP($A122,'Channel wise traffic'!$B$2:$P$368,15,FALSE)</f>
        <v>434347</v>
      </c>
      <c r="M122" s="7">
        <f t="shared" si="4"/>
        <v>5.9170210321743945E-2</v>
      </c>
      <c r="N122" s="7">
        <f t="shared" si="6"/>
        <v>8.5294138133996444E-2</v>
      </c>
      <c r="O122" s="7">
        <f t="shared" si="5"/>
        <v>2.105264127287465E-2</v>
      </c>
      <c r="P122" s="7">
        <f t="shared" si="7"/>
        <v>6.2916929318195036E-2</v>
      </c>
      <c r="Q122" s="7" t="e">
        <f>#REF!/B122</f>
        <v>#REF!</v>
      </c>
      <c r="R122" s="7" t="e">
        <f>#REF!/#REF!</f>
        <v>#REF!</v>
      </c>
      <c r="S122" s="7" t="e">
        <f>#REF!/#REF!</f>
        <v>#REF!</v>
      </c>
      <c r="T122" s="7" t="e">
        <f>C122/#REF!</f>
        <v>#REF!</v>
      </c>
    </row>
    <row r="123" spans="1:20" x14ac:dyDescent="0.3">
      <c r="A123" s="2">
        <v>43586</v>
      </c>
      <c r="B123" s="3">
        <v>22803207</v>
      </c>
      <c r="C123" s="42">
        <v>1460599</v>
      </c>
      <c r="D123" s="48">
        <f>VLOOKUP($A123,'Channel wise traffic'!$B$2:$K$368,7,FALSE)</f>
        <v>0</v>
      </c>
      <c r="E123" s="24">
        <f>VLOOKUP($A123,'Channel wise traffic'!$B$2:$K$368,8,FALSE)</f>
        <v>0</v>
      </c>
      <c r="F123" s="24">
        <f>VLOOKUP($A123,'Channel wise traffic'!$B$2:$K$368,9,FALSE)</f>
        <v>0</v>
      </c>
      <c r="G123" s="24">
        <f>VLOOKUP($A123,'Channel wise traffic'!$B$2:$K$368,10,FALSE)</f>
        <v>0</v>
      </c>
      <c r="H123" s="48">
        <f>VLOOKUP($A123,'Channel wise traffic'!$B$2:$P$368,11,FALSE)</f>
        <v>390912</v>
      </c>
      <c r="I123" s="24">
        <f>VLOOKUP($A123,'Channel wise traffic'!$B$2:$P$368,12,FALSE)</f>
        <v>293185</v>
      </c>
      <c r="J123" s="24">
        <f>VLOOKUP($A123,'Channel wise traffic'!$B$2:$P$368,13,FALSE)</f>
        <v>119445</v>
      </c>
      <c r="K123" s="51">
        <f>VLOOKUP($A123,'Channel wise traffic'!$B$2:$P$368,14,FALSE)</f>
        <v>282325</v>
      </c>
      <c r="L123" s="24">
        <f>VLOOKUP($A123,'Channel wise traffic'!$B$2:$P$368,15,FALSE)</f>
        <v>1085867</v>
      </c>
      <c r="M123" s="7">
        <f t="shared" si="4"/>
        <v>6.4052350180393486E-2</v>
      </c>
      <c r="N123" s="7">
        <f t="shared" si="6"/>
        <v>-1.1071457346926161E-2</v>
      </c>
      <c r="O123" s="7">
        <f t="shared" si="5"/>
        <v>5.0000000000000044E-2</v>
      </c>
      <c r="P123" s="7">
        <f t="shared" si="7"/>
        <v>-5.8163292711358228E-2</v>
      </c>
      <c r="Q123" s="7" t="e">
        <f>#REF!/B123</f>
        <v>#REF!</v>
      </c>
      <c r="R123" s="7" t="e">
        <f>#REF!/#REF!</f>
        <v>#REF!</v>
      </c>
      <c r="S123" s="7" t="e">
        <f>#REF!/#REF!</f>
        <v>#REF!</v>
      </c>
      <c r="T123" s="7" t="e">
        <f>C123/#REF!</f>
        <v>#REF!</v>
      </c>
    </row>
    <row r="124" spans="1:20" x14ac:dyDescent="0.3">
      <c r="A124" s="2">
        <v>43587</v>
      </c>
      <c r="B124" s="3">
        <v>21282993</v>
      </c>
      <c r="C124" s="42">
        <v>1284697</v>
      </c>
      <c r="D124" s="48">
        <f>VLOOKUP($A124,'Channel wise traffic'!$B$2:$K$368,7,FALSE)</f>
        <v>-547277</v>
      </c>
      <c r="E124" s="24">
        <f>VLOOKUP($A124,'Channel wise traffic'!$B$2:$K$368,8,FALSE)</f>
        <v>-410458</v>
      </c>
      <c r="F124" s="24">
        <f>VLOOKUP($A124,'Channel wise traffic'!$B$2:$K$368,9,FALSE)</f>
        <v>-167223</v>
      </c>
      <c r="G124" s="24">
        <f>VLOOKUP($A124,'Channel wise traffic'!$B$2:$K$368,10,FALSE)</f>
        <v>-395255</v>
      </c>
      <c r="H124" s="48">
        <f>VLOOKUP($A124,'Channel wise traffic'!$B$2:$P$368,11,FALSE)</f>
        <v>0</v>
      </c>
      <c r="I124" s="24">
        <f>VLOOKUP($A124,'Channel wise traffic'!$B$2:$P$368,12,FALSE)</f>
        <v>0</v>
      </c>
      <c r="J124" s="24">
        <f>VLOOKUP($A124,'Channel wise traffic'!$B$2:$P$368,13,FALSE)</f>
        <v>0</v>
      </c>
      <c r="K124" s="51">
        <f>VLOOKUP($A124,'Channel wise traffic'!$B$2:$P$368,14,FALSE)</f>
        <v>0</v>
      </c>
      <c r="L124" s="24">
        <f>VLOOKUP($A124,'Channel wise traffic'!$B$2:$P$368,15,FALSE)</f>
        <v>-1520213</v>
      </c>
      <c r="M124" s="7">
        <f t="shared" si="4"/>
        <v>6.0362609713774752E-2</v>
      </c>
      <c r="N124" s="7">
        <f t="shared" si="6"/>
        <v>1.9271173724444424E-3</v>
      </c>
      <c r="O124" s="7">
        <f t="shared" si="5"/>
        <v>-6.6666675437362821E-2</v>
      </c>
      <c r="P124" s="7">
        <f t="shared" si="7"/>
        <v>7.3493350129709034E-2</v>
      </c>
      <c r="Q124" s="7" t="e">
        <f>#REF!/B124</f>
        <v>#REF!</v>
      </c>
      <c r="R124" s="7" t="e">
        <f>#REF!/#REF!</f>
        <v>#REF!</v>
      </c>
      <c r="S124" s="7" t="e">
        <f>#REF!/#REF!</f>
        <v>#REF!</v>
      </c>
      <c r="T124" s="7" t="e">
        <f>C124/#REF!</f>
        <v>#REF!</v>
      </c>
    </row>
    <row r="125" spans="1:20" x14ac:dyDescent="0.3">
      <c r="A125" s="2">
        <v>43588</v>
      </c>
      <c r="B125" s="3">
        <v>20848646</v>
      </c>
      <c r="C125" s="42">
        <v>1260104</v>
      </c>
      <c r="D125" s="48">
        <f>VLOOKUP($A125,'Channel wise traffic'!$B$2:$K$368,7,FALSE)</f>
        <v>-469095</v>
      </c>
      <c r="E125" s="24">
        <f>VLOOKUP($A125,'Channel wise traffic'!$B$2:$K$368,8,FALSE)</f>
        <v>-351821</v>
      </c>
      <c r="F125" s="24">
        <f>VLOOKUP($A125,'Channel wise traffic'!$B$2:$K$368,9,FALSE)</f>
        <v>-143334</v>
      </c>
      <c r="G125" s="24">
        <f>VLOOKUP($A125,'Channel wise traffic'!$B$2:$K$368,10,FALSE)</f>
        <v>-338790</v>
      </c>
      <c r="H125" s="48">
        <f>VLOOKUP($A125,'Channel wise traffic'!$B$2:$P$368,11,FALSE)</f>
        <v>0</v>
      </c>
      <c r="I125" s="24">
        <f>VLOOKUP($A125,'Channel wise traffic'!$B$2:$P$368,12,FALSE)</f>
        <v>0</v>
      </c>
      <c r="J125" s="24">
        <f>VLOOKUP($A125,'Channel wise traffic'!$B$2:$P$368,13,FALSE)</f>
        <v>0</v>
      </c>
      <c r="K125" s="51">
        <f>VLOOKUP($A125,'Channel wise traffic'!$B$2:$P$368,14,FALSE)</f>
        <v>0</v>
      </c>
      <c r="L125" s="24">
        <f>VLOOKUP($A125,'Channel wise traffic'!$B$2:$P$368,15,FALSE)</f>
        <v>-1303040</v>
      </c>
      <c r="M125" s="7">
        <f t="shared" si="4"/>
        <v>6.0440567699216532E-2</v>
      </c>
      <c r="N125" s="7">
        <f t="shared" si="6"/>
        <v>-3.6611108180407914E-2</v>
      </c>
      <c r="O125" s="7">
        <f t="shared" si="5"/>
        <v>-5.8823555966640351E-2</v>
      </c>
      <c r="P125" s="7">
        <f t="shared" si="7"/>
        <v>2.3600726438755881E-2</v>
      </c>
      <c r="Q125" s="7" t="e">
        <f>#REF!/B125</f>
        <v>#REF!</v>
      </c>
      <c r="R125" s="7" t="e">
        <f>#REF!/#REF!</f>
        <v>#REF!</v>
      </c>
      <c r="S125" s="7" t="e">
        <f>#REF!/#REF!</f>
        <v>#REF!</v>
      </c>
      <c r="T125" s="7" t="e">
        <f>C125/#REF!</f>
        <v>#REF!</v>
      </c>
    </row>
    <row r="126" spans="1:20" x14ac:dyDescent="0.3">
      <c r="A126" s="2">
        <v>43589</v>
      </c>
      <c r="B126" s="3">
        <v>43094160</v>
      </c>
      <c r="C126" s="42">
        <v>1487205</v>
      </c>
      <c r="D126" s="48">
        <f>VLOOKUP($A126,'Channel wise traffic'!$B$2:$K$368,7,FALSE)</f>
        <v>-1454428</v>
      </c>
      <c r="E126" s="24">
        <f>VLOOKUP($A126,'Channel wise traffic'!$B$2:$K$368,8,FALSE)</f>
        <v>-1090821</v>
      </c>
      <c r="F126" s="24">
        <f>VLOOKUP($A126,'Channel wise traffic'!$B$2:$K$368,9,FALSE)</f>
        <v>-444409</v>
      </c>
      <c r="G126" s="24">
        <f>VLOOKUP($A126,'Channel wise traffic'!$B$2:$K$368,10,FALSE)</f>
        <v>-1050420</v>
      </c>
      <c r="H126" s="48">
        <f>VLOOKUP($A126,'Channel wise traffic'!$B$2:$P$368,11,FALSE)</f>
        <v>0</v>
      </c>
      <c r="I126" s="24">
        <f>VLOOKUP($A126,'Channel wise traffic'!$B$2:$P$368,12,FALSE)</f>
        <v>0</v>
      </c>
      <c r="J126" s="24">
        <f>VLOOKUP($A126,'Channel wise traffic'!$B$2:$P$368,13,FALSE)</f>
        <v>0</v>
      </c>
      <c r="K126" s="51">
        <f>VLOOKUP($A126,'Channel wise traffic'!$B$2:$P$368,14,FALSE)</f>
        <v>0</v>
      </c>
      <c r="L126" s="24">
        <f>VLOOKUP($A126,'Channel wise traffic'!$B$2:$P$368,15,FALSE)</f>
        <v>-4040078</v>
      </c>
      <c r="M126" s="7">
        <f t="shared" si="4"/>
        <v>3.4510592618582192E-2</v>
      </c>
      <c r="N126" s="7">
        <f t="shared" si="6"/>
        <v>-0.14743647070153953</v>
      </c>
      <c r="O126" s="7">
        <f t="shared" si="5"/>
        <v>-8.5714295413028663E-2</v>
      </c>
      <c r="P126" s="7">
        <f t="shared" si="7"/>
        <v>-6.750862993794049E-2</v>
      </c>
      <c r="Q126" s="7" t="e">
        <f>#REF!/B126</f>
        <v>#REF!</v>
      </c>
      <c r="R126" s="7" t="e">
        <f>#REF!/#REF!</f>
        <v>#REF!</v>
      </c>
      <c r="S126" s="7" t="e">
        <f>#REF!/#REF!</f>
        <v>#REF!</v>
      </c>
      <c r="T126" s="7" t="e">
        <f>C126/#REF!</f>
        <v>#REF!</v>
      </c>
    </row>
    <row r="127" spans="1:20" x14ac:dyDescent="0.3">
      <c r="A127" s="2">
        <v>43590</v>
      </c>
      <c r="B127" s="3">
        <v>43991955</v>
      </c>
      <c r="C127" s="42">
        <v>1532762</v>
      </c>
      <c r="D127" s="48">
        <f>VLOOKUP($A127,'Channel wise traffic'!$B$2:$K$368,7,FALSE)</f>
        <v>-808015</v>
      </c>
      <c r="E127" s="24">
        <f>VLOOKUP($A127,'Channel wise traffic'!$B$2:$K$368,8,FALSE)</f>
        <v>-606011</v>
      </c>
      <c r="F127" s="24">
        <f>VLOOKUP($A127,'Channel wise traffic'!$B$2:$K$368,9,FALSE)</f>
        <v>-246893</v>
      </c>
      <c r="G127" s="24">
        <f>VLOOKUP($A127,'Channel wise traffic'!$B$2:$K$368,10,FALSE)</f>
        <v>-583567</v>
      </c>
      <c r="H127" s="48">
        <f>VLOOKUP($A127,'Channel wise traffic'!$B$2:$P$368,11,FALSE)</f>
        <v>0</v>
      </c>
      <c r="I127" s="24">
        <f>VLOOKUP($A127,'Channel wise traffic'!$B$2:$P$368,12,FALSE)</f>
        <v>0</v>
      </c>
      <c r="J127" s="24">
        <f>VLOOKUP($A127,'Channel wise traffic'!$B$2:$P$368,13,FALSE)</f>
        <v>0</v>
      </c>
      <c r="K127" s="51">
        <f>VLOOKUP($A127,'Channel wise traffic'!$B$2:$P$368,14,FALSE)</f>
        <v>0</v>
      </c>
      <c r="L127" s="24">
        <f>VLOOKUP($A127,'Channel wise traffic'!$B$2:$P$368,15,FALSE)</f>
        <v>-2244486</v>
      </c>
      <c r="M127" s="7">
        <f t="shared" si="4"/>
        <v>3.4841870519280171E-2</v>
      </c>
      <c r="N127" s="7">
        <f t="shared" si="6"/>
        <v>-6.796122408523797E-2</v>
      </c>
      <c r="O127" s="7">
        <f t="shared" si="5"/>
        <v>-4.8543699609418511E-2</v>
      </c>
      <c r="P127" s="7">
        <f t="shared" si="7"/>
        <v>-2.040821472079013E-2</v>
      </c>
      <c r="Q127" s="7" t="e">
        <f>#REF!/B127</f>
        <v>#REF!</v>
      </c>
      <c r="R127" s="7" t="e">
        <f>#REF!/#REF!</f>
        <v>#REF!</v>
      </c>
      <c r="S127" s="7" t="e">
        <f>#REF!/#REF!</f>
        <v>#REF!</v>
      </c>
      <c r="T127" s="7" t="e">
        <f>C127/#REF!</f>
        <v>#REF!</v>
      </c>
    </row>
    <row r="128" spans="1:20" x14ac:dyDescent="0.3">
      <c r="A128" s="2">
        <v>43591</v>
      </c>
      <c r="B128" s="3">
        <v>21717340</v>
      </c>
      <c r="C128" s="42">
        <v>1161517</v>
      </c>
      <c r="D128" s="48">
        <f>VLOOKUP($A128,'Channel wise traffic'!$B$2:$K$368,7,FALSE)</f>
        <v>0</v>
      </c>
      <c r="E128" s="24">
        <f>VLOOKUP($A128,'Channel wise traffic'!$B$2:$K$368,8,FALSE)</f>
        <v>0</v>
      </c>
      <c r="F128" s="24">
        <f>VLOOKUP($A128,'Channel wise traffic'!$B$2:$K$368,9,FALSE)</f>
        <v>0</v>
      </c>
      <c r="G128" s="24">
        <f>VLOOKUP($A128,'Channel wise traffic'!$B$2:$K$368,10,FALSE)</f>
        <v>0</v>
      </c>
      <c r="H128" s="48">
        <f>VLOOKUP($A128,'Channel wise traffic'!$B$2:$P$368,11,FALSE)</f>
        <v>390912</v>
      </c>
      <c r="I128" s="24">
        <f>VLOOKUP($A128,'Channel wise traffic'!$B$2:$P$368,12,FALSE)</f>
        <v>293184</v>
      </c>
      <c r="J128" s="24">
        <f>VLOOKUP($A128,'Channel wise traffic'!$B$2:$P$368,13,FALSE)</f>
        <v>119445</v>
      </c>
      <c r="K128" s="51">
        <f>VLOOKUP($A128,'Channel wise traffic'!$B$2:$P$368,14,FALSE)</f>
        <v>282325</v>
      </c>
      <c r="L128" s="24">
        <f>VLOOKUP($A128,'Channel wise traffic'!$B$2:$P$368,15,FALSE)</f>
        <v>1085866</v>
      </c>
      <c r="M128" s="7">
        <f t="shared" si="4"/>
        <v>5.3483391612416623E-2</v>
      </c>
      <c r="N128" s="7">
        <f t="shared" si="6"/>
        <v>-4.0209787320542922E-2</v>
      </c>
      <c r="O128" s="7">
        <f t="shared" si="5"/>
        <v>5.2631578947368363E-2</v>
      </c>
      <c r="P128" s="7">
        <f t="shared" si="7"/>
        <v>-8.8199297954515754E-2</v>
      </c>
      <c r="Q128" s="7" t="e">
        <f>#REF!/B128</f>
        <v>#REF!</v>
      </c>
      <c r="R128" s="7" t="e">
        <f>#REF!/#REF!</f>
        <v>#REF!</v>
      </c>
      <c r="S128" s="7" t="e">
        <f>#REF!/#REF!</f>
        <v>#REF!</v>
      </c>
      <c r="T128" s="7" t="e">
        <f>C128/#REF!</f>
        <v>#REF!</v>
      </c>
    </row>
    <row r="129" spans="1:20" x14ac:dyDescent="0.3">
      <c r="A129" s="2">
        <v>43592</v>
      </c>
      <c r="B129" s="3">
        <v>22151687</v>
      </c>
      <c r="C129" s="42">
        <v>1308664</v>
      </c>
      <c r="D129" s="48">
        <f>VLOOKUP($A129,'Channel wise traffic'!$B$2:$K$368,7,FALSE)</f>
        <v>0</v>
      </c>
      <c r="E129" s="24">
        <f>VLOOKUP($A129,'Channel wise traffic'!$B$2:$K$368,8,FALSE)</f>
        <v>0</v>
      </c>
      <c r="F129" s="24">
        <f>VLOOKUP($A129,'Channel wise traffic'!$B$2:$K$368,9,FALSE)</f>
        <v>0</v>
      </c>
      <c r="G129" s="24">
        <f>VLOOKUP($A129,'Channel wise traffic'!$B$2:$K$368,10,FALSE)</f>
        <v>0</v>
      </c>
      <c r="H129" s="48">
        <f>VLOOKUP($A129,'Channel wise traffic'!$B$2:$P$368,11,FALSE)</f>
        <v>390912</v>
      </c>
      <c r="I129" s="24">
        <f>VLOOKUP($A129,'Channel wise traffic'!$B$2:$P$368,12,FALSE)</f>
        <v>293184</v>
      </c>
      <c r="J129" s="24">
        <f>VLOOKUP($A129,'Channel wise traffic'!$B$2:$P$368,13,FALSE)</f>
        <v>119445</v>
      </c>
      <c r="K129" s="51">
        <f>VLOOKUP($A129,'Channel wise traffic'!$B$2:$P$368,14,FALSE)</f>
        <v>282325</v>
      </c>
      <c r="L129" s="24">
        <f>VLOOKUP($A129,'Channel wise traffic'!$B$2:$P$368,15,FALSE)</f>
        <v>1085866</v>
      </c>
      <c r="M129" s="7">
        <f t="shared" si="4"/>
        <v>5.9077396678636714E-2</v>
      </c>
      <c r="N129" s="7">
        <f t="shared" si="6"/>
        <v>4.9896948901256177E-2</v>
      </c>
      <c r="O129" s="7">
        <f t="shared" si="5"/>
        <v>5.154639126319327E-2</v>
      </c>
      <c r="P129" s="7">
        <f t="shared" si="7"/>
        <v>-1.5685873449249321E-3</v>
      </c>
      <c r="Q129" s="7" t="e">
        <f>#REF!/B129</f>
        <v>#REF!</v>
      </c>
      <c r="R129" s="7" t="e">
        <f>#REF!/#REF!</f>
        <v>#REF!</v>
      </c>
      <c r="S129" s="7" t="e">
        <f>#REF!/#REF!</f>
        <v>#REF!</v>
      </c>
      <c r="T129" s="7" t="e">
        <f>C129/#REF!</f>
        <v>#REF!</v>
      </c>
    </row>
    <row r="130" spans="1:20" x14ac:dyDescent="0.3">
      <c r="A130" s="2">
        <v>43593</v>
      </c>
      <c r="B130" s="3">
        <v>22803207</v>
      </c>
      <c r="C130" s="42">
        <v>1334864</v>
      </c>
      <c r="D130" s="48">
        <f>VLOOKUP($A130,'Channel wise traffic'!$B$2:$K$368,7,FALSE)</f>
        <v>0</v>
      </c>
      <c r="E130" s="24">
        <f>VLOOKUP($A130,'Channel wise traffic'!$B$2:$K$368,8,FALSE)</f>
        <v>0</v>
      </c>
      <c r="F130" s="24">
        <f>VLOOKUP($A130,'Channel wise traffic'!$B$2:$K$368,9,FALSE)</f>
        <v>0</v>
      </c>
      <c r="G130" s="24">
        <f>VLOOKUP($A130,'Channel wise traffic'!$B$2:$K$368,10,FALSE)</f>
        <v>0</v>
      </c>
      <c r="H130" s="48">
        <f>VLOOKUP($A130,'Channel wise traffic'!$B$2:$P$368,11,FALSE)</f>
        <v>0</v>
      </c>
      <c r="I130" s="24">
        <f>VLOOKUP($A130,'Channel wise traffic'!$B$2:$P$368,12,FALSE)</f>
        <v>0</v>
      </c>
      <c r="J130" s="24">
        <f>VLOOKUP($A130,'Channel wise traffic'!$B$2:$P$368,13,FALSE)</f>
        <v>0</v>
      </c>
      <c r="K130" s="51">
        <f>VLOOKUP($A130,'Channel wise traffic'!$B$2:$P$368,14,FALSE)</f>
        <v>0</v>
      </c>
      <c r="L130" s="24">
        <f>VLOOKUP($A130,'Channel wise traffic'!$B$2:$P$368,15,FALSE)</f>
        <v>0</v>
      </c>
      <c r="M130" s="7">
        <f t="shared" si="4"/>
        <v>5.8538432773951488E-2</v>
      </c>
      <c r="N130" s="7">
        <f t="shared" si="6"/>
        <v>-8.6084544765537951E-2</v>
      </c>
      <c r="O130" s="7">
        <f t="shared" si="5"/>
        <v>0</v>
      </c>
      <c r="P130" s="7">
        <f t="shared" si="7"/>
        <v>-8.6084544765537951E-2</v>
      </c>
      <c r="Q130" s="7" t="e">
        <f>#REF!/B130</f>
        <v>#REF!</v>
      </c>
      <c r="R130" s="7" t="e">
        <f>#REF!/#REF!</f>
        <v>#REF!</v>
      </c>
      <c r="S130" s="7" t="e">
        <f>#REF!/#REF!</f>
        <v>#REF!</v>
      </c>
      <c r="T130" s="7" t="e">
        <f>C130/#REF!</f>
        <v>#REF!</v>
      </c>
    </row>
    <row r="131" spans="1:20" x14ac:dyDescent="0.3">
      <c r="A131" s="2">
        <v>43594</v>
      </c>
      <c r="B131" s="3">
        <v>21065820</v>
      </c>
      <c r="C131" s="42">
        <v>1210693</v>
      </c>
      <c r="D131" s="48">
        <f>VLOOKUP($A131,'Channel wise traffic'!$B$2:$K$368,7,FALSE)</f>
        <v>-78182</v>
      </c>
      <c r="E131" s="24">
        <f>VLOOKUP($A131,'Channel wise traffic'!$B$2:$K$368,8,FALSE)</f>
        <v>-58637</v>
      </c>
      <c r="F131" s="24">
        <f>VLOOKUP($A131,'Channel wise traffic'!$B$2:$K$368,9,FALSE)</f>
        <v>-23889</v>
      </c>
      <c r="G131" s="24">
        <f>VLOOKUP($A131,'Channel wise traffic'!$B$2:$K$368,10,FALSE)</f>
        <v>-56465</v>
      </c>
      <c r="H131" s="48">
        <f>VLOOKUP($A131,'Channel wise traffic'!$B$2:$P$368,11,FALSE)</f>
        <v>0</v>
      </c>
      <c r="I131" s="24">
        <f>VLOOKUP($A131,'Channel wise traffic'!$B$2:$P$368,12,FALSE)</f>
        <v>0</v>
      </c>
      <c r="J131" s="24">
        <f>VLOOKUP($A131,'Channel wise traffic'!$B$2:$P$368,13,FALSE)</f>
        <v>0</v>
      </c>
      <c r="K131" s="51">
        <f>VLOOKUP($A131,'Channel wise traffic'!$B$2:$P$368,14,FALSE)</f>
        <v>0</v>
      </c>
      <c r="L131" s="24">
        <f>VLOOKUP($A131,'Channel wise traffic'!$B$2:$P$368,15,FALSE)</f>
        <v>-217173</v>
      </c>
      <c r="M131" s="7">
        <f t="shared" ref="M131:M194" si="8">C131/B131</f>
        <v>5.7471914219337297E-2</v>
      </c>
      <c r="N131" s="7">
        <f t="shared" si="6"/>
        <v>-5.7604244424950046E-2</v>
      </c>
      <c r="O131" s="7">
        <f t="shared" si="5"/>
        <v>-1.0204062934193514E-2</v>
      </c>
      <c r="P131" s="7">
        <f t="shared" si="7"/>
        <v>-4.7888842250930708E-2</v>
      </c>
      <c r="Q131" s="7" t="e">
        <f>#REF!/B131</f>
        <v>#REF!</v>
      </c>
      <c r="R131" s="7" t="e">
        <f>#REF!/#REF!</f>
        <v>#REF!</v>
      </c>
      <c r="S131" s="7" t="e">
        <f>#REF!/#REF!</f>
        <v>#REF!</v>
      </c>
      <c r="T131" s="7" t="e">
        <f>C131/#REF!</f>
        <v>#REF!</v>
      </c>
    </row>
    <row r="132" spans="1:20" x14ac:dyDescent="0.3">
      <c r="A132" s="2">
        <v>43595</v>
      </c>
      <c r="B132" s="3">
        <v>21065820</v>
      </c>
      <c r="C132" s="42">
        <v>1337275</v>
      </c>
      <c r="D132" s="48">
        <f>VLOOKUP($A132,'Channel wise traffic'!$B$2:$K$368,7,FALSE)</f>
        <v>0</v>
      </c>
      <c r="E132" s="24">
        <f>VLOOKUP($A132,'Channel wise traffic'!$B$2:$K$368,8,FALSE)</f>
        <v>0</v>
      </c>
      <c r="F132" s="24">
        <f>VLOOKUP($A132,'Channel wise traffic'!$B$2:$K$368,9,FALSE)</f>
        <v>0</v>
      </c>
      <c r="G132" s="24">
        <f>VLOOKUP($A132,'Channel wise traffic'!$B$2:$K$368,10,FALSE)</f>
        <v>0</v>
      </c>
      <c r="H132" s="48">
        <f>VLOOKUP($A132,'Channel wise traffic'!$B$2:$P$368,11,FALSE)</f>
        <v>78183</v>
      </c>
      <c r="I132" s="24">
        <f>VLOOKUP($A132,'Channel wise traffic'!$B$2:$P$368,12,FALSE)</f>
        <v>58637</v>
      </c>
      <c r="J132" s="24">
        <f>VLOOKUP($A132,'Channel wise traffic'!$B$2:$P$368,13,FALSE)</f>
        <v>23889</v>
      </c>
      <c r="K132" s="51">
        <f>VLOOKUP($A132,'Channel wise traffic'!$B$2:$P$368,14,FALSE)</f>
        <v>56465</v>
      </c>
      <c r="L132" s="24">
        <f>VLOOKUP($A132,'Channel wise traffic'!$B$2:$P$368,15,FALSE)</f>
        <v>217174</v>
      </c>
      <c r="M132" s="7">
        <f t="shared" si="8"/>
        <v>6.3480794955999814E-2</v>
      </c>
      <c r="N132" s="7">
        <f t="shared" si="6"/>
        <v>6.1241770520528371E-2</v>
      </c>
      <c r="O132" s="7">
        <f t="shared" si="5"/>
        <v>1.0416695645367069E-2</v>
      </c>
      <c r="P132" s="7">
        <f t="shared" si="7"/>
        <v>5.030110358845441E-2</v>
      </c>
      <c r="Q132" s="7" t="e">
        <f>#REF!/B132</f>
        <v>#REF!</v>
      </c>
      <c r="R132" s="7" t="e">
        <f>#REF!/#REF!</f>
        <v>#REF!</v>
      </c>
      <c r="S132" s="7" t="e">
        <f>#REF!/#REF!</f>
        <v>#REF!</v>
      </c>
      <c r="T132" s="7" t="e">
        <f>C132/#REF!</f>
        <v>#REF!</v>
      </c>
    </row>
    <row r="133" spans="1:20" x14ac:dyDescent="0.3">
      <c r="A133" s="2">
        <v>43596</v>
      </c>
      <c r="B133" s="3">
        <v>45787545</v>
      </c>
      <c r="C133" s="42">
        <v>1678481</v>
      </c>
      <c r="D133" s="48">
        <f>VLOOKUP($A133,'Channel wise traffic'!$B$2:$K$368,7,FALSE)</f>
        <v>0</v>
      </c>
      <c r="E133" s="24">
        <f>VLOOKUP($A133,'Channel wise traffic'!$B$2:$K$368,8,FALSE)</f>
        <v>0</v>
      </c>
      <c r="F133" s="24">
        <f>VLOOKUP($A133,'Channel wise traffic'!$B$2:$K$368,9,FALSE)</f>
        <v>0</v>
      </c>
      <c r="G133" s="24">
        <f>VLOOKUP($A133,'Channel wise traffic'!$B$2:$K$368,10,FALSE)</f>
        <v>0</v>
      </c>
      <c r="H133" s="48">
        <f>VLOOKUP($A133,'Channel wise traffic'!$B$2:$P$368,11,FALSE)</f>
        <v>969619</v>
      </c>
      <c r="I133" s="24">
        <f>VLOOKUP($A133,'Channel wise traffic'!$B$2:$P$368,12,FALSE)</f>
        <v>727214</v>
      </c>
      <c r="J133" s="24">
        <f>VLOOKUP($A133,'Channel wise traffic'!$B$2:$P$368,13,FALSE)</f>
        <v>296273</v>
      </c>
      <c r="K133" s="51">
        <f>VLOOKUP($A133,'Channel wise traffic'!$B$2:$P$368,14,FALSE)</f>
        <v>700280</v>
      </c>
      <c r="L133" s="24">
        <f>VLOOKUP($A133,'Channel wise traffic'!$B$2:$P$368,15,FALSE)</f>
        <v>2693386</v>
      </c>
      <c r="M133" s="7">
        <f t="shared" si="8"/>
        <v>3.6658025670518041E-2</v>
      </c>
      <c r="N133" s="7">
        <f t="shared" si="6"/>
        <v>0.12861441428720322</v>
      </c>
      <c r="O133" s="7">
        <f t="shared" si="5"/>
        <v>6.25E-2</v>
      </c>
      <c r="P133" s="7">
        <f t="shared" si="7"/>
        <v>6.2225331093838321E-2</v>
      </c>
      <c r="Q133" s="7" t="e">
        <f>#REF!/B133</f>
        <v>#REF!</v>
      </c>
      <c r="R133" s="7" t="e">
        <f>#REF!/#REF!</f>
        <v>#REF!</v>
      </c>
      <c r="S133" s="7" t="e">
        <f>#REF!/#REF!</f>
        <v>#REF!</v>
      </c>
      <c r="T133" s="7" t="e">
        <f>C133/#REF!</f>
        <v>#REF!</v>
      </c>
    </row>
    <row r="134" spans="1:20" x14ac:dyDescent="0.3">
      <c r="A134" s="2">
        <v>43597</v>
      </c>
      <c r="B134" s="3">
        <v>42645263</v>
      </c>
      <c r="C134" s="42">
        <v>1564043</v>
      </c>
      <c r="D134" s="48">
        <f>VLOOKUP($A134,'Channel wise traffic'!$B$2:$K$368,7,FALSE)</f>
        <v>-484810</v>
      </c>
      <c r="E134" s="24">
        <f>VLOOKUP($A134,'Channel wise traffic'!$B$2:$K$368,8,FALSE)</f>
        <v>-363607</v>
      </c>
      <c r="F134" s="24">
        <f>VLOOKUP($A134,'Channel wise traffic'!$B$2:$K$368,9,FALSE)</f>
        <v>-148137</v>
      </c>
      <c r="G134" s="24">
        <f>VLOOKUP($A134,'Channel wise traffic'!$B$2:$K$368,10,FALSE)</f>
        <v>-350140</v>
      </c>
      <c r="H134" s="48">
        <f>VLOOKUP($A134,'Channel wise traffic'!$B$2:$P$368,11,FALSE)</f>
        <v>0</v>
      </c>
      <c r="I134" s="24">
        <f>VLOOKUP($A134,'Channel wise traffic'!$B$2:$P$368,12,FALSE)</f>
        <v>0</v>
      </c>
      <c r="J134" s="24">
        <f>VLOOKUP($A134,'Channel wise traffic'!$B$2:$P$368,13,FALSE)</f>
        <v>0</v>
      </c>
      <c r="K134" s="51">
        <f>VLOOKUP($A134,'Channel wise traffic'!$B$2:$P$368,14,FALSE)</f>
        <v>0</v>
      </c>
      <c r="L134" s="24">
        <f>VLOOKUP($A134,'Channel wise traffic'!$B$2:$P$368,15,FALSE)</f>
        <v>-1346694</v>
      </c>
      <c r="M134" s="7">
        <f t="shared" si="8"/>
        <v>3.6675656098075889E-2</v>
      </c>
      <c r="N134" s="7">
        <f t="shared" si="6"/>
        <v>2.0408256467735919E-2</v>
      </c>
      <c r="O134" s="7">
        <f t="shared" si="5"/>
        <v>-3.0612233532244737E-2</v>
      </c>
      <c r="P134" s="7">
        <f t="shared" si="7"/>
        <v>5.2631662751314368E-2</v>
      </c>
      <c r="Q134" s="7" t="e">
        <f>#REF!/B134</f>
        <v>#REF!</v>
      </c>
      <c r="R134" s="7" t="e">
        <f>#REF!/#REF!</f>
        <v>#REF!</v>
      </c>
      <c r="S134" s="7" t="e">
        <f>#REF!/#REF!</f>
        <v>#REF!</v>
      </c>
      <c r="T134" s="7" t="e">
        <f>C134/#REF!</f>
        <v>#REF!</v>
      </c>
    </row>
    <row r="135" spans="1:20" x14ac:dyDescent="0.3">
      <c r="A135" s="2">
        <v>43598</v>
      </c>
      <c r="B135" s="3">
        <v>20848646</v>
      </c>
      <c r="C135" s="42">
        <v>1229941</v>
      </c>
      <c r="D135" s="48">
        <f>VLOOKUP($A135,'Channel wise traffic'!$B$2:$K$368,7,FALSE)</f>
        <v>-312730</v>
      </c>
      <c r="E135" s="24">
        <f>VLOOKUP($A135,'Channel wise traffic'!$B$2:$K$368,8,FALSE)</f>
        <v>-234547</v>
      </c>
      <c r="F135" s="24">
        <f>VLOOKUP($A135,'Channel wise traffic'!$B$2:$K$368,9,FALSE)</f>
        <v>-95556</v>
      </c>
      <c r="G135" s="24">
        <f>VLOOKUP($A135,'Channel wise traffic'!$B$2:$K$368,10,FALSE)</f>
        <v>-225860</v>
      </c>
      <c r="H135" s="48">
        <f>VLOOKUP($A135,'Channel wise traffic'!$B$2:$P$368,11,FALSE)</f>
        <v>0</v>
      </c>
      <c r="I135" s="24">
        <f>VLOOKUP($A135,'Channel wise traffic'!$B$2:$P$368,12,FALSE)</f>
        <v>0</v>
      </c>
      <c r="J135" s="24">
        <f>VLOOKUP($A135,'Channel wise traffic'!$B$2:$P$368,13,FALSE)</f>
        <v>0</v>
      </c>
      <c r="K135" s="51">
        <f>VLOOKUP($A135,'Channel wise traffic'!$B$2:$P$368,14,FALSE)</f>
        <v>0</v>
      </c>
      <c r="L135" s="24">
        <f>VLOOKUP($A135,'Channel wise traffic'!$B$2:$P$368,15,FALSE)</f>
        <v>-868693</v>
      </c>
      <c r="M135" s="7">
        <f t="shared" si="8"/>
        <v>5.8993807079845854E-2</v>
      </c>
      <c r="N135" s="7">
        <f t="shared" si="6"/>
        <v>5.8909167924360961E-2</v>
      </c>
      <c r="O135" s="7">
        <f t="shared" si="5"/>
        <v>-4.0000018418461902E-2</v>
      </c>
      <c r="P135" s="7">
        <f t="shared" si="7"/>
        <v>0.10303040441717126</v>
      </c>
      <c r="Q135" s="7" t="e">
        <f>#REF!/B135</f>
        <v>#REF!</v>
      </c>
      <c r="R135" s="7" t="e">
        <f>#REF!/#REF!</f>
        <v>#REF!</v>
      </c>
      <c r="S135" s="7" t="e">
        <f>#REF!/#REF!</f>
        <v>#REF!</v>
      </c>
      <c r="T135" s="7" t="e">
        <f>C135/#REF!</f>
        <v>#REF!</v>
      </c>
    </row>
    <row r="136" spans="1:20" x14ac:dyDescent="0.3">
      <c r="A136" s="2">
        <v>43599</v>
      </c>
      <c r="B136" s="3">
        <v>22803207</v>
      </c>
      <c r="C136" s="42">
        <v>1433796</v>
      </c>
      <c r="D136" s="48">
        <f>VLOOKUP($A136,'Channel wise traffic'!$B$2:$K$368,7,FALSE)</f>
        <v>0</v>
      </c>
      <c r="E136" s="24">
        <f>VLOOKUP($A136,'Channel wise traffic'!$B$2:$K$368,8,FALSE)</f>
        <v>0</v>
      </c>
      <c r="F136" s="24">
        <f>VLOOKUP($A136,'Channel wise traffic'!$B$2:$K$368,9,FALSE)</f>
        <v>0</v>
      </c>
      <c r="G136" s="24">
        <f>VLOOKUP($A136,'Channel wise traffic'!$B$2:$K$368,10,FALSE)</f>
        <v>0</v>
      </c>
      <c r="H136" s="48">
        <f>VLOOKUP($A136,'Channel wise traffic'!$B$2:$P$368,11,FALSE)</f>
        <v>234547</v>
      </c>
      <c r="I136" s="24">
        <f>VLOOKUP($A136,'Channel wise traffic'!$B$2:$P$368,12,FALSE)</f>
        <v>175911</v>
      </c>
      <c r="J136" s="24">
        <f>VLOOKUP($A136,'Channel wise traffic'!$B$2:$P$368,13,FALSE)</f>
        <v>71667</v>
      </c>
      <c r="K136" s="51">
        <f>VLOOKUP($A136,'Channel wise traffic'!$B$2:$P$368,14,FALSE)</f>
        <v>169395</v>
      </c>
      <c r="L136" s="24">
        <f>VLOOKUP($A136,'Channel wise traffic'!$B$2:$P$368,15,FALSE)</f>
        <v>651520</v>
      </c>
      <c r="M136" s="7">
        <f t="shared" si="8"/>
        <v>6.287694533492591E-2</v>
      </c>
      <c r="N136" s="7">
        <f t="shared" si="6"/>
        <v>9.5618126577945217E-2</v>
      </c>
      <c r="O136" s="7">
        <f t="shared" si="5"/>
        <v>2.9411755411675955E-2</v>
      </c>
      <c r="P136" s="7">
        <f t="shared" si="7"/>
        <v>6.4314761142194588E-2</v>
      </c>
      <c r="Q136" s="7" t="e">
        <f>#REF!/B136</f>
        <v>#REF!</v>
      </c>
      <c r="R136" s="7" t="e">
        <f>#REF!/#REF!</f>
        <v>#REF!</v>
      </c>
      <c r="S136" s="7" t="e">
        <f>#REF!/#REF!</f>
        <v>#REF!</v>
      </c>
      <c r="T136" s="7" t="e">
        <f>C136/#REF!</f>
        <v>#REF!</v>
      </c>
    </row>
    <row r="137" spans="1:20" x14ac:dyDescent="0.3">
      <c r="A137" s="2">
        <v>43600</v>
      </c>
      <c r="B137" s="3">
        <v>21934513</v>
      </c>
      <c r="C137" s="42">
        <v>1283523</v>
      </c>
      <c r="D137" s="48">
        <f>VLOOKUP($A137,'Channel wise traffic'!$B$2:$K$368,7,FALSE)</f>
        <v>-312730</v>
      </c>
      <c r="E137" s="24">
        <f>VLOOKUP($A137,'Channel wise traffic'!$B$2:$K$368,8,FALSE)</f>
        <v>-234548</v>
      </c>
      <c r="F137" s="24">
        <f>VLOOKUP($A137,'Channel wise traffic'!$B$2:$K$368,9,FALSE)</f>
        <v>-95556</v>
      </c>
      <c r="G137" s="24">
        <f>VLOOKUP($A137,'Channel wise traffic'!$B$2:$K$368,10,FALSE)</f>
        <v>-225860</v>
      </c>
      <c r="H137" s="48">
        <f>VLOOKUP($A137,'Channel wise traffic'!$B$2:$P$368,11,FALSE)</f>
        <v>0</v>
      </c>
      <c r="I137" s="24">
        <f>VLOOKUP($A137,'Channel wise traffic'!$B$2:$P$368,12,FALSE)</f>
        <v>0</v>
      </c>
      <c r="J137" s="24">
        <f>VLOOKUP($A137,'Channel wise traffic'!$B$2:$P$368,13,FALSE)</f>
        <v>0</v>
      </c>
      <c r="K137" s="51">
        <f>VLOOKUP($A137,'Channel wise traffic'!$B$2:$P$368,14,FALSE)</f>
        <v>0</v>
      </c>
      <c r="L137" s="24">
        <f>VLOOKUP($A137,'Channel wise traffic'!$B$2:$P$368,15,FALSE)</f>
        <v>-868694</v>
      </c>
      <c r="M137" s="7">
        <f t="shared" si="8"/>
        <v>5.8516138470911118E-2</v>
      </c>
      <c r="N137" s="7">
        <f t="shared" si="6"/>
        <v>-3.8461596087691285E-2</v>
      </c>
      <c r="O137" s="7">
        <f t="shared" si="5"/>
        <v>-3.809525563663041E-2</v>
      </c>
      <c r="P137" s="7">
        <f t="shared" si="7"/>
        <v>-3.808489907213275E-4</v>
      </c>
      <c r="Q137" s="7" t="e">
        <f>#REF!/B137</f>
        <v>#REF!</v>
      </c>
      <c r="R137" s="7" t="e">
        <f>#REF!/#REF!</f>
        <v>#REF!</v>
      </c>
      <c r="S137" s="7" t="e">
        <f>#REF!/#REF!</f>
        <v>#REF!</v>
      </c>
      <c r="T137" s="7" t="e">
        <f>C137/#REF!</f>
        <v>#REF!</v>
      </c>
    </row>
    <row r="138" spans="1:20" x14ac:dyDescent="0.3">
      <c r="A138" s="2">
        <v>43601</v>
      </c>
      <c r="B138" s="3">
        <v>21065820</v>
      </c>
      <c r="C138" s="42">
        <v>1377798</v>
      </c>
      <c r="D138" s="48">
        <f>VLOOKUP($A138,'Channel wise traffic'!$B$2:$K$368,7,FALSE)</f>
        <v>0</v>
      </c>
      <c r="E138" s="24">
        <f>VLOOKUP($A138,'Channel wise traffic'!$B$2:$K$368,8,FALSE)</f>
        <v>0</v>
      </c>
      <c r="F138" s="24">
        <f>VLOOKUP($A138,'Channel wise traffic'!$B$2:$K$368,9,FALSE)</f>
        <v>0</v>
      </c>
      <c r="G138" s="24">
        <f>VLOOKUP($A138,'Channel wise traffic'!$B$2:$K$368,10,FALSE)</f>
        <v>0</v>
      </c>
      <c r="H138" s="48">
        <f>VLOOKUP($A138,'Channel wise traffic'!$B$2:$P$368,11,FALSE)</f>
        <v>0</v>
      </c>
      <c r="I138" s="24">
        <f>VLOOKUP($A138,'Channel wise traffic'!$B$2:$P$368,12,FALSE)</f>
        <v>0</v>
      </c>
      <c r="J138" s="24">
        <f>VLOOKUP($A138,'Channel wise traffic'!$B$2:$P$368,13,FALSE)</f>
        <v>0</v>
      </c>
      <c r="K138" s="51">
        <f>VLOOKUP($A138,'Channel wise traffic'!$B$2:$P$368,14,FALSE)</f>
        <v>0</v>
      </c>
      <c r="L138" s="24">
        <f>VLOOKUP($A138,'Channel wise traffic'!$B$2:$P$368,15,FALSE)</f>
        <v>0</v>
      </c>
      <c r="M138" s="7">
        <f t="shared" si="8"/>
        <v>6.5404432393327203E-2</v>
      </c>
      <c r="N138" s="7">
        <f t="shared" si="6"/>
        <v>0.13802425552968423</v>
      </c>
      <c r="O138" s="7">
        <f t="shared" ref="O138:O201" si="9">(B138/B131)-1</f>
        <v>0</v>
      </c>
      <c r="P138" s="7">
        <f t="shared" si="7"/>
        <v>0.13802425552968423</v>
      </c>
      <c r="Q138" s="7" t="e">
        <f>#REF!/B138</f>
        <v>#REF!</v>
      </c>
      <c r="R138" s="7" t="e">
        <f>#REF!/#REF!</f>
        <v>#REF!</v>
      </c>
      <c r="S138" s="7" t="e">
        <f>#REF!/#REF!</f>
        <v>#REF!</v>
      </c>
      <c r="T138" s="7" t="e">
        <f>C138/#REF!</f>
        <v>#REF!</v>
      </c>
    </row>
    <row r="139" spans="1:20" x14ac:dyDescent="0.3">
      <c r="A139" s="2">
        <v>43602</v>
      </c>
      <c r="B139" s="3">
        <v>20631473</v>
      </c>
      <c r="C139" s="42">
        <v>1185026</v>
      </c>
      <c r="D139" s="48">
        <f>VLOOKUP($A139,'Channel wise traffic'!$B$2:$K$368,7,FALSE)</f>
        <v>-156365</v>
      </c>
      <c r="E139" s="24">
        <f>VLOOKUP($A139,'Channel wise traffic'!$B$2:$K$368,8,FALSE)</f>
        <v>-117274</v>
      </c>
      <c r="F139" s="24">
        <f>VLOOKUP($A139,'Channel wise traffic'!$B$2:$K$368,9,FALSE)</f>
        <v>-47778</v>
      </c>
      <c r="G139" s="24">
        <f>VLOOKUP($A139,'Channel wise traffic'!$B$2:$K$368,10,FALSE)</f>
        <v>-112930</v>
      </c>
      <c r="H139" s="48">
        <f>VLOOKUP($A139,'Channel wise traffic'!$B$2:$P$368,11,FALSE)</f>
        <v>0</v>
      </c>
      <c r="I139" s="24">
        <f>VLOOKUP($A139,'Channel wise traffic'!$B$2:$P$368,12,FALSE)</f>
        <v>0</v>
      </c>
      <c r="J139" s="24">
        <f>VLOOKUP($A139,'Channel wise traffic'!$B$2:$P$368,13,FALSE)</f>
        <v>0</v>
      </c>
      <c r="K139" s="51">
        <f>VLOOKUP($A139,'Channel wise traffic'!$B$2:$P$368,14,FALSE)</f>
        <v>0</v>
      </c>
      <c r="L139" s="24">
        <f>VLOOKUP($A139,'Channel wise traffic'!$B$2:$P$368,15,FALSE)</f>
        <v>-434347</v>
      </c>
      <c r="M139" s="7">
        <f t="shared" si="8"/>
        <v>5.7437779648598045E-2</v>
      </c>
      <c r="N139" s="7">
        <f t="shared" ref="N139:N202" si="10">(C139/C132)-1</f>
        <v>-0.11385018040418016</v>
      </c>
      <c r="O139" s="7">
        <f t="shared" si="9"/>
        <v>-2.0618565999329763E-2</v>
      </c>
      <c r="P139" s="7">
        <f t="shared" ref="P139:P202" si="11">(M139/M132)-1</f>
        <v>-9.5194386138206633E-2</v>
      </c>
      <c r="Q139" s="7" t="e">
        <f>#REF!/B139</f>
        <v>#REF!</v>
      </c>
      <c r="R139" s="7" t="e">
        <f>#REF!/#REF!</f>
        <v>#REF!</v>
      </c>
      <c r="S139" s="7" t="e">
        <f>#REF!/#REF!</f>
        <v>#REF!</v>
      </c>
      <c r="T139" s="7" t="e">
        <f>C139/#REF!</f>
        <v>#REF!</v>
      </c>
    </row>
    <row r="140" spans="1:20" x14ac:dyDescent="0.3">
      <c r="A140" s="2">
        <v>43603</v>
      </c>
      <c r="B140" s="3">
        <v>44889750</v>
      </c>
      <c r="C140" s="42">
        <v>1745944</v>
      </c>
      <c r="D140" s="48">
        <f>VLOOKUP($A140,'Channel wise traffic'!$B$2:$K$368,7,FALSE)</f>
        <v>-323206</v>
      </c>
      <c r="E140" s="24">
        <f>VLOOKUP($A140,'Channel wise traffic'!$B$2:$K$368,8,FALSE)</f>
        <v>-242405</v>
      </c>
      <c r="F140" s="24">
        <f>VLOOKUP($A140,'Channel wise traffic'!$B$2:$K$368,9,FALSE)</f>
        <v>-98758</v>
      </c>
      <c r="G140" s="24">
        <f>VLOOKUP($A140,'Channel wise traffic'!$B$2:$K$368,10,FALSE)</f>
        <v>-233426</v>
      </c>
      <c r="H140" s="48">
        <f>VLOOKUP($A140,'Channel wise traffic'!$B$2:$P$368,11,FALSE)</f>
        <v>0</v>
      </c>
      <c r="I140" s="24">
        <f>VLOOKUP($A140,'Channel wise traffic'!$B$2:$P$368,12,FALSE)</f>
        <v>0</v>
      </c>
      <c r="J140" s="24">
        <f>VLOOKUP($A140,'Channel wise traffic'!$B$2:$P$368,13,FALSE)</f>
        <v>0</v>
      </c>
      <c r="K140" s="51">
        <f>VLOOKUP($A140,'Channel wise traffic'!$B$2:$P$368,14,FALSE)</f>
        <v>0</v>
      </c>
      <c r="L140" s="24">
        <f>VLOOKUP($A140,'Channel wise traffic'!$B$2:$P$368,15,FALSE)</f>
        <v>-897795</v>
      </c>
      <c r="M140" s="7">
        <f t="shared" si="8"/>
        <v>3.8894045968177589E-2</v>
      </c>
      <c r="N140" s="7">
        <f t="shared" si="10"/>
        <v>4.0192888689237538E-2</v>
      </c>
      <c r="O140" s="7">
        <f t="shared" si="9"/>
        <v>-1.9607843137254943E-2</v>
      </c>
      <c r="P140" s="7">
        <f t="shared" si="11"/>
        <v>6.0996746463022111E-2</v>
      </c>
      <c r="Q140" s="7" t="e">
        <f>#REF!/B140</f>
        <v>#REF!</v>
      </c>
      <c r="R140" s="7" t="e">
        <f>#REF!/#REF!</f>
        <v>#REF!</v>
      </c>
      <c r="S140" s="7" t="e">
        <f>#REF!/#REF!</f>
        <v>#REF!</v>
      </c>
      <c r="T140" s="7" t="e">
        <f>C140/#REF!</f>
        <v>#REF!</v>
      </c>
    </row>
    <row r="141" spans="1:20" x14ac:dyDescent="0.3">
      <c r="A141" s="2">
        <v>43604</v>
      </c>
      <c r="B141" s="3">
        <v>47134238</v>
      </c>
      <c r="C141" s="42">
        <v>1547175</v>
      </c>
      <c r="D141" s="48">
        <f>VLOOKUP($A141,'Channel wise traffic'!$B$2:$K$368,7,FALSE)</f>
        <v>0</v>
      </c>
      <c r="E141" s="24">
        <f>VLOOKUP($A141,'Channel wise traffic'!$B$2:$K$368,8,FALSE)</f>
        <v>0</v>
      </c>
      <c r="F141" s="24">
        <f>VLOOKUP($A141,'Channel wise traffic'!$B$2:$K$368,9,FALSE)</f>
        <v>0</v>
      </c>
      <c r="G141" s="24">
        <f>VLOOKUP($A141,'Channel wise traffic'!$B$2:$K$368,10,FALSE)</f>
        <v>0</v>
      </c>
      <c r="H141" s="48">
        <f>VLOOKUP($A141,'Channel wise traffic'!$B$2:$P$368,11,FALSE)</f>
        <v>1616031</v>
      </c>
      <c r="I141" s="24">
        <f>VLOOKUP($A141,'Channel wise traffic'!$B$2:$P$368,12,FALSE)</f>
        <v>1212023</v>
      </c>
      <c r="J141" s="24">
        <f>VLOOKUP($A141,'Channel wise traffic'!$B$2:$P$368,13,FALSE)</f>
        <v>493788</v>
      </c>
      <c r="K141" s="51">
        <f>VLOOKUP($A141,'Channel wise traffic'!$B$2:$P$368,14,FALSE)</f>
        <v>1167133</v>
      </c>
      <c r="L141" s="24">
        <f>VLOOKUP($A141,'Channel wise traffic'!$B$2:$P$368,15,FALSE)</f>
        <v>4488975</v>
      </c>
      <c r="M141" s="7">
        <f t="shared" si="8"/>
        <v>3.2824865016381509E-2</v>
      </c>
      <c r="N141" s="7">
        <f t="shared" si="10"/>
        <v>-1.0784869725448676E-2</v>
      </c>
      <c r="O141" s="7">
        <f t="shared" si="9"/>
        <v>0.10526315666056507</v>
      </c>
      <c r="P141" s="7">
        <f t="shared" si="11"/>
        <v>-0.10499583351411135</v>
      </c>
      <c r="Q141" s="7" t="e">
        <f>#REF!/B141</f>
        <v>#REF!</v>
      </c>
      <c r="R141" s="7" t="e">
        <f>#REF!/#REF!</f>
        <v>#REF!</v>
      </c>
      <c r="S141" s="7" t="e">
        <f>#REF!/#REF!</f>
        <v>#REF!</v>
      </c>
      <c r="T141" s="7" t="e">
        <f>C141/#REF!</f>
        <v>#REF!</v>
      </c>
    </row>
    <row r="142" spans="1:20" x14ac:dyDescent="0.3">
      <c r="A142" s="2">
        <v>43605</v>
      </c>
      <c r="B142" s="3">
        <v>22368860</v>
      </c>
      <c r="C142" s="42">
        <v>1310666</v>
      </c>
      <c r="D142" s="48">
        <f>VLOOKUP($A142,'Channel wise traffic'!$B$2:$K$368,7,FALSE)</f>
        <v>0</v>
      </c>
      <c r="E142" s="24">
        <f>VLOOKUP($A142,'Channel wise traffic'!$B$2:$K$368,8,FALSE)</f>
        <v>0</v>
      </c>
      <c r="F142" s="24">
        <f>VLOOKUP($A142,'Channel wise traffic'!$B$2:$K$368,9,FALSE)</f>
        <v>0</v>
      </c>
      <c r="G142" s="24">
        <f>VLOOKUP($A142,'Channel wise traffic'!$B$2:$K$368,10,FALSE)</f>
        <v>0</v>
      </c>
      <c r="H142" s="48">
        <f>VLOOKUP($A142,'Channel wise traffic'!$B$2:$P$368,11,FALSE)</f>
        <v>547277</v>
      </c>
      <c r="I142" s="24">
        <f>VLOOKUP($A142,'Channel wise traffic'!$B$2:$P$368,12,FALSE)</f>
        <v>410458</v>
      </c>
      <c r="J142" s="24">
        <f>VLOOKUP($A142,'Channel wise traffic'!$B$2:$P$368,13,FALSE)</f>
        <v>167223</v>
      </c>
      <c r="K142" s="51">
        <f>VLOOKUP($A142,'Channel wise traffic'!$B$2:$P$368,14,FALSE)</f>
        <v>395255</v>
      </c>
      <c r="L142" s="24">
        <f>VLOOKUP($A142,'Channel wise traffic'!$B$2:$P$368,15,FALSE)</f>
        <v>1520213</v>
      </c>
      <c r="M142" s="7">
        <f t="shared" si="8"/>
        <v>5.8593330192061643E-2</v>
      </c>
      <c r="N142" s="7">
        <f t="shared" si="10"/>
        <v>6.5633229561417927E-2</v>
      </c>
      <c r="O142" s="7">
        <f t="shared" si="9"/>
        <v>7.2916677658587448E-2</v>
      </c>
      <c r="P142" s="7">
        <f t="shared" si="11"/>
        <v>-6.7884564093682043E-3</v>
      </c>
      <c r="Q142" s="7" t="e">
        <f>#REF!/B142</f>
        <v>#REF!</v>
      </c>
      <c r="R142" s="7" t="e">
        <f>#REF!/#REF!</f>
        <v>#REF!</v>
      </c>
      <c r="S142" s="7" t="e">
        <f>#REF!/#REF!</f>
        <v>#REF!</v>
      </c>
      <c r="T142" s="7" t="e">
        <f>C142/#REF!</f>
        <v>#REF!</v>
      </c>
    </row>
    <row r="143" spans="1:20" x14ac:dyDescent="0.3">
      <c r="A143" s="2">
        <v>43606</v>
      </c>
      <c r="B143" s="3">
        <v>22368860</v>
      </c>
      <c r="C143" s="42">
        <v>1234793</v>
      </c>
      <c r="D143" s="48">
        <f>VLOOKUP($A143,'Channel wise traffic'!$B$2:$K$368,7,FALSE)</f>
        <v>-156365</v>
      </c>
      <c r="E143" s="24">
        <f>VLOOKUP($A143,'Channel wise traffic'!$B$2:$K$368,8,FALSE)</f>
        <v>-117274</v>
      </c>
      <c r="F143" s="24">
        <f>VLOOKUP($A143,'Channel wise traffic'!$B$2:$K$368,9,FALSE)</f>
        <v>-47778</v>
      </c>
      <c r="G143" s="24">
        <f>VLOOKUP($A143,'Channel wise traffic'!$B$2:$K$368,10,FALSE)</f>
        <v>-112930</v>
      </c>
      <c r="H143" s="48">
        <f>VLOOKUP($A143,'Channel wise traffic'!$B$2:$P$368,11,FALSE)</f>
        <v>0</v>
      </c>
      <c r="I143" s="24">
        <f>VLOOKUP($A143,'Channel wise traffic'!$B$2:$P$368,12,FALSE)</f>
        <v>0</v>
      </c>
      <c r="J143" s="24">
        <f>VLOOKUP($A143,'Channel wise traffic'!$B$2:$P$368,13,FALSE)</f>
        <v>0</v>
      </c>
      <c r="K143" s="51">
        <f>VLOOKUP($A143,'Channel wise traffic'!$B$2:$P$368,14,FALSE)</f>
        <v>0</v>
      </c>
      <c r="L143" s="24">
        <f>VLOOKUP($A143,'Channel wise traffic'!$B$2:$P$368,15,FALSE)</f>
        <v>-434347</v>
      </c>
      <c r="M143" s="7">
        <f t="shared" si="8"/>
        <v>5.5201427341402286E-2</v>
      </c>
      <c r="N143" s="7">
        <f t="shared" si="10"/>
        <v>-0.13879450075185029</v>
      </c>
      <c r="O143" s="7">
        <f t="shared" si="9"/>
        <v>-1.9047627818315149E-2</v>
      </c>
      <c r="P143" s="7">
        <f t="shared" si="11"/>
        <v>-0.12207205602369087</v>
      </c>
      <c r="Q143" s="7" t="e">
        <f>#REF!/B143</f>
        <v>#REF!</v>
      </c>
      <c r="R143" s="7" t="e">
        <f>#REF!/#REF!</f>
        <v>#REF!</v>
      </c>
      <c r="S143" s="7" t="e">
        <f>#REF!/#REF!</f>
        <v>#REF!</v>
      </c>
      <c r="T143" s="7" t="e">
        <f>C143/#REF!</f>
        <v>#REF!</v>
      </c>
    </row>
    <row r="144" spans="1:20" x14ac:dyDescent="0.3">
      <c r="A144" s="2">
        <v>43607</v>
      </c>
      <c r="B144" s="3">
        <v>21934513</v>
      </c>
      <c r="C144" s="42">
        <v>1476099</v>
      </c>
      <c r="D144" s="48">
        <f>VLOOKUP($A144,'Channel wise traffic'!$B$2:$K$368,7,FALSE)</f>
        <v>0</v>
      </c>
      <c r="E144" s="24">
        <f>VLOOKUP($A144,'Channel wise traffic'!$B$2:$K$368,8,FALSE)</f>
        <v>0</v>
      </c>
      <c r="F144" s="24">
        <f>VLOOKUP($A144,'Channel wise traffic'!$B$2:$K$368,9,FALSE)</f>
        <v>0</v>
      </c>
      <c r="G144" s="24">
        <f>VLOOKUP($A144,'Channel wise traffic'!$B$2:$K$368,10,FALSE)</f>
        <v>0</v>
      </c>
      <c r="H144" s="48">
        <f>VLOOKUP($A144,'Channel wise traffic'!$B$2:$P$368,11,FALSE)</f>
        <v>0</v>
      </c>
      <c r="I144" s="24">
        <f>VLOOKUP($A144,'Channel wise traffic'!$B$2:$P$368,12,FALSE)</f>
        <v>0</v>
      </c>
      <c r="J144" s="24">
        <f>VLOOKUP($A144,'Channel wise traffic'!$B$2:$P$368,13,FALSE)</f>
        <v>0</v>
      </c>
      <c r="K144" s="51">
        <f>VLOOKUP($A144,'Channel wise traffic'!$B$2:$P$368,14,FALSE)</f>
        <v>0</v>
      </c>
      <c r="L144" s="24">
        <f>VLOOKUP($A144,'Channel wise traffic'!$B$2:$P$368,15,FALSE)</f>
        <v>0</v>
      </c>
      <c r="M144" s="7">
        <f t="shared" si="8"/>
        <v>6.7295727058084218E-2</v>
      </c>
      <c r="N144" s="7">
        <f t="shared" si="10"/>
        <v>0.15003704647287197</v>
      </c>
      <c r="O144" s="7">
        <f t="shared" si="9"/>
        <v>0</v>
      </c>
      <c r="P144" s="7">
        <f t="shared" si="11"/>
        <v>0.15003704647287197</v>
      </c>
      <c r="Q144" s="7" t="e">
        <f>#REF!/B144</f>
        <v>#REF!</v>
      </c>
      <c r="R144" s="7" t="e">
        <f>#REF!/#REF!</f>
        <v>#REF!</v>
      </c>
      <c r="S144" s="7" t="e">
        <f>#REF!/#REF!</f>
        <v>#REF!</v>
      </c>
      <c r="T144" s="7" t="e">
        <f>C144/#REF!</f>
        <v>#REF!</v>
      </c>
    </row>
    <row r="145" spans="1:20" x14ac:dyDescent="0.3">
      <c r="A145" s="2">
        <v>43608</v>
      </c>
      <c r="B145" s="3">
        <v>21065820</v>
      </c>
      <c r="C145" s="42">
        <v>1310678</v>
      </c>
      <c r="D145" s="48">
        <f>VLOOKUP($A145,'Channel wise traffic'!$B$2:$K$368,7,FALSE)</f>
        <v>0</v>
      </c>
      <c r="E145" s="24">
        <f>VLOOKUP($A145,'Channel wise traffic'!$B$2:$K$368,8,FALSE)</f>
        <v>0</v>
      </c>
      <c r="F145" s="24">
        <f>VLOOKUP($A145,'Channel wise traffic'!$B$2:$K$368,9,FALSE)</f>
        <v>0</v>
      </c>
      <c r="G145" s="24">
        <f>VLOOKUP($A145,'Channel wise traffic'!$B$2:$K$368,10,FALSE)</f>
        <v>0</v>
      </c>
      <c r="H145" s="48">
        <f>VLOOKUP($A145,'Channel wise traffic'!$B$2:$P$368,11,FALSE)</f>
        <v>0</v>
      </c>
      <c r="I145" s="24">
        <f>VLOOKUP($A145,'Channel wise traffic'!$B$2:$P$368,12,FALSE)</f>
        <v>0</v>
      </c>
      <c r="J145" s="24">
        <f>VLOOKUP($A145,'Channel wise traffic'!$B$2:$P$368,13,FALSE)</f>
        <v>0</v>
      </c>
      <c r="K145" s="51">
        <f>VLOOKUP($A145,'Channel wise traffic'!$B$2:$P$368,14,FALSE)</f>
        <v>0</v>
      </c>
      <c r="L145" s="24">
        <f>VLOOKUP($A145,'Channel wise traffic'!$B$2:$P$368,15,FALSE)</f>
        <v>0</v>
      </c>
      <c r="M145" s="7">
        <f t="shared" si="8"/>
        <v>6.2218228390824568E-2</v>
      </c>
      <c r="N145" s="7">
        <f t="shared" si="10"/>
        <v>-4.8715414015697567E-2</v>
      </c>
      <c r="O145" s="7">
        <f t="shared" si="9"/>
        <v>0</v>
      </c>
      <c r="P145" s="7">
        <f t="shared" si="11"/>
        <v>-4.8715414015697567E-2</v>
      </c>
      <c r="Q145" s="7" t="e">
        <f>#REF!/B145</f>
        <v>#REF!</v>
      </c>
      <c r="R145" s="7" t="e">
        <f>#REF!/#REF!</f>
        <v>#REF!</v>
      </c>
      <c r="S145" s="7" t="e">
        <f>#REF!/#REF!</f>
        <v>#REF!</v>
      </c>
      <c r="T145" s="7" t="e">
        <f>C145/#REF!</f>
        <v>#REF!</v>
      </c>
    </row>
    <row r="146" spans="1:20" x14ac:dyDescent="0.3">
      <c r="A146" s="2">
        <v>43609</v>
      </c>
      <c r="B146" s="3">
        <v>22368860</v>
      </c>
      <c r="C146" s="42">
        <v>1295850</v>
      </c>
      <c r="D146" s="48">
        <f>VLOOKUP($A146,'Channel wise traffic'!$B$2:$K$368,7,FALSE)</f>
        <v>0</v>
      </c>
      <c r="E146" s="24">
        <f>VLOOKUP($A146,'Channel wise traffic'!$B$2:$K$368,8,FALSE)</f>
        <v>0</v>
      </c>
      <c r="F146" s="24">
        <f>VLOOKUP($A146,'Channel wise traffic'!$B$2:$K$368,9,FALSE)</f>
        <v>0</v>
      </c>
      <c r="G146" s="24">
        <f>VLOOKUP($A146,'Channel wise traffic'!$B$2:$K$368,10,FALSE)</f>
        <v>0</v>
      </c>
      <c r="H146" s="48">
        <f>VLOOKUP($A146,'Channel wise traffic'!$B$2:$P$368,11,FALSE)</f>
        <v>625459</v>
      </c>
      <c r="I146" s="24">
        <f>VLOOKUP($A146,'Channel wise traffic'!$B$2:$P$368,12,FALSE)</f>
        <v>469095</v>
      </c>
      <c r="J146" s="24">
        <f>VLOOKUP($A146,'Channel wise traffic'!$B$2:$P$368,13,FALSE)</f>
        <v>191112</v>
      </c>
      <c r="K146" s="51">
        <f>VLOOKUP($A146,'Channel wise traffic'!$B$2:$P$368,14,FALSE)</f>
        <v>451720</v>
      </c>
      <c r="L146" s="24">
        <f>VLOOKUP($A146,'Channel wise traffic'!$B$2:$P$368,15,FALSE)</f>
        <v>1737386</v>
      </c>
      <c r="M146" s="7">
        <f t="shared" si="8"/>
        <v>5.7930980836752521E-2</v>
      </c>
      <c r="N146" s="7">
        <f t="shared" si="10"/>
        <v>9.352031094676394E-2</v>
      </c>
      <c r="O146" s="7">
        <f t="shared" si="9"/>
        <v>8.4210516621862075E-2</v>
      </c>
      <c r="P146" s="7">
        <f t="shared" si="11"/>
        <v>8.5867035803239844E-3</v>
      </c>
      <c r="Q146" s="7" t="e">
        <f>#REF!/B146</f>
        <v>#REF!</v>
      </c>
      <c r="R146" s="7" t="e">
        <f>#REF!/#REF!</f>
        <v>#REF!</v>
      </c>
      <c r="S146" s="7" t="e">
        <f>#REF!/#REF!</f>
        <v>#REF!</v>
      </c>
      <c r="T146" s="7" t="e">
        <f>C146/#REF!</f>
        <v>#REF!</v>
      </c>
    </row>
    <row r="147" spans="1:20" x14ac:dyDescent="0.3">
      <c r="A147" s="2">
        <v>43610</v>
      </c>
      <c r="B147" s="3">
        <v>47134238</v>
      </c>
      <c r="C147" s="42">
        <v>1853429</v>
      </c>
      <c r="D147" s="48">
        <f>VLOOKUP($A147,'Channel wise traffic'!$B$2:$K$368,7,FALSE)</f>
        <v>0</v>
      </c>
      <c r="E147" s="24">
        <f>VLOOKUP($A147,'Channel wise traffic'!$B$2:$K$368,8,FALSE)</f>
        <v>0</v>
      </c>
      <c r="F147" s="24">
        <f>VLOOKUP($A147,'Channel wise traffic'!$B$2:$K$368,9,FALSE)</f>
        <v>0</v>
      </c>
      <c r="G147" s="24">
        <f>VLOOKUP($A147,'Channel wise traffic'!$B$2:$K$368,10,FALSE)</f>
        <v>0</v>
      </c>
      <c r="H147" s="48">
        <f>VLOOKUP($A147,'Channel wise traffic'!$B$2:$P$368,11,FALSE)</f>
        <v>808015</v>
      </c>
      <c r="I147" s="24">
        <f>VLOOKUP($A147,'Channel wise traffic'!$B$2:$P$368,12,FALSE)</f>
        <v>606012</v>
      </c>
      <c r="J147" s="24">
        <f>VLOOKUP($A147,'Channel wise traffic'!$B$2:$P$368,13,FALSE)</f>
        <v>246894</v>
      </c>
      <c r="K147" s="51">
        <f>VLOOKUP($A147,'Channel wise traffic'!$B$2:$P$368,14,FALSE)</f>
        <v>583566</v>
      </c>
      <c r="L147" s="24">
        <f>VLOOKUP($A147,'Channel wise traffic'!$B$2:$P$368,15,FALSE)</f>
        <v>2244487</v>
      </c>
      <c r="M147" s="7">
        <f t="shared" si="8"/>
        <v>3.9322349923212929E-2</v>
      </c>
      <c r="N147" s="7">
        <f t="shared" si="10"/>
        <v>6.1562684713828197E-2</v>
      </c>
      <c r="O147" s="7">
        <f t="shared" si="9"/>
        <v>5.0000011138400247E-2</v>
      </c>
      <c r="P147" s="7">
        <f t="shared" si="11"/>
        <v>1.1012069955020243E-2</v>
      </c>
      <c r="Q147" s="7" t="e">
        <f>#REF!/B147</f>
        <v>#REF!</v>
      </c>
      <c r="R147" s="7" t="e">
        <f>#REF!/#REF!</f>
        <v>#REF!</v>
      </c>
      <c r="S147" s="7" t="e">
        <f>#REF!/#REF!</f>
        <v>#REF!</v>
      </c>
      <c r="T147" s="7" t="e">
        <f>C147/#REF!</f>
        <v>#REF!</v>
      </c>
    </row>
    <row r="148" spans="1:20" x14ac:dyDescent="0.3">
      <c r="A148" s="2">
        <v>43611</v>
      </c>
      <c r="B148" s="3">
        <v>47134238</v>
      </c>
      <c r="C148" s="42">
        <v>1695580</v>
      </c>
      <c r="D148" s="48">
        <f>VLOOKUP($A148,'Channel wise traffic'!$B$2:$K$368,7,FALSE)</f>
        <v>0</v>
      </c>
      <c r="E148" s="24">
        <f>VLOOKUP($A148,'Channel wise traffic'!$B$2:$K$368,8,FALSE)</f>
        <v>0</v>
      </c>
      <c r="F148" s="24">
        <f>VLOOKUP($A148,'Channel wise traffic'!$B$2:$K$368,9,FALSE)</f>
        <v>0</v>
      </c>
      <c r="G148" s="24">
        <f>VLOOKUP($A148,'Channel wise traffic'!$B$2:$K$368,10,FALSE)</f>
        <v>0</v>
      </c>
      <c r="H148" s="48">
        <f>VLOOKUP($A148,'Channel wise traffic'!$B$2:$P$368,11,FALSE)</f>
        <v>0</v>
      </c>
      <c r="I148" s="24">
        <f>VLOOKUP($A148,'Channel wise traffic'!$B$2:$P$368,12,FALSE)</f>
        <v>0</v>
      </c>
      <c r="J148" s="24">
        <f>VLOOKUP($A148,'Channel wise traffic'!$B$2:$P$368,13,FALSE)</f>
        <v>0</v>
      </c>
      <c r="K148" s="51">
        <f>VLOOKUP($A148,'Channel wise traffic'!$B$2:$P$368,14,FALSE)</f>
        <v>0</v>
      </c>
      <c r="L148" s="24">
        <f>VLOOKUP($A148,'Channel wise traffic'!$B$2:$P$368,15,FALSE)</f>
        <v>0</v>
      </c>
      <c r="M148" s="7">
        <f t="shared" si="8"/>
        <v>3.5973425517136823E-2</v>
      </c>
      <c r="N148" s="7">
        <f t="shared" si="10"/>
        <v>9.5919983195178249E-2</v>
      </c>
      <c r="O148" s="7">
        <f t="shared" si="9"/>
        <v>0</v>
      </c>
      <c r="P148" s="7">
        <f t="shared" si="11"/>
        <v>9.5919983195178471E-2</v>
      </c>
      <c r="Q148" s="7" t="e">
        <f>#REF!/B148</f>
        <v>#REF!</v>
      </c>
      <c r="R148" s="7" t="e">
        <f>#REF!/#REF!</f>
        <v>#REF!</v>
      </c>
      <c r="S148" s="7" t="e">
        <f>#REF!/#REF!</f>
        <v>#REF!</v>
      </c>
      <c r="T148" s="7" t="e">
        <f>C148/#REF!</f>
        <v>#REF!</v>
      </c>
    </row>
    <row r="149" spans="1:20" x14ac:dyDescent="0.3">
      <c r="A149" s="2">
        <v>43612</v>
      </c>
      <c r="B149" s="3">
        <v>21065820</v>
      </c>
      <c r="C149" s="42">
        <v>1126111</v>
      </c>
      <c r="D149" s="48">
        <f>VLOOKUP($A149,'Channel wise traffic'!$B$2:$K$368,7,FALSE)</f>
        <v>-469094</v>
      </c>
      <c r="E149" s="24">
        <f>VLOOKUP($A149,'Channel wise traffic'!$B$2:$K$368,8,FALSE)</f>
        <v>-351821</v>
      </c>
      <c r="F149" s="24">
        <f>VLOOKUP($A149,'Channel wise traffic'!$B$2:$K$368,9,FALSE)</f>
        <v>-143334</v>
      </c>
      <c r="G149" s="24">
        <f>VLOOKUP($A149,'Channel wise traffic'!$B$2:$K$368,10,FALSE)</f>
        <v>-338790</v>
      </c>
      <c r="H149" s="48">
        <f>VLOOKUP($A149,'Channel wise traffic'!$B$2:$P$368,11,FALSE)</f>
        <v>0</v>
      </c>
      <c r="I149" s="24">
        <f>VLOOKUP($A149,'Channel wise traffic'!$B$2:$P$368,12,FALSE)</f>
        <v>0</v>
      </c>
      <c r="J149" s="24">
        <f>VLOOKUP($A149,'Channel wise traffic'!$B$2:$P$368,13,FALSE)</f>
        <v>0</v>
      </c>
      <c r="K149" s="51">
        <f>VLOOKUP($A149,'Channel wise traffic'!$B$2:$P$368,14,FALSE)</f>
        <v>0</v>
      </c>
      <c r="L149" s="24">
        <f>VLOOKUP($A149,'Channel wise traffic'!$B$2:$P$368,15,FALSE)</f>
        <v>-1303039</v>
      </c>
      <c r="M149" s="7">
        <f t="shared" si="8"/>
        <v>5.3456784497351632E-2</v>
      </c>
      <c r="N149" s="7">
        <f t="shared" si="10"/>
        <v>-0.14081009196851069</v>
      </c>
      <c r="O149" s="7">
        <f t="shared" si="9"/>
        <v>-5.8252409823299045E-2</v>
      </c>
      <c r="P149" s="7">
        <f t="shared" si="11"/>
        <v>-8.7664341280365043E-2</v>
      </c>
      <c r="Q149" s="7" t="e">
        <f>#REF!/B149</f>
        <v>#REF!</v>
      </c>
      <c r="R149" s="7" t="e">
        <f>#REF!/#REF!</f>
        <v>#REF!</v>
      </c>
      <c r="S149" s="7" t="e">
        <f>#REF!/#REF!</f>
        <v>#REF!</v>
      </c>
      <c r="T149" s="7" t="e">
        <f>C149/#REF!</f>
        <v>#REF!</v>
      </c>
    </row>
    <row r="150" spans="1:20" x14ac:dyDescent="0.3">
      <c r="A150" s="2">
        <v>43613</v>
      </c>
      <c r="B150" s="3">
        <v>22586034</v>
      </c>
      <c r="C150" s="42">
        <v>1232661</v>
      </c>
      <c r="D150" s="48">
        <f>VLOOKUP($A150,'Channel wise traffic'!$B$2:$K$368,7,FALSE)</f>
        <v>0</v>
      </c>
      <c r="E150" s="24">
        <f>VLOOKUP($A150,'Channel wise traffic'!$B$2:$K$368,8,FALSE)</f>
        <v>0</v>
      </c>
      <c r="F150" s="24">
        <f>VLOOKUP($A150,'Channel wise traffic'!$B$2:$K$368,9,FALSE)</f>
        <v>0</v>
      </c>
      <c r="G150" s="24">
        <f>VLOOKUP($A150,'Channel wise traffic'!$B$2:$K$368,10,FALSE)</f>
        <v>0</v>
      </c>
      <c r="H150" s="48">
        <f>VLOOKUP($A150,'Channel wise traffic'!$B$2:$P$368,11,FALSE)</f>
        <v>78183</v>
      </c>
      <c r="I150" s="24">
        <f>VLOOKUP($A150,'Channel wise traffic'!$B$2:$P$368,12,FALSE)</f>
        <v>58637</v>
      </c>
      <c r="J150" s="24">
        <f>VLOOKUP($A150,'Channel wise traffic'!$B$2:$P$368,13,FALSE)</f>
        <v>23889</v>
      </c>
      <c r="K150" s="51">
        <f>VLOOKUP($A150,'Channel wise traffic'!$B$2:$P$368,14,FALSE)</f>
        <v>56465</v>
      </c>
      <c r="L150" s="24">
        <f>VLOOKUP($A150,'Channel wise traffic'!$B$2:$P$368,15,FALSE)</f>
        <v>217174</v>
      </c>
      <c r="M150" s="7">
        <f t="shared" si="8"/>
        <v>5.457624831344892E-2</v>
      </c>
      <c r="N150" s="7">
        <f t="shared" si="10"/>
        <v>-1.7266051880761024E-3</v>
      </c>
      <c r="O150" s="7">
        <f t="shared" si="9"/>
        <v>9.7087647738864913E-3</v>
      </c>
      <c r="P150" s="7">
        <f t="shared" si="11"/>
        <v>-1.1325414179724769E-2</v>
      </c>
      <c r="Q150" s="7" t="e">
        <f>#REF!/B150</f>
        <v>#REF!</v>
      </c>
      <c r="R150" s="7" t="e">
        <f>#REF!/#REF!</f>
        <v>#REF!</v>
      </c>
      <c r="S150" s="7" t="e">
        <f>#REF!/#REF!</f>
        <v>#REF!</v>
      </c>
      <c r="T150" s="7" t="e">
        <f>C150/#REF!</f>
        <v>#REF!</v>
      </c>
    </row>
    <row r="151" spans="1:20" x14ac:dyDescent="0.3">
      <c r="A151" s="2">
        <v>43614</v>
      </c>
      <c r="B151" s="3">
        <v>20631473</v>
      </c>
      <c r="C151" s="42">
        <v>1271788</v>
      </c>
      <c r="D151" s="48">
        <f>VLOOKUP($A151,'Channel wise traffic'!$B$2:$K$368,7,FALSE)</f>
        <v>-469094</v>
      </c>
      <c r="E151" s="24">
        <f>VLOOKUP($A151,'Channel wise traffic'!$B$2:$K$368,8,FALSE)</f>
        <v>-351821</v>
      </c>
      <c r="F151" s="24">
        <f>VLOOKUP($A151,'Channel wise traffic'!$B$2:$K$368,9,FALSE)</f>
        <v>-143334</v>
      </c>
      <c r="G151" s="24">
        <f>VLOOKUP($A151,'Channel wise traffic'!$B$2:$K$368,10,FALSE)</f>
        <v>-338790</v>
      </c>
      <c r="H151" s="48">
        <f>VLOOKUP($A151,'Channel wise traffic'!$B$2:$P$368,11,FALSE)</f>
        <v>0</v>
      </c>
      <c r="I151" s="24">
        <f>VLOOKUP($A151,'Channel wise traffic'!$B$2:$P$368,12,FALSE)</f>
        <v>0</v>
      </c>
      <c r="J151" s="24">
        <f>VLOOKUP($A151,'Channel wise traffic'!$B$2:$P$368,13,FALSE)</f>
        <v>0</v>
      </c>
      <c r="K151" s="51">
        <f>VLOOKUP($A151,'Channel wise traffic'!$B$2:$P$368,14,FALSE)</f>
        <v>0</v>
      </c>
      <c r="L151" s="24">
        <f>VLOOKUP($A151,'Channel wise traffic'!$B$2:$P$368,15,FALSE)</f>
        <v>-1303039</v>
      </c>
      <c r="M151" s="7">
        <f t="shared" si="8"/>
        <v>6.1643102264196066E-2</v>
      </c>
      <c r="N151" s="7">
        <f t="shared" si="10"/>
        <v>-0.13841280293530445</v>
      </c>
      <c r="O151" s="7">
        <f t="shared" si="9"/>
        <v>-5.940592344129092E-2</v>
      </c>
      <c r="P151" s="7">
        <f t="shared" si="11"/>
        <v>-8.3996786140808966E-2</v>
      </c>
      <c r="Q151" s="7" t="e">
        <f>#REF!/B151</f>
        <v>#REF!</v>
      </c>
      <c r="R151" s="7" t="e">
        <f>#REF!/#REF!</f>
        <v>#REF!</v>
      </c>
      <c r="S151" s="7" t="e">
        <f>#REF!/#REF!</f>
        <v>#REF!</v>
      </c>
      <c r="T151" s="7" t="e">
        <f>C151/#REF!</f>
        <v>#REF!</v>
      </c>
    </row>
    <row r="152" spans="1:20" x14ac:dyDescent="0.3">
      <c r="A152" s="2">
        <v>43615</v>
      </c>
      <c r="B152" s="3">
        <v>21500167</v>
      </c>
      <c r="C152" s="42">
        <v>1260879</v>
      </c>
      <c r="D152" s="48">
        <f>VLOOKUP($A152,'Channel wise traffic'!$B$2:$K$368,7,FALSE)</f>
        <v>0</v>
      </c>
      <c r="E152" s="24">
        <f>VLOOKUP($A152,'Channel wise traffic'!$B$2:$K$368,8,FALSE)</f>
        <v>0</v>
      </c>
      <c r="F152" s="24">
        <f>VLOOKUP($A152,'Channel wise traffic'!$B$2:$K$368,9,FALSE)</f>
        <v>0</v>
      </c>
      <c r="G152" s="24">
        <f>VLOOKUP($A152,'Channel wise traffic'!$B$2:$K$368,10,FALSE)</f>
        <v>0</v>
      </c>
      <c r="H152" s="48">
        <f>VLOOKUP($A152,'Channel wise traffic'!$B$2:$P$368,11,FALSE)</f>
        <v>156365</v>
      </c>
      <c r="I152" s="24">
        <f>VLOOKUP($A152,'Channel wise traffic'!$B$2:$P$368,12,FALSE)</f>
        <v>117274</v>
      </c>
      <c r="J152" s="24">
        <f>VLOOKUP($A152,'Channel wise traffic'!$B$2:$P$368,13,FALSE)</f>
        <v>47778</v>
      </c>
      <c r="K152" s="51">
        <f>VLOOKUP($A152,'Channel wise traffic'!$B$2:$P$368,14,FALSE)</f>
        <v>112930</v>
      </c>
      <c r="L152" s="24">
        <f>VLOOKUP($A152,'Channel wise traffic'!$B$2:$P$368,15,FALSE)</f>
        <v>434347</v>
      </c>
      <c r="M152" s="7">
        <f t="shared" si="8"/>
        <v>5.8645079361476588E-2</v>
      </c>
      <c r="N152" s="7">
        <f t="shared" si="10"/>
        <v>-3.7994839312172735E-2</v>
      </c>
      <c r="O152" s="7">
        <f t="shared" si="9"/>
        <v>2.0618565999329652E-2</v>
      </c>
      <c r="P152" s="7">
        <f t="shared" si="11"/>
        <v>-5.7429295590083362E-2</v>
      </c>
      <c r="Q152" s="7" t="e">
        <f>#REF!/B152</f>
        <v>#REF!</v>
      </c>
      <c r="R152" s="7" t="e">
        <f>#REF!/#REF!</f>
        <v>#REF!</v>
      </c>
      <c r="S152" s="7" t="e">
        <f>#REF!/#REF!</f>
        <v>#REF!</v>
      </c>
      <c r="T152" s="7" t="e">
        <f>C152/#REF!</f>
        <v>#REF!</v>
      </c>
    </row>
    <row r="153" spans="1:20" x14ac:dyDescent="0.3">
      <c r="A153" s="2">
        <v>43616</v>
      </c>
      <c r="B153" s="3">
        <v>22368860</v>
      </c>
      <c r="C153" s="42">
        <v>1297655</v>
      </c>
      <c r="D153" s="48">
        <f>VLOOKUP($A153,'Channel wise traffic'!$B$2:$K$368,7,FALSE)</f>
        <v>0</v>
      </c>
      <c r="E153" s="24">
        <f>VLOOKUP($A153,'Channel wise traffic'!$B$2:$K$368,8,FALSE)</f>
        <v>0</v>
      </c>
      <c r="F153" s="24">
        <f>VLOOKUP($A153,'Channel wise traffic'!$B$2:$K$368,9,FALSE)</f>
        <v>0</v>
      </c>
      <c r="G153" s="24">
        <f>VLOOKUP($A153,'Channel wise traffic'!$B$2:$K$368,10,FALSE)</f>
        <v>0</v>
      </c>
      <c r="H153" s="48">
        <f>VLOOKUP($A153,'Channel wise traffic'!$B$2:$P$368,11,FALSE)</f>
        <v>0</v>
      </c>
      <c r="I153" s="24">
        <f>VLOOKUP($A153,'Channel wise traffic'!$B$2:$P$368,12,FALSE)</f>
        <v>0</v>
      </c>
      <c r="J153" s="24">
        <f>VLOOKUP($A153,'Channel wise traffic'!$B$2:$P$368,13,FALSE)</f>
        <v>0</v>
      </c>
      <c r="K153" s="51">
        <f>VLOOKUP($A153,'Channel wise traffic'!$B$2:$P$368,14,FALSE)</f>
        <v>0</v>
      </c>
      <c r="L153" s="24">
        <f>VLOOKUP($A153,'Channel wise traffic'!$B$2:$P$368,15,FALSE)</f>
        <v>0</v>
      </c>
      <c r="M153" s="7">
        <f t="shared" si="8"/>
        <v>5.8011673370927261E-2</v>
      </c>
      <c r="N153" s="7">
        <f t="shared" si="10"/>
        <v>1.3929081297989754E-3</v>
      </c>
      <c r="O153" s="7">
        <f t="shared" si="9"/>
        <v>0</v>
      </c>
      <c r="P153" s="7">
        <f t="shared" si="11"/>
        <v>1.3929081297989754E-3</v>
      </c>
      <c r="Q153" s="7" t="e">
        <f>#REF!/B153</f>
        <v>#REF!</v>
      </c>
      <c r="R153" s="7" t="e">
        <f>#REF!/#REF!</f>
        <v>#REF!</v>
      </c>
      <c r="S153" s="7" t="e">
        <f>#REF!/#REF!</f>
        <v>#REF!</v>
      </c>
      <c r="T153" s="7" t="e">
        <f>C153/#REF!</f>
        <v>#REF!</v>
      </c>
    </row>
    <row r="154" spans="1:20" x14ac:dyDescent="0.3">
      <c r="A154" s="2">
        <v>43617</v>
      </c>
      <c r="B154" s="3">
        <v>46685340</v>
      </c>
      <c r="C154" s="42">
        <v>1781953</v>
      </c>
      <c r="D154" s="48">
        <f>VLOOKUP($A154,'Channel wise traffic'!$B$2:$K$368,7,FALSE)</f>
        <v>-161603</v>
      </c>
      <c r="E154" s="24">
        <f>VLOOKUP($A154,'Channel wise traffic'!$B$2:$K$368,8,FALSE)</f>
        <v>-121202</v>
      </c>
      <c r="F154" s="24">
        <f>VLOOKUP($A154,'Channel wise traffic'!$B$2:$K$368,9,FALSE)</f>
        <v>-49379</v>
      </c>
      <c r="G154" s="24">
        <f>VLOOKUP($A154,'Channel wise traffic'!$B$2:$K$368,10,FALSE)</f>
        <v>-116713</v>
      </c>
      <c r="H154" s="48">
        <f>VLOOKUP($A154,'Channel wise traffic'!$B$2:$P$368,11,FALSE)</f>
        <v>0</v>
      </c>
      <c r="I154" s="24">
        <f>VLOOKUP($A154,'Channel wise traffic'!$B$2:$P$368,12,FALSE)</f>
        <v>0</v>
      </c>
      <c r="J154" s="24">
        <f>VLOOKUP($A154,'Channel wise traffic'!$B$2:$P$368,13,FALSE)</f>
        <v>0</v>
      </c>
      <c r="K154" s="51">
        <f>VLOOKUP($A154,'Channel wise traffic'!$B$2:$P$368,14,FALSE)</f>
        <v>0</v>
      </c>
      <c r="L154" s="24">
        <f>VLOOKUP($A154,'Channel wise traffic'!$B$2:$P$368,15,FALSE)</f>
        <v>-448897</v>
      </c>
      <c r="M154" s="7">
        <f t="shared" si="8"/>
        <v>3.8169433916514263E-2</v>
      </c>
      <c r="N154" s="7">
        <f t="shared" si="10"/>
        <v>-3.8564196416479901E-2</v>
      </c>
      <c r="O154" s="7">
        <f t="shared" si="9"/>
        <v>-9.523820030781005E-3</v>
      </c>
      <c r="P154" s="7">
        <f t="shared" si="11"/>
        <v>-2.9319611085045327E-2</v>
      </c>
      <c r="Q154" s="7" t="e">
        <f>#REF!/B154</f>
        <v>#REF!</v>
      </c>
      <c r="R154" s="7" t="e">
        <f>#REF!/#REF!</f>
        <v>#REF!</v>
      </c>
      <c r="S154" s="7" t="e">
        <f>#REF!/#REF!</f>
        <v>#REF!</v>
      </c>
      <c r="T154" s="7" t="e">
        <f>C154/#REF!</f>
        <v>#REF!</v>
      </c>
    </row>
    <row r="155" spans="1:20" x14ac:dyDescent="0.3">
      <c r="A155" s="2">
        <v>43618</v>
      </c>
      <c r="B155" s="3">
        <v>43543058</v>
      </c>
      <c r="C155" s="42">
        <v>1713789</v>
      </c>
      <c r="D155" s="48">
        <f>VLOOKUP($A155,'Channel wise traffic'!$B$2:$K$368,7,FALSE)</f>
        <v>-1292825</v>
      </c>
      <c r="E155" s="24">
        <f>VLOOKUP($A155,'Channel wise traffic'!$B$2:$K$368,8,FALSE)</f>
        <v>-969619</v>
      </c>
      <c r="F155" s="24">
        <f>VLOOKUP($A155,'Channel wise traffic'!$B$2:$K$368,9,FALSE)</f>
        <v>-395030</v>
      </c>
      <c r="G155" s="24">
        <f>VLOOKUP($A155,'Channel wise traffic'!$B$2:$K$368,10,FALSE)</f>
        <v>-933706</v>
      </c>
      <c r="H155" s="48">
        <f>VLOOKUP($A155,'Channel wise traffic'!$B$2:$P$368,11,FALSE)</f>
        <v>0</v>
      </c>
      <c r="I155" s="24">
        <f>VLOOKUP($A155,'Channel wise traffic'!$B$2:$P$368,12,FALSE)</f>
        <v>0</v>
      </c>
      <c r="J155" s="24">
        <f>VLOOKUP($A155,'Channel wise traffic'!$B$2:$P$368,13,FALSE)</f>
        <v>0</v>
      </c>
      <c r="K155" s="51">
        <f>VLOOKUP($A155,'Channel wise traffic'!$B$2:$P$368,14,FALSE)</f>
        <v>0</v>
      </c>
      <c r="L155" s="24">
        <f>VLOOKUP($A155,'Channel wise traffic'!$B$2:$P$368,15,FALSE)</f>
        <v>-3591180</v>
      </c>
      <c r="M155" s="7">
        <f t="shared" si="8"/>
        <v>3.935848970460458E-2</v>
      </c>
      <c r="N155" s="7">
        <f t="shared" si="10"/>
        <v>1.0739098125715163E-2</v>
      </c>
      <c r="O155" s="7">
        <f t="shared" si="9"/>
        <v>-7.6190475382247658E-2</v>
      </c>
      <c r="P155" s="7">
        <f t="shared" si="11"/>
        <v>9.4099022787118125E-2</v>
      </c>
      <c r="Q155" s="7" t="e">
        <f>#REF!/B155</f>
        <v>#REF!</v>
      </c>
      <c r="R155" s="7" t="e">
        <f>#REF!/#REF!</f>
        <v>#REF!</v>
      </c>
      <c r="S155" s="7" t="e">
        <f>#REF!/#REF!</f>
        <v>#REF!</v>
      </c>
      <c r="T155" s="7" t="e">
        <f>C155/#REF!</f>
        <v>#REF!</v>
      </c>
    </row>
    <row r="156" spans="1:20" x14ac:dyDescent="0.3">
      <c r="A156" s="2">
        <v>43619</v>
      </c>
      <c r="B156" s="3">
        <v>21500167</v>
      </c>
      <c r="C156" s="42">
        <v>1186099</v>
      </c>
      <c r="D156" s="48">
        <f>VLOOKUP($A156,'Channel wise traffic'!$B$2:$K$368,7,FALSE)</f>
        <v>0</v>
      </c>
      <c r="E156" s="24">
        <f>VLOOKUP($A156,'Channel wise traffic'!$B$2:$K$368,8,FALSE)</f>
        <v>0</v>
      </c>
      <c r="F156" s="24">
        <f>VLOOKUP($A156,'Channel wise traffic'!$B$2:$K$368,9,FALSE)</f>
        <v>0</v>
      </c>
      <c r="G156" s="24">
        <f>VLOOKUP($A156,'Channel wise traffic'!$B$2:$K$368,10,FALSE)</f>
        <v>0</v>
      </c>
      <c r="H156" s="48">
        <f>VLOOKUP($A156,'Channel wise traffic'!$B$2:$P$368,11,FALSE)</f>
        <v>156365</v>
      </c>
      <c r="I156" s="24">
        <f>VLOOKUP($A156,'Channel wise traffic'!$B$2:$P$368,12,FALSE)</f>
        <v>117274</v>
      </c>
      <c r="J156" s="24">
        <f>VLOOKUP($A156,'Channel wise traffic'!$B$2:$P$368,13,FALSE)</f>
        <v>47778</v>
      </c>
      <c r="K156" s="51">
        <f>VLOOKUP($A156,'Channel wise traffic'!$B$2:$P$368,14,FALSE)</f>
        <v>112930</v>
      </c>
      <c r="L156" s="24">
        <f>VLOOKUP($A156,'Channel wise traffic'!$B$2:$P$368,15,FALSE)</f>
        <v>434347</v>
      </c>
      <c r="M156" s="7">
        <f t="shared" si="8"/>
        <v>5.5166966842629638E-2</v>
      </c>
      <c r="N156" s="7">
        <f t="shared" si="10"/>
        <v>5.3270059523439439E-2</v>
      </c>
      <c r="O156" s="7">
        <f t="shared" si="9"/>
        <v>2.0618565999329652E-2</v>
      </c>
      <c r="P156" s="7">
        <f t="shared" si="11"/>
        <v>3.1991867100849225E-2</v>
      </c>
      <c r="Q156" s="7" t="e">
        <f>#REF!/B156</f>
        <v>#REF!</v>
      </c>
      <c r="R156" s="7" t="e">
        <f>#REF!/#REF!</f>
        <v>#REF!</v>
      </c>
      <c r="S156" s="7" t="e">
        <f>#REF!/#REF!</f>
        <v>#REF!</v>
      </c>
      <c r="T156" s="7" t="e">
        <f>C156/#REF!</f>
        <v>#REF!</v>
      </c>
    </row>
    <row r="157" spans="1:20" x14ac:dyDescent="0.3">
      <c r="A157" s="2">
        <v>43620</v>
      </c>
      <c r="B157" s="3">
        <v>22368860</v>
      </c>
      <c r="C157" s="42">
        <v>1392276</v>
      </c>
      <c r="D157" s="48">
        <f>VLOOKUP($A157,'Channel wise traffic'!$B$2:$K$368,7,FALSE)</f>
        <v>-78183</v>
      </c>
      <c r="E157" s="24">
        <f>VLOOKUP($A157,'Channel wise traffic'!$B$2:$K$368,8,FALSE)</f>
        <v>-58637</v>
      </c>
      <c r="F157" s="24">
        <f>VLOOKUP($A157,'Channel wise traffic'!$B$2:$K$368,9,FALSE)</f>
        <v>-23889</v>
      </c>
      <c r="G157" s="24">
        <f>VLOOKUP($A157,'Channel wise traffic'!$B$2:$K$368,10,FALSE)</f>
        <v>-56465</v>
      </c>
      <c r="H157" s="48">
        <f>VLOOKUP($A157,'Channel wise traffic'!$B$2:$P$368,11,FALSE)</f>
        <v>0</v>
      </c>
      <c r="I157" s="24">
        <f>VLOOKUP($A157,'Channel wise traffic'!$B$2:$P$368,12,FALSE)</f>
        <v>0</v>
      </c>
      <c r="J157" s="24">
        <f>VLOOKUP($A157,'Channel wise traffic'!$B$2:$P$368,13,FALSE)</f>
        <v>0</v>
      </c>
      <c r="K157" s="51">
        <f>VLOOKUP($A157,'Channel wise traffic'!$B$2:$P$368,14,FALSE)</f>
        <v>0</v>
      </c>
      <c r="L157" s="24">
        <f>VLOOKUP($A157,'Channel wise traffic'!$B$2:$P$368,15,FALSE)</f>
        <v>-217174</v>
      </c>
      <c r="M157" s="7">
        <f t="shared" si="8"/>
        <v>6.2241705656881932E-2</v>
      </c>
      <c r="N157" s="7">
        <f t="shared" si="10"/>
        <v>0.12948815611104747</v>
      </c>
      <c r="O157" s="7">
        <f t="shared" si="9"/>
        <v>-9.6154110101844825E-3</v>
      </c>
      <c r="P157" s="7">
        <f t="shared" si="11"/>
        <v>0.14045409093362049</v>
      </c>
      <c r="Q157" s="7" t="e">
        <f>#REF!/B157</f>
        <v>#REF!</v>
      </c>
      <c r="R157" s="7" t="e">
        <f>#REF!/#REF!</f>
        <v>#REF!</v>
      </c>
      <c r="S157" s="7" t="e">
        <f>#REF!/#REF!</f>
        <v>#REF!</v>
      </c>
      <c r="T157" s="7" t="e">
        <f>C157/#REF!</f>
        <v>#REF!</v>
      </c>
    </row>
    <row r="158" spans="1:20" x14ac:dyDescent="0.3">
      <c r="A158" s="2">
        <v>43621</v>
      </c>
      <c r="B158" s="3">
        <v>22368860</v>
      </c>
      <c r="C158" s="42">
        <v>1247523</v>
      </c>
      <c r="D158" s="48">
        <f>VLOOKUP($A158,'Channel wise traffic'!$B$2:$K$368,7,FALSE)</f>
        <v>0</v>
      </c>
      <c r="E158" s="24">
        <f>VLOOKUP($A158,'Channel wise traffic'!$B$2:$K$368,8,FALSE)</f>
        <v>0</v>
      </c>
      <c r="F158" s="24">
        <f>VLOOKUP($A158,'Channel wise traffic'!$B$2:$K$368,9,FALSE)</f>
        <v>0</v>
      </c>
      <c r="G158" s="24">
        <f>VLOOKUP($A158,'Channel wise traffic'!$B$2:$K$368,10,FALSE)</f>
        <v>0</v>
      </c>
      <c r="H158" s="48">
        <f>VLOOKUP($A158,'Channel wise traffic'!$B$2:$P$368,11,FALSE)</f>
        <v>625459</v>
      </c>
      <c r="I158" s="24">
        <f>VLOOKUP($A158,'Channel wise traffic'!$B$2:$P$368,12,FALSE)</f>
        <v>469095</v>
      </c>
      <c r="J158" s="24">
        <f>VLOOKUP($A158,'Channel wise traffic'!$B$2:$P$368,13,FALSE)</f>
        <v>191112</v>
      </c>
      <c r="K158" s="51">
        <f>VLOOKUP($A158,'Channel wise traffic'!$B$2:$P$368,14,FALSE)</f>
        <v>451720</v>
      </c>
      <c r="L158" s="24">
        <f>VLOOKUP($A158,'Channel wise traffic'!$B$2:$P$368,15,FALSE)</f>
        <v>1737386</v>
      </c>
      <c r="M158" s="7">
        <f t="shared" si="8"/>
        <v>5.5770522056108357E-2</v>
      </c>
      <c r="N158" s="7">
        <f t="shared" si="10"/>
        <v>-1.9079437767929863E-2</v>
      </c>
      <c r="O158" s="7">
        <f t="shared" si="9"/>
        <v>8.4210516621862075E-2</v>
      </c>
      <c r="P158" s="7">
        <f t="shared" si="11"/>
        <v>-9.5267434512274041E-2</v>
      </c>
      <c r="Q158" s="7" t="e">
        <f>#REF!/B158</f>
        <v>#REF!</v>
      </c>
      <c r="R158" s="7" t="e">
        <f>#REF!/#REF!</f>
        <v>#REF!</v>
      </c>
      <c r="S158" s="7" t="e">
        <f>#REF!/#REF!</f>
        <v>#REF!</v>
      </c>
      <c r="T158" s="7" t="e">
        <f>C158/#REF!</f>
        <v>#REF!</v>
      </c>
    </row>
    <row r="159" spans="1:20" x14ac:dyDescent="0.3">
      <c r="A159" s="2">
        <v>43622</v>
      </c>
      <c r="B159" s="3">
        <v>22368860</v>
      </c>
      <c r="C159" s="42">
        <v>1477227</v>
      </c>
      <c r="D159" s="48">
        <f>VLOOKUP($A159,'Channel wise traffic'!$B$2:$K$368,7,FALSE)</f>
        <v>0</v>
      </c>
      <c r="E159" s="24">
        <f>VLOOKUP($A159,'Channel wise traffic'!$B$2:$K$368,8,FALSE)</f>
        <v>0</v>
      </c>
      <c r="F159" s="24">
        <f>VLOOKUP($A159,'Channel wise traffic'!$B$2:$K$368,9,FALSE)</f>
        <v>0</v>
      </c>
      <c r="G159" s="24">
        <f>VLOOKUP($A159,'Channel wise traffic'!$B$2:$K$368,10,FALSE)</f>
        <v>0</v>
      </c>
      <c r="H159" s="48">
        <f>VLOOKUP($A159,'Channel wise traffic'!$B$2:$P$368,11,FALSE)</f>
        <v>312729</v>
      </c>
      <c r="I159" s="24">
        <f>VLOOKUP($A159,'Channel wise traffic'!$B$2:$P$368,12,FALSE)</f>
        <v>234547</v>
      </c>
      <c r="J159" s="24">
        <f>VLOOKUP($A159,'Channel wise traffic'!$B$2:$P$368,13,FALSE)</f>
        <v>95556</v>
      </c>
      <c r="K159" s="51">
        <f>VLOOKUP($A159,'Channel wise traffic'!$B$2:$P$368,14,FALSE)</f>
        <v>225860</v>
      </c>
      <c r="L159" s="24">
        <f>VLOOKUP($A159,'Channel wise traffic'!$B$2:$P$368,15,FALSE)</f>
        <v>868692</v>
      </c>
      <c r="M159" s="7">
        <f t="shared" si="8"/>
        <v>6.6039440543684394E-2</v>
      </c>
      <c r="N159" s="7">
        <f t="shared" si="10"/>
        <v>0.17158506089799253</v>
      </c>
      <c r="O159" s="7">
        <f t="shared" si="9"/>
        <v>4.0404011745583279E-2</v>
      </c>
      <c r="P159" s="7">
        <f t="shared" si="11"/>
        <v>0.12608664294970828</v>
      </c>
      <c r="Q159" s="7" t="e">
        <f>#REF!/B159</f>
        <v>#REF!</v>
      </c>
      <c r="R159" s="7" t="e">
        <f>#REF!/#REF!</f>
        <v>#REF!</v>
      </c>
      <c r="S159" s="7" t="e">
        <f>#REF!/#REF!</f>
        <v>#REF!</v>
      </c>
      <c r="T159" s="7" t="e">
        <f>C159/#REF!</f>
        <v>#REF!</v>
      </c>
    </row>
    <row r="160" spans="1:20" x14ac:dyDescent="0.3">
      <c r="A160" s="2">
        <v>43623</v>
      </c>
      <c r="B160" s="3">
        <v>21065820</v>
      </c>
      <c r="C160" s="42">
        <v>1348621</v>
      </c>
      <c r="D160" s="48">
        <f>VLOOKUP($A160,'Channel wise traffic'!$B$2:$K$368,7,FALSE)</f>
        <v>-469094</v>
      </c>
      <c r="E160" s="24">
        <f>VLOOKUP($A160,'Channel wise traffic'!$B$2:$K$368,8,FALSE)</f>
        <v>-351821</v>
      </c>
      <c r="F160" s="24">
        <f>VLOOKUP($A160,'Channel wise traffic'!$B$2:$K$368,9,FALSE)</f>
        <v>-143334</v>
      </c>
      <c r="G160" s="24">
        <f>VLOOKUP($A160,'Channel wise traffic'!$B$2:$K$368,10,FALSE)</f>
        <v>-338790</v>
      </c>
      <c r="H160" s="48">
        <f>VLOOKUP($A160,'Channel wise traffic'!$B$2:$P$368,11,FALSE)</f>
        <v>0</v>
      </c>
      <c r="I160" s="24">
        <f>VLOOKUP($A160,'Channel wise traffic'!$B$2:$P$368,12,FALSE)</f>
        <v>0</v>
      </c>
      <c r="J160" s="24">
        <f>VLOOKUP($A160,'Channel wise traffic'!$B$2:$P$368,13,FALSE)</f>
        <v>0</v>
      </c>
      <c r="K160" s="51">
        <f>VLOOKUP($A160,'Channel wise traffic'!$B$2:$P$368,14,FALSE)</f>
        <v>0</v>
      </c>
      <c r="L160" s="24">
        <f>VLOOKUP($A160,'Channel wise traffic'!$B$2:$P$368,15,FALSE)</f>
        <v>-1303039</v>
      </c>
      <c r="M160" s="7">
        <f t="shared" si="8"/>
        <v>6.4019392551536089E-2</v>
      </c>
      <c r="N160" s="7">
        <f t="shared" si="10"/>
        <v>3.9275462276182838E-2</v>
      </c>
      <c r="O160" s="7">
        <f t="shared" si="9"/>
        <v>-5.8252409823299045E-2</v>
      </c>
      <c r="P160" s="7">
        <f t="shared" si="11"/>
        <v>0.10356052207278021</v>
      </c>
      <c r="Q160" s="7" t="e">
        <f>#REF!/B160</f>
        <v>#REF!</v>
      </c>
      <c r="R160" s="7" t="e">
        <f>#REF!/#REF!</f>
        <v>#REF!</v>
      </c>
      <c r="S160" s="7" t="e">
        <f>#REF!/#REF!</f>
        <v>#REF!</v>
      </c>
      <c r="T160" s="7" t="e">
        <f>C160/#REF!</f>
        <v>#REF!</v>
      </c>
    </row>
    <row r="161" spans="1:22" x14ac:dyDescent="0.3">
      <c r="A161" s="2">
        <v>43624</v>
      </c>
      <c r="B161" s="3">
        <v>42645263</v>
      </c>
      <c r="C161" s="42">
        <v>1427220</v>
      </c>
      <c r="D161" s="48">
        <f>VLOOKUP($A161,'Channel wise traffic'!$B$2:$K$368,7,FALSE)</f>
        <v>-1454428</v>
      </c>
      <c r="E161" s="24">
        <f>VLOOKUP($A161,'Channel wise traffic'!$B$2:$K$368,8,FALSE)</f>
        <v>-1090821</v>
      </c>
      <c r="F161" s="24">
        <f>VLOOKUP($A161,'Channel wise traffic'!$B$2:$K$368,9,FALSE)</f>
        <v>-444409</v>
      </c>
      <c r="G161" s="24">
        <f>VLOOKUP($A161,'Channel wise traffic'!$B$2:$K$368,10,FALSE)</f>
        <v>-1050420</v>
      </c>
      <c r="H161" s="48">
        <f>VLOOKUP($A161,'Channel wise traffic'!$B$2:$P$368,11,FALSE)</f>
        <v>0</v>
      </c>
      <c r="I161" s="24">
        <f>VLOOKUP($A161,'Channel wise traffic'!$B$2:$P$368,12,FALSE)</f>
        <v>0</v>
      </c>
      <c r="J161" s="24">
        <f>VLOOKUP($A161,'Channel wise traffic'!$B$2:$P$368,13,FALSE)</f>
        <v>0</v>
      </c>
      <c r="K161" s="51">
        <f>VLOOKUP($A161,'Channel wise traffic'!$B$2:$P$368,14,FALSE)</f>
        <v>0</v>
      </c>
      <c r="L161" s="24">
        <f>VLOOKUP($A161,'Channel wise traffic'!$B$2:$P$368,15,FALSE)</f>
        <v>-4040078</v>
      </c>
      <c r="M161" s="7">
        <f t="shared" si="8"/>
        <v>3.3467257547456095E-2</v>
      </c>
      <c r="N161" s="7">
        <f t="shared" si="10"/>
        <v>-0.19906978466884373</v>
      </c>
      <c r="O161" s="7">
        <f t="shared" si="9"/>
        <v>-8.6538450828461344E-2</v>
      </c>
      <c r="P161" s="7">
        <f t="shared" si="11"/>
        <v>-0.12319219560193007</v>
      </c>
      <c r="Q161" s="7" t="e">
        <f>#REF!/B161</f>
        <v>#REF!</v>
      </c>
      <c r="R161" s="7" t="e">
        <f>#REF!/#REF!</f>
        <v>#REF!</v>
      </c>
      <c r="S161" s="7" t="e">
        <f>#REF!/#REF!</f>
        <v>#REF!</v>
      </c>
      <c r="T161" s="7" t="e">
        <f>C161/#REF!</f>
        <v>#REF!</v>
      </c>
    </row>
    <row r="162" spans="1:22" x14ac:dyDescent="0.3">
      <c r="A162" s="2">
        <v>43625</v>
      </c>
      <c r="B162" s="3">
        <v>44889750</v>
      </c>
      <c r="C162" s="42">
        <v>1646008</v>
      </c>
      <c r="D162" s="48">
        <f>VLOOKUP($A162,'Channel wise traffic'!$B$2:$K$368,7,FALSE)</f>
        <v>0</v>
      </c>
      <c r="E162" s="24">
        <f>VLOOKUP($A162,'Channel wise traffic'!$B$2:$K$368,8,FALSE)</f>
        <v>0</v>
      </c>
      <c r="F162" s="24">
        <f>VLOOKUP($A162,'Channel wise traffic'!$B$2:$K$368,9,FALSE)</f>
        <v>0</v>
      </c>
      <c r="G162" s="24">
        <f>VLOOKUP($A162,'Channel wise traffic'!$B$2:$K$368,10,FALSE)</f>
        <v>0</v>
      </c>
      <c r="H162" s="48">
        <f>VLOOKUP($A162,'Channel wise traffic'!$B$2:$P$368,11,FALSE)</f>
        <v>484810</v>
      </c>
      <c r="I162" s="24">
        <f>VLOOKUP($A162,'Channel wise traffic'!$B$2:$P$368,12,FALSE)</f>
        <v>363607</v>
      </c>
      <c r="J162" s="24">
        <f>VLOOKUP($A162,'Channel wise traffic'!$B$2:$P$368,13,FALSE)</f>
        <v>148136</v>
      </c>
      <c r="K162" s="51">
        <f>VLOOKUP($A162,'Channel wise traffic'!$B$2:$P$368,14,FALSE)</f>
        <v>350140</v>
      </c>
      <c r="L162" s="24">
        <f>VLOOKUP($A162,'Channel wise traffic'!$B$2:$P$368,15,FALSE)</f>
        <v>1346693</v>
      </c>
      <c r="M162" s="7">
        <f t="shared" si="8"/>
        <v>3.6667791645086018E-2</v>
      </c>
      <c r="N162" s="7">
        <f t="shared" si="10"/>
        <v>-3.9550376388225117E-2</v>
      </c>
      <c r="O162" s="7">
        <f t="shared" si="9"/>
        <v>3.0927823213518835E-2</v>
      </c>
      <c r="P162" s="7">
        <f t="shared" si="11"/>
        <v>-6.8363854398706181E-2</v>
      </c>
      <c r="Q162" s="7" t="e">
        <f>#REF!/B162</f>
        <v>#REF!</v>
      </c>
      <c r="R162" s="7" t="e">
        <f>#REF!/#REF!</f>
        <v>#REF!</v>
      </c>
      <c r="S162" s="7" t="e">
        <f>#REF!/#REF!</f>
        <v>#REF!</v>
      </c>
      <c r="T162" s="7" t="e">
        <f>C162/#REF!</f>
        <v>#REF!</v>
      </c>
    </row>
    <row r="163" spans="1:22" x14ac:dyDescent="0.3">
      <c r="A163" s="2">
        <v>43626</v>
      </c>
      <c r="B163" s="3">
        <v>21934513</v>
      </c>
      <c r="C163" s="42">
        <v>1310514</v>
      </c>
      <c r="D163" s="48">
        <f>VLOOKUP($A163,'Channel wise traffic'!$B$2:$K$368,7,FALSE)</f>
        <v>0</v>
      </c>
      <c r="E163" s="24">
        <f>VLOOKUP($A163,'Channel wise traffic'!$B$2:$K$368,8,FALSE)</f>
        <v>0</v>
      </c>
      <c r="F163" s="24">
        <f>VLOOKUP($A163,'Channel wise traffic'!$B$2:$K$368,9,FALSE)</f>
        <v>0</v>
      </c>
      <c r="G163" s="24">
        <f>VLOOKUP($A163,'Channel wise traffic'!$B$2:$K$368,10,FALSE)</f>
        <v>0</v>
      </c>
      <c r="H163" s="48">
        <f>VLOOKUP($A163,'Channel wise traffic'!$B$2:$P$368,11,FALSE)</f>
        <v>156364</v>
      </c>
      <c r="I163" s="24">
        <f>VLOOKUP($A163,'Channel wise traffic'!$B$2:$P$368,12,FALSE)</f>
        <v>117273</v>
      </c>
      <c r="J163" s="24">
        <f>VLOOKUP($A163,'Channel wise traffic'!$B$2:$P$368,13,FALSE)</f>
        <v>47778</v>
      </c>
      <c r="K163" s="51">
        <f>VLOOKUP($A163,'Channel wise traffic'!$B$2:$P$368,14,FALSE)</f>
        <v>112930</v>
      </c>
      <c r="L163" s="24">
        <f>VLOOKUP($A163,'Channel wise traffic'!$B$2:$P$368,15,FALSE)</f>
        <v>434345</v>
      </c>
      <c r="M163" s="7">
        <f t="shared" si="8"/>
        <v>5.9746664993200443E-2</v>
      </c>
      <c r="N163" s="7">
        <f t="shared" si="10"/>
        <v>0.10489427948257268</v>
      </c>
      <c r="O163" s="7">
        <f t="shared" si="9"/>
        <v>2.0201982617158221E-2</v>
      </c>
      <c r="P163" s="7">
        <f t="shared" si="11"/>
        <v>8.3015224738292037E-2</v>
      </c>
      <c r="Q163" s="7" t="e">
        <f>#REF!/B163</f>
        <v>#REF!</v>
      </c>
      <c r="R163" s="7" t="e">
        <f>#REF!/#REF!</f>
        <v>#REF!</v>
      </c>
      <c r="S163" s="7" t="e">
        <f>#REF!/#REF!</f>
        <v>#REF!</v>
      </c>
      <c r="T163" s="7" t="e">
        <f>C163/#REF!</f>
        <v>#REF!</v>
      </c>
    </row>
    <row r="164" spans="1:22" x14ac:dyDescent="0.3">
      <c r="A164" s="2">
        <v>43627</v>
      </c>
      <c r="B164" s="3">
        <v>22368860</v>
      </c>
      <c r="C164" s="42">
        <v>1309687</v>
      </c>
      <c r="D164" s="48">
        <f>VLOOKUP($A164,'Channel wise traffic'!$B$2:$K$368,7,FALSE)</f>
        <v>0</v>
      </c>
      <c r="E164" s="24">
        <f>VLOOKUP($A164,'Channel wise traffic'!$B$2:$K$368,8,FALSE)</f>
        <v>0</v>
      </c>
      <c r="F164" s="24">
        <f>VLOOKUP($A164,'Channel wise traffic'!$B$2:$K$368,9,FALSE)</f>
        <v>0</v>
      </c>
      <c r="G164" s="24">
        <f>VLOOKUP($A164,'Channel wise traffic'!$B$2:$K$368,10,FALSE)</f>
        <v>0</v>
      </c>
      <c r="H164" s="48">
        <f>VLOOKUP($A164,'Channel wise traffic'!$B$2:$P$368,11,FALSE)</f>
        <v>0</v>
      </c>
      <c r="I164" s="24">
        <f>VLOOKUP($A164,'Channel wise traffic'!$B$2:$P$368,12,FALSE)</f>
        <v>0</v>
      </c>
      <c r="J164" s="24">
        <f>VLOOKUP($A164,'Channel wise traffic'!$B$2:$P$368,13,FALSE)</f>
        <v>0</v>
      </c>
      <c r="K164" s="51">
        <f>VLOOKUP($A164,'Channel wise traffic'!$B$2:$P$368,14,FALSE)</f>
        <v>0</v>
      </c>
      <c r="L164" s="24">
        <f>VLOOKUP($A164,'Channel wise traffic'!$B$2:$P$368,15,FALSE)</f>
        <v>0</v>
      </c>
      <c r="M164" s="7">
        <f t="shared" si="8"/>
        <v>5.8549563992085427E-2</v>
      </c>
      <c r="N164" s="7">
        <f t="shared" si="10"/>
        <v>-5.9319416552465198E-2</v>
      </c>
      <c r="O164" s="7">
        <f t="shared" si="9"/>
        <v>0</v>
      </c>
      <c r="P164" s="7">
        <f t="shared" si="11"/>
        <v>-5.9319416552465198E-2</v>
      </c>
      <c r="Q164" s="7" t="e">
        <f>#REF!/B164</f>
        <v>#REF!</v>
      </c>
      <c r="R164" s="7" t="e">
        <f>#REF!/#REF!</f>
        <v>#REF!</v>
      </c>
      <c r="S164" s="7" t="e">
        <f>#REF!/#REF!</f>
        <v>#REF!</v>
      </c>
      <c r="T164" s="7" t="e">
        <f>C164/#REF!</f>
        <v>#REF!</v>
      </c>
    </row>
    <row r="165" spans="1:22" x14ac:dyDescent="0.3">
      <c r="A165" s="2">
        <v>43628</v>
      </c>
      <c r="B165" s="3">
        <v>21934513</v>
      </c>
      <c r="C165" s="42">
        <v>1443963</v>
      </c>
      <c r="D165" s="48">
        <f>VLOOKUP($A165,'Channel wise traffic'!$B$2:$K$368,7,FALSE)</f>
        <v>-156365</v>
      </c>
      <c r="E165" s="24">
        <f>VLOOKUP($A165,'Channel wise traffic'!$B$2:$K$368,8,FALSE)</f>
        <v>-117274</v>
      </c>
      <c r="F165" s="24">
        <f>VLOOKUP($A165,'Channel wise traffic'!$B$2:$K$368,9,FALSE)</f>
        <v>-47778</v>
      </c>
      <c r="G165" s="24">
        <f>VLOOKUP($A165,'Channel wise traffic'!$B$2:$K$368,10,FALSE)</f>
        <v>-112930</v>
      </c>
      <c r="H165" s="48">
        <f>VLOOKUP($A165,'Channel wise traffic'!$B$2:$P$368,11,FALSE)</f>
        <v>0</v>
      </c>
      <c r="I165" s="24">
        <f>VLOOKUP($A165,'Channel wise traffic'!$B$2:$P$368,12,FALSE)</f>
        <v>0</v>
      </c>
      <c r="J165" s="24">
        <f>VLOOKUP($A165,'Channel wise traffic'!$B$2:$P$368,13,FALSE)</f>
        <v>0</v>
      </c>
      <c r="K165" s="51">
        <f>VLOOKUP($A165,'Channel wise traffic'!$B$2:$P$368,14,FALSE)</f>
        <v>0</v>
      </c>
      <c r="L165" s="24">
        <f>VLOOKUP($A165,'Channel wise traffic'!$B$2:$P$368,15,FALSE)</f>
        <v>-434347</v>
      </c>
      <c r="M165" s="7">
        <f t="shared" si="8"/>
        <v>6.5830638683430087E-2</v>
      </c>
      <c r="N165" s="7">
        <f t="shared" si="10"/>
        <v>0.1574640307232813</v>
      </c>
      <c r="O165" s="7">
        <f t="shared" si="9"/>
        <v>-1.9417484842768062E-2</v>
      </c>
      <c r="P165" s="7">
        <f t="shared" si="11"/>
        <v>0.1803841215113724</v>
      </c>
      <c r="Q165" s="7" t="e">
        <f>#REF!/B165</f>
        <v>#REF!</v>
      </c>
      <c r="R165" s="7" t="e">
        <f>#REF!/#REF!</f>
        <v>#REF!</v>
      </c>
      <c r="S165" s="7" t="e">
        <f>#REF!/#REF!</f>
        <v>#REF!</v>
      </c>
      <c r="T165" s="7" t="e">
        <f>C165/#REF!</f>
        <v>#REF!</v>
      </c>
    </row>
    <row r="166" spans="1:22" x14ac:dyDescent="0.3">
      <c r="A166" s="2">
        <v>43629</v>
      </c>
      <c r="B166" s="3">
        <v>21717340</v>
      </c>
      <c r="C166" s="42">
        <v>1350226</v>
      </c>
      <c r="D166" s="48">
        <f>VLOOKUP($A166,'Channel wise traffic'!$B$2:$K$368,7,FALSE)</f>
        <v>-234547</v>
      </c>
      <c r="E166" s="24">
        <f>VLOOKUP($A166,'Channel wise traffic'!$B$2:$K$368,8,FALSE)</f>
        <v>-175911</v>
      </c>
      <c r="F166" s="24">
        <f>VLOOKUP($A166,'Channel wise traffic'!$B$2:$K$368,9,FALSE)</f>
        <v>-71667</v>
      </c>
      <c r="G166" s="24">
        <f>VLOOKUP($A166,'Channel wise traffic'!$B$2:$K$368,10,FALSE)</f>
        <v>-169395</v>
      </c>
      <c r="H166" s="48">
        <f>VLOOKUP($A166,'Channel wise traffic'!$B$2:$P$368,11,FALSE)</f>
        <v>0</v>
      </c>
      <c r="I166" s="24">
        <f>VLOOKUP($A166,'Channel wise traffic'!$B$2:$P$368,12,FALSE)</f>
        <v>0</v>
      </c>
      <c r="J166" s="24">
        <f>VLOOKUP($A166,'Channel wise traffic'!$B$2:$P$368,13,FALSE)</f>
        <v>0</v>
      </c>
      <c r="K166" s="51">
        <f>VLOOKUP($A166,'Channel wise traffic'!$B$2:$P$368,14,FALSE)</f>
        <v>0</v>
      </c>
      <c r="L166" s="24">
        <f>VLOOKUP($A166,'Channel wise traffic'!$B$2:$P$368,15,FALSE)</f>
        <v>-651520</v>
      </c>
      <c r="M166" s="7">
        <f t="shared" si="8"/>
        <v>6.2172715443051495E-2</v>
      </c>
      <c r="N166" s="7">
        <f t="shared" si="10"/>
        <v>-8.5972568873978084E-2</v>
      </c>
      <c r="O166" s="7">
        <f t="shared" si="9"/>
        <v>-2.9126204911649523E-2</v>
      </c>
      <c r="P166" s="7">
        <f t="shared" si="11"/>
        <v>-5.8551754357687225E-2</v>
      </c>
      <c r="Q166" s="7" t="e">
        <f>#REF!/B166</f>
        <v>#REF!</v>
      </c>
      <c r="R166" s="7" t="e">
        <f>#REF!/#REF!</f>
        <v>#REF!</v>
      </c>
      <c r="S166" s="7" t="e">
        <f>#REF!/#REF!</f>
        <v>#REF!</v>
      </c>
      <c r="T166" s="7" t="e">
        <f>C166/#REF!</f>
        <v>#REF!</v>
      </c>
    </row>
    <row r="167" spans="1:22" x14ac:dyDescent="0.3">
      <c r="A167" s="2">
        <v>43630</v>
      </c>
      <c r="B167" s="3">
        <v>22368860</v>
      </c>
      <c r="C167" s="42">
        <v>1283508</v>
      </c>
      <c r="D167" s="48">
        <f>VLOOKUP($A167,'Channel wise traffic'!$B$2:$K$368,7,FALSE)</f>
        <v>0</v>
      </c>
      <c r="E167" s="24">
        <f>VLOOKUP($A167,'Channel wise traffic'!$B$2:$K$368,8,FALSE)</f>
        <v>0</v>
      </c>
      <c r="F167" s="24">
        <f>VLOOKUP($A167,'Channel wise traffic'!$B$2:$K$368,9,FALSE)</f>
        <v>0</v>
      </c>
      <c r="G167" s="24">
        <f>VLOOKUP($A167,'Channel wise traffic'!$B$2:$K$368,10,FALSE)</f>
        <v>0</v>
      </c>
      <c r="H167" s="48">
        <f>VLOOKUP($A167,'Channel wise traffic'!$B$2:$P$368,11,FALSE)</f>
        <v>469094</v>
      </c>
      <c r="I167" s="24">
        <f>VLOOKUP($A167,'Channel wise traffic'!$B$2:$P$368,12,FALSE)</f>
        <v>351821</v>
      </c>
      <c r="J167" s="24">
        <f>VLOOKUP($A167,'Channel wise traffic'!$B$2:$P$368,13,FALSE)</f>
        <v>143334</v>
      </c>
      <c r="K167" s="51">
        <f>VLOOKUP($A167,'Channel wise traffic'!$B$2:$P$368,14,FALSE)</f>
        <v>338790</v>
      </c>
      <c r="L167" s="24">
        <f>VLOOKUP($A167,'Channel wise traffic'!$B$2:$P$368,15,FALSE)</f>
        <v>1303039</v>
      </c>
      <c r="M167" s="7">
        <f t="shared" si="8"/>
        <v>5.7379231664018641E-2</v>
      </c>
      <c r="N167" s="7">
        <f t="shared" si="10"/>
        <v>-4.8281170173087862E-2</v>
      </c>
      <c r="O167" s="7">
        <f t="shared" si="9"/>
        <v>6.1855650527727013E-2</v>
      </c>
      <c r="P167" s="7">
        <f t="shared" si="11"/>
        <v>-0.1037210854847157</v>
      </c>
      <c r="Q167" s="7" t="e">
        <f>#REF!/B167</f>
        <v>#REF!</v>
      </c>
      <c r="R167" s="7" t="e">
        <f>#REF!/#REF!</f>
        <v>#REF!</v>
      </c>
      <c r="S167" s="7" t="e">
        <f>#REF!/#REF!</f>
        <v>#REF!</v>
      </c>
      <c r="T167" s="7" t="e">
        <f>C167/#REF!</f>
        <v>#REF!</v>
      </c>
    </row>
    <row r="168" spans="1:22" x14ac:dyDescent="0.3">
      <c r="A168" s="2">
        <v>43631</v>
      </c>
      <c r="B168" s="3">
        <v>44440853</v>
      </c>
      <c r="C168" s="42">
        <v>1613252</v>
      </c>
      <c r="D168" s="48">
        <f>VLOOKUP($A168,'Channel wise traffic'!$B$2:$K$368,7,FALSE)</f>
        <v>0</v>
      </c>
      <c r="E168" s="24">
        <f>VLOOKUP($A168,'Channel wise traffic'!$B$2:$K$368,8,FALSE)</f>
        <v>0</v>
      </c>
      <c r="F168" s="24">
        <f>VLOOKUP($A168,'Channel wise traffic'!$B$2:$K$368,9,FALSE)</f>
        <v>0</v>
      </c>
      <c r="G168" s="24">
        <f>VLOOKUP($A168,'Channel wise traffic'!$B$2:$K$368,10,FALSE)</f>
        <v>0</v>
      </c>
      <c r="H168" s="48">
        <f>VLOOKUP($A168,'Channel wise traffic'!$B$2:$P$368,11,FALSE)</f>
        <v>646413</v>
      </c>
      <c r="I168" s="24">
        <f>VLOOKUP($A168,'Channel wise traffic'!$B$2:$P$368,12,FALSE)</f>
        <v>484809</v>
      </c>
      <c r="J168" s="24">
        <f>VLOOKUP($A168,'Channel wise traffic'!$B$2:$P$368,13,FALSE)</f>
        <v>197515</v>
      </c>
      <c r="K168" s="51">
        <f>VLOOKUP($A168,'Channel wise traffic'!$B$2:$P$368,14,FALSE)</f>
        <v>466853</v>
      </c>
      <c r="L168" s="24">
        <f>VLOOKUP($A168,'Channel wise traffic'!$B$2:$P$368,15,FALSE)</f>
        <v>1795590</v>
      </c>
      <c r="M168" s="7">
        <f t="shared" si="8"/>
        <v>3.6301103401413112E-2</v>
      </c>
      <c r="N168" s="7">
        <f t="shared" si="10"/>
        <v>0.13034570703885873</v>
      </c>
      <c r="O168" s="7">
        <f t="shared" si="9"/>
        <v>4.2105262664225984E-2</v>
      </c>
      <c r="P168" s="7">
        <f t="shared" si="11"/>
        <v>8.4675173934962045E-2</v>
      </c>
      <c r="Q168" s="7" t="e">
        <f>#REF!/B168</f>
        <v>#REF!</v>
      </c>
      <c r="R168" s="7" t="e">
        <f>#REF!/#REF!</f>
        <v>#REF!</v>
      </c>
      <c r="S168" s="7" t="e">
        <f>#REF!/#REF!</f>
        <v>#REF!</v>
      </c>
      <c r="T168" s="7" t="e">
        <f>C168/#REF!</f>
        <v>#REF!</v>
      </c>
    </row>
    <row r="169" spans="1:22" x14ac:dyDescent="0.3">
      <c r="A169" s="2">
        <v>43632</v>
      </c>
      <c r="B169" s="3">
        <v>45787545</v>
      </c>
      <c r="C169" s="42">
        <v>1697253</v>
      </c>
      <c r="D169" s="48">
        <f>VLOOKUP($A169,'Channel wise traffic'!$B$2:$K$368,7,FALSE)</f>
        <v>0</v>
      </c>
      <c r="E169" s="24">
        <f>VLOOKUP($A169,'Channel wise traffic'!$B$2:$K$368,8,FALSE)</f>
        <v>0</v>
      </c>
      <c r="F169" s="24">
        <f>VLOOKUP($A169,'Channel wise traffic'!$B$2:$K$368,9,FALSE)</f>
        <v>0</v>
      </c>
      <c r="G169" s="24">
        <f>VLOOKUP($A169,'Channel wise traffic'!$B$2:$K$368,10,FALSE)</f>
        <v>0</v>
      </c>
      <c r="H169" s="48">
        <f>VLOOKUP($A169,'Channel wise traffic'!$B$2:$P$368,11,FALSE)</f>
        <v>323206</v>
      </c>
      <c r="I169" s="24">
        <f>VLOOKUP($A169,'Channel wise traffic'!$B$2:$P$368,12,FALSE)</f>
        <v>242405</v>
      </c>
      <c r="J169" s="24">
        <f>VLOOKUP($A169,'Channel wise traffic'!$B$2:$P$368,13,FALSE)</f>
        <v>98758</v>
      </c>
      <c r="K169" s="51">
        <f>VLOOKUP($A169,'Channel wise traffic'!$B$2:$P$368,14,FALSE)</f>
        <v>233426</v>
      </c>
      <c r="L169" s="24">
        <f>VLOOKUP($A169,'Channel wise traffic'!$B$2:$P$368,15,FALSE)</f>
        <v>897795</v>
      </c>
      <c r="M169" s="7">
        <f t="shared" si="8"/>
        <v>3.7068006157569708E-2</v>
      </c>
      <c r="N169" s="7">
        <f t="shared" si="10"/>
        <v>3.113289850353107E-2</v>
      </c>
      <c r="O169" s="7">
        <f t="shared" si="9"/>
        <v>2.0000000000000018E-2</v>
      </c>
      <c r="P169" s="7">
        <f t="shared" si="11"/>
        <v>1.0914606376010827E-2</v>
      </c>
      <c r="Q169" s="7" t="e">
        <f>#REF!/B169</f>
        <v>#REF!</v>
      </c>
      <c r="R169" s="7" t="e">
        <f>#REF!/#REF!</f>
        <v>#REF!</v>
      </c>
      <c r="S169" s="7" t="e">
        <f>#REF!/#REF!</f>
        <v>#REF!</v>
      </c>
      <c r="T169" s="7" t="e">
        <f>C169/#REF!</f>
        <v>#REF!</v>
      </c>
    </row>
    <row r="170" spans="1:22" x14ac:dyDescent="0.3">
      <c r="A170" s="2">
        <v>43633</v>
      </c>
      <c r="B170" s="3">
        <v>22586034</v>
      </c>
      <c r="C170" s="42">
        <v>1361297</v>
      </c>
      <c r="D170" s="48">
        <f>VLOOKUP($A170,'Channel wise traffic'!$B$2:$K$368,7,FALSE)</f>
        <v>0</v>
      </c>
      <c r="E170" s="24">
        <f>VLOOKUP($A170,'Channel wise traffic'!$B$2:$K$368,8,FALSE)</f>
        <v>0</v>
      </c>
      <c r="F170" s="24">
        <f>VLOOKUP($A170,'Channel wise traffic'!$B$2:$K$368,9,FALSE)</f>
        <v>0</v>
      </c>
      <c r="G170" s="24">
        <f>VLOOKUP($A170,'Channel wise traffic'!$B$2:$K$368,10,FALSE)</f>
        <v>0</v>
      </c>
      <c r="H170" s="48">
        <f>VLOOKUP($A170,'Channel wise traffic'!$B$2:$P$368,11,FALSE)</f>
        <v>234548</v>
      </c>
      <c r="I170" s="24">
        <f>VLOOKUP($A170,'Channel wise traffic'!$B$2:$P$368,12,FALSE)</f>
        <v>175911</v>
      </c>
      <c r="J170" s="24">
        <f>VLOOKUP($A170,'Channel wise traffic'!$B$2:$P$368,13,FALSE)</f>
        <v>71667</v>
      </c>
      <c r="K170" s="51">
        <f>VLOOKUP($A170,'Channel wise traffic'!$B$2:$P$368,14,FALSE)</f>
        <v>169395</v>
      </c>
      <c r="L170" s="24">
        <f>VLOOKUP($A170,'Channel wise traffic'!$B$2:$P$368,15,FALSE)</f>
        <v>651521</v>
      </c>
      <c r="M170" s="7">
        <f t="shared" si="8"/>
        <v>6.0271626262494778E-2</v>
      </c>
      <c r="N170" s="7">
        <f t="shared" si="10"/>
        <v>3.8750444482088753E-2</v>
      </c>
      <c r="O170" s="7">
        <f t="shared" si="9"/>
        <v>2.9703007310898588E-2</v>
      </c>
      <c r="P170" s="7">
        <f t="shared" si="11"/>
        <v>8.786453090797286E-3</v>
      </c>
      <c r="Q170" s="7" t="e">
        <f>#REF!/B170</f>
        <v>#REF!</v>
      </c>
      <c r="R170" s="7" t="e">
        <f>#REF!/#REF!</f>
        <v>#REF!</v>
      </c>
      <c r="S170" s="7" t="e">
        <f>#REF!/#REF!</f>
        <v>#REF!</v>
      </c>
      <c r="T170" s="7" t="e">
        <f>C170/#REF!</f>
        <v>#REF!</v>
      </c>
    </row>
    <row r="171" spans="1:22" x14ac:dyDescent="0.3">
      <c r="A171" s="2">
        <v>43634</v>
      </c>
      <c r="B171" s="3">
        <v>21065820</v>
      </c>
      <c r="C171" s="42">
        <v>1256715</v>
      </c>
      <c r="D171" s="48">
        <f>VLOOKUP($A171,'Channel wise traffic'!$B$2:$K$368,7,FALSE)</f>
        <v>-469094</v>
      </c>
      <c r="E171" s="24">
        <f>VLOOKUP($A171,'Channel wise traffic'!$B$2:$K$368,8,FALSE)</f>
        <v>-351821</v>
      </c>
      <c r="F171" s="24">
        <f>VLOOKUP($A171,'Channel wise traffic'!$B$2:$K$368,9,FALSE)</f>
        <v>-143334</v>
      </c>
      <c r="G171" s="24">
        <f>VLOOKUP($A171,'Channel wise traffic'!$B$2:$K$368,10,FALSE)</f>
        <v>-338790</v>
      </c>
      <c r="H171" s="48">
        <f>VLOOKUP($A171,'Channel wise traffic'!$B$2:$P$368,11,FALSE)</f>
        <v>0</v>
      </c>
      <c r="I171" s="24">
        <f>VLOOKUP($A171,'Channel wise traffic'!$B$2:$P$368,12,FALSE)</f>
        <v>0</v>
      </c>
      <c r="J171" s="24">
        <f>VLOOKUP($A171,'Channel wise traffic'!$B$2:$P$368,13,FALSE)</f>
        <v>0</v>
      </c>
      <c r="K171" s="51">
        <f>VLOOKUP($A171,'Channel wise traffic'!$B$2:$P$368,14,FALSE)</f>
        <v>0</v>
      </c>
      <c r="L171" s="24">
        <f>VLOOKUP($A171,'Channel wise traffic'!$B$2:$P$368,15,FALSE)</f>
        <v>-1303039</v>
      </c>
      <c r="M171" s="7">
        <f t="shared" si="8"/>
        <v>5.965659062880059E-2</v>
      </c>
      <c r="N171" s="7">
        <f t="shared" si="10"/>
        <v>-4.0446305109541392E-2</v>
      </c>
      <c r="O171" s="7">
        <f t="shared" si="9"/>
        <v>-5.8252409823299045E-2</v>
      </c>
      <c r="P171" s="7">
        <f t="shared" si="11"/>
        <v>1.8907512904191792E-2</v>
      </c>
      <c r="Q171" s="7" t="e">
        <f>#REF!/B171</f>
        <v>#REF!</v>
      </c>
      <c r="R171" s="7" t="e">
        <f>#REF!/#REF!</f>
        <v>#REF!</v>
      </c>
      <c r="S171" s="7" t="e">
        <f>#REF!/#REF!</f>
        <v>#REF!</v>
      </c>
      <c r="T171" s="7" t="e">
        <f>C171/#REF!</f>
        <v>#REF!</v>
      </c>
    </row>
    <row r="172" spans="1:22" x14ac:dyDescent="0.3">
      <c r="A172" s="2">
        <v>43635</v>
      </c>
      <c r="B172" s="3">
        <v>22151687</v>
      </c>
      <c r="C172" s="42">
        <v>1296201</v>
      </c>
      <c r="D172" s="48">
        <f>VLOOKUP($A172,'Channel wise traffic'!$B$2:$K$368,7,FALSE)</f>
        <v>0</v>
      </c>
      <c r="E172" s="24">
        <f>VLOOKUP($A172,'Channel wise traffic'!$B$2:$K$368,8,FALSE)</f>
        <v>0</v>
      </c>
      <c r="F172" s="24">
        <f>VLOOKUP($A172,'Channel wise traffic'!$B$2:$K$368,9,FALSE)</f>
        <v>0</v>
      </c>
      <c r="G172" s="24">
        <f>VLOOKUP($A172,'Channel wise traffic'!$B$2:$K$368,10,FALSE)</f>
        <v>0</v>
      </c>
      <c r="H172" s="48">
        <f>VLOOKUP($A172,'Channel wise traffic'!$B$2:$P$368,11,FALSE)</f>
        <v>78183</v>
      </c>
      <c r="I172" s="24">
        <f>VLOOKUP($A172,'Channel wise traffic'!$B$2:$P$368,12,FALSE)</f>
        <v>58637</v>
      </c>
      <c r="J172" s="24">
        <f>VLOOKUP($A172,'Channel wise traffic'!$B$2:$P$368,13,FALSE)</f>
        <v>23889</v>
      </c>
      <c r="K172" s="51">
        <f>VLOOKUP($A172,'Channel wise traffic'!$B$2:$P$368,14,FALSE)</f>
        <v>56465</v>
      </c>
      <c r="L172" s="24">
        <f>VLOOKUP($A172,'Channel wise traffic'!$B$2:$P$368,15,FALSE)</f>
        <v>217174</v>
      </c>
      <c r="M172" s="7">
        <f t="shared" si="8"/>
        <v>5.8514775872374865E-2</v>
      </c>
      <c r="N172" s="7">
        <f t="shared" si="10"/>
        <v>-0.10233087689920028</v>
      </c>
      <c r="O172" s="7">
        <f t="shared" si="9"/>
        <v>9.9010176337173128E-3</v>
      </c>
      <c r="P172" s="7">
        <f t="shared" si="11"/>
        <v>-0.11113157881144275</v>
      </c>
      <c r="Q172" s="7" t="e">
        <f>#REF!/B172</f>
        <v>#REF!</v>
      </c>
      <c r="R172" s="7" t="e">
        <f>#REF!/#REF!</f>
        <v>#REF!</v>
      </c>
      <c r="S172" s="7" t="e">
        <f>#REF!/#REF!</f>
        <v>#REF!</v>
      </c>
      <c r="T172" s="7" t="e">
        <f>C172/#REF!</f>
        <v>#REF!</v>
      </c>
    </row>
    <row r="173" spans="1:22" s="35" customFormat="1" x14ac:dyDescent="0.3">
      <c r="A173" s="36">
        <v>43636</v>
      </c>
      <c r="B173" s="16">
        <v>10207150</v>
      </c>
      <c r="C173" s="47">
        <v>616058</v>
      </c>
      <c r="D173" s="49">
        <f>VLOOKUP($A173,'Channel wise traffic'!$B$2:$K$368,7,FALSE)</f>
        <v>-4143668</v>
      </c>
      <c r="E173" s="28">
        <f>VLOOKUP($A173,'Channel wise traffic'!$B$2:$K$368,8,FALSE)</f>
        <v>-3107751</v>
      </c>
      <c r="F173" s="28">
        <f>VLOOKUP($A173,'Channel wise traffic'!$B$2:$K$368,9,FALSE)</f>
        <v>-1266121</v>
      </c>
      <c r="G173" s="28">
        <f>VLOOKUP($A173,'Channel wise traffic'!$B$2:$K$368,10,FALSE)</f>
        <v>-2992649</v>
      </c>
      <c r="H173" s="48">
        <f>VLOOKUP($A173,'Channel wise traffic'!$B$2:$P$368,11,FALSE)</f>
        <v>0</v>
      </c>
      <c r="I173" s="24">
        <f>VLOOKUP($A173,'Channel wise traffic'!$B$2:$P$368,12,FALSE)</f>
        <v>0</v>
      </c>
      <c r="J173" s="24">
        <f>VLOOKUP($A173,'Channel wise traffic'!$B$2:$P$368,13,FALSE)</f>
        <v>0</v>
      </c>
      <c r="K173" s="51">
        <f>VLOOKUP($A173,'Channel wise traffic'!$B$2:$P$368,14,FALSE)</f>
        <v>0</v>
      </c>
      <c r="L173" s="28">
        <f>VLOOKUP($A173,'Channel wise traffic'!$B$2:$P$368,15,FALSE)</f>
        <v>-11510189</v>
      </c>
      <c r="M173" s="17">
        <f t="shared" si="8"/>
        <v>6.035553509059826E-2</v>
      </c>
      <c r="N173" s="34">
        <f t="shared" si="10"/>
        <v>-0.54373712252615491</v>
      </c>
      <c r="O173" s="34">
        <f t="shared" si="9"/>
        <v>-0.52999999079076909</v>
      </c>
      <c r="P173" s="17">
        <f t="shared" si="11"/>
        <v>-2.9227939289827587E-2</v>
      </c>
      <c r="Q173" s="17" t="e">
        <f>#REF!/B173</f>
        <v>#REF!</v>
      </c>
      <c r="R173" s="17" t="e">
        <f>#REF!/#REF!</f>
        <v>#REF!</v>
      </c>
      <c r="S173" s="17" t="e">
        <f>#REF!/#REF!</f>
        <v>#REF!</v>
      </c>
      <c r="T173" s="17" t="e">
        <f>C173/#REF!</f>
        <v>#REF!</v>
      </c>
      <c r="U173"/>
      <c r="V173" s="35" t="s">
        <v>41</v>
      </c>
    </row>
    <row r="174" spans="1:22" x14ac:dyDescent="0.3">
      <c r="A174" s="2">
        <v>43637</v>
      </c>
      <c r="B174" s="3">
        <v>21065820</v>
      </c>
      <c r="C174" s="42">
        <v>1336086</v>
      </c>
      <c r="D174" s="48">
        <f>VLOOKUP($A174,'Channel wise traffic'!$B$2:$K$368,7,FALSE)</f>
        <v>-469094</v>
      </c>
      <c r="E174" s="24">
        <f>VLOOKUP($A174,'Channel wise traffic'!$B$2:$K$368,8,FALSE)</f>
        <v>-351821</v>
      </c>
      <c r="F174" s="24">
        <f>VLOOKUP($A174,'Channel wise traffic'!$B$2:$K$368,9,FALSE)</f>
        <v>-143334</v>
      </c>
      <c r="G174" s="24">
        <f>VLOOKUP($A174,'Channel wise traffic'!$B$2:$K$368,10,FALSE)</f>
        <v>-338790</v>
      </c>
      <c r="H174" s="48">
        <f>VLOOKUP($A174,'Channel wise traffic'!$B$2:$P$368,11,FALSE)</f>
        <v>0</v>
      </c>
      <c r="I174" s="24">
        <f>VLOOKUP($A174,'Channel wise traffic'!$B$2:$P$368,12,FALSE)</f>
        <v>0</v>
      </c>
      <c r="J174" s="24">
        <f>VLOOKUP($A174,'Channel wise traffic'!$B$2:$P$368,13,FALSE)</f>
        <v>0</v>
      </c>
      <c r="K174" s="51">
        <f>VLOOKUP($A174,'Channel wise traffic'!$B$2:$P$368,14,FALSE)</f>
        <v>0</v>
      </c>
      <c r="L174" s="24">
        <f>VLOOKUP($A174,'Channel wise traffic'!$B$2:$P$368,15,FALSE)</f>
        <v>-1303039</v>
      </c>
      <c r="M174" s="7">
        <f t="shared" si="8"/>
        <v>6.342435281417956E-2</v>
      </c>
      <c r="N174" s="7">
        <f t="shared" si="10"/>
        <v>4.0964294729756157E-2</v>
      </c>
      <c r="O174" s="7">
        <f t="shared" si="9"/>
        <v>-5.8252409823299045E-2</v>
      </c>
      <c r="P174" s="7">
        <f t="shared" si="11"/>
        <v>0.10535381835640178</v>
      </c>
      <c r="Q174" s="7" t="e">
        <f>#REF!/B174</f>
        <v>#REF!</v>
      </c>
      <c r="R174" s="7" t="e">
        <f>#REF!/#REF!</f>
        <v>#REF!</v>
      </c>
      <c r="S174" s="7" t="e">
        <f>#REF!/#REF!</f>
        <v>#REF!</v>
      </c>
      <c r="T174" s="7" t="e">
        <f>C174/#REF!</f>
        <v>#REF!</v>
      </c>
    </row>
    <row r="175" spans="1:22" x14ac:dyDescent="0.3">
      <c r="A175" s="2">
        <v>43638</v>
      </c>
      <c r="B175" s="3">
        <v>44889750</v>
      </c>
      <c r="C175" s="42">
        <v>1579663</v>
      </c>
      <c r="D175" s="48">
        <f>VLOOKUP($A175,'Channel wise traffic'!$B$2:$K$368,7,FALSE)</f>
        <v>0</v>
      </c>
      <c r="E175" s="24">
        <f>VLOOKUP($A175,'Channel wise traffic'!$B$2:$K$368,8,FALSE)</f>
        <v>0</v>
      </c>
      <c r="F175" s="24">
        <f>VLOOKUP($A175,'Channel wise traffic'!$B$2:$K$368,9,FALSE)</f>
        <v>0</v>
      </c>
      <c r="G175" s="24">
        <f>VLOOKUP($A175,'Channel wise traffic'!$B$2:$K$368,10,FALSE)</f>
        <v>0</v>
      </c>
      <c r="H175" s="48">
        <f>VLOOKUP($A175,'Channel wise traffic'!$B$2:$P$368,11,FALSE)</f>
        <v>161603</v>
      </c>
      <c r="I175" s="24">
        <f>VLOOKUP($A175,'Channel wise traffic'!$B$2:$P$368,12,FALSE)</f>
        <v>121202</v>
      </c>
      <c r="J175" s="24">
        <f>VLOOKUP($A175,'Channel wise traffic'!$B$2:$P$368,13,FALSE)</f>
        <v>49379</v>
      </c>
      <c r="K175" s="51">
        <f>VLOOKUP($A175,'Channel wise traffic'!$B$2:$P$368,14,FALSE)</f>
        <v>116714</v>
      </c>
      <c r="L175" s="24">
        <f>VLOOKUP($A175,'Channel wise traffic'!$B$2:$P$368,15,FALSE)</f>
        <v>448898</v>
      </c>
      <c r="M175" s="7">
        <f t="shared" si="8"/>
        <v>3.51898373236652E-2</v>
      </c>
      <c r="N175" s="7">
        <f t="shared" si="10"/>
        <v>-2.0820677736646198E-2</v>
      </c>
      <c r="O175" s="7">
        <f t="shared" si="9"/>
        <v>1.0100998736455313E-2</v>
      </c>
      <c r="P175" s="7">
        <f t="shared" si="11"/>
        <v>-3.0612460052788726E-2</v>
      </c>
      <c r="Q175" s="7" t="e">
        <f>#REF!/B175</f>
        <v>#REF!</v>
      </c>
      <c r="R175" s="7" t="e">
        <f>#REF!/#REF!</f>
        <v>#REF!</v>
      </c>
      <c r="S175" s="7" t="e">
        <f>#REF!/#REF!</f>
        <v>#REF!</v>
      </c>
      <c r="T175" s="7" t="e">
        <f>C175/#REF!</f>
        <v>#REF!</v>
      </c>
    </row>
    <row r="176" spans="1:22" x14ac:dyDescent="0.3">
      <c r="A176" s="2">
        <v>43639</v>
      </c>
      <c r="B176" s="3">
        <v>43543058</v>
      </c>
      <c r="C176" s="42">
        <v>1662014</v>
      </c>
      <c r="D176" s="48">
        <f>VLOOKUP($A176,'Channel wise traffic'!$B$2:$K$368,7,FALSE)</f>
        <v>-808016</v>
      </c>
      <c r="E176" s="24">
        <f>VLOOKUP($A176,'Channel wise traffic'!$B$2:$K$368,8,FALSE)</f>
        <v>-606012</v>
      </c>
      <c r="F176" s="24">
        <f>VLOOKUP($A176,'Channel wise traffic'!$B$2:$K$368,9,FALSE)</f>
        <v>-246894</v>
      </c>
      <c r="G176" s="24">
        <f>VLOOKUP($A176,'Channel wise traffic'!$B$2:$K$368,10,FALSE)</f>
        <v>-583566</v>
      </c>
      <c r="H176" s="48">
        <f>VLOOKUP($A176,'Channel wise traffic'!$B$2:$P$368,11,FALSE)</f>
        <v>0</v>
      </c>
      <c r="I176" s="24">
        <f>VLOOKUP($A176,'Channel wise traffic'!$B$2:$P$368,12,FALSE)</f>
        <v>0</v>
      </c>
      <c r="J176" s="24">
        <f>VLOOKUP($A176,'Channel wise traffic'!$B$2:$P$368,13,FALSE)</f>
        <v>0</v>
      </c>
      <c r="K176" s="51">
        <f>VLOOKUP($A176,'Channel wise traffic'!$B$2:$P$368,14,FALSE)</f>
        <v>0</v>
      </c>
      <c r="L176" s="24">
        <f>VLOOKUP($A176,'Channel wise traffic'!$B$2:$P$368,15,FALSE)</f>
        <v>-2244488</v>
      </c>
      <c r="M176" s="7">
        <f t="shared" si="8"/>
        <v>3.8169436790590136E-2</v>
      </c>
      <c r="N176" s="7">
        <f t="shared" si="10"/>
        <v>-2.0762373081679608E-2</v>
      </c>
      <c r="O176" s="7">
        <f t="shared" si="9"/>
        <v>-4.9019596923137065E-2</v>
      </c>
      <c r="P176" s="7">
        <f t="shared" si="11"/>
        <v>2.9713781430229513E-2</v>
      </c>
      <c r="Q176" s="7" t="e">
        <f>#REF!/B176</f>
        <v>#REF!</v>
      </c>
      <c r="R176" s="7" t="e">
        <f>#REF!/#REF!</f>
        <v>#REF!</v>
      </c>
      <c r="S176" s="7" t="e">
        <f>#REF!/#REF!</f>
        <v>#REF!</v>
      </c>
      <c r="T176" s="7" t="e">
        <f>C176/#REF!</f>
        <v>#REF!</v>
      </c>
    </row>
    <row r="177" spans="1:22" x14ac:dyDescent="0.3">
      <c r="A177" s="2">
        <v>43640</v>
      </c>
      <c r="B177" s="3">
        <v>21282993</v>
      </c>
      <c r="C177" s="42">
        <v>1233893</v>
      </c>
      <c r="D177" s="48">
        <f>VLOOKUP($A177,'Channel wise traffic'!$B$2:$K$368,7,FALSE)</f>
        <v>-469095</v>
      </c>
      <c r="E177" s="24">
        <f>VLOOKUP($A177,'Channel wise traffic'!$B$2:$K$368,8,FALSE)</f>
        <v>-351821</v>
      </c>
      <c r="F177" s="24">
        <f>VLOOKUP($A177,'Channel wise traffic'!$B$2:$K$368,9,FALSE)</f>
        <v>-143334</v>
      </c>
      <c r="G177" s="24">
        <f>VLOOKUP($A177,'Channel wise traffic'!$B$2:$K$368,10,FALSE)</f>
        <v>-338790</v>
      </c>
      <c r="H177" s="48">
        <f>VLOOKUP($A177,'Channel wise traffic'!$B$2:$P$368,11,FALSE)</f>
        <v>0</v>
      </c>
      <c r="I177" s="24">
        <f>VLOOKUP($A177,'Channel wise traffic'!$B$2:$P$368,12,FALSE)</f>
        <v>0</v>
      </c>
      <c r="J177" s="24">
        <f>VLOOKUP($A177,'Channel wise traffic'!$B$2:$P$368,13,FALSE)</f>
        <v>0</v>
      </c>
      <c r="K177" s="51">
        <f>VLOOKUP($A177,'Channel wise traffic'!$B$2:$P$368,14,FALSE)</f>
        <v>0</v>
      </c>
      <c r="L177" s="24">
        <f>VLOOKUP($A177,'Channel wise traffic'!$B$2:$P$368,15,FALSE)</f>
        <v>-1303040</v>
      </c>
      <c r="M177" s="7">
        <f t="shared" si="8"/>
        <v>5.7975539436582062E-2</v>
      </c>
      <c r="N177" s="7">
        <f t="shared" si="10"/>
        <v>-9.3590157034063814E-2</v>
      </c>
      <c r="O177" s="7">
        <f t="shared" si="9"/>
        <v>-5.7692333235662363E-2</v>
      </c>
      <c r="P177" s="7">
        <f t="shared" si="11"/>
        <v>-3.8095650777910106E-2</v>
      </c>
      <c r="Q177" s="7" t="e">
        <f>#REF!/B177</f>
        <v>#REF!</v>
      </c>
      <c r="R177" s="7" t="e">
        <f>#REF!/#REF!</f>
        <v>#REF!</v>
      </c>
      <c r="S177" s="7" t="e">
        <f>#REF!/#REF!</f>
        <v>#REF!</v>
      </c>
      <c r="T177" s="7" t="e">
        <f>C177/#REF!</f>
        <v>#REF!</v>
      </c>
    </row>
    <row r="178" spans="1:22" x14ac:dyDescent="0.3">
      <c r="A178" s="2">
        <v>43641</v>
      </c>
      <c r="B178" s="3">
        <v>22586034</v>
      </c>
      <c r="C178" s="42">
        <v>1271556</v>
      </c>
      <c r="D178" s="48">
        <f>VLOOKUP($A178,'Channel wise traffic'!$B$2:$K$368,7,FALSE)</f>
        <v>0</v>
      </c>
      <c r="E178" s="24">
        <f>VLOOKUP($A178,'Channel wise traffic'!$B$2:$K$368,8,FALSE)</f>
        <v>0</v>
      </c>
      <c r="F178" s="24">
        <f>VLOOKUP($A178,'Channel wise traffic'!$B$2:$K$368,9,FALSE)</f>
        <v>0</v>
      </c>
      <c r="G178" s="24">
        <f>VLOOKUP($A178,'Channel wise traffic'!$B$2:$K$368,10,FALSE)</f>
        <v>0</v>
      </c>
      <c r="H178" s="48">
        <f>VLOOKUP($A178,'Channel wise traffic'!$B$2:$P$368,11,FALSE)</f>
        <v>547277</v>
      </c>
      <c r="I178" s="24">
        <f>VLOOKUP($A178,'Channel wise traffic'!$B$2:$P$368,12,FALSE)</f>
        <v>410458</v>
      </c>
      <c r="J178" s="24">
        <f>VLOOKUP($A178,'Channel wise traffic'!$B$2:$P$368,13,FALSE)</f>
        <v>167223</v>
      </c>
      <c r="K178" s="51">
        <f>VLOOKUP($A178,'Channel wise traffic'!$B$2:$P$368,14,FALSE)</f>
        <v>395255</v>
      </c>
      <c r="L178" s="24">
        <f>VLOOKUP($A178,'Channel wise traffic'!$B$2:$P$368,15,FALSE)</f>
        <v>1520213</v>
      </c>
      <c r="M178" s="7">
        <f t="shared" si="8"/>
        <v>5.6298330198210095E-2</v>
      </c>
      <c r="N178" s="7">
        <f t="shared" si="10"/>
        <v>1.1809360117449152E-2</v>
      </c>
      <c r="O178" s="7">
        <f t="shared" si="9"/>
        <v>7.2164957262522922E-2</v>
      </c>
      <c r="P178" s="7">
        <f t="shared" si="11"/>
        <v>-5.6293200720880954E-2</v>
      </c>
      <c r="Q178" s="7" t="e">
        <f>#REF!/B178</f>
        <v>#REF!</v>
      </c>
      <c r="R178" s="7" t="e">
        <f>#REF!/#REF!</f>
        <v>#REF!</v>
      </c>
      <c r="S178" s="7" t="e">
        <f>#REF!/#REF!</f>
        <v>#REF!</v>
      </c>
      <c r="T178" s="7" t="e">
        <f>C178/#REF!</f>
        <v>#REF!</v>
      </c>
    </row>
    <row r="179" spans="1:22" x14ac:dyDescent="0.3">
      <c r="A179" s="2">
        <v>43642</v>
      </c>
      <c r="B179" s="3">
        <v>22368860</v>
      </c>
      <c r="C179" s="42">
        <v>1324416</v>
      </c>
      <c r="D179" s="48">
        <f>VLOOKUP($A179,'Channel wise traffic'!$B$2:$K$368,7,FALSE)</f>
        <v>0</v>
      </c>
      <c r="E179" s="24">
        <f>VLOOKUP($A179,'Channel wise traffic'!$B$2:$K$368,8,FALSE)</f>
        <v>0</v>
      </c>
      <c r="F179" s="24">
        <f>VLOOKUP($A179,'Channel wise traffic'!$B$2:$K$368,9,FALSE)</f>
        <v>0</v>
      </c>
      <c r="G179" s="24">
        <f>VLOOKUP($A179,'Channel wise traffic'!$B$2:$K$368,10,FALSE)</f>
        <v>0</v>
      </c>
      <c r="H179" s="48">
        <f>VLOOKUP($A179,'Channel wise traffic'!$B$2:$P$368,11,FALSE)</f>
        <v>78182</v>
      </c>
      <c r="I179" s="24">
        <f>VLOOKUP($A179,'Channel wise traffic'!$B$2:$P$368,12,FALSE)</f>
        <v>58637</v>
      </c>
      <c r="J179" s="24">
        <f>VLOOKUP($A179,'Channel wise traffic'!$B$2:$P$368,13,FALSE)</f>
        <v>23889</v>
      </c>
      <c r="K179" s="51">
        <f>VLOOKUP($A179,'Channel wise traffic'!$B$2:$P$368,14,FALSE)</f>
        <v>56465</v>
      </c>
      <c r="L179" s="24">
        <f>VLOOKUP($A179,'Channel wise traffic'!$B$2:$P$368,15,FALSE)</f>
        <v>217173</v>
      </c>
      <c r="M179" s="7">
        <f t="shared" si="8"/>
        <v>5.9208024011952333E-2</v>
      </c>
      <c r="N179" s="7">
        <f t="shared" si="10"/>
        <v>2.1767457361936859E-2</v>
      </c>
      <c r="O179" s="7">
        <f t="shared" si="9"/>
        <v>9.80390342279569E-3</v>
      </c>
      <c r="P179" s="7">
        <f t="shared" si="11"/>
        <v>1.1847403142917212E-2</v>
      </c>
      <c r="Q179" s="7" t="e">
        <f>#REF!/B179</f>
        <v>#REF!</v>
      </c>
      <c r="R179" s="7" t="e">
        <f>#REF!/#REF!</f>
        <v>#REF!</v>
      </c>
      <c r="S179" s="7" t="e">
        <f>#REF!/#REF!</f>
        <v>#REF!</v>
      </c>
      <c r="T179" s="7" t="e">
        <f>C179/#REF!</f>
        <v>#REF!</v>
      </c>
    </row>
    <row r="180" spans="1:22" s="32" customFormat="1" x14ac:dyDescent="0.3">
      <c r="A180" s="30">
        <v>43643</v>
      </c>
      <c r="B180" s="16">
        <v>22368860</v>
      </c>
      <c r="C180" s="45">
        <v>1322811</v>
      </c>
      <c r="D180" s="50">
        <f>VLOOKUP($A180,'Channel wise traffic'!$B$2:$K$368,7,FALSE)</f>
        <v>0</v>
      </c>
      <c r="E180" s="29">
        <f>VLOOKUP($A180,'Channel wise traffic'!$B$2:$K$368,8,FALSE)</f>
        <v>0</v>
      </c>
      <c r="F180" s="29">
        <f>VLOOKUP($A180,'Channel wise traffic'!$B$2:$K$368,9,FALSE)</f>
        <v>0</v>
      </c>
      <c r="G180" s="29">
        <f>VLOOKUP($A180,'Channel wise traffic'!$B$2:$K$368,10,FALSE)</f>
        <v>0</v>
      </c>
      <c r="H180" s="48">
        <f>VLOOKUP($A180,'Channel wise traffic'!$B$2:$P$368,11,FALSE)</f>
        <v>4378215</v>
      </c>
      <c r="I180" s="24">
        <f>VLOOKUP($A180,'Channel wise traffic'!$B$2:$P$368,12,FALSE)</f>
        <v>3283662</v>
      </c>
      <c r="J180" s="24">
        <f>VLOOKUP($A180,'Channel wise traffic'!$B$2:$P$368,13,FALSE)</f>
        <v>1337788</v>
      </c>
      <c r="K180" s="51">
        <f>VLOOKUP($A180,'Channel wise traffic'!$B$2:$P$368,14,FALSE)</f>
        <v>3162044</v>
      </c>
      <c r="L180" s="58">
        <f>VLOOKUP($A180,'Channel wise traffic'!$B$2:$P$368,15,FALSE)</f>
        <v>12161709</v>
      </c>
      <c r="M180" s="17">
        <f t="shared" si="8"/>
        <v>5.9136272478794182E-2</v>
      </c>
      <c r="N180" s="31">
        <f t="shared" si="10"/>
        <v>1.1472182813955829</v>
      </c>
      <c r="O180" s="31">
        <f t="shared" si="9"/>
        <v>1.1914892991677402</v>
      </c>
      <c r="P180" s="17">
        <f t="shared" si="11"/>
        <v>-2.0201338783159994E-2</v>
      </c>
      <c r="Q180" s="17" t="e">
        <f>#REF!/B180</f>
        <v>#REF!</v>
      </c>
      <c r="R180" s="17" t="e">
        <f>#REF!/#REF!</f>
        <v>#REF!</v>
      </c>
      <c r="S180" s="17" t="e">
        <f>#REF!/#REF!</f>
        <v>#REF!</v>
      </c>
      <c r="T180" s="17" t="e">
        <f>C180/#REF!</f>
        <v>#REF!</v>
      </c>
      <c r="U180"/>
      <c r="V180" s="59" t="s">
        <v>42</v>
      </c>
    </row>
    <row r="181" spans="1:22" x14ac:dyDescent="0.3">
      <c r="A181" s="2">
        <v>43644</v>
      </c>
      <c r="B181" s="3">
        <v>21282993</v>
      </c>
      <c r="C181" s="42">
        <v>1234158</v>
      </c>
      <c r="D181" s="48">
        <f>VLOOKUP($A181,'Channel wise traffic'!$B$2:$K$368,7,FALSE)</f>
        <v>0</v>
      </c>
      <c r="E181" s="24">
        <f>VLOOKUP($A181,'Channel wise traffic'!$B$2:$K$368,8,FALSE)</f>
        <v>0</v>
      </c>
      <c r="F181" s="24">
        <f>VLOOKUP($A181,'Channel wise traffic'!$B$2:$K$368,9,FALSE)</f>
        <v>0</v>
      </c>
      <c r="G181" s="24">
        <f>VLOOKUP($A181,'Channel wise traffic'!$B$2:$K$368,10,FALSE)</f>
        <v>0</v>
      </c>
      <c r="H181" s="48">
        <f>VLOOKUP($A181,'Channel wise traffic'!$B$2:$P$368,11,FALSE)</f>
        <v>78182</v>
      </c>
      <c r="I181" s="24">
        <f>VLOOKUP($A181,'Channel wise traffic'!$B$2:$P$368,12,FALSE)</f>
        <v>58637</v>
      </c>
      <c r="J181" s="24">
        <f>VLOOKUP($A181,'Channel wise traffic'!$B$2:$P$368,13,FALSE)</f>
        <v>23889</v>
      </c>
      <c r="K181" s="51">
        <f>VLOOKUP($A181,'Channel wise traffic'!$B$2:$P$368,14,FALSE)</f>
        <v>56465</v>
      </c>
      <c r="L181" s="24">
        <f>VLOOKUP($A181,'Channel wise traffic'!$B$2:$P$368,15,FALSE)</f>
        <v>217173</v>
      </c>
      <c r="M181" s="7">
        <f t="shared" si="8"/>
        <v>5.7987990692850391E-2</v>
      </c>
      <c r="N181" s="7">
        <f t="shared" si="10"/>
        <v>-7.6288502386822388E-2</v>
      </c>
      <c r="O181" s="7">
        <f t="shared" si="9"/>
        <v>1.0309259264533743E-2</v>
      </c>
      <c r="P181" s="7">
        <f t="shared" si="11"/>
        <v>-8.5714112641505413E-2</v>
      </c>
      <c r="Q181" s="7" t="e">
        <f>#REF!/B181</f>
        <v>#REF!</v>
      </c>
      <c r="R181" s="7" t="e">
        <f>#REF!/#REF!</f>
        <v>#REF!</v>
      </c>
      <c r="S181" s="7" t="e">
        <f>#REF!/#REF!</f>
        <v>#REF!</v>
      </c>
      <c r="T181" s="7" t="e">
        <f>C181/#REF!</f>
        <v>#REF!</v>
      </c>
    </row>
    <row r="182" spans="1:22" x14ac:dyDescent="0.3">
      <c r="A182" s="2">
        <v>43645</v>
      </c>
      <c r="B182" s="3">
        <v>46685340</v>
      </c>
      <c r="C182" s="42">
        <v>1729667</v>
      </c>
      <c r="D182" s="48">
        <f>VLOOKUP($A182,'Channel wise traffic'!$B$2:$K$368,7,FALSE)</f>
        <v>0</v>
      </c>
      <c r="E182" s="24">
        <f>VLOOKUP($A182,'Channel wise traffic'!$B$2:$K$368,8,FALSE)</f>
        <v>0</v>
      </c>
      <c r="F182" s="24">
        <f>VLOOKUP($A182,'Channel wise traffic'!$B$2:$K$368,9,FALSE)</f>
        <v>0</v>
      </c>
      <c r="G182" s="24">
        <f>VLOOKUP($A182,'Channel wise traffic'!$B$2:$K$368,10,FALSE)</f>
        <v>0</v>
      </c>
      <c r="H182" s="48">
        <f>VLOOKUP($A182,'Channel wise traffic'!$B$2:$P$368,11,FALSE)</f>
        <v>646412</v>
      </c>
      <c r="I182" s="24">
        <f>VLOOKUP($A182,'Channel wise traffic'!$B$2:$P$368,12,FALSE)</f>
        <v>484810</v>
      </c>
      <c r="J182" s="24">
        <f>VLOOKUP($A182,'Channel wise traffic'!$B$2:$P$368,13,FALSE)</f>
        <v>197515</v>
      </c>
      <c r="K182" s="51">
        <f>VLOOKUP($A182,'Channel wise traffic'!$B$2:$P$368,14,FALSE)</f>
        <v>466853</v>
      </c>
      <c r="L182" s="24">
        <f>VLOOKUP($A182,'Channel wise traffic'!$B$2:$P$368,15,FALSE)</f>
        <v>1795590</v>
      </c>
      <c r="M182" s="7">
        <f t="shared" si="8"/>
        <v>3.7049467777250843E-2</v>
      </c>
      <c r="N182" s="7">
        <f t="shared" si="10"/>
        <v>9.4959494525097998E-2</v>
      </c>
      <c r="O182" s="7">
        <f t="shared" si="9"/>
        <v>4.0000000000000036E-2</v>
      </c>
      <c r="P182" s="7">
        <f t="shared" si="11"/>
        <v>5.2845667812594366E-2</v>
      </c>
      <c r="Q182" s="7" t="e">
        <f>#REF!/B182</f>
        <v>#REF!</v>
      </c>
      <c r="R182" s="7" t="e">
        <f>#REF!/#REF!</f>
        <v>#REF!</v>
      </c>
      <c r="S182" s="7" t="e">
        <f>#REF!/#REF!</f>
        <v>#REF!</v>
      </c>
      <c r="T182" s="7" t="e">
        <f>C182/#REF!</f>
        <v>#REF!</v>
      </c>
    </row>
    <row r="183" spans="1:22" x14ac:dyDescent="0.3">
      <c r="A183" s="2">
        <v>43646</v>
      </c>
      <c r="B183" s="3">
        <v>43991955</v>
      </c>
      <c r="C183" s="42">
        <v>1692578</v>
      </c>
      <c r="D183" s="48">
        <f>VLOOKUP($A183,'Channel wise traffic'!$B$2:$K$368,7,FALSE)</f>
        <v>0</v>
      </c>
      <c r="E183" s="24">
        <f>VLOOKUP($A183,'Channel wise traffic'!$B$2:$K$368,8,FALSE)</f>
        <v>0</v>
      </c>
      <c r="F183" s="24">
        <f>VLOOKUP($A183,'Channel wise traffic'!$B$2:$K$368,9,FALSE)</f>
        <v>0</v>
      </c>
      <c r="G183" s="24">
        <f>VLOOKUP($A183,'Channel wise traffic'!$B$2:$K$368,10,FALSE)</f>
        <v>0</v>
      </c>
      <c r="H183" s="48">
        <f>VLOOKUP($A183,'Channel wise traffic'!$B$2:$P$368,11,FALSE)</f>
        <v>161604</v>
      </c>
      <c r="I183" s="24">
        <f>VLOOKUP($A183,'Channel wise traffic'!$B$2:$P$368,12,FALSE)</f>
        <v>121203</v>
      </c>
      <c r="J183" s="24">
        <f>VLOOKUP($A183,'Channel wise traffic'!$B$2:$P$368,13,FALSE)</f>
        <v>49379</v>
      </c>
      <c r="K183" s="51">
        <f>VLOOKUP($A183,'Channel wise traffic'!$B$2:$P$368,14,FALSE)</f>
        <v>116713</v>
      </c>
      <c r="L183" s="24">
        <f>VLOOKUP($A183,'Channel wise traffic'!$B$2:$P$368,15,FALSE)</f>
        <v>448899</v>
      </c>
      <c r="M183" s="7">
        <f t="shared" si="8"/>
        <v>3.8474716570336555E-2</v>
      </c>
      <c r="N183" s="7">
        <f t="shared" si="10"/>
        <v>1.8389736789220734E-2</v>
      </c>
      <c r="O183" s="7">
        <f t="shared" si="9"/>
        <v>1.0309266749248591E-2</v>
      </c>
      <c r="P183" s="7">
        <f t="shared" si="11"/>
        <v>7.9980163558943662E-3</v>
      </c>
      <c r="Q183" s="7" t="e">
        <f>#REF!/B183</f>
        <v>#REF!</v>
      </c>
      <c r="R183" s="7" t="e">
        <f>#REF!/#REF!</f>
        <v>#REF!</v>
      </c>
      <c r="S183" s="7" t="e">
        <f>#REF!/#REF!</f>
        <v>#REF!</v>
      </c>
      <c r="T183" s="7" t="e">
        <f>C183/#REF!</f>
        <v>#REF!</v>
      </c>
    </row>
    <row r="184" spans="1:22" x14ac:dyDescent="0.3">
      <c r="A184" s="2">
        <v>43647</v>
      </c>
      <c r="B184" s="3">
        <v>21500167</v>
      </c>
      <c r="C184" s="42">
        <v>1297701</v>
      </c>
      <c r="D184" s="48">
        <f>VLOOKUP($A184,'Channel wise traffic'!$B$2:$K$368,7,FALSE)</f>
        <v>0</v>
      </c>
      <c r="E184" s="24">
        <f>VLOOKUP($A184,'Channel wise traffic'!$B$2:$K$368,8,FALSE)</f>
        <v>0</v>
      </c>
      <c r="F184" s="24">
        <f>VLOOKUP($A184,'Channel wise traffic'!$B$2:$K$368,9,FALSE)</f>
        <v>0</v>
      </c>
      <c r="G184" s="24">
        <f>VLOOKUP($A184,'Channel wise traffic'!$B$2:$K$368,10,FALSE)</f>
        <v>0</v>
      </c>
      <c r="H184" s="48">
        <f>VLOOKUP($A184,'Channel wise traffic'!$B$2:$P$368,11,FALSE)</f>
        <v>78183</v>
      </c>
      <c r="I184" s="24">
        <f>VLOOKUP($A184,'Channel wise traffic'!$B$2:$P$368,12,FALSE)</f>
        <v>58637</v>
      </c>
      <c r="J184" s="24">
        <f>VLOOKUP($A184,'Channel wise traffic'!$B$2:$P$368,13,FALSE)</f>
        <v>23889</v>
      </c>
      <c r="K184" s="51">
        <f>VLOOKUP($A184,'Channel wise traffic'!$B$2:$P$368,14,FALSE)</f>
        <v>56465</v>
      </c>
      <c r="L184" s="24">
        <f>VLOOKUP($A184,'Channel wise traffic'!$B$2:$P$368,15,FALSE)</f>
        <v>217174</v>
      </c>
      <c r="M184" s="7">
        <f t="shared" si="8"/>
        <v>6.0357717221452278E-2</v>
      </c>
      <c r="N184" s="7">
        <f t="shared" si="10"/>
        <v>5.171274980893803E-2</v>
      </c>
      <c r="O184" s="7">
        <f t="shared" si="9"/>
        <v>1.0204109920066262E-2</v>
      </c>
      <c r="P184" s="7">
        <f t="shared" si="11"/>
        <v>4.1089359547503923E-2</v>
      </c>
      <c r="Q184" s="7" t="e">
        <f>#REF!/B184</f>
        <v>#REF!</v>
      </c>
      <c r="R184" s="7" t="e">
        <f>#REF!/#REF!</f>
        <v>#REF!</v>
      </c>
      <c r="S184" s="7" t="e">
        <f>#REF!/#REF!</f>
        <v>#REF!</v>
      </c>
      <c r="T184" s="7" t="e">
        <f>C184/#REF!</f>
        <v>#REF!</v>
      </c>
    </row>
    <row r="185" spans="1:22" x14ac:dyDescent="0.3">
      <c r="A185" s="2">
        <v>43648</v>
      </c>
      <c r="B185" s="3">
        <v>21934513</v>
      </c>
      <c r="C185" s="42">
        <v>1311277</v>
      </c>
      <c r="D185" s="48">
        <f>VLOOKUP($A185,'Channel wise traffic'!$B$2:$K$368,7,FALSE)</f>
        <v>-234548</v>
      </c>
      <c r="E185" s="24">
        <f>VLOOKUP($A185,'Channel wise traffic'!$B$2:$K$368,8,FALSE)</f>
        <v>-175911</v>
      </c>
      <c r="F185" s="24">
        <f>VLOOKUP($A185,'Channel wise traffic'!$B$2:$K$368,9,FALSE)</f>
        <v>-71667</v>
      </c>
      <c r="G185" s="24">
        <f>VLOOKUP($A185,'Channel wise traffic'!$B$2:$K$368,10,FALSE)</f>
        <v>-169395</v>
      </c>
      <c r="H185" s="48">
        <f>VLOOKUP($A185,'Channel wise traffic'!$B$2:$P$368,11,FALSE)</f>
        <v>0</v>
      </c>
      <c r="I185" s="24">
        <f>VLOOKUP($A185,'Channel wise traffic'!$B$2:$P$368,12,FALSE)</f>
        <v>0</v>
      </c>
      <c r="J185" s="24">
        <f>VLOOKUP($A185,'Channel wise traffic'!$B$2:$P$368,13,FALSE)</f>
        <v>0</v>
      </c>
      <c r="K185" s="51">
        <f>VLOOKUP($A185,'Channel wise traffic'!$B$2:$P$368,14,FALSE)</f>
        <v>0</v>
      </c>
      <c r="L185" s="24">
        <f>VLOOKUP($A185,'Channel wise traffic'!$B$2:$P$368,15,FALSE)</f>
        <v>-651521</v>
      </c>
      <c r="M185" s="7">
        <f t="shared" si="8"/>
        <v>5.9781450356340256E-2</v>
      </c>
      <c r="N185" s="7">
        <f t="shared" si="10"/>
        <v>3.1238105124744786E-2</v>
      </c>
      <c r="O185" s="7">
        <f t="shared" si="9"/>
        <v>-2.8846188755405233E-2</v>
      </c>
      <c r="P185" s="7">
        <f t="shared" si="11"/>
        <v>6.1868978100542371E-2</v>
      </c>
      <c r="Q185" s="7" t="e">
        <f>#REF!/B185</f>
        <v>#REF!</v>
      </c>
      <c r="R185" s="7" t="e">
        <f>#REF!/#REF!</f>
        <v>#REF!</v>
      </c>
      <c r="S185" s="7" t="e">
        <f>#REF!/#REF!</f>
        <v>#REF!</v>
      </c>
      <c r="T185" s="7" t="e">
        <f>C185/#REF!</f>
        <v>#REF!</v>
      </c>
    </row>
    <row r="186" spans="1:22" x14ac:dyDescent="0.3">
      <c r="A186" s="2">
        <v>43649</v>
      </c>
      <c r="B186" s="3">
        <v>22151687</v>
      </c>
      <c r="C186" s="42">
        <v>1462320</v>
      </c>
      <c r="D186" s="48">
        <f>VLOOKUP($A186,'Channel wise traffic'!$B$2:$K$368,7,FALSE)</f>
        <v>-78182</v>
      </c>
      <c r="E186" s="24">
        <f>VLOOKUP($A186,'Channel wise traffic'!$B$2:$K$368,8,FALSE)</f>
        <v>-58637</v>
      </c>
      <c r="F186" s="24">
        <f>VLOOKUP($A186,'Channel wise traffic'!$B$2:$K$368,9,FALSE)</f>
        <v>-23889</v>
      </c>
      <c r="G186" s="24">
        <f>VLOOKUP($A186,'Channel wise traffic'!$B$2:$K$368,10,FALSE)</f>
        <v>-56465</v>
      </c>
      <c r="H186" s="48">
        <f>VLOOKUP($A186,'Channel wise traffic'!$B$2:$P$368,11,FALSE)</f>
        <v>0</v>
      </c>
      <c r="I186" s="24">
        <f>VLOOKUP($A186,'Channel wise traffic'!$B$2:$P$368,12,FALSE)</f>
        <v>0</v>
      </c>
      <c r="J186" s="24">
        <f>VLOOKUP($A186,'Channel wise traffic'!$B$2:$P$368,13,FALSE)</f>
        <v>0</v>
      </c>
      <c r="K186" s="51">
        <f>VLOOKUP($A186,'Channel wise traffic'!$B$2:$P$368,14,FALSE)</f>
        <v>0</v>
      </c>
      <c r="L186" s="24">
        <f>VLOOKUP($A186,'Channel wise traffic'!$B$2:$P$368,15,FALSE)</f>
        <v>-217173</v>
      </c>
      <c r="M186" s="7">
        <f t="shared" si="8"/>
        <v>6.6013933837183597E-2</v>
      </c>
      <c r="N186" s="7">
        <f t="shared" si="10"/>
        <v>0.10412438387938527</v>
      </c>
      <c r="O186" s="7">
        <f t="shared" si="9"/>
        <v>-9.7087200688814601E-3</v>
      </c>
      <c r="P186" s="7">
        <f t="shared" si="11"/>
        <v>0.11494911270569252</v>
      </c>
      <c r="Q186" s="7" t="e">
        <f>#REF!/B186</f>
        <v>#REF!</v>
      </c>
      <c r="R186" s="7" t="e">
        <f>#REF!/#REF!</f>
        <v>#REF!</v>
      </c>
      <c r="S186" s="7" t="e">
        <f>#REF!/#REF!</f>
        <v>#REF!</v>
      </c>
      <c r="T186" s="7" t="e">
        <f>C186/#REF!</f>
        <v>#REF!</v>
      </c>
    </row>
    <row r="187" spans="1:22" x14ac:dyDescent="0.3">
      <c r="A187" s="2">
        <v>43650</v>
      </c>
      <c r="B187" s="3">
        <v>22368860</v>
      </c>
      <c r="C187" s="42">
        <v>1349517</v>
      </c>
      <c r="D187" s="48">
        <f>VLOOKUP($A187,'Channel wise traffic'!$B$2:$K$368,7,FALSE)</f>
        <v>0</v>
      </c>
      <c r="E187" s="24">
        <f>VLOOKUP($A187,'Channel wise traffic'!$B$2:$K$368,8,FALSE)</f>
        <v>0</v>
      </c>
      <c r="F187" s="24">
        <f>VLOOKUP($A187,'Channel wise traffic'!$B$2:$K$368,9,FALSE)</f>
        <v>0</v>
      </c>
      <c r="G187" s="24">
        <f>VLOOKUP($A187,'Channel wise traffic'!$B$2:$K$368,10,FALSE)</f>
        <v>0</v>
      </c>
      <c r="H187" s="48">
        <f>VLOOKUP($A187,'Channel wise traffic'!$B$2:$P$368,11,FALSE)</f>
        <v>0</v>
      </c>
      <c r="I187" s="24">
        <f>VLOOKUP($A187,'Channel wise traffic'!$B$2:$P$368,12,FALSE)</f>
        <v>0</v>
      </c>
      <c r="J187" s="24">
        <f>VLOOKUP($A187,'Channel wise traffic'!$B$2:$P$368,13,FALSE)</f>
        <v>0</v>
      </c>
      <c r="K187" s="51">
        <f>VLOOKUP($A187,'Channel wise traffic'!$B$2:$P$368,14,FALSE)</f>
        <v>0</v>
      </c>
      <c r="L187" s="24">
        <f>VLOOKUP($A187,'Channel wise traffic'!$B$2:$P$368,15,FALSE)</f>
        <v>0</v>
      </c>
      <c r="M187" s="7">
        <f t="shared" si="8"/>
        <v>6.0330164344539687E-2</v>
      </c>
      <c r="N187" s="7">
        <f t="shared" si="10"/>
        <v>2.0188825160964097E-2</v>
      </c>
      <c r="O187" s="7">
        <f t="shared" si="9"/>
        <v>0</v>
      </c>
      <c r="P187" s="7">
        <f t="shared" si="11"/>
        <v>2.0188825160964097E-2</v>
      </c>
      <c r="Q187" s="7" t="e">
        <f>#REF!/B187</f>
        <v>#REF!</v>
      </c>
      <c r="R187" s="7" t="e">
        <f>#REF!/#REF!</f>
        <v>#REF!</v>
      </c>
      <c r="S187" s="7" t="e">
        <f>#REF!/#REF!</f>
        <v>#REF!</v>
      </c>
      <c r="T187" s="7" t="e">
        <f>C187/#REF!</f>
        <v>#REF!</v>
      </c>
    </row>
    <row r="188" spans="1:22" x14ac:dyDescent="0.3">
      <c r="A188" s="2">
        <v>43651</v>
      </c>
      <c r="B188" s="3">
        <v>20631473</v>
      </c>
      <c r="C188" s="42">
        <v>1255565</v>
      </c>
      <c r="D188" s="48">
        <f>VLOOKUP($A188,'Channel wise traffic'!$B$2:$K$368,7,FALSE)</f>
        <v>-234547</v>
      </c>
      <c r="E188" s="24">
        <f>VLOOKUP($A188,'Channel wise traffic'!$B$2:$K$368,8,FALSE)</f>
        <v>-175911</v>
      </c>
      <c r="F188" s="24">
        <f>VLOOKUP($A188,'Channel wise traffic'!$B$2:$K$368,9,FALSE)</f>
        <v>-71667</v>
      </c>
      <c r="G188" s="24">
        <f>VLOOKUP($A188,'Channel wise traffic'!$B$2:$K$368,10,FALSE)</f>
        <v>-169395</v>
      </c>
      <c r="H188" s="48">
        <f>VLOOKUP($A188,'Channel wise traffic'!$B$2:$P$368,11,FALSE)</f>
        <v>0</v>
      </c>
      <c r="I188" s="24">
        <f>VLOOKUP($A188,'Channel wise traffic'!$B$2:$P$368,12,FALSE)</f>
        <v>0</v>
      </c>
      <c r="J188" s="24">
        <f>VLOOKUP($A188,'Channel wise traffic'!$B$2:$P$368,13,FALSE)</f>
        <v>0</v>
      </c>
      <c r="K188" s="51">
        <f>VLOOKUP($A188,'Channel wise traffic'!$B$2:$P$368,14,FALSE)</f>
        <v>0</v>
      </c>
      <c r="L188" s="24">
        <f>VLOOKUP($A188,'Channel wise traffic'!$B$2:$P$368,15,FALSE)</f>
        <v>-651520</v>
      </c>
      <c r="M188" s="7">
        <f t="shared" si="8"/>
        <v>6.0856779348716403E-2</v>
      </c>
      <c r="N188" s="7">
        <f t="shared" si="10"/>
        <v>1.7345429029346215E-2</v>
      </c>
      <c r="O188" s="7">
        <f t="shared" si="9"/>
        <v>-3.061223578845329E-2</v>
      </c>
      <c r="P188" s="7">
        <f t="shared" si="11"/>
        <v>4.9472116926095211E-2</v>
      </c>
      <c r="Q188" s="7" t="e">
        <f>#REF!/B188</f>
        <v>#REF!</v>
      </c>
      <c r="R188" s="7" t="e">
        <f>#REF!/#REF!</f>
        <v>#REF!</v>
      </c>
      <c r="S188" s="7" t="e">
        <f>#REF!/#REF!</f>
        <v>#REF!</v>
      </c>
      <c r="T188" s="7" t="e">
        <f>C188/#REF!</f>
        <v>#REF!</v>
      </c>
    </row>
    <row r="189" spans="1:22" x14ac:dyDescent="0.3">
      <c r="A189" s="2">
        <v>43652</v>
      </c>
      <c r="B189" s="3">
        <v>44889750</v>
      </c>
      <c r="C189" s="42">
        <v>1750824</v>
      </c>
      <c r="D189" s="48">
        <f>VLOOKUP($A189,'Channel wise traffic'!$B$2:$K$368,7,FALSE)</f>
        <v>-646412</v>
      </c>
      <c r="E189" s="24">
        <f>VLOOKUP($A189,'Channel wise traffic'!$B$2:$K$368,8,FALSE)</f>
        <v>-484810</v>
      </c>
      <c r="F189" s="24">
        <f>VLOOKUP($A189,'Channel wise traffic'!$B$2:$K$368,9,FALSE)</f>
        <v>-197515</v>
      </c>
      <c r="G189" s="24">
        <f>VLOOKUP($A189,'Channel wise traffic'!$B$2:$K$368,10,FALSE)</f>
        <v>-466853</v>
      </c>
      <c r="H189" s="48">
        <f>VLOOKUP($A189,'Channel wise traffic'!$B$2:$P$368,11,FALSE)</f>
        <v>0</v>
      </c>
      <c r="I189" s="24">
        <f>VLOOKUP($A189,'Channel wise traffic'!$B$2:$P$368,12,FALSE)</f>
        <v>0</v>
      </c>
      <c r="J189" s="24">
        <f>VLOOKUP($A189,'Channel wise traffic'!$B$2:$P$368,13,FALSE)</f>
        <v>0</v>
      </c>
      <c r="K189" s="51">
        <f>VLOOKUP($A189,'Channel wise traffic'!$B$2:$P$368,14,FALSE)</f>
        <v>0</v>
      </c>
      <c r="L189" s="24">
        <f>VLOOKUP($A189,'Channel wise traffic'!$B$2:$P$368,15,FALSE)</f>
        <v>-1795590</v>
      </c>
      <c r="M189" s="7">
        <f t="shared" si="8"/>
        <v>3.9002756754047414E-2</v>
      </c>
      <c r="N189" s="7">
        <f t="shared" si="10"/>
        <v>1.2231834220112869E-2</v>
      </c>
      <c r="O189" s="7">
        <f t="shared" si="9"/>
        <v>-3.8461538461538436E-2</v>
      </c>
      <c r="P189" s="7">
        <f t="shared" si="11"/>
        <v>5.2721107588917349E-2</v>
      </c>
      <c r="Q189" s="7" t="e">
        <f>#REF!/B189</f>
        <v>#REF!</v>
      </c>
      <c r="R189" s="7" t="e">
        <f>#REF!/#REF!</f>
        <v>#REF!</v>
      </c>
      <c r="S189" s="7" t="e">
        <f>#REF!/#REF!</f>
        <v>#REF!</v>
      </c>
      <c r="T189" s="7" t="e">
        <f>C189/#REF!</f>
        <v>#REF!</v>
      </c>
    </row>
    <row r="190" spans="1:22" x14ac:dyDescent="0.3">
      <c r="A190" s="2">
        <v>43653</v>
      </c>
      <c r="B190" s="3">
        <v>43543058</v>
      </c>
      <c r="C190" s="42">
        <v>1632180</v>
      </c>
      <c r="D190" s="48">
        <f>VLOOKUP($A190,'Channel wise traffic'!$B$2:$K$368,7,FALSE)</f>
        <v>-161604</v>
      </c>
      <c r="E190" s="24">
        <f>VLOOKUP($A190,'Channel wise traffic'!$B$2:$K$368,8,FALSE)</f>
        <v>-121203</v>
      </c>
      <c r="F190" s="24">
        <f>VLOOKUP($A190,'Channel wise traffic'!$B$2:$K$368,9,FALSE)</f>
        <v>-49379</v>
      </c>
      <c r="G190" s="24">
        <f>VLOOKUP($A190,'Channel wise traffic'!$B$2:$K$368,10,FALSE)</f>
        <v>-116713</v>
      </c>
      <c r="H190" s="48">
        <f>VLOOKUP($A190,'Channel wise traffic'!$B$2:$P$368,11,FALSE)</f>
        <v>0</v>
      </c>
      <c r="I190" s="24">
        <f>VLOOKUP($A190,'Channel wise traffic'!$B$2:$P$368,12,FALSE)</f>
        <v>0</v>
      </c>
      <c r="J190" s="24">
        <f>VLOOKUP($A190,'Channel wise traffic'!$B$2:$P$368,13,FALSE)</f>
        <v>0</v>
      </c>
      <c r="K190" s="51">
        <f>VLOOKUP($A190,'Channel wise traffic'!$B$2:$P$368,14,FALSE)</f>
        <v>0</v>
      </c>
      <c r="L190" s="24">
        <f>VLOOKUP($A190,'Channel wise traffic'!$B$2:$P$368,15,FALSE)</f>
        <v>-448899</v>
      </c>
      <c r="M190" s="7">
        <f t="shared" si="8"/>
        <v>3.748427590914722E-2</v>
      </c>
      <c r="N190" s="7">
        <f t="shared" si="10"/>
        <v>-3.5684027560325182E-2</v>
      </c>
      <c r="O190" s="7">
        <f t="shared" si="9"/>
        <v>-1.0204070266938592E-2</v>
      </c>
      <c r="P190" s="7">
        <f t="shared" si="11"/>
        <v>-2.5742636969883437E-2</v>
      </c>
      <c r="Q190" s="7" t="e">
        <f>#REF!/B190</f>
        <v>#REF!</v>
      </c>
      <c r="R190" s="7" t="e">
        <f>#REF!/#REF!</f>
        <v>#REF!</v>
      </c>
      <c r="S190" s="7" t="e">
        <f>#REF!/#REF!</f>
        <v>#REF!</v>
      </c>
      <c r="T190" s="7" t="e">
        <f>C190/#REF!</f>
        <v>#REF!</v>
      </c>
    </row>
    <row r="191" spans="1:22" x14ac:dyDescent="0.3">
      <c r="A191" s="2">
        <v>43654</v>
      </c>
      <c r="B191" s="3">
        <v>21282993</v>
      </c>
      <c r="C191" s="42">
        <v>1284426</v>
      </c>
      <c r="D191" s="48">
        <f>VLOOKUP($A191,'Channel wise traffic'!$B$2:$K$368,7,FALSE)</f>
        <v>-78183</v>
      </c>
      <c r="E191" s="24">
        <f>VLOOKUP($A191,'Channel wise traffic'!$B$2:$K$368,8,FALSE)</f>
        <v>-58637</v>
      </c>
      <c r="F191" s="24">
        <f>VLOOKUP($A191,'Channel wise traffic'!$B$2:$K$368,9,FALSE)</f>
        <v>-23889</v>
      </c>
      <c r="G191" s="24">
        <f>VLOOKUP($A191,'Channel wise traffic'!$B$2:$K$368,10,FALSE)</f>
        <v>-56465</v>
      </c>
      <c r="H191" s="48">
        <f>VLOOKUP($A191,'Channel wise traffic'!$B$2:$P$368,11,FALSE)</f>
        <v>0</v>
      </c>
      <c r="I191" s="24">
        <f>VLOOKUP($A191,'Channel wise traffic'!$B$2:$P$368,12,FALSE)</f>
        <v>0</v>
      </c>
      <c r="J191" s="24">
        <f>VLOOKUP($A191,'Channel wise traffic'!$B$2:$P$368,13,FALSE)</f>
        <v>0</v>
      </c>
      <c r="K191" s="51">
        <f>VLOOKUP($A191,'Channel wise traffic'!$B$2:$P$368,14,FALSE)</f>
        <v>0</v>
      </c>
      <c r="L191" s="24">
        <f>VLOOKUP($A191,'Channel wise traffic'!$B$2:$P$368,15,FALSE)</f>
        <v>-217174</v>
      </c>
      <c r="M191" s="7">
        <f t="shared" si="8"/>
        <v>6.0349876542270156E-2</v>
      </c>
      <c r="N191" s="7">
        <f t="shared" si="10"/>
        <v>-1.0229629167273546E-2</v>
      </c>
      <c r="O191" s="7">
        <f t="shared" si="9"/>
        <v>-1.0101037819845726E-2</v>
      </c>
      <c r="P191" s="7">
        <f t="shared" si="11"/>
        <v>-1.2990350767172476E-4</v>
      </c>
      <c r="Q191" s="7" t="e">
        <f>#REF!/B191</f>
        <v>#REF!</v>
      </c>
      <c r="R191" s="7" t="e">
        <f>#REF!/#REF!</f>
        <v>#REF!</v>
      </c>
      <c r="S191" s="7" t="e">
        <f>#REF!/#REF!</f>
        <v>#REF!</v>
      </c>
      <c r="T191" s="7" t="e">
        <f>C191/#REF!</f>
        <v>#REF!</v>
      </c>
    </row>
    <row r="192" spans="1:22" x14ac:dyDescent="0.3">
      <c r="A192" s="2">
        <v>43655</v>
      </c>
      <c r="B192" s="3">
        <v>22803207</v>
      </c>
      <c r="C192" s="42">
        <v>1351214</v>
      </c>
      <c r="D192" s="48">
        <f>VLOOKUP($A192,'Channel wise traffic'!$B$2:$K$368,7,FALSE)</f>
        <v>0</v>
      </c>
      <c r="E192" s="24">
        <f>VLOOKUP($A192,'Channel wise traffic'!$B$2:$K$368,8,FALSE)</f>
        <v>0</v>
      </c>
      <c r="F192" s="24">
        <f>VLOOKUP($A192,'Channel wise traffic'!$B$2:$K$368,9,FALSE)</f>
        <v>0</v>
      </c>
      <c r="G192" s="24">
        <f>VLOOKUP($A192,'Channel wise traffic'!$B$2:$K$368,10,FALSE)</f>
        <v>0</v>
      </c>
      <c r="H192" s="48">
        <f>VLOOKUP($A192,'Channel wise traffic'!$B$2:$P$368,11,FALSE)</f>
        <v>312730</v>
      </c>
      <c r="I192" s="24">
        <f>VLOOKUP($A192,'Channel wise traffic'!$B$2:$P$368,12,FALSE)</f>
        <v>234548</v>
      </c>
      <c r="J192" s="24">
        <f>VLOOKUP($A192,'Channel wise traffic'!$B$2:$P$368,13,FALSE)</f>
        <v>95556</v>
      </c>
      <c r="K192" s="51">
        <f>VLOOKUP($A192,'Channel wise traffic'!$B$2:$P$368,14,FALSE)</f>
        <v>225860</v>
      </c>
      <c r="L192" s="24">
        <f>VLOOKUP($A192,'Channel wise traffic'!$B$2:$P$368,15,FALSE)</f>
        <v>868694</v>
      </c>
      <c r="M192" s="7">
        <f t="shared" si="8"/>
        <v>5.9255437184778437E-2</v>
      </c>
      <c r="N192" s="7">
        <f t="shared" si="10"/>
        <v>3.0456570198363897E-2</v>
      </c>
      <c r="O192" s="7">
        <f t="shared" si="9"/>
        <v>3.9603979354362773E-2</v>
      </c>
      <c r="P192" s="7">
        <f t="shared" si="11"/>
        <v>-8.7989362657882042E-3</v>
      </c>
      <c r="Q192" s="7" t="e">
        <f>#REF!/B192</f>
        <v>#REF!</v>
      </c>
      <c r="R192" s="7" t="e">
        <f>#REF!/#REF!</f>
        <v>#REF!</v>
      </c>
      <c r="S192" s="7" t="e">
        <f>#REF!/#REF!</f>
        <v>#REF!</v>
      </c>
      <c r="T192" s="7" t="e">
        <f>C192/#REF!</f>
        <v>#REF!</v>
      </c>
    </row>
    <row r="193" spans="1:22" x14ac:dyDescent="0.3">
      <c r="A193" s="2">
        <v>43656</v>
      </c>
      <c r="B193" s="3">
        <v>22803207</v>
      </c>
      <c r="C193" s="42">
        <v>1506346</v>
      </c>
      <c r="D193" s="48">
        <f>VLOOKUP($A193,'Channel wise traffic'!$B$2:$K$368,7,FALSE)</f>
        <v>0</v>
      </c>
      <c r="E193" s="24">
        <f>VLOOKUP($A193,'Channel wise traffic'!$B$2:$K$368,8,FALSE)</f>
        <v>0</v>
      </c>
      <c r="F193" s="24">
        <f>VLOOKUP($A193,'Channel wise traffic'!$B$2:$K$368,9,FALSE)</f>
        <v>0</v>
      </c>
      <c r="G193" s="24">
        <f>VLOOKUP($A193,'Channel wise traffic'!$B$2:$K$368,10,FALSE)</f>
        <v>0</v>
      </c>
      <c r="H193" s="48">
        <f>VLOOKUP($A193,'Channel wise traffic'!$B$2:$P$368,11,FALSE)</f>
        <v>234547</v>
      </c>
      <c r="I193" s="24">
        <f>VLOOKUP($A193,'Channel wise traffic'!$B$2:$P$368,12,FALSE)</f>
        <v>175911</v>
      </c>
      <c r="J193" s="24">
        <f>VLOOKUP($A193,'Channel wise traffic'!$B$2:$P$368,13,FALSE)</f>
        <v>71667</v>
      </c>
      <c r="K193" s="51">
        <f>VLOOKUP($A193,'Channel wise traffic'!$B$2:$P$368,14,FALSE)</f>
        <v>169395</v>
      </c>
      <c r="L193" s="24">
        <f>VLOOKUP($A193,'Channel wise traffic'!$B$2:$P$368,15,FALSE)</f>
        <v>651520</v>
      </c>
      <c r="M193" s="7">
        <f t="shared" si="8"/>
        <v>6.6058515365843062E-2</v>
      </c>
      <c r="N193" s="7">
        <f t="shared" si="10"/>
        <v>3.0106953334427589E-2</v>
      </c>
      <c r="O193" s="7">
        <f t="shared" si="9"/>
        <v>2.9411755411675955E-2</v>
      </c>
      <c r="P193" s="7">
        <f t="shared" si="11"/>
        <v>6.7533513105622056E-4</v>
      </c>
      <c r="Q193" s="7" t="e">
        <f>#REF!/B193</f>
        <v>#REF!</v>
      </c>
      <c r="R193" s="7" t="e">
        <f>#REF!/#REF!</f>
        <v>#REF!</v>
      </c>
      <c r="S193" s="7" t="e">
        <f>#REF!/#REF!</f>
        <v>#REF!</v>
      </c>
      <c r="T193" s="7" t="e">
        <f>C193/#REF!</f>
        <v>#REF!</v>
      </c>
    </row>
    <row r="194" spans="1:22" x14ac:dyDescent="0.3">
      <c r="A194" s="2">
        <v>43657</v>
      </c>
      <c r="B194" s="3">
        <v>21500167</v>
      </c>
      <c r="C194" s="42">
        <v>1338860</v>
      </c>
      <c r="D194" s="48">
        <f>VLOOKUP($A194,'Channel wise traffic'!$B$2:$K$368,7,FALSE)</f>
        <v>-312729</v>
      </c>
      <c r="E194" s="24">
        <f>VLOOKUP($A194,'Channel wise traffic'!$B$2:$K$368,8,FALSE)</f>
        <v>-234547</v>
      </c>
      <c r="F194" s="24">
        <f>VLOOKUP($A194,'Channel wise traffic'!$B$2:$K$368,9,FALSE)</f>
        <v>-95556</v>
      </c>
      <c r="G194" s="24">
        <f>VLOOKUP($A194,'Channel wise traffic'!$B$2:$K$368,10,FALSE)</f>
        <v>-225860</v>
      </c>
      <c r="H194" s="48">
        <f>VLOOKUP($A194,'Channel wise traffic'!$B$2:$P$368,11,FALSE)</f>
        <v>0</v>
      </c>
      <c r="I194" s="24">
        <f>VLOOKUP($A194,'Channel wise traffic'!$B$2:$P$368,12,FALSE)</f>
        <v>0</v>
      </c>
      <c r="J194" s="24">
        <f>VLOOKUP($A194,'Channel wise traffic'!$B$2:$P$368,13,FALSE)</f>
        <v>0</v>
      </c>
      <c r="K194" s="51">
        <f>VLOOKUP($A194,'Channel wise traffic'!$B$2:$P$368,14,FALSE)</f>
        <v>0</v>
      </c>
      <c r="L194" s="24">
        <f>VLOOKUP($A194,'Channel wise traffic'!$B$2:$P$368,15,FALSE)</f>
        <v>-868692</v>
      </c>
      <c r="M194" s="7">
        <f t="shared" si="8"/>
        <v>6.2272074444817103E-2</v>
      </c>
      <c r="N194" s="7">
        <f t="shared" si="10"/>
        <v>-7.8968994091960232E-3</v>
      </c>
      <c r="O194" s="7">
        <f t="shared" si="9"/>
        <v>-3.8834924980530983E-2</v>
      </c>
      <c r="P194" s="7">
        <f t="shared" si="11"/>
        <v>3.2188045919904207E-2</v>
      </c>
      <c r="Q194" s="7" t="e">
        <f>#REF!/B194</f>
        <v>#REF!</v>
      </c>
      <c r="R194" s="7" t="e">
        <f>#REF!/#REF!</f>
        <v>#REF!</v>
      </c>
      <c r="S194" s="7" t="e">
        <f>#REF!/#REF!</f>
        <v>#REF!</v>
      </c>
      <c r="T194" s="7" t="e">
        <f>C194/#REF!</f>
        <v>#REF!</v>
      </c>
    </row>
    <row r="195" spans="1:22" x14ac:dyDescent="0.3">
      <c r="A195" s="2">
        <v>43658</v>
      </c>
      <c r="B195" s="3">
        <v>20848646</v>
      </c>
      <c r="C195" s="42">
        <v>1376301</v>
      </c>
      <c r="D195" s="48">
        <f>VLOOKUP($A195,'Channel wise traffic'!$B$2:$K$368,7,FALSE)</f>
        <v>0</v>
      </c>
      <c r="E195" s="24">
        <f>VLOOKUP($A195,'Channel wise traffic'!$B$2:$K$368,8,FALSE)</f>
        <v>0</v>
      </c>
      <c r="F195" s="24">
        <f>VLOOKUP($A195,'Channel wise traffic'!$B$2:$K$368,9,FALSE)</f>
        <v>0</v>
      </c>
      <c r="G195" s="24">
        <f>VLOOKUP($A195,'Channel wise traffic'!$B$2:$K$368,10,FALSE)</f>
        <v>0</v>
      </c>
      <c r="H195" s="48">
        <f>VLOOKUP($A195,'Channel wise traffic'!$B$2:$P$368,11,FALSE)</f>
        <v>78182</v>
      </c>
      <c r="I195" s="24">
        <f>VLOOKUP($A195,'Channel wise traffic'!$B$2:$P$368,12,FALSE)</f>
        <v>58637</v>
      </c>
      <c r="J195" s="24">
        <f>VLOOKUP($A195,'Channel wise traffic'!$B$2:$P$368,13,FALSE)</f>
        <v>23889</v>
      </c>
      <c r="K195" s="51">
        <f>VLOOKUP($A195,'Channel wise traffic'!$B$2:$P$368,14,FALSE)</f>
        <v>56465</v>
      </c>
      <c r="L195" s="24">
        <f>VLOOKUP($A195,'Channel wise traffic'!$B$2:$P$368,15,FALSE)</f>
        <v>217173</v>
      </c>
      <c r="M195" s="7">
        <f t="shared" ref="M195:M258" si="12">C195/B195</f>
        <v>6.6013927235370584E-2</v>
      </c>
      <c r="N195" s="7">
        <f t="shared" si="10"/>
        <v>9.6160692596560127E-2</v>
      </c>
      <c r="O195" s="7">
        <f t="shared" si="9"/>
        <v>1.0526296401619062E-2</v>
      </c>
      <c r="P195" s="7">
        <f t="shared" si="11"/>
        <v>8.4742372860435511E-2</v>
      </c>
      <c r="Q195" s="7" t="e">
        <f>#REF!/B195</f>
        <v>#REF!</v>
      </c>
      <c r="R195" s="7" t="e">
        <f>#REF!/#REF!</f>
        <v>#REF!</v>
      </c>
      <c r="S195" s="7" t="e">
        <f>#REF!/#REF!</f>
        <v>#REF!</v>
      </c>
      <c r="T195" s="7" t="e">
        <f>C195/#REF!</f>
        <v>#REF!</v>
      </c>
    </row>
    <row r="196" spans="1:22" x14ac:dyDescent="0.3">
      <c r="A196" s="2">
        <v>43659</v>
      </c>
      <c r="B196" s="3">
        <v>44889750</v>
      </c>
      <c r="C196" s="42">
        <v>1912827</v>
      </c>
      <c r="D196" s="48">
        <f>VLOOKUP($A196,'Channel wise traffic'!$B$2:$K$368,7,FALSE)</f>
        <v>0</v>
      </c>
      <c r="E196" s="24">
        <f>VLOOKUP($A196,'Channel wise traffic'!$B$2:$K$368,8,FALSE)</f>
        <v>0</v>
      </c>
      <c r="F196" s="24">
        <f>VLOOKUP($A196,'Channel wise traffic'!$B$2:$K$368,9,FALSE)</f>
        <v>0</v>
      </c>
      <c r="G196" s="24">
        <f>VLOOKUP($A196,'Channel wise traffic'!$B$2:$K$368,10,FALSE)</f>
        <v>0</v>
      </c>
      <c r="H196" s="48">
        <f>VLOOKUP($A196,'Channel wise traffic'!$B$2:$P$368,11,FALSE)</f>
        <v>0</v>
      </c>
      <c r="I196" s="24">
        <f>VLOOKUP($A196,'Channel wise traffic'!$B$2:$P$368,12,FALSE)</f>
        <v>0</v>
      </c>
      <c r="J196" s="24">
        <f>VLOOKUP($A196,'Channel wise traffic'!$B$2:$P$368,13,FALSE)</f>
        <v>0</v>
      </c>
      <c r="K196" s="51">
        <f>VLOOKUP($A196,'Channel wise traffic'!$B$2:$P$368,14,FALSE)</f>
        <v>0</v>
      </c>
      <c r="L196" s="24">
        <f>VLOOKUP($A196,'Channel wise traffic'!$B$2:$P$368,15,FALSE)</f>
        <v>0</v>
      </c>
      <c r="M196" s="7">
        <f t="shared" si="12"/>
        <v>4.2611665246520644E-2</v>
      </c>
      <c r="N196" s="7">
        <f t="shared" si="10"/>
        <v>9.2529574645995316E-2</v>
      </c>
      <c r="O196" s="7">
        <f t="shared" si="9"/>
        <v>0</v>
      </c>
      <c r="P196" s="7">
        <f t="shared" si="11"/>
        <v>9.2529574645995316E-2</v>
      </c>
      <c r="Q196" s="7" t="e">
        <f>#REF!/B196</f>
        <v>#REF!</v>
      </c>
      <c r="R196" s="7" t="e">
        <f>#REF!/#REF!</f>
        <v>#REF!</v>
      </c>
      <c r="S196" s="7" t="e">
        <f>#REF!/#REF!</f>
        <v>#REF!</v>
      </c>
      <c r="T196" s="7" t="e">
        <f>C196/#REF!</f>
        <v>#REF!</v>
      </c>
    </row>
    <row r="197" spans="1:22" x14ac:dyDescent="0.3">
      <c r="A197" s="2">
        <v>43660</v>
      </c>
      <c r="B197" s="3">
        <v>43094160</v>
      </c>
      <c r="C197" s="42">
        <v>1801336</v>
      </c>
      <c r="D197" s="48">
        <f>VLOOKUP($A197,'Channel wise traffic'!$B$2:$K$368,7,FALSE)</f>
        <v>-161603</v>
      </c>
      <c r="E197" s="24">
        <f>VLOOKUP($A197,'Channel wise traffic'!$B$2:$K$368,8,FALSE)</f>
        <v>-121202</v>
      </c>
      <c r="F197" s="24">
        <f>VLOOKUP($A197,'Channel wise traffic'!$B$2:$K$368,9,FALSE)</f>
        <v>-49379</v>
      </c>
      <c r="G197" s="24">
        <f>VLOOKUP($A197,'Channel wise traffic'!$B$2:$K$368,10,FALSE)</f>
        <v>-116714</v>
      </c>
      <c r="H197" s="48">
        <f>VLOOKUP($A197,'Channel wise traffic'!$B$2:$P$368,11,FALSE)</f>
        <v>0</v>
      </c>
      <c r="I197" s="24">
        <f>VLOOKUP($A197,'Channel wise traffic'!$B$2:$P$368,12,FALSE)</f>
        <v>0</v>
      </c>
      <c r="J197" s="24">
        <f>VLOOKUP($A197,'Channel wise traffic'!$B$2:$P$368,13,FALSE)</f>
        <v>0</v>
      </c>
      <c r="K197" s="51">
        <f>VLOOKUP($A197,'Channel wise traffic'!$B$2:$P$368,14,FALSE)</f>
        <v>0</v>
      </c>
      <c r="L197" s="24">
        <f>VLOOKUP($A197,'Channel wise traffic'!$B$2:$P$368,15,FALSE)</f>
        <v>-448898</v>
      </c>
      <c r="M197" s="7">
        <f t="shared" si="12"/>
        <v>4.1800002598960044E-2</v>
      </c>
      <c r="N197" s="7">
        <f t="shared" si="10"/>
        <v>0.10363807913342882</v>
      </c>
      <c r="O197" s="7">
        <f t="shared" si="9"/>
        <v>-1.0309289715021874E-2</v>
      </c>
      <c r="P197" s="7">
        <f t="shared" si="11"/>
        <v>0.11513432192936301</v>
      </c>
      <c r="Q197" s="7" t="e">
        <f>#REF!/B197</f>
        <v>#REF!</v>
      </c>
      <c r="R197" s="7" t="e">
        <f>#REF!/#REF!</f>
        <v>#REF!</v>
      </c>
      <c r="S197" s="7" t="e">
        <f>#REF!/#REF!</f>
        <v>#REF!</v>
      </c>
      <c r="T197" s="7" t="e">
        <f>C197/#REF!</f>
        <v>#REF!</v>
      </c>
    </row>
    <row r="198" spans="1:22" x14ac:dyDescent="0.3">
      <c r="A198" s="2">
        <v>43661</v>
      </c>
      <c r="B198" s="3">
        <v>21500167</v>
      </c>
      <c r="C198" s="42">
        <v>1298593</v>
      </c>
      <c r="D198" s="48">
        <f>VLOOKUP($A198,'Channel wise traffic'!$B$2:$K$368,7,FALSE)</f>
        <v>0</v>
      </c>
      <c r="E198" s="24">
        <f>VLOOKUP($A198,'Channel wise traffic'!$B$2:$K$368,8,FALSE)</f>
        <v>0</v>
      </c>
      <c r="F198" s="24">
        <f>VLOOKUP($A198,'Channel wise traffic'!$B$2:$K$368,9,FALSE)</f>
        <v>0</v>
      </c>
      <c r="G198" s="24">
        <f>VLOOKUP($A198,'Channel wise traffic'!$B$2:$K$368,10,FALSE)</f>
        <v>0</v>
      </c>
      <c r="H198" s="48">
        <f>VLOOKUP($A198,'Channel wise traffic'!$B$2:$P$368,11,FALSE)</f>
        <v>78183</v>
      </c>
      <c r="I198" s="24">
        <f>VLOOKUP($A198,'Channel wise traffic'!$B$2:$P$368,12,FALSE)</f>
        <v>58637</v>
      </c>
      <c r="J198" s="24">
        <f>VLOOKUP($A198,'Channel wise traffic'!$B$2:$P$368,13,FALSE)</f>
        <v>23889</v>
      </c>
      <c r="K198" s="51">
        <f>VLOOKUP($A198,'Channel wise traffic'!$B$2:$P$368,14,FALSE)</f>
        <v>56465</v>
      </c>
      <c r="L198" s="24">
        <f>VLOOKUP($A198,'Channel wise traffic'!$B$2:$P$368,15,FALSE)</f>
        <v>217174</v>
      </c>
      <c r="M198" s="7">
        <f t="shared" si="12"/>
        <v>6.0399205271289287E-2</v>
      </c>
      <c r="N198" s="7">
        <f t="shared" si="10"/>
        <v>1.1029829667104307E-2</v>
      </c>
      <c r="O198" s="7">
        <f t="shared" si="9"/>
        <v>1.0204109920066262E-2</v>
      </c>
      <c r="P198" s="7">
        <f t="shared" si="11"/>
        <v>8.1737912064450136E-4</v>
      </c>
      <c r="Q198" s="7" t="e">
        <f>#REF!/B198</f>
        <v>#REF!</v>
      </c>
      <c r="R198" s="7" t="e">
        <f>#REF!/#REF!</f>
        <v>#REF!</v>
      </c>
      <c r="S198" s="7" t="e">
        <f>#REF!/#REF!</f>
        <v>#REF!</v>
      </c>
      <c r="T198" s="7" t="e">
        <f>C198/#REF!</f>
        <v>#REF!</v>
      </c>
    </row>
    <row r="199" spans="1:22" s="35" customFormat="1" x14ac:dyDescent="0.3">
      <c r="A199" s="36">
        <v>43662</v>
      </c>
      <c r="B199" s="16">
        <v>20631473</v>
      </c>
      <c r="C199" s="47">
        <v>498841</v>
      </c>
      <c r="D199" s="49">
        <f>VLOOKUP($A199,'Channel wise traffic'!$B$2:$K$368,7,FALSE)</f>
        <v>-781824</v>
      </c>
      <c r="E199" s="28">
        <f>VLOOKUP($A199,'Channel wise traffic'!$B$2:$K$368,8,FALSE)</f>
        <v>-586369</v>
      </c>
      <c r="F199" s="28">
        <f>VLOOKUP($A199,'Channel wise traffic'!$B$2:$K$368,9,FALSE)</f>
        <v>-238890</v>
      </c>
      <c r="G199" s="28">
        <f>VLOOKUP($A199,'Channel wise traffic'!$B$2:$K$368,10,FALSE)</f>
        <v>-564650</v>
      </c>
      <c r="H199" s="48">
        <f>VLOOKUP($A199,'Channel wise traffic'!$B$2:$P$368,11,FALSE)</f>
        <v>0</v>
      </c>
      <c r="I199" s="24">
        <f>VLOOKUP($A199,'Channel wise traffic'!$B$2:$P$368,12,FALSE)</f>
        <v>0</v>
      </c>
      <c r="J199" s="24">
        <f>VLOOKUP($A199,'Channel wise traffic'!$B$2:$P$368,13,FALSE)</f>
        <v>0</v>
      </c>
      <c r="K199" s="51">
        <f>VLOOKUP($A199,'Channel wise traffic'!$B$2:$P$368,14,FALSE)</f>
        <v>0</v>
      </c>
      <c r="L199" s="28">
        <f>VLOOKUP($A199,'Channel wise traffic'!$B$2:$P$368,15,FALSE)</f>
        <v>-2171733</v>
      </c>
      <c r="M199" s="17">
        <f t="shared" si="12"/>
        <v>2.4178642019404045E-2</v>
      </c>
      <c r="N199" s="34">
        <f t="shared" si="10"/>
        <v>-0.63082013655867986</v>
      </c>
      <c r="O199" s="34">
        <f t="shared" si="9"/>
        <v>-9.5238095238095233E-2</v>
      </c>
      <c r="P199" s="17">
        <f t="shared" si="11"/>
        <v>-0.59195909830169868</v>
      </c>
      <c r="Q199" s="17" t="e">
        <f>#REF!/B199</f>
        <v>#REF!</v>
      </c>
      <c r="R199" s="17" t="e">
        <f>#REF!/#REF!</f>
        <v>#REF!</v>
      </c>
      <c r="S199" s="17" t="e">
        <f>#REF!/#REF!</f>
        <v>#REF!</v>
      </c>
      <c r="T199" s="17" t="e">
        <f>C199/#REF!</f>
        <v>#REF!</v>
      </c>
      <c r="U199"/>
      <c r="V199" s="35" t="s">
        <v>40</v>
      </c>
    </row>
    <row r="200" spans="1:22" x14ac:dyDescent="0.3">
      <c r="A200" s="2">
        <v>43663</v>
      </c>
      <c r="B200" s="3">
        <v>21500167</v>
      </c>
      <c r="C200" s="42">
        <v>1285847</v>
      </c>
      <c r="D200" s="48">
        <f>VLOOKUP($A200,'Channel wise traffic'!$B$2:$K$368,7,FALSE)</f>
        <v>-469094</v>
      </c>
      <c r="E200" s="24">
        <f>VLOOKUP($A200,'Channel wise traffic'!$B$2:$K$368,8,FALSE)</f>
        <v>-351821</v>
      </c>
      <c r="F200" s="24">
        <f>VLOOKUP($A200,'Channel wise traffic'!$B$2:$K$368,9,FALSE)</f>
        <v>-143334</v>
      </c>
      <c r="G200" s="24">
        <f>VLOOKUP($A200,'Channel wise traffic'!$B$2:$K$368,10,FALSE)</f>
        <v>-338790</v>
      </c>
      <c r="H200" s="48">
        <f>VLOOKUP($A200,'Channel wise traffic'!$B$2:$P$368,11,FALSE)</f>
        <v>0</v>
      </c>
      <c r="I200" s="24">
        <f>VLOOKUP($A200,'Channel wise traffic'!$B$2:$P$368,12,FALSE)</f>
        <v>0</v>
      </c>
      <c r="J200" s="24">
        <f>VLOOKUP($A200,'Channel wise traffic'!$B$2:$P$368,13,FALSE)</f>
        <v>0</v>
      </c>
      <c r="K200" s="51">
        <f>VLOOKUP($A200,'Channel wise traffic'!$B$2:$P$368,14,FALSE)</f>
        <v>0</v>
      </c>
      <c r="L200" s="24">
        <f>VLOOKUP($A200,'Channel wise traffic'!$B$2:$P$368,15,FALSE)</f>
        <v>-1303039</v>
      </c>
      <c r="M200" s="7">
        <f t="shared" si="12"/>
        <v>5.9806372666779753E-2</v>
      </c>
      <c r="N200" s="7">
        <f t="shared" si="10"/>
        <v>-0.14638004814298977</v>
      </c>
      <c r="O200" s="7">
        <f t="shared" si="9"/>
        <v>-5.7142839601464823E-2</v>
      </c>
      <c r="P200" s="7">
        <f t="shared" si="11"/>
        <v>-9.4645522449875008E-2</v>
      </c>
      <c r="Q200" s="7" t="e">
        <f>#REF!/B200</f>
        <v>#REF!</v>
      </c>
      <c r="R200" s="7" t="e">
        <f>#REF!/#REF!</f>
        <v>#REF!</v>
      </c>
      <c r="S200" s="7" t="e">
        <f>#REF!/#REF!</f>
        <v>#REF!</v>
      </c>
      <c r="T200" s="7" t="e">
        <f>C200/#REF!</f>
        <v>#REF!</v>
      </c>
    </row>
    <row r="201" spans="1:22" x14ac:dyDescent="0.3">
      <c r="A201" s="2">
        <v>43664</v>
      </c>
      <c r="B201" s="3">
        <v>22151687</v>
      </c>
      <c r="C201" s="42">
        <v>1445675</v>
      </c>
      <c r="D201" s="48">
        <f>VLOOKUP($A201,'Channel wise traffic'!$B$2:$K$368,7,FALSE)</f>
        <v>0</v>
      </c>
      <c r="E201" s="24">
        <f>VLOOKUP($A201,'Channel wise traffic'!$B$2:$K$368,8,FALSE)</f>
        <v>0</v>
      </c>
      <c r="F201" s="24">
        <f>VLOOKUP($A201,'Channel wise traffic'!$B$2:$K$368,9,FALSE)</f>
        <v>0</v>
      </c>
      <c r="G201" s="24">
        <f>VLOOKUP($A201,'Channel wise traffic'!$B$2:$K$368,10,FALSE)</f>
        <v>0</v>
      </c>
      <c r="H201" s="48">
        <f>VLOOKUP($A201,'Channel wise traffic'!$B$2:$P$368,11,FALSE)</f>
        <v>234547</v>
      </c>
      <c r="I201" s="24">
        <f>VLOOKUP($A201,'Channel wise traffic'!$B$2:$P$368,12,FALSE)</f>
        <v>175910</v>
      </c>
      <c r="J201" s="24">
        <f>VLOOKUP($A201,'Channel wise traffic'!$B$2:$P$368,13,FALSE)</f>
        <v>71667</v>
      </c>
      <c r="K201" s="51">
        <f>VLOOKUP($A201,'Channel wise traffic'!$B$2:$P$368,14,FALSE)</f>
        <v>169395</v>
      </c>
      <c r="L201" s="24">
        <f>VLOOKUP($A201,'Channel wise traffic'!$B$2:$P$368,15,FALSE)</f>
        <v>651519</v>
      </c>
      <c r="M201" s="7">
        <f t="shared" si="12"/>
        <v>6.5262523797848901E-2</v>
      </c>
      <c r="N201" s="7">
        <f t="shared" si="10"/>
        <v>7.9780559580538757E-2</v>
      </c>
      <c r="O201" s="7">
        <f t="shared" si="9"/>
        <v>3.0303020437004058E-2</v>
      </c>
      <c r="P201" s="7">
        <f t="shared" si="11"/>
        <v>4.8022317863873454E-2</v>
      </c>
      <c r="Q201" s="7" t="e">
        <f>#REF!/B201</f>
        <v>#REF!</v>
      </c>
      <c r="R201" s="7" t="e">
        <f>#REF!/#REF!</f>
        <v>#REF!</v>
      </c>
      <c r="S201" s="7" t="e">
        <f>#REF!/#REF!</f>
        <v>#REF!</v>
      </c>
      <c r="T201" s="7" t="e">
        <f>C201/#REF!</f>
        <v>#REF!</v>
      </c>
    </row>
    <row r="202" spans="1:22" x14ac:dyDescent="0.3">
      <c r="A202" s="2">
        <v>43665</v>
      </c>
      <c r="B202" s="3">
        <v>22586034</v>
      </c>
      <c r="C202" s="42">
        <v>1491569</v>
      </c>
      <c r="D202" s="48">
        <f>VLOOKUP($A202,'Channel wise traffic'!$B$2:$K$368,7,FALSE)</f>
        <v>0</v>
      </c>
      <c r="E202" s="24">
        <f>VLOOKUP($A202,'Channel wise traffic'!$B$2:$K$368,8,FALSE)</f>
        <v>0</v>
      </c>
      <c r="F202" s="24">
        <f>VLOOKUP($A202,'Channel wise traffic'!$B$2:$K$368,9,FALSE)</f>
        <v>0</v>
      </c>
      <c r="G202" s="24">
        <f>VLOOKUP($A202,'Channel wise traffic'!$B$2:$K$368,10,FALSE)</f>
        <v>0</v>
      </c>
      <c r="H202" s="48">
        <f>VLOOKUP($A202,'Channel wise traffic'!$B$2:$P$368,11,FALSE)</f>
        <v>625460</v>
      </c>
      <c r="I202" s="24">
        <f>VLOOKUP($A202,'Channel wise traffic'!$B$2:$P$368,12,FALSE)</f>
        <v>469095</v>
      </c>
      <c r="J202" s="24">
        <f>VLOOKUP($A202,'Channel wise traffic'!$B$2:$P$368,13,FALSE)</f>
        <v>191112</v>
      </c>
      <c r="K202" s="51">
        <f>VLOOKUP($A202,'Channel wise traffic'!$B$2:$P$368,14,FALSE)</f>
        <v>451720</v>
      </c>
      <c r="L202" s="24">
        <f>VLOOKUP($A202,'Channel wise traffic'!$B$2:$P$368,15,FALSE)</f>
        <v>1737387</v>
      </c>
      <c r="M202" s="7">
        <f t="shared" si="12"/>
        <v>6.6039438353807489E-2</v>
      </c>
      <c r="N202" s="7">
        <f t="shared" si="10"/>
        <v>8.3752028081066632E-2</v>
      </c>
      <c r="O202" s="7">
        <f t="shared" ref="O202:O265" si="13">(B202/B195)-1</f>
        <v>8.3333373303954517E-2</v>
      </c>
      <c r="P202" s="7">
        <f t="shared" si="11"/>
        <v>3.8645054922947786E-4</v>
      </c>
      <c r="Q202" s="7" t="e">
        <f>#REF!/B202</f>
        <v>#REF!</v>
      </c>
      <c r="R202" s="7" t="e">
        <f>#REF!/#REF!</f>
        <v>#REF!</v>
      </c>
      <c r="S202" s="7" t="e">
        <f>#REF!/#REF!</f>
        <v>#REF!</v>
      </c>
      <c r="T202" s="7" t="e">
        <f>C202/#REF!</f>
        <v>#REF!</v>
      </c>
    </row>
    <row r="203" spans="1:22" x14ac:dyDescent="0.3">
      <c r="A203" s="2">
        <v>43666</v>
      </c>
      <c r="B203" s="3">
        <v>44440853</v>
      </c>
      <c r="C203" s="42">
        <v>1729156</v>
      </c>
      <c r="D203" s="48">
        <f>VLOOKUP($A203,'Channel wise traffic'!$B$2:$K$368,7,FALSE)</f>
        <v>-161603</v>
      </c>
      <c r="E203" s="24">
        <f>VLOOKUP($A203,'Channel wise traffic'!$B$2:$K$368,8,FALSE)</f>
        <v>-121202</v>
      </c>
      <c r="F203" s="24">
        <f>VLOOKUP($A203,'Channel wise traffic'!$B$2:$K$368,9,FALSE)</f>
        <v>-49379</v>
      </c>
      <c r="G203" s="24">
        <f>VLOOKUP($A203,'Channel wise traffic'!$B$2:$K$368,10,FALSE)</f>
        <v>-116714</v>
      </c>
      <c r="H203" s="48">
        <f>VLOOKUP($A203,'Channel wise traffic'!$B$2:$P$368,11,FALSE)</f>
        <v>0</v>
      </c>
      <c r="I203" s="24">
        <f>VLOOKUP($A203,'Channel wise traffic'!$B$2:$P$368,12,FALSE)</f>
        <v>0</v>
      </c>
      <c r="J203" s="24">
        <f>VLOOKUP($A203,'Channel wise traffic'!$B$2:$P$368,13,FALSE)</f>
        <v>0</v>
      </c>
      <c r="K203" s="51">
        <f>VLOOKUP($A203,'Channel wise traffic'!$B$2:$P$368,14,FALSE)</f>
        <v>0</v>
      </c>
      <c r="L203" s="24">
        <f>VLOOKUP($A203,'Channel wise traffic'!$B$2:$P$368,15,FALSE)</f>
        <v>-448898</v>
      </c>
      <c r="M203" s="7">
        <f t="shared" si="12"/>
        <v>3.8909154151474099E-2</v>
      </c>
      <c r="N203" s="7">
        <f t="shared" ref="N203:N266" si="14">(C203/C196)-1</f>
        <v>-9.6020706524949762E-2</v>
      </c>
      <c r="O203" s="7">
        <f t="shared" si="13"/>
        <v>-9.9999888615998067E-3</v>
      </c>
      <c r="P203" s="7">
        <f t="shared" ref="P203:P266" si="15">(M203/M196)-1</f>
        <v>-8.6889612823776385E-2</v>
      </c>
      <c r="Q203" s="7" t="e">
        <f>#REF!/B203</f>
        <v>#REF!</v>
      </c>
      <c r="R203" s="7" t="e">
        <f>#REF!/#REF!</f>
        <v>#REF!</v>
      </c>
      <c r="S203" s="7" t="e">
        <f>#REF!/#REF!</f>
        <v>#REF!</v>
      </c>
      <c r="T203" s="7" t="e">
        <f>C203/#REF!</f>
        <v>#REF!</v>
      </c>
    </row>
    <row r="204" spans="1:22" x14ac:dyDescent="0.3">
      <c r="A204" s="2">
        <v>43667</v>
      </c>
      <c r="B204" s="3">
        <v>42645263</v>
      </c>
      <c r="C204" s="42">
        <v>1547407</v>
      </c>
      <c r="D204" s="48">
        <f>VLOOKUP($A204,'Channel wise traffic'!$B$2:$K$368,7,FALSE)</f>
        <v>-161603</v>
      </c>
      <c r="E204" s="24">
        <f>VLOOKUP($A204,'Channel wise traffic'!$B$2:$K$368,8,FALSE)</f>
        <v>-121202</v>
      </c>
      <c r="F204" s="24">
        <f>VLOOKUP($A204,'Channel wise traffic'!$B$2:$K$368,9,FALSE)</f>
        <v>-49379</v>
      </c>
      <c r="G204" s="24">
        <f>VLOOKUP($A204,'Channel wise traffic'!$B$2:$K$368,10,FALSE)</f>
        <v>-116713</v>
      </c>
      <c r="H204" s="48">
        <f>VLOOKUP($A204,'Channel wise traffic'!$B$2:$P$368,11,FALSE)</f>
        <v>0</v>
      </c>
      <c r="I204" s="24">
        <f>VLOOKUP($A204,'Channel wise traffic'!$B$2:$P$368,12,FALSE)</f>
        <v>0</v>
      </c>
      <c r="J204" s="24">
        <f>VLOOKUP($A204,'Channel wise traffic'!$B$2:$P$368,13,FALSE)</f>
        <v>0</v>
      </c>
      <c r="K204" s="51">
        <f>VLOOKUP($A204,'Channel wise traffic'!$B$2:$P$368,14,FALSE)</f>
        <v>0</v>
      </c>
      <c r="L204" s="24">
        <f>VLOOKUP($A204,'Channel wise traffic'!$B$2:$P$368,15,FALSE)</f>
        <v>-448897</v>
      </c>
      <c r="M204" s="7">
        <f t="shared" si="12"/>
        <v>3.6285554154045198E-2</v>
      </c>
      <c r="N204" s="7">
        <f t="shared" si="14"/>
        <v>-0.14096703779861175</v>
      </c>
      <c r="O204" s="7">
        <f t="shared" si="13"/>
        <v>-1.0416655064166447E-2</v>
      </c>
      <c r="P204" s="7">
        <f t="shared" si="15"/>
        <v>-0.13192459574277737</v>
      </c>
      <c r="Q204" s="7" t="e">
        <f>#REF!/B204</f>
        <v>#REF!</v>
      </c>
      <c r="R204" s="7" t="e">
        <f>#REF!/#REF!</f>
        <v>#REF!</v>
      </c>
      <c r="S204" s="7" t="e">
        <f>#REF!/#REF!</f>
        <v>#REF!</v>
      </c>
      <c r="T204" s="7" t="e">
        <f>C204/#REF!</f>
        <v>#REF!</v>
      </c>
    </row>
    <row r="205" spans="1:22" x14ac:dyDescent="0.3">
      <c r="A205" s="2">
        <v>43668</v>
      </c>
      <c r="B205" s="3">
        <v>21500167</v>
      </c>
      <c r="C205" s="42">
        <v>1286871</v>
      </c>
      <c r="D205" s="48">
        <f>VLOOKUP($A205,'Channel wise traffic'!$B$2:$K$368,7,FALSE)</f>
        <v>0</v>
      </c>
      <c r="E205" s="24">
        <f>VLOOKUP($A205,'Channel wise traffic'!$B$2:$K$368,8,FALSE)</f>
        <v>0</v>
      </c>
      <c r="F205" s="24">
        <f>VLOOKUP($A205,'Channel wise traffic'!$B$2:$K$368,9,FALSE)</f>
        <v>0</v>
      </c>
      <c r="G205" s="24">
        <f>VLOOKUP($A205,'Channel wise traffic'!$B$2:$K$368,10,FALSE)</f>
        <v>0</v>
      </c>
      <c r="H205" s="48">
        <f>VLOOKUP($A205,'Channel wise traffic'!$B$2:$P$368,11,FALSE)</f>
        <v>0</v>
      </c>
      <c r="I205" s="24">
        <f>VLOOKUP($A205,'Channel wise traffic'!$B$2:$P$368,12,FALSE)</f>
        <v>0</v>
      </c>
      <c r="J205" s="24">
        <f>VLOOKUP($A205,'Channel wise traffic'!$B$2:$P$368,13,FALSE)</f>
        <v>0</v>
      </c>
      <c r="K205" s="51">
        <f>VLOOKUP($A205,'Channel wise traffic'!$B$2:$P$368,14,FALSE)</f>
        <v>0</v>
      </c>
      <c r="L205" s="24">
        <f>VLOOKUP($A205,'Channel wise traffic'!$B$2:$P$368,15,FALSE)</f>
        <v>0</v>
      </c>
      <c r="M205" s="7">
        <f t="shared" si="12"/>
        <v>5.9854000203812367E-2</v>
      </c>
      <c r="N205" s="7">
        <f t="shared" si="14"/>
        <v>-9.0266927359072824E-3</v>
      </c>
      <c r="O205" s="7">
        <f t="shared" si="13"/>
        <v>0</v>
      </c>
      <c r="P205" s="7">
        <f t="shared" si="15"/>
        <v>-9.0266927359072824E-3</v>
      </c>
      <c r="Q205" s="7" t="e">
        <f>#REF!/B205</f>
        <v>#REF!</v>
      </c>
      <c r="R205" s="7" t="e">
        <f>#REF!/#REF!</f>
        <v>#REF!</v>
      </c>
      <c r="S205" s="7" t="e">
        <f>#REF!/#REF!</f>
        <v>#REF!</v>
      </c>
      <c r="T205" s="7" t="e">
        <f>C205/#REF!</f>
        <v>#REF!</v>
      </c>
    </row>
    <row r="206" spans="1:22" x14ac:dyDescent="0.3">
      <c r="A206" s="15">
        <v>43669</v>
      </c>
      <c r="B206" s="16">
        <v>21282993</v>
      </c>
      <c r="C206" s="46">
        <v>1172435</v>
      </c>
      <c r="D206" s="48">
        <f>VLOOKUP($A206,'Channel wise traffic'!$B$2:$K$368,7,FALSE)</f>
        <v>0</v>
      </c>
      <c r="E206" s="24">
        <f>VLOOKUP($A206,'Channel wise traffic'!$B$2:$K$368,8,FALSE)</f>
        <v>0</v>
      </c>
      <c r="F206" s="24">
        <f>VLOOKUP($A206,'Channel wise traffic'!$B$2:$K$368,9,FALSE)</f>
        <v>0</v>
      </c>
      <c r="G206" s="24">
        <f>VLOOKUP($A206,'Channel wise traffic'!$B$2:$K$368,10,FALSE)</f>
        <v>0</v>
      </c>
      <c r="H206" s="48">
        <f>VLOOKUP($A206,'Channel wise traffic'!$B$2:$P$368,11,FALSE)</f>
        <v>234547</v>
      </c>
      <c r="I206" s="24">
        <f>VLOOKUP($A206,'Channel wise traffic'!$B$2:$P$368,12,FALSE)</f>
        <v>175911</v>
      </c>
      <c r="J206" s="24">
        <f>VLOOKUP($A206,'Channel wise traffic'!$B$2:$P$368,13,FALSE)</f>
        <v>71667</v>
      </c>
      <c r="K206" s="51">
        <f>VLOOKUP($A206,'Channel wise traffic'!$B$2:$P$368,14,FALSE)</f>
        <v>169395</v>
      </c>
      <c r="L206" s="24">
        <f>VLOOKUP($A206,'Channel wise traffic'!$B$2:$P$368,15,FALSE)</f>
        <v>651520</v>
      </c>
      <c r="M206" s="17">
        <f t="shared" si="12"/>
        <v>5.5087881671529941E-2</v>
      </c>
      <c r="N206" s="13">
        <f t="shared" si="14"/>
        <v>1.3503180372102532</v>
      </c>
      <c r="O206" s="13">
        <f t="shared" si="13"/>
        <v>3.1578937674493712E-2</v>
      </c>
      <c r="P206" s="17">
        <f t="shared" si="15"/>
        <v>1.2783695472773182</v>
      </c>
      <c r="Q206" s="17" t="e">
        <f>#REF!/B206</f>
        <v>#REF!</v>
      </c>
      <c r="R206" s="17" t="e">
        <f>#REF!/#REF!</f>
        <v>#REF!</v>
      </c>
      <c r="S206" s="17" t="e">
        <f>#REF!/#REF!</f>
        <v>#REF!</v>
      </c>
      <c r="T206" s="17" t="e">
        <f>C206/#REF!</f>
        <v>#REF!</v>
      </c>
    </row>
    <row r="207" spans="1:22" x14ac:dyDescent="0.3">
      <c r="A207" s="2">
        <v>43670</v>
      </c>
      <c r="B207" s="3">
        <v>21934513</v>
      </c>
      <c r="C207" s="42">
        <v>1297775</v>
      </c>
      <c r="D207" s="48">
        <f>VLOOKUP($A207,'Channel wise traffic'!$B$2:$K$368,7,FALSE)</f>
        <v>0</v>
      </c>
      <c r="E207" s="24">
        <f>VLOOKUP($A207,'Channel wise traffic'!$B$2:$K$368,8,FALSE)</f>
        <v>0</v>
      </c>
      <c r="F207" s="24">
        <f>VLOOKUP($A207,'Channel wise traffic'!$B$2:$K$368,9,FALSE)</f>
        <v>0</v>
      </c>
      <c r="G207" s="24">
        <f>VLOOKUP($A207,'Channel wise traffic'!$B$2:$K$368,10,FALSE)</f>
        <v>0</v>
      </c>
      <c r="H207" s="48">
        <f>VLOOKUP($A207,'Channel wise traffic'!$B$2:$P$368,11,FALSE)</f>
        <v>156364</v>
      </c>
      <c r="I207" s="24">
        <f>VLOOKUP($A207,'Channel wise traffic'!$B$2:$P$368,12,FALSE)</f>
        <v>117273</v>
      </c>
      <c r="J207" s="24">
        <f>VLOOKUP($A207,'Channel wise traffic'!$B$2:$P$368,13,FALSE)</f>
        <v>47778</v>
      </c>
      <c r="K207" s="51">
        <f>VLOOKUP($A207,'Channel wise traffic'!$B$2:$P$368,14,FALSE)</f>
        <v>112930</v>
      </c>
      <c r="L207" s="24">
        <f>VLOOKUP($A207,'Channel wise traffic'!$B$2:$P$368,15,FALSE)</f>
        <v>434345</v>
      </c>
      <c r="M207" s="7">
        <f t="shared" si="12"/>
        <v>5.9165890758550235E-2</v>
      </c>
      <c r="N207" s="7">
        <f t="shared" si="14"/>
        <v>9.2763758052085699E-3</v>
      </c>
      <c r="O207" s="7">
        <f t="shared" si="13"/>
        <v>2.0201982617158221E-2</v>
      </c>
      <c r="P207" s="7">
        <f t="shared" si="15"/>
        <v>-1.0709258556743761E-2</v>
      </c>
      <c r="Q207" s="7" t="e">
        <f>#REF!/B207</f>
        <v>#REF!</v>
      </c>
      <c r="R207" s="7" t="e">
        <f>#REF!/#REF!</f>
        <v>#REF!</v>
      </c>
      <c r="S207" s="7" t="e">
        <f>#REF!/#REF!</f>
        <v>#REF!</v>
      </c>
      <c r="T207" s="7" t="e">
        <f>C207/#REF!</f>
        <v>#REF!</v>
      </c>
    </row>
    <row r="208" spans="1:22" x14ac:dyDescent="0.3">
      <c r="A208" s="2">
        <v>43671</v>
      </c>
      <c r="B208" s="3">
        <v>20631473</v>
      </c>
      <c r="C208" s="42">
        <v>1296231</v>
      </c>
      <c r="D208" s="48">
        <f>VLOOKUP($A208,'Channel wise traffic'!$B$2:$K$368,7,FALSE)</f>
        <v>-547277</v>
      </c>
      <c r="E208" s="24">
        <f>VLOOKUP($A208,'Channel wise traffic'!$B$2:$K$368,8,FALSE)</f>
        <v>-410458</v>
      </c>
      <c r="F208" s="24">
        <f>VLOOKUP($A208,'Channel wise traffic'!$B$2:$K$368,9,FALSE)</f>
        <v>-167223</v>
      </c>
      <c r="G208" s="24">
        <f>VLOOKUP($A208,'Channel wise traffic'!$B$2:$K$368,10,FALSE)</f>
        <v>-395255</v>
      </c>
      <c r="H208" s="48">
        <f>VLOOKUP($A208,'Channel wise traffic'!$B$2:$P$368,11,FALSE)</f>
        <v>0</v>
      </c>
      <c r="I208" s="24">
        <f>VLOOKUP($A208,'Channel wise traffic'!$B$2:$P$368,12,FALSE)</f>
        <v>0</v>
      </c>
      <c r="J208" s="24">
        <f>VLOOKUP($A208,'Channel wise traffic'!$B$2:$P$368,13,FALSE)</f>
        <v>0</v>
      </c>
      <c r="K208" s="51">
        <f>VLOOKUP($A208,'Channel wise traffic'!$B$2:$P$368,14,FALSE)</f>
        <v>0</v>
      </c>
      <c r="L208" s="24">
        <f>VLOOKUP($A208,'Channel wise traffic'!$B$2:$P$368,15,FALSE)</f>
        <v>-1520213</v>
      </c>
      <c r="M208" s="7">
        <f t="shared" si="12"/>
        <v>6.2827845592992801E-2</v>
      </c>
      <c r="N208" s="7">
        <f t="shared" si="14"/>
        <v>-0.10337316478461622</v>
      </c>
      <c r="O208" s="7">
        <f t="shared" si="13"/>
        <v>-6.8627459389436152E-2</v>
      </c>
      <c r="P208" s="7">
        <f t="shared" si="15"/>
        <v>-3.730591560322627E-2</v>
      </c>
      <c r="Q208" s="7" t="e">
        <f>#REF!/B208</f>
        <v>#REF!</v>
      </c>
      <c r="R208" s="7" t="e">
        <f>#REF!/#REF!</f>
        <v>#REF!</v>
      </c>
      <c r="S208" s="7" t="e">
        <f>#REF!/#REF!</f>
        <v>#REF!</v>
      </c>
      <c r="T208" s="7" t="e">
        <f>C208/#REF!</f>
        <v>#REF!</v>
      </c>
    </row>
    <row r="209" spans="1:20" x14ac:dyDescent="0.3">
      <c r="A209" s="2">
        <v>43672</v>
      </c>
      <c r="B209" s="3">
        <v>21065820</v>
      </c>
      <c r="C209" s="42">
        <v>1246273</v>
      </c>
      <c r="D209" s="48">
        <f>VLOOKUP($A209,'Channel wise traffic'!$B$2:$K$368,7,FALSE)</f>
        <v>-547277</v>
      </c>
      <c r="E209" s="24">
        <f>VLOOKUP($A209,'Channel wise traffic'!$B$2:$K$368,8,FALSE)</f>
        <v>-410458</v>
      </c>
      <c r="F209" s="24">
        <f>VLOOKUP($A209,'Channel wise traffic'!$B$2:$K$368,9,FALSE)</f>
        <v>-167223</v>
      </c>
      <c r="G209" s="24">
        <f>VLOOKUP($A209,'Channel wise traffic'!$B$2:$K$368,10,FALSE)</f>
        <v>-395255</v>
      </c>
      <c r="H209" s="48">
        <f>VLOOKUP($A209,'Channel wise traffic'!$B$2:$P$368,11,FALSE)</f>
        <v>0</v>
      </c>
      <c r="I209" s="24">
        <f>VLOOKUP($A209,'Channel wise traffic'!$B$2:$P$368,12,FALSE)</f>
        <v>0</v>
      </c>
      <c r="J209" s="24">
        <f>VLOOKUP($A209,'Channel wise traffic'!$B$2:$P$368,13,FALSE)</f>
        <v>0</v>
      </c>
      <c r="K209" s="51">
        <f>VLOOKUP($A209,'Channel wise traffic'!$B$2:$P$368,14,FALSE)</f>
        <v>0</v>
      </c>
      <c r="L209" s="24">
        <f>VLOOKUP($A209,'Channel wise traffic'!$B$2:$P$368,15,FALSE)</f>
        <v>-1520213</v>
      </c>
      <c r="M209" s="7">
        <f t="shared" si="12"/>
        <v>5.916090615034212E-2</v>
      </c>
      <c r="N209" s="7">
        <f t="shared" si="14"/>
        <v>-0.16445501347909486</v>
      </c>
      <c r="O209" s="7">
        <f t="shared" si="13"/>
        <v>-6.7307699970698742E-2</v>
      </c>
      <c r="P209" s="7">
        <f t="shared" si="15"/>
        <v>-0.10415794523589839</v>
      </c>
      <c r="Q209" s="7" t="e">
        <f>#REF!/B209</f>
        <v>#REF!</v>
      </c>
      <c r="R209" s="7" t="e">
        <f>#REF!/#REF!</f>
        <v>#REF!</v>
      </c>
      <c r="S209" s="7" t="e">
        <f>#REF!/#REF!</f>
        <v>#REF!</v>
      </c>
      <c r="T209" s="7" t="e">
        <f>C209/#REF!</f>
        <v>#REF!</v>
      </c>
    </row>
    <row r="210" spans="1:20" x14ac:dyDescent="0.3">
      <c r="A210" s="2">
        <v>43673</v>
      </c>
      <c r="B210" s="3">
        <v>44889750</v>
      </c>
      <c r="C210" s="42">
        <v>1698799</v>
      </c>
      <c r="D210" s="48">
        <f>VLOOKUP($A210,'Channel wise traffic'!$B$2:$K$368,7,FALSE)</f>
        <v>0</v>
      </c>
      <c r="E210" s="24">
        <f>VLOOKUP($A210,'Channel wise traffic'!$B$2:$K$368,8,FALSE)</f>
        <v>0</v>
      </c>
      <c r="F210" s="24">
        <f>VLOOKUP($A210,'Channel wise traffic'!$B$2:$K$368,9,FALSE)</f>
        <v>0</v>
      </c>
      <c r="G210" s="24">
        <f>VLOOKUP($A210,'Channel wise traffic'!$B$2:$K$368,10,FALSE)</f>
        <v>0</v>
      </c>
      <c r="H210" s="48">
        <f>VLOOKUP($A210,'Channel wise traffic'!$B$2:$P$368,11,FALSE)</f>
        <v>161603</v>
      </c>
      <c r="I210" s="24">
        <f>VLOOKUP($A210,'Channel wise traffic'!$B$2:$P$368,12,FALSE)</f>
        <v>121202</v>
      </c>
      <c r="J210" s="24">
        <f>VLOOKUP($A210,'Channel wise traffic'!$B$2:$P$368,13,FALSE)</f>
        <v>49379</v>
      </c>
      <c r="K210" s="51">
        <f>VLOOKUP($A210,'Channel wise traffic'!$B$2:$P$368,14,FALSE)</f>
        <v>116714</v>
      </c>
      <c r="L210" s="24">
        <f>VLOOKUP($A210,'Channel wise traffic'!$B$2:$P$368,15,FALSE)</f>
        <v>448898</v>
      </c>
      <c r="M210" s="7">
        <f t="shared" si="12"/>
        <v>3.7843806214113464E-2</v>
      </c>
      <c r="N210" s="7">
        <f t="shared" si="14"/>
        <v>-1.7555963718715928E-2</v>
      </c>
      <c r="O210" s="7">
        <f t="shared" si="13"/>
        <v>1.0100998736455313E-2</v>
      </c>
      <c r="P210" s="7">
        <f t="shared" si="15"/>
        <v>-2.7380393138674131E-2</v>
      </c>
      <c r="Q210" s="7" t="e">
        <f>#REF!/B210</f>
        <v>#REF!</v>
      </c>
      <c r="R210" s="7" t="e">
        <f>#REF!/#REF!</f>
        <v>#REF!</v>
      </c>
      <c r="S210" s="7" t="e">
        <f>#REF!/#REF!</f>
        <v>#REF!</v>
      </c>
      <c r="T210" s="7" t="e">
        <f>C210/#REF!</f>
        <v>#REF!</v>
      </c>
    </row>
    <row r="211" spans="1:20" x14ac:dyDescent="0.3">
      <c r="A211" s="2">
        <v>43674</v>
      </c>
      <c r="B211" s="3">
        <v>43543058</v>
      </c>
      <c r="C211" s="42">
        <v>1660696</v>
      </c>
      <c r="D211" s="48">
        <f>VLOOKUP($A211,'Channel wise traffic'!$B$2:$K$368,7,FALSE)</f>
        <v>0</v>
      </c>
      <c r="E211" s="24">
        <f>VLOOKUP($A211,'Channel wise traffic'!$B$2:$K$368,8,FALSE)</f>
        <v>0</v>
      </c>
      <c r="F211" s="24">
        <f>VLOOKUP($A211,'Channel wise traffic'!$B$2:$K$368,9,FALSE)</f>
        <v>0</v>
      </c>
      <c r="G211" s="24">
        <f>VLOOKUP($A211,'Channel wise traffic'!$B$2:$K$368,10,FALSE)</f>
        <v>0</v>
      </c>
      <c r="H211" s="48">
        <f>VLOOKUP($A211,'Channel wise traffic'!$B$2:$P$368,11,FALSE)</f>
        <v>323206</v>
      </c>
      <c r="I211" s="24">
        <f>VLOOKUP($A211,'Channel wise traffic'!$B$2:$P$368,12,FALSE)</f>
        <v>242404</v>
      </c>
      <c r="J211" s="24">
        <f>VLOOKUP($A211,'Channel wise traffic'!$B$2:$P$368,13,FALSE)</f>
        <v>98758</v>
      </c>
      <c r="K211" s="51">
        <f>VLOOKUP($A211,'Channel wise traffic'!$B$2:$P$368,14,FALSE)</f>
        <v>233427</v>
      </c>
      <c r="L211" s="24">
        <f>VLOOKUP($A211,'Channel wise traffic'!$B$2:$P$368,15,FALSE)</f>
        <v>897795</v>
      </c>
      <c r="M211" s="7">
        <f t="shared" si="12"/>
        <v>3.8139167901344917E-2</v>
      </c>
      <c r="N211" s="7">
        <f t="shared" si="14"/>
        <v>7.3212154268398777E-2</v>
      </c>
      <c r="O211" s="7">
        <f t="shared" si="13"/>
        <v>2.1052631332113103E-2</v>
      </c>
      <c r="P211" s="7">
        <f t="shared" si="15"/>
        <v>5.1084068867474519E-2</v>
      </c>
      <c r="Q211" s="7" t="e">
        <f>#REF!/B211</f>
        <v>#REF!</v>
      </c>
      <c r="R211" s="7" t="e">
        <f>#REF!/#REF!</f>
        <v>#REF!</v>
      </c>
      <c r="S211" s="7" t="e">
        <f>#REF!/#REF!</f>
        <v>#REF!</v>
      </c>
      <c r="T211" s="7" t="e">
        <f>C211/#REF!</f>
        <v>#REF!</v>
      </c>
    </row>
    <row r="212" spans="1:20" x14ac:dyDescent="0.3">
      <c r="A212" s="2">
        <v>43675</v>
      </c>
      <c r="B212" s="3">
        <v>21500167</v>
      </c>
      <c r="C212" s="42">
        <v>1298037</v>
      </c>
      <c r="D212" s="48">
        <f>VLOOKUP($A212,'Channel wise traffic'!$B$2:$K$368,7,FALSE)</f>
        <v>0</v>
      </c>
      <c r="E212" s="24">
        <f>VLOOKUP($A212,'Channel wise traffic'!$B$2:$K$368,8,FALSE)</f>
        <v>0</v>
      </c>
      <c r="F212" s="24">
        <f>VLOOKUP($A212,'Channel wise traffic'!$B$2:$K$368,9,FALSE)</f>
        <v>0</v>
      </c>
      <c r="G212" s="24">
        <f>VLOOKUP($A212,'Channel wise traffic'!$B$2:$K$368,10,FALSE)</f>
        <v>0</v>
      </c>
      <c r="H212" s="48">
        <f>VLOOKUP($A212,'Channel wise traffic'!$B$2:$P$368,11,FALSE)</f>
        <v>0</v>
      </c>
      <c r="I212" s="24">
        <f>VLOOKUP($A212,'Channel wise traffic'!$B$2:$P$368,12,FALSE)</f>
        <v>0</v>
      </c>
      <c r="J212" s="24">
        <f>VLOOKUP($A212,'Channel wise traffic'!$B$2:$P$368,13,FALSE)</f>
        <v>0</v>
      </c>
      <c r="K212" s="51">
        <f>VLOOKUP($A212,'Channel wise traffic'!$B$2:$P$368,14,FALSE)</f>
        <v>0</v>
      </c>
      <c r="L212" s="24">
        <f>VLOOKUP($A212,'Channel wise traffic'!$B$2:$P$368,15,FALSE)</f>
        <v>0</v>
      </c>
      <c r="M212" s="7">
        <f t="shared" si="12"/>
        <v>6.0373345007041106E-2</v>
      </c>
      <c r="N212" s="7">
        <f t="shared" si="14"/>
        <v>8.6768603846072434E-3</v>
      </c>
      <c r="O212" s="7">
        <f t="shared" si="13"/>
        <v>0</v>
      </c>
      <c r="P212" s="7">
        <f t="shared" si="15"/>
        <v>8.6768603846072434E-3</v>
      </c>
      <c r="Q212" s="7" t="e">
        <f>#REF!/B212</f>
        <v>#REF!</v>
      </c>
      <c r="R212" s="7" t="e">
        <f>#REF!/#REF!</f>
        <v>#REF!</v>
      </c>
      <c r="S212" s="7" t="e">
        <f>#REF!/#REF!</f>
        <v>#REF!</v>
      </c>
      <c r="T212" s="7" t="e">
        <f>C212/#REF!</f>
        <v>#REF!</v>
      </c>
    </row>
    <row r="213" spans="1:20" x14ac:dyDescent="0.3">
      <c r="A213" s="2">
        <v>43676</v>
      </c>
      <c r="B213" s="3">
        <v>20848646</v>
      </c>
      <c r="C213" s="42">
        <v>1208363</v>
      </c>
      <c r="D213" s="48">
        <f>VLOOKUP($A213,'Channel wise traffic'!$B$2:$K$368,7,FALSE)</f>
        <v>-156365</v>
      </c>
      <c r="E213" s="24">
        <f>VLOOKUP($A213,'Channel wise traffic'!$B$2:$K$368,8,FALSE)</f>
        <v>-117274</v>
      </c>
      <c r="F213" s="24">
        <f>VLOOKUP($A213,'Channel wise traffic'!$B$2:$K$368,9,FALSE)</f>
        <v>-47778</v>
      </c>
      <c r="G213" s="24">
        <f>VLOOKUP($A213,'Channel wise traffic'!$B$2:$K$368,10,FALSE)</f>
        <v>-112930</v>
      </c>
      <c r="H213" s="48">
        <f>VLOOKUP($A213,'Channel wise traffic'!$B$2:$P$368,11,FALSE)</f>
        <v>0</v>
      </c>
      <c r="I213" s="24">
        <f>VLOOKUP($A213,'Channel wise traffic'!$B$2:$P$368,12,FALSE)</f>
        <v>0</v>
      </c>
      <c r="J213" s="24">
        <f>VLOOKUP($A213,'Channel wise traffic'!$B$2:$P$368,13,FALSE)</f>
        <v>0</v>
      </c>
      <c r="K213" s="51">
        <f>VLOOKUP($A213,'Channel wise traffic'!$B$2:$P$368,14,FALSE)</f>
        <v>0</v>
      </c>
      <c r="L213" s="24">
        <f>VLOOKUP($A213,'Channel wise traffic'!$B$2:$P$368,15,FALSE)</f>
        <v>-434347</v>
      </c>
      <c r="M213" s="7">
        <f t="shared" si="12"/>
        <v>5.7958823800835793E-2</v>
      </c>
      <c r="N213" s="7">
        <f t="shared" si="14"/>
        <v>3.064391629386698E-2</v>
      </c>
      <c r="O213" s="7">
        <f t="shared" si="13"/>
        <v>-2.0408172854259776E-2</v>
      </c>
      <c r="P213" s="7">
        <f t="shared" si="15"/>
        <v>5.2115674848858706E-2</v>
      </c>
      <c r="Q213" s="7" t="e">
        <f>#REF!/B213</f>
        <v>#REF!</v>
      </c>
      <c r="R213" s="7" t="e">
        <f>#REF!/#REF!</f>
        <v>#REF!</v>
      </c>
      <c r="S213" s="7" t="e">
        <f>#REF!/#REF!</f>
        <v>#REF!</v>
      </c>
      <c r="T213" s="7" t="e">
        <f>C213/#REF!</f>
        <v>#REF!</v>
      </c>
    </row>
    <row r="214" spans="1:20" x14ac:dyDescent="0.3">
      <c r="A214" s="2">
        <v>43677</v>
      </c>
      <c r="B214" s="3">
        <v>22368860</v>
      </c>
      <c r="C214" s="42">
        <v>1322295</v>
      </c>
      <c r="D214" s="48">
        <f>VLOOKUP($A214,'Channel wise traffic'!$B$2:$K$368,7,FALSE)</f>
        <v>0</v>
      </c>
      <c r="E214" s="24">
        <f>VLOOKUP($A214,'Channel wise traffic'!$B$2:$K$368,8,FALSE)</f>
        <v>0</v>
      </c>
      <c r="F214" s="24">
        <f>VLOOKUP($A214,'Channel wise traffic'!$B$2:$K$368,9,FALSE)</f>
        <v>0</v>
      </c>
      <c r="G214" s="24">
        <f>VLOOKUP($A214,'Channel wise traffic'!$B$2:$K$368,10,FALSE)</f>
        <v>0</v>
      </c>
      <c r="H214" s="48">
        <f>VLOOKUP($A214,'Channel wise traffic'!$B$2:$P$368,11,FALSE)</f>
        <v>156365</v>
      </c>
      <c r="I214" s="24">
        <f>VLOOKUP($A214,'Channel wise traffic'!$B$2:$P$368,12,FALSE)</f>
        <v>117274</v>
      </c>
      <c r="J214" s="24">
        <f>VLOOKUP($A214,'Channel wise traffic'!$B$2:$P$368,13,FALSE)</f>
        <v>47778</v>
      </c>
      <c r="K214" s="51">
        <f>VLOOKUP($A214,'Channel wise traffic'!$B$2:$P$368,14,FALSE)</f>
        <v>112930</v>
      </c>
      <c r="L214" s="24">
        <f>VLOOKUP($A214,'Channel wise traffic'!$B$2:$P$368,15,FALSE)</f>
        <v>434347</v>
      </c>
      <c r="M214" s="7">
        <f t="shared" si="12"/>
        <v>5.9113204696171373E-2</v>
      </c>
      <c r="N214" s="7">
        <f t="shared" si="14"/>
        <v>1.8893876057097803E-2</v>
      </c>
      <c r="O214" s="7">
        <f t="shared" si="13"/>
        <v>1.9801989677181275E-2</v>
      </c>
      <c r="P214" s="7">
        <f t="shared" si="15"/>
        <v>-8.9048033763017287E-4</v>
      </c>
      <c r="Q214" s="7" t="e">
        <f>#REF!/B214</f>
        <v>#REF!</v>
      </c>
      <c r="R214" s="7" t="e">
        <f>#REF!/#REF!</f>
        <v>#REF!</v>
      </c>
      <c r="S214" s="7" t="e">
        <f>#REF!/#REF!</f>
        <v>#REF!</v>
      </c>
      <c r="T214" s="7" t="e">
        <f>C214/#REF!</f>
        <v>#REF!</v>
      </c>
    </row>
    <row r="215" spans="1:20" x14ac:dyDescent="0.3">
      <c r="A215" s="2">
        <v>43678</v>
      </c>
      <c r="B215" s="3">
        <v>22151687</v>
      </c>
      <c r="C215" s="42">
        <v>1506632</v>
      </c>
      <c r="D215" s="48">
        <f>VLOOKUP($A215,'Channel wise traffic'!$B$2:$K$368,7,FALSE)</f>
        <v>0</v>
      </c>
      <c r="E215" s="24">
        <f>VLOOKUP($A215,'Channel wise traffic'!$B$2:$K$368,8,FALSE)</f>
        <v>0</v>
      </c>
      <c r="F215" s="24">
        <f>VLOOKUP($A215,'Channel wise traffic'!$B$2:$K$368,9,FALSE)</f>
        <v>0</v>
      </c>
      <c r="G215" s="24">
        <f>VLOOKUP($A215,'Channel wise traffic'!$B$2:$K$368,10,FALSE)</f>
        <v>0</v>
      </c>
      <c r="H215" s="48">
        <f>VLOOKUP($A215,'Channel wise traffic'!$B$2:$P$368,11,FALSE)</f>
        <v>547277</v>
      </c>
      <c r="I215" s="24">
        <f>VLOOKUP($A215,'Channel wise traffic'!$B$2:$P$368,12,FALSE)</f>
        <v>410458</v>
      </c>
      <c r="J215" s="24">
        <f>VLOOKUP($A215,'Channel wise traffic'!$B$2:$P$368,13,FALSE)</f>
        <v>167223</v>
      </c>
      <c r="K215" s="51">
        <f>VLOOKUP($A215,'Channel wise traffic'!$B$2:$P$368,14,FALSE)</f>
        <v>395255</v>
      </c>
      <c r="L215" s="24">
        <f>VLOOKUP($A215,'Channel wise traffic'!$B$2:$P$368,15,FALSE)</f>
        <v>1520213</v>
      </c>
      <c r="M215" s="7">
        <f t="shared" si="12"/>
        <v>6.8014323243191371E-2</v>
      </c>
      <c r="N215" s="7">
        <f t="shared" si="14"/>
        <v>0.16231751902245817</v>
      </c>
      <c r="O215" s="7">
        <f t="shared" si="13"/>
        <v>7.3684220220243013E-2</v>
      </c>
      <c r="P215" s="7">
        <f t="shared" si="15"/>
        <v>8.2550620688114362E-2</v>
      </c>
      <c r="Q215" s="7" t="e">
        <f>#REF!/B215</f>
        <v>#REF!</v>
      </c>
      <c r="R215" s="7" t="e">
        <f>#REF!/#REF!</f>
        <v>#REF!</v>
      </c>
      <c r="S215" s="7" t="e">
        <f>#REF!/#REF!</f>
        <v>#REF!</v>
      </c>
      <c r="T215" s="7" t="e">
        <f>C215/#REF!</f>
        <v>#REF!</v>
      </c>
    </row>
    <row r="216" spans="1:20" x14ac:dyDescent="0.3">
      <c r="A216" s="2">
        <v>43679</v>
      </c>
      <c r="B216" s="3">
        <v>22803207</v>
      </c>
      <c r="C216" s="42">
        <v>1322439</v>
      </c>
      <c r="D216" s="48">
        <f>VLOOKUP($A216,'Channel wise traffic'!$B$2:$K$368,7,FALSE)</f>
        <v>0</v>
      </c>
      <c r="E216" s="24">
        <f>VLOOKUP($A216,'Channel wise traffic'!$B$2:$K$368,8,FALSE)</f>
        <v>0</v>
      </c>
      <c r="F216" s="24">
        <f>VLOOKUP($A216,'Channel wise traffic'!$B$2:$K$368,9,FALSE)</f>
        <v>0</v>
      </c>
      <c r="G216" s="24">
        <f>VLOOKUP($A216,'Channel wise traffic'!$B$2:$K$368,10,FALSE)</f>
        <v>0</v>
      </c>
      <c r="H216" s="48">
        <f>VLOOKUP($A216,'Channel wise traffic'!$B$2:$P$368,11,FALSE)</f>
        <v>625459</v>
      </c>
      <c r="I216" s="24">
        <f>VLOOKUP($A216,'Channel wise traffic'!$B$2:$P$368,12,FALSE)</f>
        <v>469095</v>
      </c>
      <c r="J216" s="24">
        <f>VLOOKUP($A216,'Channel wise traffic'!$B$2:$P$368,13,FALSE)</f>
        <v>191112</v>
      </c>
      <c r="K216" s="51">
        <f>VLOOKUP($A216,'Channel wise traffic'!$B$2:$P$368,14,FALSE)</f>
        <v>451720</v>
      </c>
      <c r="L216" s="24">
        <f>VLOOKUP($A216,'Channel wise traffic'!$B$2:$P$368,15,FALSE)</f>
        <v>1737386</v>
      </c>
      <c r="M216" s="7">
        <f t="shared" si="12"/>
        <v>5.7993553275203794E-2</v>
      </c>
      <c r="N216" s="7">
        <f t="shared" si="14"/>
        <v>6.1115020545257748E-2</v>
      </c>
      <c r="O216" s="7">
        <f t="shared" si="13"/>
        <v>8.2474216527056665E-2</v>
      </c>
      <c r="P216" s="7">
        <f t="shared" si="15"/>
        <v>-1.9731828856234923E-2</v>
      </c>
      <c r="Q216" s="7" t="e">
        <f>#REF!/B216</f>
        <v>#REF!</v>
      </c>
      <c r="R216" s="7" t="e">
        <f>#REF!/#REF!</f>
        <v>#REF!</v>
      </c>
      <c r="S216" s="7" t="e">
        <f>#REF!/#REF!</f>
        <v>#REF!</v>
      </c>
      <c r="T216" s="7" t="e">
        <f>C216/#REF!</f>
        <v>#REF!</v>
      </c>
    </row>
    <row r="217" spans="1:20" x14ac:dyDescent="0.3">
      <c r="A217" s="2">
        <v>43680</v>
      </c>
      <c r="B217" s="3">
        <v>45338648</v>
      </c>
      <c r="C217" s="42">
        <v>1782233</v>
      </c>
      <c r="D217" s="48">
        <f>VLOOKUP($A217,'Channel wise traffic'!$B$2:$K$368,7,FALSE)</f>
        <v>0</v>
      </c>
      <c r="E217" s="24">
        <f>VLOOKUP($A217,'Channel wise traffic'!$B$2:$K$368,8,FALSE)</f>
        <v>0</v>
      </c>
      <c r="F217" s="24">
        <f>VLOOKUP($A217,'Channel wise traffic'!$B$2:$K$368,9,FALSE)</f>
        <v>0</v>
      </c>
      <c r="G217" s="24">
        <f>VLOOKUP($A217,'Channel wise traffic'!$B$2:$K$368,10,FALSE)</f>
        <v>0</v>
      </c>
      <c r="H217" s="48">
        <f>VLOOKUP($A217,'Channel wise traffic'!$B$2:$P$368,11,FALSE)</f>
        <v>161603</v>
      </c>
      <c r="I217" s="24">
        <f>VLOOKUP($A217,'Channel wise traffic'!$B$2:$P$368,12,FALSE)</f>
        <v>121203</v>
      </c>
      <c r="J217" s="24">
        <f>VLOOKUP($A217,'Channel wise traffic'!$B$2:$P$368,13,FALSE)</f>
        <v>49379</v>
      </c>
      <c r="K217" s="51">
        <f>VLOOKUP($A217,'Channel wise traffic'!$B$2:$P$368,14,FALSE)</f>
        <v>116713</v>
      </c>
      <c r="L217" s="24">
        <f>VLOOKUP($A217,'Channel wise traffic'!$B$2:$P$368,15,FALSE)</f>
        <v>448898</v>
      </c>
      <c r="M217" s="7">
        <f t="shared" si="12"/>
        <v>3.930935479152356E-2</v>
      </c>
      <c r="N217" s="7">
        <f t="shared" si="14"/>
        <v>4.9113520787332776E-2</v>
      </c>
      <c r="O217" s="7">
        <f t="shared" si="13"/>
        <v>1.0000011138400211E-2</v>
      </c>
      <c r="P217" s="7">
        <f t="shared" si="15"/>
        <v>3.8726246750083293E-2</v>
      </c>
      <c r="Q217" s="7" t="e">
        <f>#REF!/B217</f>
        <v>#REF!</v>
      </c>
      <c r="R217" s="7" t="e">
        <f>#REF!/#REF!</f>
        <v>#REF!</v>
      </c>
      <c r="S217" s="7" t="e">
        <f>#REF!/#REF!</f>
        <v>#REF!</v>
      </c>
      <c r="T217" s="7" t="e">
        <f>C217/#REF!</f>
        <v>#REF!</v>
      </c>
    </row>
    <row r="218" spans="1:20" x14ac:dyDescent="0.3">
      <c r="A218" s="2">
        <v>43681</v>
      </c>
      <c r="B218" s="3">
        <v>43991955</v>
      </c>
      <c r="C218" s="42">
        <v>1677611</v>
      </c>
      <c r="D218" s="48">
        <f>VLOOKUP($A218,'Channel wise traffic'!$B$2:$K$368,7,FALSE)</f>
        <v>0</v>
      </c>
      <c r="E218" s="24">
        <f>VLOOKUP($A218,'Channel wise traffic'!$B$2:$K$368,8,FALSE)</f>
        <v>0</v>
      </c>
      <c r="F218" s="24">
        <f>VLOOKUP($A218,'Channel wise traffic'!$B$2:$K$368,9,FALSE)</f>
        <v>0</v>
      </c>
      <c r="G218" s="24">
        <f>VLOOKUP($A218,'Channel wise traffic'!$B$2:$K$368,10,FALSE)</f>
        <v>0</v>
      </c>
      <c r="H218" s="48">
        <f>VLOOKUP($A218,'Channel wise traffic'!$B$2:$P$368,11,FALSE)</f>
        <v>161604</v>
      </c>
      <c r="I218" s="24">
        <f>VLOOKUP($A218,'Channel wise traffic'!$B$2:$P$368,12,FALSE)</f>
        <v>121203</v>
      </c>
      <c r="J218" s="24">
        <f>VLOOKUP($A218,'Channel wise traffic'!$B$2:$P$368,13,FALSE)</f>
        <v>49379</v>
      </c>
      <c r="K218" s="51">
        <f>VLOOKUP($A218,'Channel wise traffic'!$B$2:$P$368,14,FALSE)</f>
        <v>116713</v>
      </c>
      <c r="L218" s="24">
        <f>VLOOKUP($A218,'Channel wise traffic'!$B$2:$P$368,15,FALSE)</f>
        <v>448899</v>
      </c>
      <c r="M218" s="7">
        <f t="shared" si="12"/>
        <v>3.8134495273056179E-2</v>
      </c>
      <c r="N218" s="7">
        <f t="shared" si="14"/>
        <v>1.0185488493980932E-2</v>
      </c>
      <c r="O218" s="7">
        <f t="shared" si="13"/>
        <v>1.0309266749248591E-2</v>
      </c>
      <c r="P218" s="7">
        <f t="shared" si="15"/>
        <v>-1.2251521325334913E-4</v>
      </c>
      <c r="Q218" s="7" t="e">
        <f>#REF!/B218</f>
        <v>#REF!</v>
      </c>
      <c r="R218" s="7" t="e">
        <f>#REF!/#REF!</f>
        <v>#REF!</v>
      </c>
      <c r="S218" s="7" t="e">
        <f>#REF!/#REF!</f>
        <v>#REF!</v>
      </c>
      <c r="T218" s="7" t="e">
        <f>C218/#REF!</f>
        <v>#REF!</v>
      </c>
    </row>
    <row r="219" spans="1:20" x14ac:dyDescent="0.3">
      <c r="A219" s="2">
        <v>43682</v>
      </c>
      <c r="B219" s="3">
        <v>22368860</v>
      </c>
      <c r="C219" s="42">
        <v>1208956</v>
      </c>
      <c r="D219" s="48">
        <f>VLOOKUP($A219,'Channel wise traffic'!$B$2:$K$368,7,FALSE)</f>
        <v>0</v>
      </c>
      <c r="E219" s="24">
        <f>VLOOKUP($A219,'Channel wise traffic'!$B$2:$K$368,8,FALSE)</f>
        <v>0</v>
      </c>
      <c r="F219" s="24">
        <f>VLOOKUP($A219,'Channel wise traffic'!$B$2:$K$368,9,FALSE)</f>
        <v>0</v>
      </c>
      <c r="G219" s="24">
        <f>VLOOKUP($A219,'Channel wise traffic'!$B$2:$K$368,10,FALSE)</f>
        <v>0</v>
      </c>
      <c r="H219" s="48">
        <f>VLOOKUP($A219,'Channel wise traffic'!$B$2:$P$368,11,FALSE)</f>
        <v>312729</v>
      </c>
      <c r="I219" s="24">
        <f>VLOOKUP($A219,'Channel wise traffic'!$B$2:$P$368,12,FALSE)</f>
        <v>234547</v>
      </c>
      <c r="J219" s="24">
        <f>VLOOKUP($A219,'Channel wise traffic'!$B$2:$P$368,13,FALSE)</f>
        <v>95556</v>
      </c>
      <c r="K219" s="51">
        <f>VLOOKUP($A219,'Channel wise traffic'!$B$2:$P$368,14,FALSE)</f>
        <v>225860</v>
      </c>
      <c r="L219" s="24">
        <f>VLOOKUP($A219,'Channel wise traffic'!$B$2:$P$368,15,FALSE)</f>
        <v>868692</v>
      </c>
      <c r="M219" s="7">
        <f t="shared" si="12"/>
        <v>5.4046384125073878E-2</v>
      </c>
      <c r="N219" s="7">
        <f t="shared" si="14"/>
        <v>-6.8627473639041092E-2</v>
      </c>
      <c r="O219" s="7">
        <f t="shared" si="13"/>
        <v>4.0404011745583279E-2</v>
      </c>
      <c r="P219" s="7">
        <f t="shared" si="15"/>
        <v>-0.10479725582919641</v>
      </c>
      <c r="Q219" s="7" t="e">
        <f>#REF!/B219</f>
        <v>#REF!</v>
      </c>
      <c r="R219" s="7" t="e">
        <f>#REF!/#REF!</f>
        <v>#REF!</v>
      </c>
      <c r="S219" s="7" t="e">
        <f>#REF!/#REF!</f>
        <v>#REF!</v>
      </c>
      <c r="T219" s="7" t="e">
        <f>C219/#REF!</f>
        <v>#REF!</v>
      </c>
    </row>
    <row r="220" spans="1:20" x14ac:dyDescent="0.3">
      <c r="A220" s="2">
        <v>43683</v>
      </c>
      <c r="B220" s="3">
        <v>22586034</v>
      </c>
      <c r="C220" s="42">
        <v>1221464</v>
      </c>
      <c r="D220" s="48">
        <f>VLOOKUP($A220,'Channel wise traffic'!$B$2:$K$368,7,FALSE)</f>
        <v>0</v>
      </c>
      <c r="E220" s="24">
        <f>VLOOKUP($A220,'Channel wise traffic'!$B$2:$K$368,8,FALSE)</f>
        <v>0</v>
      </c>
      <c r="F220" s="24">
        <f>VLOOKUP($A220,'Channel wise traffic'!$B$2:$K$368,9,FALSE)</f>
        <v>0</v>
      </c>
      <c r="G220" s="24">
        <f>VLOOKUP($A220,'Channel wise traffic'!$B$2:$K$368,10,FALSE)</f>
        <v>0</v>
      </c>
      <c r="H220" s="48">
        <f>VLOOKUP($A220,'Channel wise traffic'!$B$2:$P$368,11,FALSE)</f>
        <v>625460</v>
      </c>
      <c r="I220" s="24">
        <f>VLOOKUP($A220,'Channel wise traffic'!$B$2:$P$368,12,FALSE)</f>
        <v>469095</v>
      </c>
      <c r="J220" s="24">
        <f>VLOOKUP($A220,'Channel wise traffic'!$B$2:$P$368,13,FALSE)</f>
        <v>191112</v>
      </c>
      <c r="K220" s="51">
        <f>VLOOKUP($A220,'Channel wise traffic'!$B$2:$P$368,14,FALSE)</f>
        <v>451720</v>
      </c>
      <c r="L220" s="24">
        <f>VLOOKUP($A220,'Channel wise traffic'!$B$2:$P$368,15,FALSE)</f>
        <v>1737387</v>
      </c>
      <c r="M220" s="7">
        <f t="shared" si="12"/>
        <v>5.4080499480342589E-2</v>
      </c>
      <c r="N220" s="7">
        <f t="shared" si="14"/>
        <v>1.0841940708214315E-2</v>
      </c>
      <c r="O220" s="7">
        <f t="shared" si="13"/>
        <v>8.3333373303954517E-2</v>
      </c>
      <c r="P220" s="7">
        <f t="shared" si="15"/>
        <v>-6.6915166081014887E-2</v>
      </c>
      <c r="Q220" s="7" t="e">
        <f>#REF!/B220</f>
        <v>#REF!</v>
      </c>
      <c r="R220" s="7" t="e">
        <f>#REF!/#REF!</f>
        <v>#REF!</v>
      </c>
      <c r="S220" s="7" t="e">
        <f>#REF!/#REF!</f>
        <v>#REF!</v>
      </c>
      <c r="T220" s="7" t="e">
        <f>C220/#REF!</f>
        <v>#REF!</v>
      </c>
    </row>
    <row r="221" spans="1:20" x14ac:dyDescent="0.3">
      <c r="A221" s="2">
        <v>43684</v>
      </c>
      <c r="B221" s="3">
        <v>22586034</v>
      </c>
      <c r="C221" s="42">
        <v>1184072</v>
      </c>
      <c r="D221" s="48">
        <f>VLOOKUP($A221,'Channel wise traffic'!$B$2:$K$368,7,FALSE)</f>
        <v>0</v>
      </c>
      <c r="E221" s="24">
        <f>VLOOKUP($A221,'Channel wise traffic'!$B$2:$K$368,8,FALSE)</f>
        <v>0</v>
      </c>
      <c r="F221" s="24">
        <f>VLOOKUP($A221,'Channel wise traffic'!$B$2:$K$368,9,FALSE)</f>
        <v>0</v>
      </c>
      <c r="G221" s="24">
        <f>VLOOKUP($A221,'Channel wise traffic'!$B$2:$K$368,10,FALSE)</f>
        <v>0</v>
      </c>
      <c r="H221" s="48">
        <f>VLOOKUP($A221,'Channel wise traffic'!$B$2:$P$368,11,FALSE)</f>
        <v>78183</v>
      </c>
      <c r="I221" s="24">
        <f>VLOOKUP($A221,'Channel wise traffic'!$B$2:$P$368,12,FALSE)</f>
        <v>58637</v>
      </c>
      <c r="J221" s="24">
        <f>VLOOKUP($A221,'Channel wise traffic'!$B$2:$P$368,13,FALSE)</f>
        <v>23889</v>
      </c>
      <c r="K221" s="51">
        <f>VLOOKUP($A221,'Channel wise traffic'!$B$2:$P$368,14,FALSE)</f>
        <v>56465</v>
      </c>
      <c r="L221" s="24">
        <f>VLOOKUP($A221,'Channel wise traffic'!$B$2:$P$368,15,FALSE)</f>
        <v>217174</v>
      </c>
      <c r="M221" s="7">
        <f t="shared" si="12"/>
        <v>5.2424963143152974E-2</v>
      </c>
      <c r="N221" s="7">
        <f t="shared" si="14"/>
        <v>-0.10453264967348441</v>
      </c>
      <c r="O221" s="7">
        <f t="shared" si="13"/>
        <v>9.7087647738864913E-3</v>
      </c>
      <c r="P221" s="7">
        <f t="shared" si="15"/>
        <v>-0.1131429362930747</v>
      </c>
      <c r="Q221" s="7" t="e">
        <f>#REF!/B221</f>
        <v>#REF!</v>
      </c>
      <c r="R221" s="7" t="e">
        <f>#REF!/#REF!</f>
        <v>#REF!</v>
      </c>
      <c r="S221" s="7" t="e">
        <f>#REF!/#REF!</f>
        <v>#REF!</v>
      </c>
      <c r="T221" s="7" t="e">
        <f>C221/#REF!</f>
        <v>#REF!</v>
      </c>
    </row>
    <row r="222" spans="1:20" x14ac:dyDescent="0.3">
      <c r="A222" s="2">
        <v>43685</v>
      </c>
      <c r="B222" s="3">
        <v>20848646</v>
      </c>
      <c r="C222" s="42">
        <v>1233898</v>
      </c>
      <c r="D222" s="48">
        <f>VLOOKUP($A222,'Channel wise traffic'!$B$2:$K$368,7,FALSE)</f>
        <v>-469095</v>
      </c>
      <c r="E222" s="24">
        <f>VLOOKUP($A222,'Channel wise traffic'!$B$2:$K$368,8,FALSE)</f>
        <v>-351821</v>
      </c>
      <c r="F222" s="24">
        <f>VLOOKUP($A222,'Channel wise traffic'!$B$2:$K$368,9,FALSE)</f>
        <v>-143334</v>
      </c>
      <c r="G222" s="24">
        <f>VLOOKUP($A222,'Channel wise traffic'!$B$2:$K$368,10,FALSE)</f>
        <v>-338790</v>
      </c>
      <c r="H222" s="48">
        <f>VLOOKUP($A222,'Channel wise traffic'!$B$2:$P$368,11,FALSE)</f>
        <v>0</v>
      </c>
      <c r="I222" s="24">
        <f>VLOOKUP($A222,'Channel wise traffic'!$B$2:$P$368,12,FALSE)</f>
        <v>0</v>
      </c>
      <c r="J222" s="24">
        <f>VLOOKUP($A222,'Channel wise traffic'!$B$2:$P$368,13,FALSE)</f>
        <v>0</v>
      </c>
      <c r="K222" s="51">
        <f>VLOOKUP($A222,'Channel wise traffic'!$B$2:$P$368,14,FALSE)</f>
        <v>0</v>
      </c>
      <c r="L222" s="24">
        <f>VLOOKUP($A222,'Channel wise traffic'!$B$2:$P$368,15,FALSE)</f>
        <v>-1303040</v>
      </c>
      <c r="M222" s="7">
        <f t="shared" si="12"/>
        <v>5.9183603577901416E-2</v>
      </c>
      <c r="N222" s="7">
        <f t="shared" si="14"/>
        <v>-0.18102230670794195</v>
      </c>
      <c r="O222" s="7">
        <f t="shared" si="13"/>
        <v>-5.8823555966640351E-2</v>
      </c>
      <c r="P222" s="7">
        <f t="shared" si="15"/>
        <v>-0.12983617632590294</v>
      </c>
      <c r="Q222" s="7" t="e">
        <f>#REF!/B222</f>
        <v>#REF!</v>
      </c>
      <c r="R222" s="7" t="e">
        <f>#REF!/#REF!</f>
        <v>#REF!</v>
      </c>
      <c r="S222" s="7" t="e">
        <f>#REF!/#REF!</f>
        <v>#REF!</v>
      </c>
      <c r="T222" s="7" t="e">
        <f>C222/#REF!</f>
        <v>#REF!</v>
      </c>
    </row>
    <row r="223" spans="1:20" x14ac:dyDescent="0.3">
      <c r="A223" s="2">
        <v>43686</v>
      </c>
      <c r="B223" s="3">
        <v>22586034</v>
      </c>
      <c r="C223" s="42">
        <v>1322799</v>
      </c>
      <c r="D223" s="48">
        <f>VLOOKUP($A223,'Channel wise traffic'!$B$2:$K$368,7,FALSE)</f>
        <v>-78182</v>
      </c>
      <c r="E223" s="24">
        <f>VLOOKUP($A223,'Channel wise traffic'!$B$2:$K$368,8,FALSE)</f>
        <v>-58637</v>
      </c>
      <c r="F223" s="24">
        <f>VLOOKUP($A223,'Channel wise traffic'!$B$2:$K$368,9,FALSE)</f>
        <v>-23889</v>
      </c>
      <c r="G223" s="24">
        <f>VLOOKUP($A223,'Channel wise traffic'!$B$2:$K$368,10,FALSE)</f>
        <v>-56465</v>
      </c>
      <c r="H223" s="48">
        <f>VLOOKUP($A223,'Channel wise traffic'!$B$2:$P$368,11,FALSE)</f>
        <v>0</v>
      </c>
      <c r="I223" s="24">
        <f>VLOOKUP($A223,'Channel wise traffic'!$B$2:$P$368,12,FALSE)</f>
        <v>0</v>
      </c>
      <c r="J223" s="24">
        <f>VLOOKUP($A223,'Channel wise traffic'!$B$2:$P$368,13,FALSE)</f>
        <v>0</v>
      </c>
      <c r="K223" s="51">
        <f>VLOOKUP($A223,'Channel wise traffic'!$B$2:$P$368,14,FALSE)</f>
        <v>0</v>
      </c>
      <c r="L223" s="24">
        <f>VLOOKUP($A223,'Channel wise traffic'!$B$2:$P$368,15,FALSE)</f>
        <v>-217173</v>
      </c>
      <c r="M223" s="7">
        <f t="shared" si="12"/>
        <v>5.8567121611523297E-2</v>
      </c>
      <c r="N223" s="7">
        <f t="shared" si="14"/>
        <v>2.7222427650719361E-4</v>
      </c>
      <c r="O223" s="7">
        <f t="shared" si="13"/>
        <v>-9.5237919824172623E-3</v>
      </c>
      <c r="P223" s="7">
        <f t="shared" si="15"/>
        <v>9.8902085477963197E-3</v>
      </c>
      <c r="Q223" s="7" t="e">
        <f>#REF!/B223</f>
        <v>#REF!</v>
      </c>
      <c r="R223" s="7" t="e">
        <f>#REF!/#REF!</f>
        <v>#REF!</v>
      </c>
      <c r="S223" s="7" t="e">
        <f>#REF!/#REF!</f>
        <v>#REF!</v>
      </c>
      <c r="T223" s="7" t="e">
        <f>C223/#REF!</f>
        <v>#REF!</v>
      </c>
    </row>
    <row r="224" spans="1:20" x14ac:dyDescent="0.3">
      <c r="A224" s="2">
        <v>43687</v>
      </c>
      <c r="B224" s="3">
        <v>46685340</v>
      </c>
      <c r="C224" s="42">
        <v>1890851</v>
      </c>
      <c r="D224" s="48">
        <f>VLOOKUP($A224,'Channel wise traffic'!$B$2:$K$368,7,FALSE)</f>
        <v>0</v>
      </c>
      <c r="E224" s="24">
        <f>VLOOKUP($A224,'Channel wise traffic'!$B$2:$K$368,8,FALSE)</f>
        <v>0</v>
      </c>
      <c r="F224" s="24">
        <f>VLOOKUP($A224,'Channel wise traffic'!$B$2:$K$368,9,FALSE)</f>
        <v>0</v>
      </c>
      <c r="G224" s="24">
        <f>VLOOKUP($A224,'Channel wise traffic'!$B$2:$K$368,10,FALSE)</f>
        <v>0</v>
      </c>
      <c r="H224" s="48">
        <f>VLOOKUP($A224,'Channel wise traffic'!$B$2:$P$368,11,FALSE)</f>
        <v>484809</v>
      </c>
      <c r="I224" s="24">
        <f>VLOOKUP($A224,'Channel wise traffic'!$B$2:$P$368,12,FALSE)</f>
        <v>363607</v>
      </c>
      <c r="J224" s="24">
        <f>VLOOKUP($A224,'Channel wise traffic'!$B$2:$P$368,13,FALSE)</f>
        <v>148136</v>
      </c>
      <c r="K224" s="51">
        <f>VLOOKUP($A224,'Channel wise traffic'!$B$2:$P$368,14,FALSE)</f>
        <v>350140</v>
      </c>
      <c r="L224" s="24">
        <f>VLOOKUP($A224,'Channel wise traffic'!$B$2:$P$368,15,FALSE)</f>
        <v>1346692</v>
      </c>
      <c r="M224" s="7">
        <f t="shared" si="12"/>
        <v>4.0502029116634898E-2</v>
      </c>
      <c r="N224" s="7">
        <f t="shared" si="14"/>
        <v>6.0944893288363611E-2</v>
      </c>
      <c r="O224" s="7">
        <f t="shared" si="13"/>
        <v>2.9702958941342894E-2</v>
      </c>
      <c r="P224" s="7">
        <f t="shared" si="15"/>
        <v>3.034072503699603E-2</v>
      </c>
      <c r="Q224" s="7" t="e">
        <f>#REF!/B224</f>
        <v>#REF!</v>
      </c>
      <c r="R224" s="7" t="e">
        <f>#REF!/#REF!</f>
        <v>#REF!</v>
      </c>
      <c r="S224" s="7" t="e">
        <f>#REF!/#REF!</f>
        <v>#REF!</v>
      </c>
      <c r="T224" s="7" t="e">
        <f>C224/#REF!</f>
        <v>#REF!</v>
      </c>
    </row>
    <row r="225" spans="1:20" x14ac:dyDescent="0.3">
      <c r="A225" s="15">
        <v>43688</v>
      </c>
      <c r="B225" s="16">
        <v>43991955</v>
      </c>
      <c r="C225" s="46">
        <v>765773</v>
      </c>
      <c r="D225" s="48">
        <f>VLOOKUP($A225,'Channel wise traffic'!$B$2:$K$368,7,FALSE)</f>
        <v>0</v>
      </c>
      <c r="E225" s="24">
        <f>VLOOKUP($A225,'Channel wise traffic'!$B$2:$K$368,8,FALSE)</f>
        <v>0</v>
      </c>
      <c r="F225" s="24">
        <f>VLOOKUP($A225,'Channel wise traffic'!$B$2:$K$368,9,FALSE)</f>
        <v>0</v>
      </c>
      <c r="G225" s="24">
        <f>VLOOKUP($A225,'Channel wise traffic'!$B$2:$K$368,10,FALSE)</f>
        <v>0</v>
      </c>
      <c r="H225" s="48">
        <f>VLOOKUP($A225,'Channel wise traffic'!$B$2:$P$368,11,FALSE)</f>
        <v>0</v>
      </c>
      <c r="I225" s="24">
        <f>VLOOKUP($A225,'Channel wise traffic'!$B$2:$P$368,12,FALSE)</f>
        <v>0</v>
      </c>
      <c r="J225" s="24">
        <f>VLOOKUP($A225,'Channel wise traffic'!$B$2:$P$368,13,FALSE)</f>
        <v>0</v>
      </c>
      <c r="K225" s="51">
        <f>VLOOKUP($A225,'Channel wise traffic'!$B$2:$P$368,14,FALSE)</f>
        <v>0</v>
      </c>
      <c r="L225" s="24">
        <f>VLOOKUP($A225,'Channel wise traffic'!$B$2:$P$368,15,FALSE)</f>
        <v>0</v>
      </c>
      <c r="M225" s="17">
        <f t="shared" si="12"/>
        <v>1.7407114550830941E-2</v>
      </c>
      <c r="N225" s="13">
        <f t="shared" si="14"/>
        <v>-0.54353363205176886</v>
      </c>
      <c r="O225" s="13">
        <f t="shared" si="13"/>
        <v>0</v>
      </c>
      <c r="P225" s="17">
        <f t="shared" si="15"/>
        <v>-0.54353363205176897</v>
      </c>
      <c r="Q225" s="17" t="e">
        <f>#REF!/B225</f>
        <v>#REF!</v>
      </c>
      <c r="R225" s="17" t="e">
        <f>#REF!/#REF!</f>
        <v>#REF!</v>
      </c>
      <c r="S225" s="17" t="e">
        <f>#REF!/#REF!</f>
        <v>#REF!</v>
      </c>
      <c r="T225" s="17" t="e">
        <f>C225/#REF!</f>
        <v>#REF!</v>
      </c>
    </row>
    <row r="226" spans="1:20" x14ac:dyDescent="0.3">
      <c r="A226" s="2">
        <v>43689</v>
      </c>
      <c r="B226" s="3">
        <v>20631473</v>
      </c>
      <c r="C226" s="42">
        <v>1244880</v>
      </c>
      <c r="D226" s="48">
        <f>VLOOKUP($A226,'Channel wise traffic'!$B$2:$K$368,7,FALSE)</f>
        <v>-625459</v>
      </c>
      <c r="E226" s="24">
        <f>VLOOKUP($A226,'Channel wise traffic'!$B$2:$K$368,8,FALSE)</f>
        <v>-469095</v>
      </c>
      <c r="F226" s="24">
        <f>VLOOKUP($A226,'Channel wise traffic'!$B$2:$K$368,9,FALSE)</f>
        <v>-191112</v>
      </c>
      <c r="G226" s="24">
        <f>VLOOKUP($A226,'Channel wise traffic'!$B$2:$K$368,10,FALSE)</f>
        <v>-451720</v>
      </c>
      <c r="H226" s="48">
        <f>VLOOKUP($A226,'Channel wise traffic'!$B$2:$P$368,11,FALSE)</f>
        <v>0</v>
      </c>
      <c r="I226" s="24">
        <f>VLOOKUP($A226,'Channel wise traffic'!$B$2:$P$368,12,FALSE)</f>
        <v>0</v>
      </c>
      <c r="J226" s="24">
        <f>VLOOKUP($A226,'Channel wise traffic'!$B$2:$P$368,13,FALSE)</f>
        <v>0</v>
      </c>
      <c r="K226" s="51">
        <f>VLOOKUP($A226,'Channel wise traffic'!$B$2:$P$368,14,FALSE)</f>
        <v>0</v>
      </c>
      <c r="L226" s="24">
        <f>VLOOKUP($A226,'Channel wise traffic'!$B$2:$P$368,15,FALSE)</f>
        <v>-1737386</v>
      </c>
      <c r="M226" s="7">
        <f t="shared" si="12"/>
        <v>6.0338881281040861E-2</v>
      </c>
      <c r="N226" s="7">
        <f t="shared" si="14"/>
        <v>2.971489450401843E-2</v>
      </c>
      <c r="O226" s="7">
        <f t="shared" si="13"/>
        <v>-7.7669894666066996E-2</v>
      </c>
      <c r="P226" s="7">
        <f t="shared" si="15"/>
        <v>0.11642771774342786</v>
      </c>
      <c r="Q226" s="7" t="e">
        <f>#REF!/B226</f>
        <v>#REF!</v>
      </c>
      <c r="R226" s="7" t="e">
        <f>#REF!/#REF!</f>
        <v>#REF!</v>
      </c>
      <c r="S226" s="7" t="e">
        <f>#REF!/#REF!</f>
        <v>#REF!</v>
      </c>
      <c r="T226" s="7" t="e">
        <f>C226/#REF!</f>
        <v>#REF!</v>
      </c>
    </row>
    <row r="227" spans="1:20" x14ac:dyDescent="0.3">
      <c r="A227" s="2">
        <v>43690</v>
      </c>
      <c r="B227" s="3">
        <v>20848646</v>
      </c>
      <c r="C227" s="42">
        <v>1334469</v>
      </c>
      <c r="D227" s="48">
        <f>VLOOKUP($A227,'Channel wise traffic'!$B$2:$K$368,7,FALSE)</f>
        <v>-625460</v>
      </c>
      <c r="E227" s="24">
        <f>VLOOKUP($A227,'Channel wise traffic'!$B$2:$K$368,8,FALSE)</f>
        <v>-469095</v>
      </c>
      <c r="F227" s="24">
        <f>VLOOKUP($A227,'Channel wise traffic'!$B$2:$K$368,9,FALSE)</f>
        <v>-191112</v>
      </c>
      <c r="G227" s="24">
        <f>VLOOKUP($A227,'Channel wise traffic'!$B$2:$K$368,10,FALSE)</f>
        <v>-451720</v>
      </c>
      <c r="H227" s="48">
        <f>VLOOKUP($A227,'Channel wise traffic'!$B$2:$P$368,11,FALSE)</f>
        <v>0</v>
      </c>
      <c r="I227" s="24">
        <f>VLOOKUP($A227,'Channel wise traffic'!$B$2:$P$368,12,FALSE)</f>
        <v>0</v>
      </c>
      <c r="J227" s="24">
        <f>VLOOKUP($A227,'Channel wise traffic'!$B$2:$P$368,13,FALSE)</f>
        <v>0</v>
      </c>
      <c r="K227" s="51">
        <f>VLOOKUP($A227,'Channel wise traffic'!$B$2:$P$368,14,FALSE)</f>
        <v>0</v>
      </c>
      <c r="L227" s="24">
        <f>VLOOKUP($A227,'Channel wise traffic'!$B$2:$P$368,15,FALSE)</f>
        <v>-1737387</v>
      </c>
      <c r="M227" s="7">
        <f t="shared" si="12"/>
        <v>6.4007466000429961E-2</v>
      </c>
      <c r="N227" s="7">
        <f t="shared" si="14"/>
        <v>9.2516029944394562E-2</v>
      </c>
      <c r="O227" s="7">
        <f t="shared" si="13"/>
        <v>-7.6923110980883114E-2</v>
      </c>
      <c r="P227" s="7">
        <f t="shared" si="15"/>
        <v>0.18355907610830524</v>
      </c>
      <c r="Q227" s="7" t="e">
        <f>#REF!/B227</f>
        <v>#REF!</v>
      </c>
      <c r="R227" s="7" t="e">
        <f>#REF!/#REF!</f>
        <v>#REF!</v>
      </c>
      <c r="S227" s="7" t="e">
        <f>#REF!/#REF!</f>
        <v>#REF!</v>
      </c>
      <c r="T227" s="7" t="e">
        <f>C227/#REF!</f>
        <v>#REF!</v>
      </c>
    </row>
    <row r="228" spans="1:20" x14ac:dyDescent="0.3">
      <c r="A228" s="2">
        <v>43691</v>
      </c>
      <c r="B228" s="3">
        <v>22586034</v>
      </c>
      <c r="C228" s="42">
        <v>1335977</v>
      </c>
      <c r="D228" s="48">
        <f>VLOOKUP($A228,'Channel wise traffic'!$B$2:$K$368,7,FALSE)</f>
        <v>0</v>
      </c>
      <c r="E228" s="24">
        <f>VLOOKUP($A228,'Channel wise traffic'!$B$2:$K$368,8,FALSE)</f>
        <v>0</v>
      </c>
      <c r="F228" s="24">
        <f>VLOOKUP($A228,'Channel wise traffic'!$B$2:$K$368,9,FALSE)</f>
        <v>0</v>
      </c>
      <c r="G228" s="24">
        <f>VLOOKUP($A228,'Channel wise traffic'!$B$2:$K$368,10,FALSE)</f>
        <v>0</v>
      </c>
      <c r="H228" s="48">
        <f>VLOOKUP($A228,'Channel wise traffic'!$B$2:$P$368,11,FALSE)</f>
        <v>0</v>
      </c>
      <c r="I228" s="24">
        <f>VLOOKUP($A228,'Channel wise traffic'!$B$2:$P$368,12,FALSE)</f>
        <v>0</v>
      </c>
      <c r="J228" s="24">
        <f>VLOOKUP($A228,'Channel wise traffic'!$B$2:$P$368,13,FALSE)</f>
        <v>0</v>
      </c>
      <c r="K228" s="51">
        <f>VLOOKUP($A228,'Channel wise traffic'!$B$2:$P$368,14,FALSE)</f>
        <v>0</v>
      </c>
      <c r="L228" s="24">
        <f>VLOOKUP($A228,'Channel wise traffic'!$B$2:$P$368,15,FALSE)</f>
        <v>0</v>
      </c>
      <c r="M228" s="7">
        <f t="shared" si="12"/>
        <v>5.9150579512985767E-2</v>
      </c>
      <c r="N228" s="7">
        <f t="shared" si="14"/>
        <v>0.12829034045226972</v>
      </c>
      <c r="O228" s="7">
        <f t="shared" si="13"/>
        <v>0</v>
      </c>
      <c r="P228" s="7">
        <f t="shared" si="15"/>
        <v>0.12829034045226972</v>
      </c>
      <c r="Q228" s="7" t="e">
        <f>#REF!/B228</f>
        <v>#REF!</v>
      </c>
      <c r="R228" s="7" t="e">
        <f>#REF!/#REF!</f>
        <v>#REF!</v>
      </c>
      <c r="S228" s="7" t="e">
        <f>#REF!/#REF!</f>
        <v>#REF!</v>
      </c>
      <c r="T228" s="7" t="e">
        <f>C228/#REF!</f>
        <v>#REF!</v>
      </c>
    </row>
    <row r="229" spans="1:20" x14ac:dyDescent="0.3">
      <c r="A229" s="2">
        <v>43692</v>
      </c>
      <c r="B229" s="3">
        <v>21934513</v>
      </c>
      <c r="C229" s="42">
        <v>1298330</v>
      </c>
      <c r="D229" s="48">
        <f>VLOOKUP($A229,'Channel wise traffic'!$B$2:$K$368,7,FALSE)</f>
        <v>0</v>
      </c>
      <c r="E229" s="24">
        <f>VLOOKUP($A229,'Channel wise traffic'!$B$2:$K$368,8,FALSE)</f>
        <v>0</v>
      </c>
      <c r="F229" s="24">
        <f>VLOOKUP($A229,'Channel wise traffic'!$B$2:$K$368,9,FALSE)</f>
        <v>0</v>
      </c>
      <c r="G229" s="24">
        <f>VLOOKUP($A229,'Channel wise traffic'!$B$2:$K$368,10,FALSE)</f>
        <v>0</v>
      </c>
      <c r="H229" s="48">
        <f>VLOOKUP($A229,'Channel wise traffic'!$B$2:$P$368,11,FALSE)</f>
        <v>390912</v>
      </c>
      <c r="I229" s="24">
        <f>VLOOKUP($A229,'Channel wise traffic'!$B$2:$P$368,12,FALSE)</f>
        <v>293184</v>
      </c>
      <c r="J229" s="24">
        <f>VLOOKUP($A229,'Channel wise traffic'!$B$2:$P$368,13,FALSE)</f>
        <v>119445</v>
      </c>
      <c r="K229" s="51">
        <f>VLOOKUP($A229,'Channel wise traffic'!$B$2:$P$368,14,FALSE)</f>
        <v>282325</v>
      </c>
      <c r="L229" s="24">
        <f>VLOOKUP($A229,'Channel wise traffic'!$B$2:$P$368,15,FALSE)</f>
        <v>1085866</v>
      </c>
      <c r="M229" s="7">
        <f t="shared" si="12"/>
        <v>5.9191193349038565E-2</v>
      </c>
      <c r="N229" s="7">
        <f t="shared" si="14"/>
        <v>5.2218254669348596E-2</v>
      </c>
      <c r="O229" s="7">
        <f t="shared" si="13"/>
        <v>5.2083334332598819E-2</v>
      </c>
      <c r="P229" s="7">
        <f t="shared" si="15"/>
        <v>1.282411120364646E-4</v>
      </c>
      <c r="Q229" s="7" t="e">
        <f>#REF!/B229</f>
        <v>#REF!</v>
      </c>
      <c r="R229" s="7" t="e">
        <f>#REF!/#REF!</f>
        <v>#REF!</v>
      </c>
      <c r="S229" s="7" t="e">
        <f>#REF!/#REF!</f>
        <v>#REF!</v>
      </c>
      <c r="T229" s="7" t="e">
        <f>C229/#REF!</f>
        <v>#REF!</v>
      </c>
    </row>
    <row r="230" spans="1:20" x14ac:dyDescent="0.3">
      <c r="A230" s="2">
        <v>43693</v>
      </c>
      <c r="B230" s="3">
        <v>21282993</v>
      </c>
      <c r="C230" s="42">
        <v>1257579</v>
      </c>
      <c r="D230" s="48">
        <f>VLOOKUP($A230,'Channel wise traffic'!$B$2:$K$368,7,FALSE)</f>
        <v>-469095</v>
      </c>
      <c r="E230" s="24">
        <f>VLOOKUP($A230,'Channel wise traffic'!$B$2:$K$368,8,FALSE)</f>
        <v>-351821</v>
      </c>
      <c r="F230" s="24">
        <f>VLOOKUP($A230,'Channel wise traffic'!$B$2:$K$368,9,FALSE)</f>
        <v>-143334</v>
      </c>
      <c r="G230" s="24">
        <f>VLOOKUP($A230,'Channel wise traffic'!$B$2:$K$368,10,FALSE)</f>
        <v>-338790</v>
      </c>
      <c r="H230" s="48">
        <f>VLOOKUP($A230,'Channel wise traffic'!$B$2:$P$368,11,FALSE)</f>
        <v>0</v>
      </c>
      <c r="I230" s="24">
        <f>VLOOKUP($A230,'Channel wise traffic'!$B$2:$P$368,12,FALSE)</f>
        <v>0</v>
      </c>
      <c r="J230" s="24">
        <f>VLOOKUP($A230,'Channel wise traffic'!$B$2:$P$368,13,FALSE)</f>
        <v>0</v>
      </c>
      <c r="K230" s="51">
        <f>VLOOKUP($A230,'Channel wise traffic'!$B$2:$P$368,14,FALSE)</f>
        <v>0</v>
      </c>
      <c r="L230" s="24">
        <f>VLOOKUP($A230,'Channel wise traffic'!$B$2:$P$368,15,FALSE)</f>
        <v>-1303040</v>
      </c>
      <c r="M230" s="7">
        <f t="shared" si="12"/>
        <v>5.9088446817606902E-2</v>
      </c>
      <c r="N230" s="7">
        <f t="shared" si="14"/>
        <v>-4.9304542867056877E-2</v>
      </c>
      <c r="O230" s="7">
        <f t="shared" si="13"/>
        <v>-5.7692333235662363E-2</v>
      </c>
      <c r="P230" s="7">
        <f t="shared" si="15"/>
        <v>8.9013287957289133E-3</v>
      </c>
      <c r="Q230" s="7" t="e">
        <f>#REF!/B230</f>
        <v>#REF!</v>
      </c>
      <c r="R230" s="7" t="e">
        <f>#REF!/#REF!</f>
        <v>#REF!</v>
      </c>
      <c r="S230" s="7" t="e">
        <f>#REF!/#REF!</f>
        <v>#REF!</v>
      </c>
      <c r="T230" s="7" t="e">
        <f>C230/#REF!</f>
        <v>#REF!</v>
      </c>
    </row>
    <row r="231" spans="1:20" x14ac:dyDescent="0.3">
      <c r="A231" s="2">
        <v>43694</v>
      </c>
      <c r="B231" s="3">
        <v>46685340</v>
      </c>
      <c r="C231" s="42">
        <v>1857275</v>
      </c>
      <c r="D231" s="48">
        <f>VLOOKUP($A231,'Channel wise traffic'!$B$2:$K$368,7,FALSE)</f>
        <v>0</v>
      </c>
      <c r="E231" s="24">
        <f>VLOOKUP($A231,'Channel wise traffic'!$B$2:$K$368,8,FALSE)</f>
        <v>0</v>
      </c>
      <c r="F231" s="24">
        <f>VLOOKUP($A231,'Channel wise traffic'!$B$2:$K$368,9,FALSE)</f>
        <v>0</v>
      </c>
      <c r="G231" s="24">
        <f>VLOOKUP($A231,'Channel wise traffic'!$B$2:$K$368,10,FALSE)</f>
        <v>0</v>
      </c>
      <c r="H231" s="48">
        <f>VLOOKUP($A231,'Channel wise traffic'!$B$2:$P$368,11,FALSE)</f>
        <v>0</v>
      </c>
      <c r="I231" s="24">
        <f>VLOOKUP($A231,'Channel wise traffic'!$B$2:$P$368,12,FALSE)</f>
        <v>0</v>
      </c>
      <c r="J231" s="24">
        <f>VLOOKUP($A231,'Channel wise traffic'!$B$2:$P$368,13,FALSE)</f>
        <v>0</v>
      </c>
      <c r="K231" s="51">
        <f>VLOOKUP($A231,'Channel wise traffic'!$B$2:$P$368,14,FALSE)</f>
        <v>0</v>
      </c>
      <c r="L231" s="24">
        <f>VLOOKUP($A231,'Channel wise traffic'!$B$2:$P$368,15,FALSE)</f>
        <v>0</v>
      </c>
      <c r="M231" s="7">
        <f t="shared" si="12"/>
        <v>3.9782831184264698E-2</v>
      </c>
      <c r="N231" s="7">
        <f t="shared" si="14"/>
        <v>-1.7757083979647259E-2</v>
      </c>
      <c r="O231" s="7">
        <f t="shared" si="13"/>
        <v>0</v>
      </c>
      <c r="P231" s="7">
        <f t="shared" si="15"/>
        <v>-1.7757083979647148E-2</v>
      </c>
      <c r="Q231" s="7" t="e">
        <f>#REF!/B231</f>
        <v>#REF!</v>
      </c>
      <c r="R231" s="7" t="e">
        <f>#REF!/#REF!</f>
        <v>#REF!</v>
      </c>
      <c r="S231" s="7" t="e">
        <f>#REF!/#REF!</f>
        <v>#REF!</v>
      </c>
      <c r="T231" s="7" t="e">
        <f>C231/#REF!</f>
        <v>#REF!</v>
      </c>
    </row>
    <row r="232" spans="1:20" x14ac:dyDescent="0.3">
      <c r="A232" s="15">
        <v>43695</v>
      </c>
      <c r="B232" s="16">
        <v>45338648</v>
      </c>
      <c r="C232" s="46">
        <v>1582215</v>
      </c>
      <c r="D232" s="48">
        <f>VLOOKUP($A232,'Channel wise traffic'!$B$2:$K$368,7,FALSE)</f>
        <v>0</v>
      </c>
      <c r="E232" s="24">
        <f>VLOOKUP($A232,'Channel wise traffic'!$B$2:$K$368,8,FALSE)</f>
        <v>0</v>
      </c>
      <c r="F232" s="24">
        <f>VLOOKUP($A232,'Channel wise traffic'!$B$2:$K$368,9,FALSE)</f>
        <v>0</v>
      </c>
      <c r="G232" s="24">
        <f>VLOOKUP($A232,'Channel wise traffic'!$B$2:$K$368,10,FALSE)</f>
        <v>0</v>
      </c>
      <c r="H232" s="48">
        <f>VLOOKUP($A232,'Channel wise traffic'!$B$2:$P$368,11,FALSE)</f>
        <v>484809</v>
      </c>
      <c r="I232" s="24">
        <f>VLOOKUP($A232,'Channel wise traffic'!$B$2:$P$368,12,FALSE)</f>
        <v>363607</v>
      </c>
      <c r="J232" s="24">
        <f>VLOOKUP($A232,'Channel wise traffic'!$B$2:$P$368,13,FALSE)</f>
        <v>148136</v>
      </c>
      <c r="K232" s="51">
        <f>VLOOKUP($A232,'Channel wise traffic'!$B$2:$P$368,14,FALSE)</f>
        <v>350140</v>
      </c>
      <c r="L232" s="24">
        <f>VLOOKUP($A232,'Channel wise traffic'!$B$2:$P$368,15,FALSE)</f>
        <v>1346692</v>
      </c>
      <c r="M232" s="17">
        <f t="shared" si="12"/>
        <v>3.4897710227265712E-2</v>
      </c>
      <c r="N232" s="13">
        <f t="shared" si="14"/>
        <v>1.0661671278564273</v>
      </c>
      <c r="O232" s="13">
        <f t="shared" si="13"/>
        <v>3.0612256263673698E-2</v>
      </c>
      <c r="P232" s="17">
        <f t="shared" si="15"/>
        <v>1.0047958049198824</v>
      </c>
      <c r="Q232" s="17" t="e">
        <f>#REF!/B232</f>
        <v>#REF!</v>
      </c>
      <c r="R232" s="17" t="e">
        <f>#REF!/#REF!</f>
        <v>#REF!</v>
      </c>
      <c r="S232" s="17" t="e">
        <f>#REF!/#REF!</f>
        <v>#REF!</v>
      </c>
      <c r="T232" s="17" t="e">
        <f>C232/#REF!</f>
        <v>#REF!</v>
      </c>
    </row>
    <row r="233" spans="1:20" x14ac:dyDescent="0.3">
      <c r="A233" s="2">
        <v>43696</v>
      </c>
      <c r="B233" s="3">
        <v>21065820</v>
      </c>
      <c r="C233" s="42">
        <v>1233394</v>
      </c>
      <c r="D233" s="48">
        <f>VLOOKUP($A233,'Channel wise traffic'!$B$2:$K$368,7,FALSE)</f>
        <v>0</v>
      </c>
      <c r="E233" s="24">
        <f>VLOOKUP($A233,'Channel wise traffic'!$B$2:$K$368,8,FALSE)</f>
        <v>0</v>
      </c>
      <c r="F233" s="24">
        <f>VLOOKUP($A233,'Channel wise traffic'!$B$2:$K$368,9,FALSE)</f>
        <v>0</v>
      </c>
      <c r="G233" s="24">
        <f>VLOOKUP($A233,'Channel wise traffic'!$B$2:$K$368,10,FALSE)</f>
        <v>0</v>
      </c>
      <c r="H233" s="48">
        <f>VLOOKUP($A233,'Channel wise traffic'!$B$2:$P$368,11,FALSE)</f>
        <v>156365</v>
      </c>
      <c r="I233" s="24">
        <f>VLOOKUP($A233,'Channel wise traffic'!$B$2:$P$368,12,FALSE)</f>
        <v>117274</v>
      </c>
      <c r="J233" s="24">
        <f>VLOOKUP($A233,'Channel wise traffic'!$B$2:$P$368,13,FALSE)</f>
        <v>47778</v>
      </c>
      <c r="K233" s="51">
        <f>VLOOKUP($A233,'Channel wise traffic'!$B$2:$P$368,14,FALSE)</f>
        <v>112930</v>
      </c>
      <c r="L233" s="24">
        <f>VLOOKUP($A233,'Channel wise traffic'!$B$2:$P$368,15,FALSE)</f>
        <v>434347</v>
      </c>
      <c r="M233" s="7">
        <f t="shared" si="12"/>
        <v>5.8549536642770135E-2</v>
      </c>
      <c r="N233" s="7">
        <f t="shared" si="14"/>
        <v>-9.2265921213289248E-3</v>
      </c>
      <c r="O233" s="7">
        <f t="shared" si="13"/>
        <v>2.105264127287465E-2</v>
      </c>
      <c r="P233" s="7">
        <f t="shared" si="15"/>
        <v>-2.9654919022056192E-2</v>
      </c>
      <c r="Q233" s="7" t="e">
        <f>#REF!/B233</f>
        <v>#REF!</v>
      </c>
      <c r="R233" s="7" t="e">
        <f>#REF!/#REF!</f>
        <v>#REF!</v>
      </c>
      <c r="S233" s="7" t="e">
        <f>#REF!/#REF!</f>
        <v>#REF!</v>
      </c>
      <c r="T233" s="7" t="e">
        <f>C233/#REF!</f>
        <v>#REF!</v>
      </c>
    </row>
    <row r="234" spans="1:20" x14ac:dyDescent="0.3">
      <c r="A234" s="2">
        <v>43697</v>
      </c>
      <c r="B234" s="3">
        <v>21934513</v>
      </c>
      <c r="C234" s="42">
        <v>1392160</v>
      </c>
      <c r="D234" s="48">
        <f>VLOOKUP($A234,'Channel wise traffic'!$B$2:$K$368,7,FALSE)</f>
        <v>0</v>
      </c>
      <c r="E234" s="24">
        <f>VLOOKUP($A234,'Channel wise traffic'!$B$2:$K$368,8,FALSE)</f>
        <v>0</v>
      </c>
      <c r="F234" s="24">
        <f>VLOOKUP($A234,'Channel wise traffic'!$B$2:$K$368,9,FALSE)</f>
        <v>0</v>
      </c>
      <c r="G234" s="24">
        <f>VLOOKUP($A234,'Channel wise traffic'!$B$2:$K$368,10,FALSE)</f>
        <v>0</v>
      </c>
      <c r="H234" s="48">
        <f>VLOOKUP($A234,'Channel wise traffic'!$B$2:$P$368,11,FALSE)</f>
        <v>390912</v>
      </c>
      <c r="I234" s="24">
        <f>VLOOKUP($A234,'Channel wise traffic'!$B$2:$P$368,12,FALSE)</f>
        <v>293184</v>
      </c>
      <c r="J234" s="24">
        <f>VLOOKUP($A234,'Channel wise traffic'!$B$2:$P$368,13,FALSE)</f>
        <v>119445</v>
      </c>
      <c r="K234" s="51">
        <f>VLOOKUP($A234,'Channel wise traffic'!$B$2:$P$368,14,FALSE)</f>
        <v>282325</v>
      </c>
      <c r="L234" s="24">
        <f>VLOOKUP($A234,'Channel wise traffic'!$B$2:$P$368,15,FALSE)</f>
        <v>1085866</v>
      </c>
      <c r="M234" s="7">
        <f t="shared" si="12"/>
        <v>6.3468926800426345E-2</v>
      </c>
      <c r="N234" s="7">
        <f t="shared" si="14"/>
        <v>4.3231427631514885E-2</v>
      </c>
      <c r="O234" s="7">
        <f t="shared" si="13"/>
        <v>5.2083334332598819E-2</v>
      </c>
      <c r="P234" s="7">
        <f t="shared" si="15"/>
        <v>-8.4136934900688187E-3</v>
      </c>
      <c r="Q234" s="7" t="e">
        <f>#REF!/B234</f>
        <v>#REF!</v>
      </c>
      <c r="R234" s="7" t="e">
        <f>#REF!/#REF!</f>
        <v>#REF!</v>
      </c>
      <c r="S234" s="7" t="e">
        <f>#REF!/#REF!</f>
        <v>#REF!</v>
      </c>
      <c r="T234" s="7" t="e">
        <f>C234/#REF!</f>
        <v>#REF!</v>
      </c>
    </row>
    <row r="235" spans="1:20" x14ac:dyDescent="0.3">
      <c r="A235" s="2">
        <v>43698</v>
      </c>
      <c r="B235" s="3">
        <v>22368860</v>
      </c>
      <c r="C235" s="42">
        <v>1351172</v>
      </c>
      <c r="D235" s="48">
        <f>VLOOKUP($A235,'Channel wise traffic'!$B$2:$K$368,7,FALSE)</f>
        <v>-78183</v>
      </c>
      <c r="E235" s="24">
        <f>VLOOKUP($A235,'Channel wise traffic'!$B$2:$K$368,8,FALSE)</f>
        <v>-58637</v>
      </c>
      <c r="F235" s="24">
        <f>VLOOKUP($A235,'Channel wise traffic'!$B$2:$K$368,9,FALSE)</f>
        <v>-23889</v>
      </c>
      <c r="G235" s="24">
        <f>VLOOKUP($A235,'Channel wise traffic'!$B$2:$K$368,10,FALSE)</f>
        <v>-56465</v>
      </c>
      <c r="H235" s="48">
        <f>VLOOKUP($A235,'Channel wise traffic'!$B$2:$P$368,11,FALSE)</f>
        <v>0</v>
      </c>
      <c r="I235" s="24">
        <f>VLOOKUP($A235,'Channel wise traffic'!$B$2:$P$368,12,FALSE)</f>
        <v>0</v>
      </c>
      <c r="J235" s="24">
        <f>VLOOKUP($A235,'Channel wise traffic'!$B$2:$P$368,13,FALSE)</f>
        <v>0</v>
      </c>
      <c r="K235" s="51">
        <f>VLOOKUP($A235,'Channel wise traffic'!$B$2:$P$368,14,FALSE)</f>
        <v>0</v>
      </c>
      <c r="L235" s="24">
        <f>VLOOKUP($A235,'Channel wise traffic'!$B$2:$P$368,15,FALSE)</f>
        <v>-217174</v>
      </c>
      <c r="M235" s="7">
        <f t="shared" si="12"/>
        <v>6.0404151127951985E-2</v>
      </c>
      <c r="N235" s="7">
        <f t="shared" si="14"/>
        <v>1.1373698798706755E-2</v>
      </c>
      <c r="O235" s="7">
        <f t="shared" si="13"/>
        <v>-9.6154110101844825E-3</v>
      </c>
      <c r="P235" s="7">
        <f t="shared" si="15"/>
        <v>2.1192888138839239E-2</v>
      </c>
      <c r="Q235" s="7" t="e">
        <f>#REF!/B235</f>
        <v>#REF!</v>
      </c>
      <c r="R235" s="7" t="e">
        <f>#REF!/#REF!</f>
        <v>#REF!</v>
      </c>
      <c r="S235" s="7" t="e">
        <f>#REF!/#REF!</f>
        <v>#REF!</v>
      </c>
      <c r="T235" s="7" t="e">
        <f>C235/#REF!</f>
        <v>#REF!</v>
      </c>
    </row>
    <row r="236" spans="1:20" x14ac:dyDescent="0.3">
      <c r="A236" s="2">
        <v>43699</v>
      </c>
      <c r="B236" s="3">
        <v>21934513</v>
      </c>
      <c r="C236" s="42">
        <v>1392436</v>
      </c>
      <c r="D236" s="48">
        <f>VLOOKUP($A236,'Channel wise traffic'!$B$2:$K$368,7,FALSE)</f>
        <v>0</v>
      </c>
      <c r="E236" s="24">
        <f>VLOOKUP($A236,'Channel wise traffic'!$B$2:$K$368,8,FALSE)</f>
        <v>0</v>
      </c>
      <c r="F236" s="24">
        <f>VLOOKUP($A236,'Channel wise traffic'!$B$2:$K$368,9,FALSE)</f>
        <v>0</v>
      </c>
      <c r="G236" s="24">
        <f>VLOOKUP($A236,'Channel wise traffic'!$B$2:$K$368,10,FALSE)</f>
        <v>0</v>
      </c>
      <c r="H236" s="48">
        <f>VLOOKUP($A236,'Channel wise traffic'!$B$2:$P$368,11,FALSE)</f>
        <v>0</v>
      </c>
      <c r="I236" s="24">
        <f>VLOOKUP($A236,'Channel wise traffic'!$B$2:$P$368,12,FALSE)</f>
        <v>0</v>
      </c>
      <c r="J236" s="24">
        <f>VLOOKUP($A236,'Channel wise traffic'!$B$2:$P$368,13,FALSE)</f>
        <v>0</v>
      </c>
      <c r="K236" s="51">
        <f>VLOOKUP($A236,'Channel wise traffic'!$B$2:$P$368,14,FALSE)</f>
        <v>0</v>
      </c>
      <c r="L236" s="24">
        <f>VLOOKUP($A236,'Channel wise traffic'!$B$2:$P$368,15,FALSE)</f>
        <v>0</v>
      </c>
      <c r="M236" s="7">
        <f t="shared" si="12"/>
        <v>6.3481509710290804E-2</v>
      </c>
      <c r="N236" s="7">
        <f t="shared" si="14"/>
        <v>7.2482342701778446E-2</v>
      </c>
      <c r="O236" s="7">
        <f t="shared" si="13"/>
        <v>0</v>
      </c>
      <c r="P236" s="7">
        <f t="shared" si="15"/>
        <v>7.2482342701778446E-2</v>
      </c>
      <c r="Q236" s="7" t="e">
        <f>#REF!/B236</f>
        <v>#REF!</v>
      </c>
      <c r="R236" s="7" t="e">
        <f>#REF!/#REF!</f>
        <v>#REF!</v>
      </c>
      <c r="S236" s="7" t="e">
        <f>#REF!/#REF!</f>
        <v>#REF!</v>
      </c>
      <c r="T236" s="7" t="e">
        <f>C236/#REF!</f>
        <v>#REF!</v>
      </c>
    </row>
    <row r="237" spans="1:20" x14ac:dyDescent="0.3">
      <c r="A237" s="2">
        <v>43700</v>
      </c>
      <c r="B237" s="3">
        <v>20848646</v>
      </c>
      <c r="C237" s="42">
        <v>1296248</v>
      </c>
      <c r="D237" s="48">
        <f>VLOOKUP($A237,'Channel wise traffic'!$B$2:$K$368,7,FALSE)</f>
        <v>-156365</v>
      </c>
      <c r="E237" s="24">
        <f>VLOOKUP($A237,'Channel wise traffic'!$B$2:$K$368,8,FALSE)</f>
        <v>-117274</v>
      </c>
      <c r="F237" s="24">
        <f>VLOOKUP($A237,'Channel wise traffic'!$B$2:$K$368,9,FALSE)</f>
        <v>-47778</v>
      </c>
      <c r="G237" s="24">
        <f>VLOOKUP($A237,'Channel wise traffic'!$B$2:$K$368,10,FALSE)</f>
        <v>-112930</v>
      </c>
      <c r="H237" s="48">
        <f>VLOOKUP($A237,'Channel wise traffic'!$B$2:$P$368,11,FALSE)</f>
        <v>0</v>
      </c>
      <c r="I237" s="24">
        <f>VLOOKUP($A237,'Channel wise traffic'!$B$2:$P$368,12,FALSE)</f>
        <v>0</v>
      </c>
      <c r="J237" s="24">
        <f>VLOOKUP($A237,'Channel wise traffic'!$B$2:$P$368,13,FALSE)</f>
        <v>0</v>
      </c>
      <c r="K237" s="51">
        <f>VLOOKUP($A237,'Channel wise traffic'!$B$2:$P$368,14,FALSE)</f>
        <v>0</v>
      </c>
      <c r="L237" s="24">
        <f>VLOOKUP($A237,'Channel wise traffic'!$B$2:$P$368,15,FALSE)</f>
        <v>-434347</v>
      </c>
      <c r="M237" s="7">
        <f t="shared" si="12"/>
        <v>6.2174205461592087E-2</v>
      </c>
      <c r="N237" s="7">
        <f t="shared" si="14"/>
        <v>3.0748764093547987E-2</v>
      </c>
      <c r="O237" s="7">
        <f t="shared" si="13"/>
        <v>-2.0408172854259776E-2</v>
      </c>
      <c r="P237" s="7">
        <f t="shared" si="15"/>
        <v>5.2222706978747313E-2</v>
      </c>
      <c r="Q237" s="7" t="e">
        <f>#REF!/B237</f>
        <v>#REF!</v>
      </c>
      <c r="R237" s="7" t="e">
        <f>#REF!/#REF!</f>
        <v>#REF!</v>
      </c>
      <c r="S237" s="7" t="e">
        <f>#REF!/#REF!</f>
        <v>#REF!</v>
      </c>
      <c r="T237" s="7" t="e">
        <f>C237/#REF!</f>
        <v>#REF!</v>
      </c>
    </row>
    <row r="238" spans="1:20" x14ac:dyDescent="0.3">
      <c r="A238" s="2">
        <v>43701</v>
      </c>
      <c r="B238" s="3">
        <v>43094160</v>
      </c>
      <c r="C238" s="42">
        <v>1628371</v>
      </c>
      <c r="D238" s="48">
        <f>VLOOKUP($A238,'Channel wise traffic'!$B$2:$K$368,7,FALSE)</f>
        <v>-1292825</v>
      </c>
      <c r="E238" s="24">
        <f>VLOOKUP($A238,'Channel wise traffic'!$B$2:$K$368,8,FALSE)</f>
        <v>-969619</v>
      </c>
      <c r="F238" s="24">
        <f>VLOOKUP($A238,'Channel wise traffic'!$B$2:$K$368,9,FALSE)</f>
        <v>-395030</v>
      </c>
      <c r="G238" s="24">
        <f>VLOOKUP($A238,'Channel wise traffic'!$B$2:$K$368,10,FALSE)</f>
        <v>-933707</v>
      </c>
      <c r="H238" s="48">
        <f>VLOOKUP($A238,'Channel wise traffic'!$B$2:$P$368,11,FALSE)</f>
        <v>0</v>
      </c>
      <c r="I238" s="24">
        <f>VLOOKUP($A238,'Channel wise traffic'!$B$2:$P$368,12,FALSE)</f>
        <v>0</v>
      </c>
      <c r="J238" s="24">
        <f>VLOOKUP($A238,'Channel wise traffic'!$B$2:$P$368,13,FALSE)</f>
        <v>0</v>
      </c>
      <c r="K238" s="51">
        <f>VLOOKUP($A238,'Channel wise traffic'!$B$2:$P$368,14,FALSE)</f>
        <v>0</v>
      </c>
      <c r="L238" s="24">
        <f>VLOOKUP($A238,'Channel wise traffic'!$B$2:$P$368,15,FALSE)</f>
        <v>-3591181</v>
      </c>
      <c r="M238" s="7">
        <f t="shared" si="12"/>
        <v>3.7786349704925212E-2</v>
      </c>
      <c r="N238" s="7">
        <f t="shared" si="14"/>
        <v>-0.12324723048552311</v>
      </c>
      <c r="O238" s="7">
        <f t="shared" si="13"/>
        <v>-7.6923076923076872E-2</v>
      </c>
      <c r="P238" s="7">
        <f t="shared" si="15"/>
        <v>-5.0184499692650153E-2</v>
      </c>
      <c r="Q238" s="7" t="e">
        <f>#REF!/B238</f>
        <v>#REF!</v>
      </c>
      <c r="R238" s="7" t="e">
        <f>#REF!/#REF!</f>
        <v>#REF!</v>
      </c>
      <c r="S238" s="7" t="e">
        <f>#REF!/#REF!</f>
        <v>#REF!</v>
      </c>
      <c r="T238" s="7" t="e">
        <f>C238/#REF!</f>
        <v>#REF!</v>
      </c>
    </row>
    <row r="239" spans="1:20" x14ac:dyDescent="0.3">
      <c r="A239" s="2">
        <v>43702</v>
      </c>
      <c r="B239" s="3">
        <v>44440853</v>
      </c>
      <c r="C239" s="42">
        <v>1784821</v>
      </c>
      <c r="D239" s="48">
        <f>VLOOKUP($A239,'Channel wise traffic'!$B$2:$K$368,7,FALSE)</f>
        <v>-323206</v>
      </c>
      <c r="E239" s="24">
        <f>VLOOKUP($A239,'Channel wise traffic'!$B$2:$K$368,8,FALSE)</f>
        <v>-242405</v>
      </c>
      <c r="F239" s="24">
        <f>VLOOKUP($A239,'Channel wise traffic'!$B$2:$K$368,9,FALSE)</f>
        <v>-98758</v>
      </c>
      <c r="G239" s="24">
        <f>VLOOKUP($A239,'Channel wise traffic'!$B$2:$K$368,10,FALSE)</f>
        <v>-233427</v>
      </c>
      <c r="H239" s="48">
        <f>VLOOKUP($A239,'Channel wise traffic'!$B$2:$P$368,11,FALSE)</f>
        <v>0</v>
      </c>
      <c r="I239" s="24">
        <f>VLOOKUP($A239,'Channel wise traffic'!$B$2:$P$368,12,FALSE)</f>
        <v>0</v>
      </c>
      <c r="J239" s="24">
        <f>VLOOKUP($A239,'Channel wise traffic'!$B$2:$P$368,13,FALSE)</f>
        <v>0</v>
      </c>
      <c r="K239" s="51">
        <f>VLOOKUP($A239,'Channel wise traffic'!$B$2:$P$368,14,FALSE)</f>
        <v>0</v>
      </c>
      <c r="L239" s="24">
        <f>VLOOKUP($A239,'Channel wise traffic'!$B$2:$P$368,15,FALSE)</f>
        <v>-897796</v>
      </c>
      <c r="M239" s="7">
        <f t="shared" si="12"/>
        <v>4.0161717868016616E-2</v>
      </c>
      <c r="N239" s="7">
        <f t="shared" si="14"/>
        <v>0.12805212945143363</v>
      </c>
      <c r="O239" s="7">
        <f t="shared" si="13"/>
        <v>-1.9801979979641171E-2</v>
      </c>
      <c r="P239" s="7">
        <f t="shared" si="15"/>
        <v>0.15084106110314699</v>
      </c>
      <c r="Q239" s="7" t="e">
        <f>#REF!/B239</f>
        <v>#REF!</v>
      </c>
      <c r="R239" s="7" t="e">
        <f>#REF!/#REF!</f>
        <v>#REF!</v>
      </c>
      <c r="S239" s="7" t="e">
        <f>#REF!/#REF!</f>
        <v>#REF!</v>
      </c>
      <c r="T239" s="7" t="e">
        <f>C239/#REF!</f>
        <v>#REF!</v>
      </c>
    </row>
    <row r="240" spans="1:20" x14ac:dyDescent="0.3">
      <c r="A240" s="2">
        <v>43703</v>
      </c>
      <c r="B240" s="3">
        <v>22368860</v>
      </c>
      <c r="C240" s="42">
        <v>1260124</v>
      </c>
      <c r="D240" s="48">
        <f>VLOOKUP($A240,'Channel wise traffic'!$B$2:$K$368,7,FALSE)</f>
        <v>0</v>
      </c>
      <c r="E240" s="24">
        <f>VLOOKUP($A240,'Channel wise traffic'!$B$2:$K$368,8,FALSE)</f>
        <v>0</v>
      </c>
      <c r="F240" s="24">
        <f>VLOOKUP($A240,'Channel wise traffic'!$B$2:$K$368,9,FALSE)</f>
        <v>0</v>
      </c>
      <c r="G240" s="24">
        <f>VLOOKUP($A240,'Channel wise traffic'!$B$2:$K$368,10,FALSE)</f>
        <v>0</v>
      </c>
      <c r="H240" s="48">
        <f>VLOOKUP($A240,'Channel wise traffic'!$B$2:$P$368,11,FALSE)</f>
        <v>469094</v>
      </c>
      <c r="I240" s="24">
        <f>VLOOKUP($A240,'Channel wise traffic'!$B$2:$P$368,12,FALSE)</f>
        <v>351821</v>
      </c>
      <c r="J240" s="24">
        <f>VLOOKUP($A240,'Channel wise traffic'!$B$2:$P$368,13,FALSE)</f>
        <v>143334</v>
      </c>
      <c r="K240" s="51">
        <f>VLOOKUP($A240,'Channel wise traffic'!$B$2:$P$368,14,FALSE)</f>
        <v>338790</v>
      </c>
      <c r="L240" s="24">
        <f>VLOOKUP($A240,'Channel wise traffic'!$B$2:$P$368,15,FALSE)</f>
        <v>1303039</v>
      </c>
      <c r="M240" s="7">
        <f t="shared" si="12"/>
        <v>5.6333849825158724E-2</v>
      </c>
      <c r="N240" s="7">
        <f t="shared" si="14"/>
        <v>2.1671906949441988E-2</v>
      </c>
      <c r="O240" s="7">
        <f t="shared" si="13"/>
        <v>6.1855650527727013E-2</v>
      </c>
      <c r="P240" s="7">
        <f t="shared" si="15"/>
        <v>-3.7842943679128327E-2</v>
      </c>
      <c r="Q240" s="7" t="e">
        <f>#REF!/B240</f>
        <v>#REF!</v>
      </c>
      <c r="R240" s="7" t="e">
        <f>#REF!/#REF!</f>
        <v>#REF!</v>
      </c>
      <c r="S240" s="7" t="e">
        <f>#REF!/#REF!</f>
        <v>#REF!</v>
      </c>
      <c r="T240" s="7" t="e">
        <f>C240/#REF!</f>
        <v>#REF!</v>
      </c>
    </row>
    <row r="241" spans="1:20" x14ac:dyDescent="0.3">
      <c r="A241" s="2">
        <v>43704</v>
      </c>
      <c r="B241" s="3">
        <v>20848646</v>
      </c>
      <c r="C241" s="42">
        <v>1150283</v>
      </c>
      <c r="D241" s="48">
        <f>VLOOKUP($A241,'Channel wise traffic'!$B$2:$K$368,7,FALSE)</f>
        <v>-390912</v>
      </c>
      <c r="E241" s="24">
        <f>VLOOKUP($A241,'Channel wise traffic'!$B$2:$K$368,8,FALSE)</f>
        <v>-293184</v>
      </c>
      <c r="F241" s="24">
        <f>VLOOKUP($A241,'Channel wise traffic'!$B$2:$K$368,9,FALSE)</f>
        <v>-119445</v>
      </c>
      <c r="G241" s="24">
        <f>VLOOKUP($A241,'Channel wise traffic'!$B$2:$K$368,10,FALSE)</f>
        <v>-282325</v>
      </c>
      <c r="H241" s="48">
        <f>VLOOKUP($A241,'Channel wise traffic'!$B$2:$P$368,11,FALSE)</f>
        <v>0</v>
      </c>
      <c r="I241" s="24">
        <f>VLOOKUP($A241,'Channel wise traffic'!$B$2:$P$368,12,FALSE)</f>
        <v>0</v>
      </c>
      <c r="J241" s="24">
        <f>VLOOKUP($A241,'Channel wise traffic'!$B$2:$P$368,13,FALSE)</f>
        <v>0</v>
      </c>
      <c r="K241" s="51">
        <f>VLOOKUP($A241,'Channel wise traffic'!$B$2:$P$368,14,FALSE)</f>
        <v>0</v>
      </c>
      <c r="L241" s="24">
        <f>VLOOKUP($A241,'Channel wise traffic'!$B$2:$P$368,15,FALSE)</f>
        <v>-1085866</v>
      </c>
      <c r="M241" s="7">
        <f t="shared" si="12"/>
        <v>5.5173031380551046E-2</v>
      </c>
      <c r="N241" s="7">
        <f t="shared" si="14"/>
        <v>-0.17374224227100332</v>
      </c>
      <c r="O241" s="7">
        <f t="shared" si="13"/>
        <v>-4.9504951397826846E-2</v>
      </c>
      <c r="P241" s="7">
        <f t="shared" si="15"/>
        <v>-0.13070798323030053</v>
      </c>
      <c r="Q241" s="7" t="e">
        <f>#REF!/B241</f>
        <v>#REF!</v>
      </c>
      <c r="R241" s="7" t="e">
        <f>#REF!/#REF!</f>
        <v>#REF!</v>
      </c>
      <c r="S241" s="7" t="e">
        <f>#REF!/#REF!</f>
        <v>#REF!</v>
      </c>
      <c r="T241" s="7" t="e">
        <f>C241/#REF!</f>
        <v>#REF!</v>
      </c>
    </row>
    <row r="242" spans="1:20" x14ac:dyDescent="0.3">
      <c r="A242" s="2">
        <v>43705</v>
      </c>
      <c r="B242" s="3">
        <v>21934513</v>
      </c>
      <c r="C242" s="42">
        <v>1421096</v>
      </c>
      <c r="D242" s="48">
        <f>VLOOKUP($A242,'Channel wise traffic'!$B$2:$K$368,7,FALSE)</f>
        <v>-156365</v>
      </c>
      <c r="E242" s="24">
        <f>VLOOKUP($A242,'Channel wise traffic'!$B$2:$K$368,8,FALSE)</f>
        <v>-117274</v>
      </c>
      <c r="F242" s="24">
        <f>VLOOKUP($A242,'Channel wise traffic'!$B$2:$K$368,9,FALSE)</f>
        <v>-47778</v>
      </c>
      <c r="G242" s="24">
        <f>VLOOKUP($A242,'Channel wise traffic'!$B$2:$K$368,10,FALSE)</f>
        <v>-112930</v>
      </c>
      <c r="H242" s="48">
        <f>VLOOKUP($A242,'Channel wise traffic'!$B$2:$P$368,11,FALSE)</f>
        <v>0</v>
      </c>
      <c r="I242" s="24">
        <f>VLOOKUP($A242,'Channel wise traffic'!$B$2:$P$368,12,FALSE)</f>
        <v>0</v>
      </c>
      <c r="J242" s="24">
        <f>VLOOKUP($A242,'Channel wise traffic'!$B$2:$P$368,13,FALSE)</f>
        <v>0</v>
      </c>
      <c r="K242" s="51">
        <f>VLOOKUP($A242,'Channel wise traffic'!$B$2:$P$368,14,FALSE)</f>
        <v>0</v>
      </c>
      <c r="L242" s="24">
        <f>VLOOKUP($A242,'Channel wise traffic'!$B$2:$P$368,15,FALSE)</f>
        <v>-434347</v>
      </c>
      <c r="M242" s="7">
        <f t="shared" si="12"/>
        <v>6.4788126365057666E-2</v>
      </c>
      <c r="N242" s="7">
        <f t="shared" si="14"/>
        <v>5.1750628343393723E-2</v>
      </c>
      <c r="O242" s="7">
        <f t="shared" si="13"/>
        <v>-1.9417484842768062E-2</v>
      </c>
      <c r="P242" s="7">
        <f t="shared" si="15"/>
        <v>7.2577383428818587E-2</v>
      </c>
      <c r="Q242" s="7" t="e">
        <f>#REF!/B242</f>
        <v>#REF!</v>
      </c>
      <c r="R242" s="7" t="e">
        <f>#REF!/#REF!</f>
        <v>#REF!</v>
      </c>
      <c r="S242" s="7" t="e">
        <f>#REF!/#REF!</f>
        <v>#REF!</v>
      </c>
      <c r="T242" s="7" t="e">
        <f>C242/#REF!</f>
        <v>#REF!</v>
      </c>
    </row>
    <row r="243" spans="1:20" x14ac:dyDescent="0.3">
      <c r="A243" s="2">
        <v>43706</v>
      </c>
      <c r="B243" s="3">
        <v>21282993</v>
      </c>
      <c r="C243" s="42">
        <v>1310421</v>
      </c>
      <c r="D243" s="48">
        <f>VLOOKUP($A243,'Channel wise traffic'!$B$2:$K$368,7,FALSE)</f>
        <v>-234547</v>
      </c>
      <c r="E243" s="24">
        <f>VLOOKUP($A243,'Channel wise traffic'!$B$2:$K$368,8,FALSE)</f>
        <v>-175910</v>
      </c>
      <c r="F243" s="24">
        <f>VLOOKUP($A243,'Channel wise traffic'!$B$2:$K$368,9,FALSE)</f>
        <v>-71667</v>
      </c>
      <c r="G243" s="24">
        <f>VLOOKUP($A243,'Channel wise traffic'!$B$2:$K$368,10,FALSE)</f>
        <v>-169395</v>
      </c>
      <c r="H243" s="48">
        <f>VLOOKUP($A243,'Channel wise traffic'!$B$2:$P$368,11,FALSE)</f>
        <v>0</v>
      </c>
      <c r="I243" s="24">
        <f>VLOOKUP($A243,'Channel wise traffic'!$B$2:$P$368,12,FALSE)</f>
        <v>0</v>
      </c>
      <c r="J243" s="24">
        <f>VLOOKUP($A243,'Channel wise traffic'!$B$2:$P$368,13,FALSE)</f>
        <v>0</v>
      </c>
      <c r="K243" s="51">
        <f>VLOOKUP($A243,'Channel wise traffic'!$B$2:$P$368,14,FALSE)</f>
        <v>0</v>
      </c>
      <c r="L243" s="24">
        <f>VLOOKUP($A243,'Channel wise traffic'!$B$2:$P$368,15,FALSE)</f>
        <v>-651519</v>
      </c>
      <c r="M243" s="7">
        <f t="shared" si="12"/>
        <v>6.1571274303383924E-2</v>
      </c>
      <c r="N243" s="7">
        <f t="shared" si="14"/>
        <v>-5.8900373158981778E-2</v>
      </c>
      <c r="O243" s="7">
        <f t="shared" si="13"/>
        <v>-2.970296172064546E-2</v>
      </c>
      <c r="P243" s="7">
        <f t="shared" si="15"/>
        <v>-3.0091209481699188E-2</v>
      </c>
      <c r="Q243" s="7" t="e">
        <f>#REF!/B243</f>
        <v>#REF!</v>
      </c>
      <c r="R243" s="7" t="e">
        <f>#REF!/#REF!</f>
        <v>#REF!</v>
      </c>
      <c r="S243" s="7" t="e">
        <f>#REF!/#REF!</f>
        <v>#REF!</v>
      </c>
      <c r="T243" s="7" t="e">
        <f>C243/#REF!</f>
        <v>#REF!</v>
      </c>
    </row>
    <row r="244" spans="1:20" x14ac:dyDescent="0.3">
      <c r="A244" s="2">
        <v>43707</v>
      </c>
      <c r="B244" s="3">
        <v>21934513</v>
      </c>
      <c r="C244" s="42">
        <v>1210693</v>
      </c>
      <c r="D244" s="48">
        <f>VLOOKUP($A244,'Channel wise traffic'!$B$2:$K$368,7,FALSE)</f>
        <v>0</v>
      </c>
      <c r="E244" s="24">
        <f>VLOOKUP($A244,'Channel wise traffic'!$B$2:$K$368,8,FALSE)</f>
        <v>0</v>
      </c>
      <c r="F244" s="24">
        <f>VLOOKUP($A244,'Channel wise traffic'!$B$2:$K$368,9,FALSE)</f>
        <v>0</v>
      </c>
      <c r="G244" s="24">
        <f>VLOOKUP($A244,'Channel wise traffic'!$B$2:$K$368,10,FALSE)</f>
        <v>0</v>
      </c>
      <c r="H244" s="48">
        <f>VLOOKUP($A244,'Channel wise traffic'!$B$2:$P$368,11,FALSE)</f>
        <v>390912</v>
      </c>
      <c r="I244" s="24">
        <f>VLOOKUP($A244,'Channel wise traffic'!$B$2:$P$368,12,FALSE)</f>
        <v>293184</v>
      </c>
      <c r="J244" s="24">
        <f>VLOOKUP($A244,'Channel wise traffic'!$B$2:$P$368,13,FALSE)</f>
        <v>119445</v>
      </c>
      <c r="K244" s="51">
        <f>VLOOKUP($A244,'Channel wise traffic'!$B$2:$P$368,14,FALSE)</f>
        <v>282325</v>
      </c>
      <c r="L244" s="24">
        <f>VLOOKUP($A244,'Channel wise traffic'!$B$2:$P$368,15,FALSE)</f>
        <v>1085866</v>
      </c>
      <c r="M244" s="7">
        <f t="shared" si="12"/>
        <v>5.5195800335298077E-2</v>
      </c>
      <c r="N244" s="7">
        <f t="shared" si="14"/>
        <v>-6.6002030475649676E-2</v>
      </c>
      <c r="O244" s="7">
        <f t="shared" si="13"/>
        <v>5.2083334332598819E-2</v>
      </c>
      <c r="P244" s="7">
        <f t="shared" si="15"/>
        <v>-0.11223955456262158</v>
      </c>
      <c r="Q244" s="7" t="e">
        <f>#REF!/B244</f>
        <v>#REF!</v>
      </c>
      <c r="R244" s="7" t="e">
        <f>#REF!/#REF!</f>
        <v>#REF!</v>
      </c>
      <c r="S244" s="7" t="e">
        <f>#REF!/#REF!</f>
        <v>#REF!</v>
      </c>
      <c r="T244" s="7" t="e">
        <f>C244/#REF!</f>
        <v>#REF!</v>
      </c>
    </row>
    <row r="245" spans="1:20" x14ac:dyDescent="0.3">
      <c r="A245" s="2">
        <v>43708</v>
      </c>
      <c r="B245" s="3">
        <v>45338648</v>
      </c>
      <c r="C245" s="42">
        <v>1663518</v>
      </c>
      <c r="D245" s="48">
        <f>VLOOKUP($A245,'Channel wise traffic'!$B$2:$K$368,7,FALSE)</f>
        <v>0</v>
      </c>
      <c r="E245" s="24">
        <f>VLOOKUP($A245,'Channel wise traffic'!$B$2:$K$368,8,FALSE)</f>
        <v>0</v>
      </c>
      <c r="F245" s="24">
        <f>VLOOKUP($A245,'Channel wise traffic'!$B$2:$K$368,9,FALSE)</f>
        <v>0</v>
      </c>
      <c r="G245" s="24">
        <f>VLOOKUP($A245,'Channel wise traffic'!$B$2:$K$368,10,FALSE)</f>
        <v>0</v>
      </c>
      <c r="H245" s="48">
        <f>VLOOKUP($A245,'Channel wise traffic'!$B$2:$P$368,11,FALSE)</f>
        <v>808016</v>
      </c>
      <c r="I245" s="24">
        <f>VLOOKUP($A245,'Channel wise traffic'!$B$2:$P$368,12,FALSE)</f>
        <v>606012</v>
      </c>
      <c r="J245" s="24">
        <f>VLOOKUP($A245,'Channel wise traffic'!$B$2:$P$368,13,FALSE)</f>
        <v>246894</v>
      </c>
      <c r="K245" s="51">
        <f>VLOOKUP($A245,'Channel wise traffic'!$B$2:$P$368,14,FALSE)</f>
        <v>583567</v>
      </c>
      <c r="L245" s="24">
        <f>VLOOKUP($A245,'Channel wise traffic'!$B$2:$P$368,15,FALSE)</f>
        <v>2244489</v>
      </c>
      <c r="M245" s="7">
        <f t="shared" si="12"/>
        <v>3.6690948525858115E-2</v>
      </c>
      <c r="N245" s="7">
        <f t="shared" si="14"/>
        <v>2.158414759290106E-2</v>
      </c>
      <c r="O245" s="7">
        <f t="shared" si="13"/>
        <v>5.2083344935833553E-2</v>
      </c>
      <c r="P245" s="7">
        <f t="shared" si="15"/>
        <v>-2.8989335768633939E-2</v>
      </c>
      <c r="Q245" s="7" t="e">
        <f>#REF!/B245</f>
        <v>#REF!</v>
      </c>
      <c r="R245" s="7" t="e">
        <f>#REF!/#REF!</f>
        <v>#REF!</v>
      </c>
      <c r="S245" s="7" t="e">
        <f>#REF!/#REF!</f>
        <v>#REF!</v>
      </c>
      <c r="T245" s="7" t="e">
        <f>C245/#REF!</f>
        <v>#REF!</v>
      </c>
    </row>
    <row r="246" spans="1:20" x14ac:dyDescent="0.3">
      <c r="A246" s="2">
        <v>43709</v>
      </c>
      <c r="B246" s="3">
        <v>42645263</v>
      </c>
      <c r="C246" s="42">
        <v>1660788</v>
      </c>
      <c r="D246" s="48">
        <f>VLOOKUP($A246,'Channel wise traffic'!$B$2:$K$368,7,FALSE)</f>
        <v>-646413</v>
      </c>
      <c r="E246" s="24">
        <f>VLOOKUP($A246,'Channel wise traffic'!$B$2:$K$368,8,FALSE)</f>
        <v>-484809</v>
      </c>
      <c r="F246" s="24">
        <f>VLOOKUP($A246,'Channel wise traffic'!$B$2:$K$368,9,FALSE)</f>
        <v>-197515</v>
      </c>
      <c r="G246" s="24">
        <f>VLOOKUP($A246,'Channel wise traffic'!$B$2:$K$368,10,FALSE)</f>
        <v>-466853</v>
      </c>
      <c r="H246" s="48">
        <f>VLOOKUP($A246,'Channel wise traffic'!$B$2:$P$368,11,FALSE)</f>
        <v>0</v>
      </c>
      <c r="I246" s="24">
        <f>VLOOKUP($A246,'Channel wise traffic'!$B$2:$P$368,12,FALSE)</f>
        <v>0</v>
      </c>
      <c r="J246" s="24">
        <f>VLOOKUP($A246,'Channel wise traffic'!$B$2:$P$368,13,FALSE)</f>
        <v>0</v>
      </c>
      <c r="K246" s="51">
        <f>VLOOKUP($A246,'Channel wise traffic'!$B$2:$P$368,14,FALSE)</f>
        <v>0</v>
      </c>
      <c r="L246" s="24">
        <f>VLOOKUP($A246,'Channel wise traffic'!$B$2:$P$368,15,FALSE)</f>
        <v>-1795590</v>
      </c>
      <c r="M246" s="7">
        <f t="shared" si="12"/>
        <v>3.8944255074707827E-2</v>
      </c>
      <c r="N246" s="7">
        <f t="shared" si="14"/>
        <v>-6.9493243300028373E-2</v>
      </c>
      <c r="O246" s="7">
        <f t="shared" si="13"/>
        <v>-4.0404039949458181E-2</v>
      </c>
      <c r="P246" s="7">
        <f t="shared" si="15"/>
        <v>-3.0314011898338933E-2</v>
      </c>
      <c r="Q246" s="7" t="e">
        <f>#REF!/B246</f>
        <v>#REF!</v>
      </c>
      <c r="R246" s="7" t="e">
        <f>#REF!/#REF!</f>
        <v>#REF!</v>
      </c>
      <c r="S246" s="7" t="e">
        <f>#REF!/#REF!</f>
        <v>#REF!</v>
      </c>
      <c r="T246" s="7" t="e">
        <f>C246/#REF!</f>
        <v>#REF!</v>
      </c>
    </row>
    <row r="247" spans="1:20" x14ac:dyDescent="0.3">
      <c r="A247" s="2">
        <v>43710</v>
      </c>
      <c r="B247" s="3">
        <v>22803207</v>
      </c>
      <c r="C247" s="42">
        <v>1335405</v>
      </c>
      <c r="D247" s="48">
        <f>VLOOKUP($A247,'Channel wise traffic'!$B$2:$K$368,7,FALSE)</f>
        <v>0</v>
      </c>
      <c r="E247" s="24">
        <f>VLOOKUP($A247,'Channel wise traffic'!$B$2:$K$368,8,FALSE)</f>
        <v>0</v>
      </c>
      <c r="F247" s="24">
        <f>VLOOKUP($A247,'Channel wise traffic'!$B$2:$K$368,9,FALSE)</f>
        <v>0</v>
      </c>
      <c r="G247" s="24">
        <f>VLOOKUP($A247,'Channel wise traffic'!$B$2:$K$368,10,FALSE)</f>
        <v>0</v>
      </c>
      <c r="H247" s="48">
        <f>VLOOKUP($A247,'Channel wise traffic'!$B$2:$P$368,11,FALSE)</f>
        <v>156365</v>
      </c>
      <c r="I247" s="24">
        <f>VLOOKUP($A247,'Channel wise traffic'!$B$2:$P$368,12,FALSE)</f>
        <v>117274</v>
      </c>
      <c r="J247" s="24">
        <f>VLOOKUP($A247,'Channel wise traffic'!$B$2:$P$368,13,FALSE)</f>
        <v>47778</v>
      </c>
      <c r="K247" s="51">
        <f>VLOOKUP($A247,'Channel wise traffic'!$B$2:$P$368,14,FALSE)</f>
        <v>112930</v>
      </c>
      <c r="L247" s="24">
        <f>VLOOKUP($A247,'Channel wise traffic'!$B$2:$P$368,15,FALSE)</f>
        <v>434347</v>
      </c>
      <c r="M247" s="7">
        <f t="shared" si="12"/>
        <v>5.8562157507055915E-2</v>
      </c>
      <c r="N247" s="7">
        <f t="shared" si="14"/>
        <v>5.9740946129111183E-2</v>
      </c>
      <c r="O247" s="7">
        <f t="shared" si="13"/>
        <v>1.9417484842767951E-2</v>
      </c>
      <c r="P247" s="7">
        <f t="shared" si="15"/>
        <v>3.9555395003414651E-2</v>
      </c>
      <c r="Q247" s="7" t="e">
        <f>#REF!/B247</f>
        <v>#REF!</v>
      </c>
      <c r="R247" s="7" t="e">
        <f>#REF!/#REF!</f>
        <v>#REF!</v>
      </c>
      <c r="S247" s="7" t="e">
        <f>#REF!/#REF!</f>
        <v>#REF!</v>
      </c>
      <c r="T247" s="7" t="e">
        <f>C247/#REF!</f>
        <v>#REF!</v>
      </c>
    </row>
    <row r="248" spans="1:20" x14ac:dyDescent="0.3">
      <c r="A248" s="2">
        <v>43711</v>
      </c>
      <c r="B248" s="3">
        <v>22586034</v>
      </c>
      <c r="C248" s="42">
        <v>1170762</v>
      </c>
      <c r="D248" s="48">
        <f>VLOOKUP($A248,'Channel wise traffic'!$B$2:$K$368,7,FALSE)</f>
        <v>0</v>
      </c>
      <c r="E248" s="24">
        <f>VLOOKUP($A248,'Channel wise traffic'!$B$2:$K$368,8,FALSE)</f>
        <v>0</v>
      </c>
      <c r="F248" s="24">
        <f>VLOOKUP($A248,'Channel wise traffic'!$B$2:$K$368,9,FALSE)</f>
        <v>0</v>
      </c>
      <c r="G248" s="24">
        <f>VLOOKUP($A248,'Channel wise traffic'!$B$2:$K$368,10,FALSE)</f>
        <v>0</v>
      </c>
      <c r="H248" s="48">
        <f>VLOOKUP($A248,'Channel wise traffic'!$B$2:$P$368,11,FALSE)</f>
        <v>625460</v>
      </c>
      <c r="I248" s="24">
        <f>VLOOKUP($A248,'Channel wise traffic'!$B$2:$P$368,12,FALSE)</f>
        <v>469095</v>
      </c>
      <c r="J248" s="24">
        <f>VLOOKUP($A248,'Channel wise traffic'!$B$2:$P$368,13,FALSE)</f>
        <v>191112</v>
      </c>
      <c r="K248" s="51">
        <f>VLOOKUP($A248,'Channel wise traffic'!$B$2:$P$368,14,FALSE)</f>
        <v>451720</v>
      </c>
      <c r="L248" s="24">
        <f>VLOOKUP($A248,'Channel wise traffic'!$B$2:$P$368,15,FALSE)</f>
        <v>1737387</v>
      </c>
      <c r="M248" s="7">
        <f t="shared" si="12"/>
        <v>5.1835660922143305E-2</v>
      </c>
      <c r="N248" s="7">
        <f t="shared" si="14"/>
        <v>1.7803444891387521E-2</v>
      </c>
      <c r="O248" s="7">
        <f t="shared" si="13"/>
        <v>8.3333373303954517E-2</v>
      </c>
      <c r="P248" s="7">
        <f t="shared" si="15"/>
        <v>-6.048916245671776E-2</v>
      </c>
      <c r="Q248" s="7" t="e">
        <f>#REF!/B248</f>
        <v>#REF!</v>
      </c>
      <c r="R248" s="7" t="e">
        <f>#REF!/#REF!</f>
        <v>#REF!</v>
      </c>
      <c r="S248" s="7" t="e">
        <f>#REF!/#REF!</f>
        <v>#REF!</v>
      </c>
      <c r="T248" s="7" t="e">
        <f>C248/#REF!</f>
        <v>#REF!</v>
      </c>
    </row>
    <row r="249" spans="1:20" x14ac:dyDescent="0.3">
      <c r="A249" s="2">
        <v>43712</v>
      </c>
      <c r="B249" s="3">
        <v>22368860</v>
      </c>
      <c r="C249" s="42">
        <v>1310465</v>
      </c>
      <c r="D249" s="48">
        <f>VLOOKUP($A249,'Channel wise traffic'!$B$2:$K$368,7,FALSE)</f>
        <v>0</v>
      </c>
      <c r="E249" s="24">
        <f>VLOOKUP($A249,'Channel wise traffic'!$B$2:$K$368,8,FALSE)</f>
        <v>0</v>
      </c>
      <c r="F249" s="24">
        <f>VLOOKUP($A249,'Channel wise traffic'!$B$2:$K$368,9,FALSE)</f>
        <v>0</v>
      </c>
      <c r="G249" s="24">
        <f>VLOOKUP($A249,'Channel wise traffic'!$B$2:$K$368,10,FALSE)</f>
        <v>0</v>
      </c>
      <c r="H249" s="48">
        <f>VLOOKUP($A249,'Channel wise traffic'!$B$2:$P$368,11,FALSE)</f>
        <v>156365</v>
      </c>
      <c r="I249" s="24">
        <f>VLOOKUP($A249,'Channel wise traffic'!$B$2:$P$368,12,FALSE)</f>
        <v>117274</v>
      </c>
      <c r="J249" s="24">
        <f>VLOOKUP($A249,'Channel wise traffic'!$B$2:$P$368,13,FALSE)</f>
        <v>47778</v>
      </c>
      <c r="K249" s="51">
        <f>VLOOKUP($A249,'Channel wise traffic'!$B$2:$P$368,14,FALSE)</f>
        <v>112930</v>
      </c>
      <c r="L249" s="24">
        <f>VLOOKUP($A249,'Channel wise traffic'!$B$2:$P$368,15,FALSE)</f>
        <v>434347</v>
      </c>
      <c r="M249" s="7">
        <f t="shared" si="12"/>
        <v>5.8584344486039969E-2</v>
      </c>
      <c r="N249" s="7">
        <f t="shared" si="14"/>
        <v>-7.7849068606202554E-2</v>
      </c>
      <c r="O249" s="7">
        <f t="shared" si="13"/>
        <v>1.9801989677181275E-2</v>
      </c>
      <c r="P249" s="7">
        <f t="shared" si="15"/>
        <v>-9.575492033928612E-2</v>
      </c>
      <c r="Q249" s="7" t="e">
        <f>#REF!/B249</f>
        <v>#REF!</v>
      </c>
      <c r="R249" s="7" t="e">
        <f>#REF!/#REF!</f>
        <v>#REF!</v>
      </c>
      <c r="S249" s="7" t="e">
        <f>#REF!/#REF!</f>
        <v>#REF!</v>
      </c>
      <c r="T249" s="7" t="e">
        <f>C249/#REF!</f>
        <v>#REF!</v>
      </c>
    </row>
    <row r="250" spans="1:20" x14ac:dyDescent="0.3">
      <c r="A250" s="2">
        <v>43713</v>
      </c>
      <c r="B250" s="3">
        <v>20631473</v>
      </c>
      <c r="C250" s="42">
        <v>1284380</v>
      </c>
      <c r="D250" s="48">
        <f>VLOOKUP($A250,'Channel wise traffic'!$B$2:$K$368,7,FALSE)</f>
        <v>-234547</v>
      </c>
      <c r="E250" s="24">
        <f>VLOOKUP($A250,'Channel wise traffic'!$B$2:$K$368,8,FALSE)</f>
        <v>-175911</v>
      </c>
      <c r="F250" s="24">
        <f>VLOOKUP($A250,'Channel wise traffic'!$B$2:$K$368,9,FALSE)</f>
        <v>-71667</v>
      </c>
      <c r="G250" s="24">
        <f>VLOOKUP($A250,'Channel wise traffic'!$B$2:$K$368,10,FALSE)</f>
        <v>-169395</v>
      </c>
      <c r="H250" s="48">
        <f>VLOOKUP($A250,'Channel wise traffic'!$B$2:$P$368,11,FALSE)</f>
        <v>0</v>
      </c>
      <c r="I250" s="24">
        <f>VLOOKUP($A250,'Channel wise traffic'!$B$2:$P$368,12,FALSE)</f>
        <v>0</v>
      </c>
      <c r="J250" s="24">
        <f>VLOOKUP($A250,'Channel wise traffic'!$B$2:$P$368,13,FALSE)</f>
        <v>0</v>
      </c>
      <c r="K250" s="51">
        <f>VLOOKUP($A250,'Channel wise traffic'!$B$2:$P$368,14,FALSE)</f>
        <v>0</v>
      </c>
      <c r="L250" s="24">
        <f>VLOOKUP($A250,'Channel wise traffic'!$B$2:$P$368,15,FALSE)</f>
        <v>-651520</v>
      </c>
      <c r="M250" s="7">
        <f t="shared" si="12"/>
        <v>6.22534319289757E-2</v>
      </c>
      <c r="N250" s="7">
        <f t="shared" si="14"/>
        <v>-1.9872239532180869E-2</v>
      </c>
      <c r="O250" s="7">
        <f t="shared" si="13"/>
        <v>-3.061223578845329E-2</v>
      </c>
      <c r="P250" s="7">
        <f t="shared" si="15"/>
        <v>1.1079153928673646E-2</v>
      </c>
      <c r="Q250" s="7" t="e">
        <f>#REF!/B250</f>
        <v>#REF!</v>
      </c>
      <c r="R250" s="7" t="e">
        <f>#REF!/#REF!</f>
        <v>#REF!</v>
      </c>
      <c r="S250" s="7" t="e">
        <f>#REF!/#REF!</f>
        <v>#REF!</v>
      </c>
      <c r="T250" s="7" t="e">
        <f>C250/#REF!</f>
        <v>#REF!</v>
      </c>
    </row>
    <row r="251" spans="1:20" x14ac:dyDescent="0.3">
      <c r="A251" s="2">
        <v>43714</v>
      </c>
      <c r="B251" s="3">
        <v>20848646</v>
      </c>
      <c r="C251" s="42">
        <v>1233898</v>
      </c>
      <c r="D251" s="48">
        <f>VLOOKUP($A251,'Channel wise traffic'!$B$2:$K$368,7,FALSE)</f>
        <v>-390912</v>
      </c>
      <c r="E251" s="24">
        <f>VLOOKUP($A251,'Channel wise traffic'!$B$2:$K$368,8,FALSE)</f>
        <v>-293184</v>
      </c>
      <c r="F251" s="24">
        <f>VLOOKUP($A251,'Channel wise traffic'!$B$2:$K$368,9,FALSE)</f>
        <v>-119445</v>
      </c>
      <c r="G251" s="24">
        <f>VLOOKUP($A251,'Channel wise traffic'!$B$2:$K$368,10,FALSE)</f>
        <v>-282325</v>
      </c>
      <c r="H251" s="48">
        <f>VLOOKUP($A251,'Channel wise traffic'!$B$2:$P$368,11,FALSE)</f>
        <v>0</v>
      </c>
      <c r="I251" s="24">
        <f>VLOOKUP($A251,'Channel wise traffic'!$B$2:$P$368,12,FALSE)</f>
        <v>0</v>
      </c>
      <c r="J251" s="24">
        <f>VLOOKUP($A251,'Channel wise traffic'!$B$2:$P$368,13,FALSE)</f>
        <v>0</v>
      </c>
      <c r="K251" s="51">
        <f>VLOOKUP($A251,'Channel wise traffic'!$B$2:$P$368,14,FALSE)</f>
        <v>0</v>
      </c>
      <c r="L251" s="24">
        <f>VLOOKUP($A251,'Channel wise traffic'!$B$2:$P$368,15,FALSE)</f>
        <v>-1085866</v>
      </c>
      <c r="M251" s="7">
        <f t="shared" si="12"/>
        <v>5.9183603577901416E-2</v>
      </c>
      <c r="N251" s="7">
        <f t="shared" si="14"/>
        <v>1.9166708653638898E-2</v>
      </c>
      <c r="O251" s="7">
        <f t="shared" si="13"/>
        <v>-4.9504951397826846E-2</v>
      </c>
      <c r="P251" s="7">
        <f t="shared" si="15"/>
        <v>7.2248309081100803E-2</v>
      </c>
      <c r="Q251" s="7" t="e">
        <f>#REF!/B251</f>
        <v>#REF!</v>
      </c>
      <c r="R251" s="7" t="e">
        <f>#REF!/#REF!</f>
        <v>#REF!</v>
      </c>
      <c r="S251" s="7" t="e">
        <f>#REF!/#REF!</f>
        <v>#REF!</v>
      </c>
      <c r="T251" s="7" t="e">
        <f>C251/#REF!</f>
        <v>#REF!</v>
      </c>
    </row>
    <row r="252" spans="1:20" x14ac:dyDescent="0.3">
      <c r="A252" s="2">
        <v>43715</v>
      </c>
      <c r="B252" s="3">
        <v>46685340</v>
      </c>
      <c r="C252" s="42">
        <v>1500680</v>
      </c>
      <c r="D252" s="48">
        <f>VLOOKUP($A252,'Channel wise traffic'!$B$2:$K$368,7,FALSE)</f>
        <v>0</v>
      </c>
      <c r="E252" s="24">
        <f>VLOOKUP($A252,'Channel wise traffic'!$B$2:$K$368,8,FALSE)</f>
        <v>0</v>
      </c>
      <c r="F252" s="24">
        <f>VLOOKUP($A252,'Channel wise traffic'!$B$2:$K$368,9,FALSE)</f>
        <v>0</v>
      </c>
      <c r="G252" s="24">
        <f>VLOOKUP($A252,'Channel wise traffic'!$B$2:$K$368,10,FALSE)</f>
        <v>0</v>
      </c>
      <c r="H252" s="48">
        <f>VLOOKUP($A252,'Channel wise traffic'!$B$2:$P$368,11,FALSE)</f>
        <v>484809</v>
      </c>
      <c r="I252" s="24">
        <f>VLOOKUP($A252,'Channel wise traffic'!$B$2:$P$368,12,FALSE)</f>
        <v>363607</v>
      </c>
      <c r="J252" s="24">
        <f>VLOOKUP($A252,'Channel wise traffic'!$B$2:$P$368,13,FALSE)</f>
        <v>148136</v>
      </c>
      <c r="K252" s="51">
        <f>VLOOKUP($A252,'Channel wise traffic'!$B$2:$P$368,14,FALSE)</f>
        <v>350140</v>
      </c>
      <c r="L252" s="24">
        <f>VLOOKUP($A252,'Channel wise traffic'!$B$2:$P$368,15,FALSE)</f>
        <v>1346692</v>
      </c>
      <c r="M252" s="7">
        <f t="shared" si="12"/>
        <v>3.2144566152886536E-2</v>
      </c>
      <c r="N252" s="7">
        <f t="shared" si="14"/>
        <v>-9.7887729498568721E-2</v>
      </c>
      <c r="O252" s="7">
        <f t="shared" si="13"/>
        <v>2.9702958941342894E-2</v>
      </c>
      <c r="P252" s="7">
        <f t="shared" si="15"/>
        <v>-0.12391018917833363</v>
      </c>
      <c r="Q252" s="7" t="e">
        <f>#REF!/B252</f>
        <v>#REF!</v>
      </c>
      <c r="R252" s="7" t="e">
        <f>#REF!/#REF!</f>
        <v>#REF!</v>
      </c>
      <c r="S252" s="7" t="e">
        <f>#REF!/#REF!</f>
        <v>#REF!</v>
      </c>
      <c r="T252" s="7" t="e">
        <f>C252/#REF!</f>
        <v>#REF!</v>
      </c>
    </row>
    <row r="253" spans="1:20" x14ac:dyDescent="0.3">
      <c r="A253" s="2">
        <v>43716</v>
      </c>
      <c r="B253" s="3">
        <v>43094160</v>
      </c>
      <c r="C253" s="42">
        <v>1697763</v>
      </c>
      <c r="D253" s="48">
        <f>VLOOKUP($A253,'Channel wise traffic'!$B$2:$K$368,7,FALSE)</f>
        <v>0</v>
      </c>
      <c r="E253" s="24">
        <f>VLOOKUP($A253,'Channel wise traffic'!$B$2:$K$368,8,FALSE)</f>
        <v>0</v>
      </c>
      <c r="F253" s="24">
        <f>VLOOKUP($A253,'Channel wise traffic'!$B$2:$K$368,9,FALSE)</f>
        <v>0</v>
      </c>
      <c r="G253" s="24">
        <f>VLOOKUP($A253,'Channel wise traffic'!$B$2:$K$368,10,FALSE)</f>
        <v>0</v>
      </c>
      <c r="H253" s="48">
        <f>VLOOKUP($A253,'Channel wise traffic'!$B$2:$P$368,11,FALSE)</f>
        <v>161603</v>
      </c>
      <c r="I253" s="24">
        <f>VLOOKUP($A253,'Channel wise traffic'!$B$2:$P$368,12,FALSE)</f>
        <v>121202</v>
      </c>
      <c r="J253" s="24">
        <f>VLOOKUP($A253,'Channel wise traffic'!$B$2:$P$368,13,FALSE)</f>
        <v>49379</v>
      </c>
      <c r="K253" s="51">
        <f>VLOOKUP($A253,'Channel wise traffic'!$B$2:$P$368,14,FALSE)</f>
        <v>116713</v>
      </c>
      <c r="L253" s="24">
        <f>VLOOKUP($A253,'Channel wise traffic'!$B$2:$P$368,15,FALSE)</f>
        <v>448897</v>
      </c>
      <c r="M253" s="7">
        <f t="shared" si="12"/>
        <v>3.9396591092621364E-2</v>
      </c>
      <c r="N253" s="7">
        <f t="shared" si="14"/>
        <v>2.2263527915664216E-2</v>
      </c>
      <c r="O253" s="7">
        <f t="shared" si="13"/>
        <v>1.0526303941424953E-2</v>
      </c>
      <c r="P253" s="7">
        <f t="shared" si="15"/>
        <v>1.1614961360688625E-2</v>
      </c>
      <c r="Q253" s="7" t="e">
        <f>#REF!/B253</f>
        <v>#REF!</v>
      </c>
      <c r="R253" s="7" t="e">
        <f>#REF!/#REF!</f>
        <v>#REF!</v>
      </c>
      <c r="S253" s="7" t="e">
        <f>#REF!/#REF!</f>
        <v>#REF!</v>
      </c>
      <c r="T253" s="7" t="e">
        <f>C253/#REF!</f>
        <v>#REF!</v>
      </c>
    </row>
    <row r="254" spans="1:20" x14ac:dyDescent="0.3">
      <c r="A254" s="2">
        <v>43717</v>
      </c>
      <c r="B254" s="3">
        <v>21717340</v>
      </c>
      <c r="C254" s="42">
        <v>1419728</v>
      </c>
      <c r="D254" s="48">
        <f>VLOOKUP($A254,'Channel wise traffic'!$B$2:$K$368,7,FALSE)</f>
        <v>-390912</v>
      </c>
      <c r="E254" s="24">
        <f>VLOOKUP($A254,'Channel wise traffic'!$B$2:$K$368,8,FALSE)</f>
        <v>-293185</v>
      </c>
      <c r="F254" s="24">
        <f>VLOOKUP($A254,'Channel wise traffic'!$B$2:$K$368,9,FALSE)</f>
        <v>-119445</v>
      </c>
      <c r="G254" s="24">
        <f>VLOOKUP($A254,'Channel wise traffic'!$B$2:$K$368,10,FALSE)</f>
        <v>-282325</v>
      </c>
      <c r="H254" s="48">
        <f>VLOOKUP($A254,'Channel wise traffic'!$B$2:$P$368,11,FALSE)</f>
        <v>0</v>
      </c>
      <c r="I254" s="24">
        <f>VLOOKUP($A254,'Channel wise traffic'!$B$2:$P$368,12,FALSE)</f>
        <v>0</v>
      </c>
      <c r="J254" s="24">
        <f>VLOOKUP($A254,'Channel wise traffic'!$B$2:$P$368,13,FALSE)</f>
        <v>0</v>
      </c>
      <c r="K254" s="51">
        <f>VLOOKUP($A254,'Channel wise traffic'!$B$2:$P$368,14,FALSE)</f>
        <v>0</v>
      </c>
      <c r="L254" s="24">
        <f>VLOOKUP($A254,'Channel wise traffic'!$B$2:$P$368,15,FALSE)</f>
        <v>-1085867</v>
      </c>
      <c r="M254" s="7">
        <f t="shared" si="12"/>
        <v>6.5373015295611708E-2</v>
      </c>
      <c r="N254" s="7">
        <f t="shared" si="14"/>
        <v>6.3144139792796983E-2</v>
      </c>
      <c r="O254" s="7">
        <f t="shared" si="13"/>
        <v>-4.7619047619047672E-2</v>
      </c>
      <c r="P254" s="7">
        <f t="shared" si="15"/>
        <v>0.11630134678243675</v>
      </c>
      <c r="Q254" s="7" t="e">
        <f>#REF!/B254</f>
        <v>#REF!</v>
      </c>
      <c r="R254" s="7" t="e">
        <f>#REF!/#REF!</f>
        <v>#REF!</v>
      </c>
      <c r="S254" s="7" t="e">
        <f>#REF!/#REF!</f>
        <v>#REF!</v>
      </c>
      <c r="T254" s="7" t="e">
        <f>C254/#REF!</f>
        <v>#REF!</v>
      </c>
    </row>
    <row r="255" spans="1:20" x14ac:dyDescent="0.3">
      <c r="A255" s="2">
        <v>43718</v>
      </c>
      <c r="B255" s="3">
        <v>22368860</v>
      </c>
      <c r="C255" s="42">
        <v>1185281</v>
      </c>
      <c r="D255" s="48">
        <f>VLOOKUP($A255,'Channel wise traffic'!$B$2:$K$368,7,FALSE)</f>
        <v>-78183</v>
      </c>
      <c r="E255" s="24">
        <f>VLOOKUP($A255,'Channel wise traffic'!$B$2:$K$368,8,FALSE)</f>
        <v>-58637</v>
      </c>
      <c r="F255" s="24">
        <f>VLOOKUP($A255,'Channel wise traffic'!$B$2:$K$368,9,FALSE)</f>
        <v>-23889</v>
      </c>
      <c r="G255" s="24">
        <f>VLOOKUP($A255,'Channel wise traffic'!$B$2:$K$368,10,FALSE)</f>
        <v>-56465</v>
      </c>
      <c r="H255" s="48">
        <f>VLOOKUP($A255,'Channel wise traffic'!$B$2:$P$368,11,FALSE)</f>
        <v>0</v>
      </c>
      <c r="I255" s="24">
        <f>VLOOKUP($A255,'Channel wise traffic'!$B$2:$P$368,12,FALSE)</f>
        <v>0</v>
      </c>
      <c r="J255" s="24">
        <f>VLOOKUP($A255,'Channel wise traffic'!$B$2:$P$368,13,FALSE)</f>
        <v>0</v>
      </c>
      <c r="K255" s="51">
        <f>VLOOKUP($A255,'Channel wise traffic'!$B$2:$P$368,14,FALSE)</f>
        <v>0</v>
      </c>
      <c r="L255" s="24">
        <f>VLOOKUP($A255,'Channel wise traffic'!$B$2:$P$368,15,FALSE)</f>
        <v>-217174</v>
      </c>
      <c r="M255" s="7">
        <f t="shared" si="12"/>
        <v>5.2987993129734817E-2</v>
      </c>
      <c r="N255" s="7">
        <f t="shared" si="14"/>
        <v>1.2401324949050219E-2</v>
      </c>
      <c r="O255" s="7">
        <f t="shared" si="13"/>
        <v>-9.6154110101844825E-3</v>
      </c>
      <c r="P255" s="7">
        <f t="shared" si="15"/>
        <v>2.2230491269751518E-2</v>
      </c>
      <c r="Q255" s="7" t="e">
        <f>#REF!/B255</f>
        <v>#REF!</v>
      </c>
      <c r="R255" s="7" t="e">
        <f>#REF!/#REF!</f>
        <v>#REF!</v>
      </c>
      <c r="S255" s="7" t="e">
        <f>#REF!/#REF!</f>
        <v>#REF!</v>
      </c>
      <c r="T255" s="7" t="e">
        <f>C255/#REF!</f>
        <v>#REF!</v>
      </c>
    </row>
    <row r="256" spans="1:20" x14ac:dyDescent="0.3">
      <c r="A256" s="2">
        <v>43719</v>
      </c>
      <c r="B256" s="3">
        <v>21065820</v>
      </c>
      <c r="C256" s="42">
        <v>1246140</v>
      </c>
      <c r="D256" s="48">
        <f>VLOOKUP($A256,'Channel wise traffic'!$B$2:$K$368,7,FALSE)</f>
        <v>-469094</v>
      </c>
      <c r="E256" s="24">
        <f>VLOOKUP($A256,'Channel wise traffic'!$B$2:$K$368,8,FALSE)</f>
        <v>-351821</v>
      </c>
      <c r="F256" s="24">
        <f>VLOOKUP($A256,'Channel wise traffic'!$B$2:$K$368,9,FALSE)</f>
        <v>-143334</v>
      </c>
      <c r="G256" s="24">
        <f>VLOOKUP($A256,'Channel wise traffic'!$B$2:$K$368,10,FALSE)</f>
        <v>-338790</v>
      </c>
      <c r="H256" s="48">
        <f>VLOOKUP($A256,'Channel wise traffic'!$B$2:$P$368,11,FALSE)</f>
        <v>0</v>
      </c>
      <c r="I256" s="24">
        <f>VLOOKUP($A256,'Channel wise traffic'!$B$2:$P$368,12,FALSE)</f>
        <v>0</v>
      </c>
      <c r="J256" s="24">
        <f>VLOOKUP($A256,'Channel wise traffic'!$B$2:$P$368,13,FALSE)</f>
        <v>0</v>
      </c>
      <c r="K256" s="51">
        <f>VLOOKUP($A256,'Channel wise traffic'!$B$2:$P$368,14,FALSE)</f>
        <v>0</v>
      </c>
      <c r="L256" s="24">
        <f>VLOOKUP($A256,'Channel wise traffic'!$B$2:$P$368,15,FALSE)</f>
        <v>-1303039</v>
      </c>
      <c r="M256" s="7">
        <f t="shared" si="12"/>
        <v>5.9154592605462311E-2</v>
      </c>
      <c r="N256" s="7">
        <f t="shared" si="14"/>
        <v>-4.9085629909993767E-2</v>
      </c>
      <c r="O256" s="7">
        <f t="shared" si="13"/>
        <v>-5.8252409823299045E-2</v>
      </c>
      <c r="P256" s="7">
        <f t="shared" si="15"/>
        <v>9.7337970480873004E-3</v>
      </c>
      <c r="Q256" s="7" t="e">
        <f>#REF!/B256</f>
        <v>#REF!</v>
      </c>
      <c r="R256" s="7" t="e">
        <f>#REF!/#REF!</f>
        <v>#REF!</v>
      </c>
      <c r="S256" s="7" t="e">
        <f>#REF!/#REF!</f>
        <v>#REF!</v>
      </c>
      <c r="T256" s="7" t="e">
        <f>C256/#REF!</f>
        <v>#REF!</v>
      </c>
    </row>
    <row r="257" spans="1:22" x14ac:dyDescent="0.3">
      <c r="A257" s="2">
        <v>43720</v>
      </c>
      <c r="B257" s="3">
        <v>20848646</v>
      </c>
      <c r="C257" s="42">
        <v>1309611</v>
      </c>
      <c r="D257" s="48">
        <f>VLOOKUP($A257,'Channel wise traffic'!$B$2:$K$368,7,FALSE)</f>
        <v>0</v>
      </c>
      <c r="E257" s="24">
        <f>VLOOKUP($A257,'Channel wise traffic'!$B$2:$K$368,8,FALSE)</f>
        <v>0</v>
      </c>
      <c r="F257" s="24">
        <f>VLOOKUP($A257,'Channel wise traffic'!$B$2:$K$368,9,FALSE)</f>
        <v>0</v>
      </c>
      <c r="G257" s="24">
        <f>VLOOKUP($A257,'Channel wise traffic'!$B$2:$K$368,10,FALSE)</f>
        <v>0</v>
      </c>
      <c r="H257" s="48">
        <f>VLOOKUP($A257,'Channel wise traffic'!$B$2:$P$368,11,FALSE)</f>
        <v>78182</v>
      </c>
      <c r="I257" s="24">
        <f>VLOOKUP($A257,'Channel wise traffic'!$B$2:$P$368,12,FALSE)</f>
        <v>58637</v>
      </c>
      <c r="J257" s="24">
        <f>VLOOKUP($A257,'Channel wise traffic'!$B$2:$P$368,13,FALSE)</f>
        <v>23889</v>
      </c>
      <c r="K257" s="51">
        <f>VLOOKUP($A257,'Channel wise traffic'!$B$2:$P$368,14,FALSE)</f>
        <v>56465</v>
      </c>
      <c r="L257" s="24">
        <f>VLOOKUP($A257,'Channel wise traffic'!$B$2:$P$368,15,FALSE)</f>
        <v>217173</v>
      </c>
      <c r="M257" s="7">
        <f t="shared" si="12"/>
        <v>6.2815158356087003E-2</v>
      </c>
      <c r="N257" s="7">
        <f t="shared" si="14"/>
        <v>1.9644497734315314E-2</v>
      </c>
      <c r="O257" s="7">
        <f t="shared" si="13"/>
        <v>1.0526296401619062E-2</v>
      </c>
      <c r="P257" s="7">
        <f t="shared" si="15"/>
        <v>9.0232202419324725E-3</v>
      </c>
      <c r="Q257" s="7" t="e">
        <f>#REF!/B257</f>
        <v>#REF!</v>
      </c>
      <c r="R257" s="7" t="e">
        <f>#REF!/#REF!</f>
        <v>#REF!</v>
      </c>
      <c r="S257" s="7" t="e">
        <f>#REF!/#REF!</f>
        <v>#REF!</v>
      </c>
      <c r="T257" s="7" t="e">
        <f>C257/#REF!</f>
        <v>#REF!</v>
      </c>
    </row>
    <row r="258" spans="1:22" x14ac:dyDescent="0.3">
      <c r="A258" s="2">
        <v>43721</v>
      </c>
      <c r="B258" s="3">
        <v>22803207</v>
      </c>
      <c r="C258" s="42">
        <v>1360362</v>
      </c>
      <c r="D258" s="48">
        <f>VLOOKUP($A258,'Channel wise traffic'!$B$2:$K$368,7,FALSE)</f>
        <v>0</v>
      </c>
      <c r="E258" s="24">
        <f>VLOOKUP($A258,'Channel wise traffic'!$B$2:$K$368,8,FALSE)</f>
        <v>0</v>
      </c>
      <c r="F258" s="24">
        <f>VLOOKUP($A258,'Channel wise traffic'!$B$2:$K$368,9,FALSE)</f>
        <v>0</v>
      </c>
      <c r="G258" s="24">
        <f>VLOOKUP($A258,'Channel wise traffic'!$B$2:$K$368,10,FALSE)</f>
        <v>0</v>
      </c>
      <c r="H258" s="48">
        <f>VLOOKUP($A258,'Channel wise traffic'!$B$2:$P$368,11,FALSE)</f>
        <v>703642</v>
      </c>
      <c r="I258" s="24">
        <f>VLOOKUP($A258,'Channel wise traffic'!$B$2:$P$368,12,FALSE)</f>
        <v>527732</v>
      </c>
      <c r="J258" s="24">
        <f>VLOOKUP($A258,'Channel wise traffic'!$B$2:$P$368,13,FALSE)</f>
        <v>215001</v>
      </c>
      <c r="K258" s="51">
        <f>VLOOKUP($A258,'Channel wise traffic'!$B$2:$P$368,14,FALSE)</f>
        <v>508185</v>
      </c>
      <c r="L258" s="24">
        <f>VLOOKUP($A258,'Channel wise traffic'!$B$2:$P$368,15,FALSE)</f>
        <v>1954560</v>
      </c>
      <c r="M258" s="7">
        <f t="shared" si="12"/>
        <v>5.9656608826995257E-2</v>
      </c>
      <c r="N258" s="7">
        <f t="shared" si="14"/>
        <v>0.10249145391272219</v>
      </c>
      <c r="O258" s="7">
        <f t="shared" si="13"/>
        <v>9.3750020984576077E-2</v>
      </c>
      <c r="P258" s="7">
        <f t="shared" si="15"/>
        <v>7.9921670952536328E-3</v>
      </c>
      <c r="Q258" s="7" t="e">
        <f>#REF!/B258</f>
        <v>#REF!</v>
      </c>
      <c r="R258" s="7" t="e">
        <f>#REF!/#REF!</f>
        <v>#REF!</v>
      </c>
      <c r="S258" s="7" t="e">
        <f>#REF!/#REF!</f>
        <v>#REF!</v>
      </c>
      <c r="T258" s="7" t="e">
        <f>C258/#REF!</f>
        <v>#REF!</v>
      </c>
    </row>
    <row r="259" spans="1:22" s="35" customFormat="1" x14ac:dyDescent="0.3">
      <c r="A259" s="36">
        <v>43722</v>
      </c>
      <c r="B259" s="16">
        <v>44440853</v>
      </c>
      <c r="C259" s="47">
        <v>696459</v>
      </c>
      <c r="D259" s="49">
        <f>VLOOKUP($A259,'Channel wise traffic'!$B$2:$K$368,7,FALSE)</f>
        <v>-808015</v>
      </c>
      <c r="E259" s="28">
        <f>VLOOKUP($A259,'Channel wise traffic'!$B$2:$K$368,8,FALSE)</f>
        <v>-606012</v>
      </c>
      <c r="F259" s="28">
        <f>VLOOKUP($A259,'Channel wise traffic'!$B$2:$K$368,9,FALSE)</f>
        <v>-246894</v>
      </c>
      <c r="G259" s="28">
        <f>VLOOKUP($A259,'Channel wise traffic'!$B$2:$K$368,10,FALSE)</f>
        <v>-583567</v>
      </c>
      <c r="H259" s="48">
        <f>VLOOKUP($A259,'Channel wise traffic'!$B$2:$P$368,11,FALSE)</f>
        <v>0</v>
      </c>
      <c r="I259" s="24">
        <f>VLOOKUP($A259,'Channel wise traffic'!$B$2:$P$368,12,FALSE)</f>
        <v>0</v>
      </c>
      <c r="J259" s="24">
        <f>VLOOKUP($A259,'Channel wise traffic'!$B$2:$P$368,13,FALSE)</f>
        <v>0</v>
      </c>
      <c r="K259" s="51">
        <f>VLOOKUP($A259,'Channel wise traffic'!$B$2:$P$368,14,FALSE)</f>
        <v>0</v>
      </c>
      <c r="L259" s="28">
        <f>VLOOKUP($A259,'Channel wise traffic'!$B$2:$P$368,15,FALSE)</f>
        <v>-2244488</v>
      </c>
      <c r="M259" s="17">
        <f t="shared" ref="M259:M322" si="16">C259/B259</f>
        <v>1.5671593882322647E-2</v>
      </c>
      <c r="N259" s="34">
        <f t="shared" si="14"/>
        <v>-0.53590439000986212</v>
      </c>
      <c r="O259" s="34">
        <f t="shared" si="13"/>
        <v>-4.8076912366922908E-2</v>
      </c>
      <c r="P259" s="17">
        <f t="shared" si="15"/>
        <v>-0.51246522327334754</v>
      </c>
      <c r="Q259" s="17" t="e">
        <f>#REF!/B259</f>
        <v>#REF!</v>
      </c>
      <c r="R259" s="17" t="e">
        <f>#REF!/#REF!</f>
        <v>#REF!</v>
      </c>
      <c r="S259" s="17" t="e">
        <f>#REF!/#REF!</f>
        <v>#REF!</v>
      </c>
      <c r="T259" s="17" t="e">
        <f>C259/#REF!</f>
        <v>#REF!</v>
      </c>
      <c r="U259"/>
      <c r="V259" s="35" t="s">
        <v>40</v>
      </c>
    </row>
    <row r="260" spans="1:22" x14ac:dyDescent="0.3">
      <c r="A260" s="2">
        <v>43723</v>
      </c>
      <c r="B260" s="3">
        <v>46236443</v>
      </c>
      <c r="C260" s="42">
        <v>1856717</v>
      </c>
      <c r="D260" s="48">
        <f>VLOOKUP($A260,'Channel wise traffic'!$B$2:$K$368,7,FALSE)</f>
        <v>0</v>
      </c>
      <c r="E260" s="24">
        <f>VLOOKUP($A260,'Channel wise traffic'!$B$2:$K$368,8,FALSE)</f>
        <v>0</v>
      </c>
      <c r="F260" s="24">
        <f>VLOOKUP($A260,'Channel wise traffic'!$B$2:$K$368,9,FALSE)</f>
        <v>0</v>
      </c>
      <c r="G260" s="24">
        <f>VLOOKUP($A260,'Channel wise traffic'!$B$2:$K$368,10,FALSE)</f>
        <v>0</v>
      </c>
      <c r="H260" s="48">
        <f>VLOOKUP($A260,'Channel wise traffic'!$B$2:$P$368,11,FALSE)</f>
        <v>1131222</v>
      </c>
      <c r="I260" s="24">
        <f>VLOOKUP($A260,'Channel wise traffic'!$B$2:$P$368,12,FALSE)</f>
        <v>848416</v>
      </c>
      <c r="J260" s="24">
        <f>VLOOKUP($A260,'Channel wise traffic'!$B$2:$P$368,13,FALSE)</f>
        <v>345651</v>
      </c>
      <c r="K260" s="51">
        <f>VLOOKUP($A260,'Channel wise traffic'!$B$2:$P$368,14,FALSE)</f>
        <v>816994</v>
      </c>
      <c r="L260" s="24">
        <f>VLOOKUP($A260,'Channel wise traffic'!$B$2:$P$368,15,FALSE)</f>
        <v>3142283</v>
      </c>
      <c r="M260" s="7">
        <f t="shared" si="16"/>
        <v>4.0157003426928843E-2</v>
      </c>
      <c r="N260" s="7">
        <f t="shared" si="14"/>
        <v>9.3625553154356611E-2</v>
      </c>
      <c r="O260" s="7">
        <f t="shared" si="13"/>
        <v>7.2916678269166812E-2</v>
      </c>
      <c r="P260" s="7">
        <f t="shared" si="15"/>
        <v>1.9301475412422109E-2</v>
      </c>
      <c r="Q260" s="7" t="e">
        <f>#REF!/B260</f>
        <v>#REF!</v>
      </c>
      <c r="R260" s="7" t="e">
        <f>#REF!/#REF!</f>
        <v>#REF!</v>
      </c>
      <c r="S260" s="7" t="e">
        <f>#REF!/#REF!</f>
        <v>#REF!</v>
      </c>
      <c r="T260" s="7" t="e">
        <f>C260/#REF!</f>
        <v>#REF!</v>
      </c>
    </row>
    <row r="261" spans="1:22" x14ac:dyDescent="0.3">
      <c r="A261" s="2">
        <v>43724</v>
      </c>
      <c r="B261" s="3">
        <v>20631473</v>
      </c>
      <c r="C261" s="42">
        <v>1161771</v>
      </c>
      <c r="D261" s="48">
        <f>VLOOKUP($A261,'Channel wise traffic'!$B$2:$K$368,7,FALSE)</f>
        <v>-390912</v>
      </c>
      <c r="E261" s="24">
        <f>VLOOKUP($A261,'Channel wise traffic'!$B$2:$K$368,8,FALSE)</f>
        <v>-293184</v>
      </c>
      <c r="F261" s="24">
        <f>VLOOKUP($A261,'Channel wise traffic'!$B$2:$K$368,9,FALSE)</f>
        <v>-119445</v>
      </c>
      <c r="G261" s="24">
        <f>VLOOKUP($A261,'Channel wise traffic'!$B$2:$K$368,10,FALSE)</f>
        <v>-282325</v>
      </c>
      <c r="H261" s="48">
        <f>VLOOKUP($A261,'Channel wise traffic'!$B$2:$P$368,11,FALSE)</f>
        <v>0</v>
      </c>
      <c r="I261" s="24">
        <f>VLOOKUP($A261,'Channel wise traffic'!$B$2:$P$368,12,FALSE)</f>
        <v>0</v>
      </c>
      <c r="J261" s="24">
        <f>VLOOKUP($A261,'Channel wise traffic'!$B$2:$P$368,13,FALSE)</f>
        <v>0</v>
      </c>
      <c r="K261" s="51">
        <f>VLOOKUP($A261,'Channel wise traffic'!$B$2:$P$368,14,FALSE)</f>
        <v>0</v>
      </c>
      <c r="L261" s="24">
        <f>VLOOKUP($A261,'Channel wise traffic'!$B$2:$P$368,15,FALSE)</f>
        <v>-1085866</v>
      </c>
      <c r="M261" s="7">
        <f t="shared" si="16"/>
        <v>5.631061824814932E-2</v>
      </c>
      <c r="N261" s="7">
        <f t="shared" si="14"/>
        <v>-0.18169466263960421</v>
      </c>
      <c r="O261" s="7">
        <f t="shared" si="13"/>
        <v>-5.0000000000000044E-2</v>
      </c>
      <c r="P261" s="7">
        <f t="shared" si="15"/>
        <v>-0.1386259606732676</v>
      </c>
      <c r="Q261" s="7" t="e">
        <f>#REF!/B261</f>
        <v>#REF!</v>
      </c>
      <c r="R261" s="7" t="e">
        <f>#REF!/#REF!</f>
        <v>#REF!</v>
      </c>
      <c r="S261" s="7" t="e">
        <f>#REF!/#REF!</f>
        <v>#REF!</v>
      </c>
      <c r="T261" s="7" t="e">
        <f>C261/#REF!</f>
        <v>#REF!</v>
      </c>
    </row>
    <row r="262" spans="1:22" x14ac:dyDescent="0.3">
      <c r="A262" s="2">
        <v>43725</v>
      </c>
      <c r="B262" s="3">
        <v>22368860</v>
      </c>
      <c r="C262" s="42">
        <v>1361964</v>
      </c>
      <c r="D262" s="48">
        <f>VLOOKUP($A262,'Channel wise traffic'!$B$2:$K$368,7,FALSE)</f>
        <v>0</v>
      </c>
      <c r="E262" s="24">
        <f>VLOOKUP($A262,'Channel wise traffic'!$B$2:$K$368,8,FALSE)</f>
        <v>0</v>
      </c>
      <c r="F262" s="24">
        <f>VLOOKUP($A262,'Channel wise traffic'!$B$2:$K$368,9,FALSE)</f>
        <v>0</v>
      </c>
      <c r="G262" s="24">
        <f>VLOOKUP($A262,'Channel wise traffic'!$B$2:$K$368,10,FALSE)</f>
        <v>0</v>
      </c>
      <c r="H262" s="48">
        <f>VLOOKUP($A262,'Channel wise traffic'!$B$2:$P$368,11,FALSE)</f>
        <v>0</v>
      </c>
      <c r="I262" s="24">
        <f>VLOOKUP($A262,'Channel wise traffic'!$B$2:$P$368,12,FALSE)</f>
        <v>0</v>
      </c>
      <c r="J262" s="24">
        <f>VLOOKUP($A262,'Channel wise traffic'!$B$2:$P$368,13,FALSE)</f>
        <v>0</v>
      </c>
      <c r="K262" s="51">
        <f>VLOOKUP($A262,'Channel wise traffic'!$B$2:$P$368,14,FALSE)</f>
        <v>0</v>
      </c>
      <c r="L262" s="24">
        <f>VLOOKUP($A262,'Channel wise traffic'!$B$2:$P$368,15,FALSE)</f>
        <v>0</v>
      </c>
      <c r="M262" s="7">
        <f t="shared" si="16"/>
        <v>6.0886607542807281E-2</v>
      </c>
      <c r="N262" s="7">
        <f t="shared" si="14"/>
        <v>0.14906423033862848</v>
      </c>
      <c r="O262" s="7">
        <f t="shared" si="13"/>
        <v>0</v>
      </c>
      <c r="P262" s="7">
        <f t="shared" si="15"/>
        <v>0.1490642303386287</v>
      </c>
      <c r="Q262" s="7" t="e">
        <f>#REF!/B262</f>
        <v>#REF!</v>
      </c>
      <c r="R262" s="7" t="e">
        <f>#REF!/#REF!</f>
        <v>#REF!</v>
      </c>
      <c r="S262" s="7" t="e">
        <f>#REF!/#REF!</f>
        <v>#REF!</v>
      </c>
      <c r="T262" s="7" t="e">
        <f>C262/#REF!</f>
        <v>#REF!</v>
      </c>
    </row>
    <row r="263" spans="1:22" x14ac:dyDescent="0.3">
      <c r="A263" s="2">
        <v>43726</v>
      </c>
      <c r="B263" s="3">
        <v>21500167</v>
      </c>
      <c r="C263" s="42">
        <v>1195458</v>
      </c>
      <c r="D263" s="48">
        <f>VLOOKUP($A263,'Channel wise traffic'!$B$2:$K$368,7,FALSE)</f>
        <v>0</v>
      </c>
      <c r="E263" s="24">
        <f>VLOOKUP($A263,'Channel wise traffic'!$B$2:$K$368,8,FALSE)</f>
        <v>0</v>
      </c>
      <c r="F263" s="24">
        <f>VLOOKUP($A263,'Channel wise traffic'!$B$2:$K$368,9,FALSE)</f>
        <v>0</v>
      </c>
      <c r="G263" s="24">
        <f>VLOOKUP($A263,'Channel wise traffic'!$B$2:$K$368,10,FALSE)</f>
        <v>0</v>
      </c>
      <c r="H263" s="48">
        <f>VLOOKUP($A263,'Channel wise traffic'!$B$2:$P$368,11,FALSE)</f>
        <v>156365</v>
      </c>
      <c r="I263" s="24">
        <f>VLOOKUP($A263,'Channel wise traffic'!$B$2:$P$368,12,FALSE)</f>
        <v>117274</v>
      </c>
      <c r="J263" s="24">
        <f>VLOOKUP($A263,'Channel wise traffic'!$B$2:$P$368,13,FALSE)</f>
        <v>47778</v>
      </c>
      <c r="K263" s="51">
        <f>VLOOKUP($A263,'Channel wise traffic'!$B$2:$P$368,14,FALSE)</f>
        <v>112930</v>
      </c>
      <c r="L263" s="24">
        <f>VLOOKUP($A263,'Channel wise traffic'!$B$2:$P$368,15,FALSE)</f>
        <v>434347</v>
      </c>
      <c r="M263" s="7">
        <f t="shared" si="16"/>
        <v>5.5602265787051797E-2</v>
      </c>
      <c r="N263" s="7">
        <f t="shared" si="14"/>
        <v>-4.0671192642881215E-2</v>
      </c>
      <c r="O263" s="7">
        <f t="shared" si="13"/>
        <v>2.0618565999329652E-2</v>
      </c>
      <c r="P263" s="7">
        <f t="shared" si="15"/>
        <v>-6.0051581152846811E-2</v>
      </c>
      <c r="Q263" s="7" t="e">
        <f>#REF!/B263</f>
        <v>#REF!</v>
      </c>
      <c r="R263" s="7" t="e">
        <f>#REF!/#REF!</f>
        <v>#REF!</v>
      </c>
      <c r="S263" s="7" t="e">
        <f>#REF!/#REF!</f>
        <v>#REF!</v>
      </c>
      <c r="T263" s="7" t="e">
        <f>C263/#REF!</f>
        <v>#REF!</v>
      </c>
    </row>
    <row r="264" spans="1:22" x14ac:dyDescent="0.3">
      <c r="A264" s="2">
        <v>43727</v>
      </c>
      <c r="B264" s="3">
        <v>21282993</v>
      </c>
      <c r="C264" s="42">
        <v>1259196</v>
      </c>
      <c r="D264" s="48">
        <f>VLOOKUP($A264,'Channel wise traffic'!$B$2:$K$368,7,FALSE)</f>
        <v>0</v>
      </c>
      <c r="E264" s="24">
        <f>VLOOKUP($A264,'Channel wise traffic'!$B$2:$K$368,8,FALSE)</f>
        <v>0</v>
      </c>
      <c r="F264" s="24">
        <f>VLOOKUP($A264,'Channel wise traffic'!$B$2:$K$368,9,FALSE)</f>
        <v>0</v>
      </c>
      <c r="G264" s="24">
        <f>VLOOKUP($A264,'Channel wise traffic'!$B$2:$K$368,10,FALSE)</f>
        <v>0</v>
      </c>
      <c r="H264" s="48">
        <f>VLOOKUP($A264,'Channel wise traffic'!$B$2:$P$368,11,FALSE)</f>
        <v>156365</v>
      </c>
      <c r="I264" s="24">
        <f>VLOOKUP($A264,'Channel wise traffic'!$B$2:$P$368,12,FALSE)</f>
        <v>117274</v>
      </c>
      <c r="J264" s="24">
        <f>VLOOKUP($A264,'Channel wise traffic'!$B$2:$P$368,13,FALSE)</f>
        <v>47778</v>
      </c>
      <c r="K264" s="51">
        <f>VLOOKUP($A264,'Channel wise traffic'!$B$2:$P$368,14,FALSE)</f>
        <v>112930</v>
      </c>
      <c r="L264" s="24">
        <f>VLOOKUP($A264,'Channel wise traffic'!$B$2:$P$368,15,FALSE)</f>
        <v>434347</v>
      </c>
      <c r="M264" s="7">
        <f t="shared" si="16"/>
        <v>5.9164422973780051E-2</v>
      </c>
      <c r="N264" s="7">
        <f t="shared" si="14"/>
        <v>-3.849616412812662E-2</v>
      </c>
      <c r="O264" s="7">
        <f t="shared" si="13"/>
        <v>2.0833343325988629E-2</v>
      </c>
      <c r="P264" s="7">
        <f t="shared" si="15"/>
        <v>-5.8118700610633511E-2</v>
      </c>
      <c r="Q264" s="7" t="e">
        <f>#REF!/B264</f>
        <v>#REF!</v>
      </c>
      <c r="R264" s="7" t="e">
        <f>#REF!/#REF!</f>
        <v>#REF!</v>
      </c>
      <c r="S264" s="7" t="e">
        <f>#REF!/#REF!</f>
        <v>#REF!</v>
      </c>
      <c r="T264" s="7" t="e">
        <f>C264/#REF!</f>
        <v>#REF!</v>
      </c>
    </row>
    <row r="265" spans="1:22" x14ac:dyDescent="0.3">
      <c r="A265" s="2">
        <v>43728</v>
      </c>
      <c r="B265" s="3">
        <v>21282993</v>
      </c>
      <c r="C265" s="42">
        <v>1235270</v>
      </c>
      <c r="D265" s="48">
        <f>VLOOKUP($A265,'Channel wise traffic'!$B$2:$K$368,7,FALSE)</f>
        <v>-547277</v>
      </c>
      <c r="E265" s="24">
        <f>VLOOKUP($A265,'Channel wise traffic'!$B$2:$K$368,8,FALSE)</f>
        <v>-410458</v>
      </c>
      <c r="F265" s="24">
        <f>VLOOKUP($A265,'Channel wise traffic'!$B$2:$K$368,9,FALSE)</f>
        <v>-167223</v>
      </c>
      <c r="G265" s="24">
        <f>VLOOKUP($A265,'Channel wise traffic'!$B$2:$K$368,10,FALSE)</f>
        <v>-395255</v>
      </c>
      <c r="H265" s="48">
        <f>VLOOKUP($A265,'Channel wise traffic'!$B$2:$P$368,11,FALSE)</f>
        <v>0</v>
      </c>
      <c r="I265" s="24">
        <f>VLOOKUP($A265,'Channel wise traffic'!$B$2:$P$368,12,FALSE)</f>
        <v>0</v>
      </c>
      <c r="J265" s="24">
        <f>VLOOKUP($A265,'Channel wise traffic'!$B$2:$P$368,13,FALSE)</f>
        <v>0</v>
      </c>
      <c r="K265" s="51">
        <f>VLOOKUP($A265,'Channel wise traffic'!$B$2:$P$368,14,FALSE)</f>
        <v>0</v>
      </c>
      <c r="L265" s="24">
        <f>VLOOKUP($A265,'Channel wise traffic'!$B$2:$P$368,15,FALSE)</f>
        <v>-1520213</v>
      </c>
      <c r="M265" s="7">
        <f t="shared" si="16"/>
        <v>5.8040238983304654E-2</v>
      </c>
      <c r="N265" s="7">
        <f t="shared" si="14"/>
        <v>-9.1954935524514836E-2</v>
      </c>
      <c r="O265" s="7">
        <f t="shared" si="13"/>
        <v>-6.6666675437362821E-2</v>
      </c>
      <c r="P265" s="7">
        <f t="shared" si="15"/>
        <v>-2.7094564633703744E-2</v>
      </c>
      <c r="Q265" s="7" t="e">
        <f>#REF!/B265</f>
        <v>#REF!</v>
      </c>
      <c r="R265" s="7" t="e">
        <f>#REF!/#REF!</f>
        <v>#REF!</v>
      </c>
      <c r="S265" s="7" t="e">
        <f>#REF!/#REF!</f>
        <v>#REF!</v>
      </c>
      <c r="T265" s="7" t="e">
        <f>C265/#REF!</f>
        <v>#REF!</v>
      </c>
    </row>
    <row r="266" spans="1:22" s="35" customFormat="1" x14ac:dyDescent="0.3">
      <c r="A266" s="36">
        <v>43729</v>
      </c>
      <c r="B266" s="16">
        <v>43991955</v>
      </c>
      <c r="C266" s="47">
        <v>1473202</v>
      </c>
      <c r="D266" s="49">
        <f>VLOOKUP($A266,'Channel wise traffic'!$B$2:$K$368,7,FALSE)</f>
        <v>-161603</v>
      </c>
      <c r="E266" s="28">
        <f>VLOOKUP($A266,'Channel wise traffic'!$B$2:$K$368,8,FALSE)</f>
        <v>-121202</v>
      </c>
      <c r="F266" s="28">
        <f>VLOOKUP($A266,'Channel wise traffic'!$B$2:$K$368,9,FALSE)</f>
        <v>-49378</v>
      </c>
      <c r="G266" s="28">
        <f>VLOOKUP($A266,'Channel wise traffic'!$B$2:$K$368,10,FALSE)</f>
        <v>-116713</v>
      </c>
      <c r="H266" s="48">
        <f>VLOOKUP($A266,'Channel wise traffic'!$B$2:$P$368,11,FALSE)</f>
        <v>0</v>
      </c>
      <c r="I266" s="24">
        <f>VLOOKUP($A266,'Channel wise traffic'!$B$2:$P$368,12,FALSE)</f>
        <v>0</v>
      </c>
      <c r="J266" s="24">
        <f>VLOOKUP($A266,'Channel wise traffic'!$B$2:$P$368,13,FALSE)</f>
        <v>0</v>
      </c>
      <c r="K266" s="51">
        <f>VLOOKUP($A266,'Channel wise traffic'!$B$2:$P$368,14,FALSE)</f>
        <v>0</v>
      </c>
      <c r="L266" s="28">
        <f>VLOOKUP($A266,'Channel wise traffic'!$B$2:$P$368,15,FALSE)</f>
        <v>-448896</v>
      </c>
      <c r="M266" s="17">
        <f t="shared" si="16"/>
        <v>3.3487986610279082E-2</v>
      </c>
      <c r="N266" s="34">
        <f t="shared" si="14"/>
        <v>1.1152745531323451</v>
      </c>
      <c r="O266" s="34">
        <f t="shared" ref="O266:O329" si="17">(B266/B259)-1</f>
        <v>-1.0101021238273722E-2</v>
      </c>
      <c r="P266" s="17">
        <f t="shared" si="15"/>
        <v>1.1368590113895878</v>
      </c>
      <c r="Q266" s="17" t="e">
        <f>#REF!/B266</f>
        <v>#REF!</v>
      </c>
      <c r="R266" s="17" t="e">
        <f>#REF!/#REF!</f>
        <v>#REF!</v>
      </c>
      <c r="S266" s="17" t="e">
        <f>#REF!/#REF!</f>
        <v>#REF!</v>
      </c>
      <c r="T266" s="17" t="e">
        <f>C266/#REF!</f>
        <v>#REF!</v>
      </c>
      <c r="U266"/>
      <c r="V266" s="35" t="s">
        <v>40</v>
      </c>
    </row>
    <row r="267" spans="1:22" x14ac:dyDescent="0.3">
      <c r="A267" s="2">
        <v>43730</v>
      </c>
      <c r="B267" s="3">
        <v>45787545</v>
      </c>
      <c r="C267" s="42">
        <v>1892235</v>
      </c>
      <c r="D267" s="48">
        <f>VLOOKUP($A267,'Channel wise traffic'!$B$2:$K$368,7,FALSE)</f>
        <v>-161603</v>
      </c>
      <c r="E267" s="24">
        <f>VLOOKUP($A267,'Channel wise traffic'!$B$2:$K$368,8,FALSE)</f>
        <v>-121202</v>
      </c>
      <c r="F267" s="24">
        <f>VLOOKUP($A267,'Channel wise traffic'!$B$2:$K$368,9,FALSE)</f>
        <v>-49378</v>
      </c>
      <c r="G267" s="24">
        <f>VLOOKUP($A267,'Channel wise traffic'!$B$2:$K$368,10,FALSE)</f>
        <v>-116714</v>
      </c>
      <c r="H267" s="48">
        <f>VLOOKUP($A267,'Channel wise traffic'!$B$2:$P$368,11,FALSE)</f>
        <v>0</v>
      </c>
      <c r="I267" s="24">
        <f>VLOOKUP($A267,'Channel wise traffic'!$B$2:$P$368,12,FALSE)</f>
        <v>0</v>
      </c>
      <c r="J267" s="24">
        <f>VLOOKUP($A267,'Channel wise traffic'!$B$2:$P$368,13,FALSE)</f>
        <v>0</v>
      </c>
      <c r="K267" s="51">
        <f>VLOOKUP($A267,'Channel wise traffic'!$B$2:$P$368,14,FALSE)</f>
        <v>0</v>
      </c>
      <c r="L267" s="24">
        <f>VLOOKUP($A267,'Channel wise traffic'!$B$2:$P$368,15,FALSE)</f>
        <v>-448897</v>
      </c>
      <c r="M267" s="7">
        <f t="shared" si="16"/>
        <v>4.1326413110814308E-2</v>
      </c>
      <c r="N267" s="7">
        <f t="shared" ref="N267:N330" si="18">(C267/C260)-1</f>
        <v>1.9129463456197149E-2</v>
      </c>
      <c r="O267" s="7">
        <f t="shared" si="17"/>
        <v>-9.7087485730682488E-3</v>
      </c>
      <c r="P267" s="7">
        <f t="shared" ref="P267:P330" si="19">(M267/M260)-1</f>
        <v>2.9120939913092947E-2</v>
      </c>
      <c r="Q267" s="7" t="e">
        <f>#REF!/B267</f>
        <v>#REF!</v>
      </c>
      <c r="R267" s="7" t="e">
        <f>#REF!/#REF!</f>
        <v>#REF!</v>
      </c>
      <c r="S267" s="7" t="e">
        <f>#REF!/#REF!</f>
        <v>#REF!</v>
      </c>
      <c r="T267" s="7" t="e">
        <f>C267/#REF!</f>
        <v>#REF!</v>
      </c>
    </row>
    <row r="268" spans="1:22" x14ac:dyDescent="0.3">
      <c r="A268" s="2">
        <v>43731</v>
      </c>
      <c r="B268" s="3">
        <v>20848646</v>
      </c>
      <c r="C268" s="42">
        <v>1220447</v>
      </c>
      <c r="D268" s="48">
        <f>VLOOKUP($A268,'Channel wise traffic'!$B$2:$K$368,7,FALSE)</f>
        <v>0</v>
      </c>
      <c r="E268" s="24">
        <f>VLOOKUP($A268,'Channel wise traffic'!$B$2:$K$368,8,FALSE)</f>
        <v>0</v>
      </c>
      <c r="F268" s="24">
        <f>VLOOKUP($A268,'Channel wise traffic'!$B$2:$K$368,9,FALSE)</f>
        <v>0</v>
      </c>
      <c r="G268" s="24">
        <f>VLOOKUP($A268,'Channel wise traffic'!$B$2:$K$368,10,FALSE)</f>
        <v>0</v>
      </c>
      <c r="H268" s="48">
        <f>VLOOKUP($A268,'Channel wise traffic'!$B$2:$P$368,11,FALSE)</f>
        <v>78182</v>
      </c>
      <c r="I268" s="24">
        <f>VLOOKUP($A268,'Channel wise traffic'!$B$2:$P$368,12,FALSE)</f>
        <v>58637</v>
      </c>
      <c r="J268" s="24">
        <f>VLOOKUP($A268,'Channel wise traffic'!$B$2:$P$368,13,FALSE)</f>
        <v>23889</v>
      </c>
      <c r="K268" s="51">
        <f>VLOOKUP($A268,'Channel wise traffic'!$B$2:$P$368,14,FALSE)</f>
        <v>56465</v>
      </c>
      <c r="L268" s="24">
        <f>VLOOKUP($A268,'Channel wise traffic'!$B$2:$P$368,15,FALSE)</f>
        <v>217173</v>
      </c>
      <c r="M268" s="7">
        <f t="shared" si="16"/>
        <v>5.8538429785799997E-2</v>
      </c>
      <c r="N268" s="7">
        <f t="shared" si="18"/>
        <v>5.0505650425083815E-2</v>
      </c>
      <c r="O268" s="7">
        <f t="shared" si="17"/>
        <v>1.0526296401619062E-2</v>
      </c>
      <c r="P268" s="7">
        <f t="shared" si="19"/>
        <v>3.9562903178103515E-2</v>
      </c>
      <c r="Q268" s="7" t="e">
        <f>#REF!/B268</f>
        <v>#REF!</v>
      </c>
      <c r="R268" s="7" t="e">
        <f>#REF!/#REF!</f>
        <v>#REF!</v>
      </c>
      <c r="S268" s="7" t="e">
        <f>#REF!/#REF!</f>
        <v>#REF!</v>
      </c>
      <c r="T268" s="7" t="e">
        <f>C268/#REF!</f>
        <v>#REF!</v>
      </c>
    </row>
    <row r="269" spans="1:22" x14ac:dyDescent="0.3">
      <c r="A269" s="2">
        <v>43732</v>
      </c>
      <c r="B269" s="3">
        <v>21934513</v>
      </c>
      <c r="C269" s="42">
        <v>1338075</v>
      </c>
      <c r="D269" s="48">
        <f>VLOOKUP($A269,'Channel wise traffic'!$B$2:$K$368,7,FALSE)</f>
        <v>-156365</v>
      </c>
      <c r="E269" s="24">
        <f>VLOOKUP($A269,'Channel wise traffic'!$B$2:$K$368,8,FALSE)</f>
        <v>-117274</v>
      </c>
      <c r="F269" s="24">
        <f>VLOOKUP($A269,'Channel wise traffic'!$B$2:$K$368,9,FALSE)</f>
        <v>-47778</v>
      </c>
      <c r="G269" s="24">
        <f>VLOOKUP($A269,'Channel wise traffic'!$B$2:$K$368,10,FALSE)</f>
        <v>-112930</v>
      </c>
      <c r="H269" s="48">
        <f>VLOOKUP($A269,'Channel wise traffic'!$B$2:$P$368,11,FALSE)</f>
        <v>0</v>
      </c>
      <c r="I269" s="24">
        <f>VLOOKUP($A269,'Channel wise traffic'!$B$2:$P$368,12,FALSE)</f>
        <v>0</v>
      </c>
      <c r="J269" s="24">
        <f>VLOOKUP($A269,'Channel wise traffic'!$B$2:$P$368,13,FALSE)</f>
        <v>0</v>
      </c>
      <c r="K269" s="51">
        <f>VLOOKUP($A269,'Channel wise traffic'!$B$2:$P$368,14,FALSE)</f>
        <v>0</v>
      </c>
      <c r="L269" s="24">
        <f>VLOOKUP($A269,'Channel wise traffic'!$B$2:$P$368,15,FALSE)</f>
        <v>-434347</v>
      </c>
      <c r="M269" s="7">
        <f t="shared" si="16"/>
        <v>6.1003177959775085E-2</v>
      </c>
      <c r="N269" s="7">
        <f t="shared" si="18"/>
        <v>-1.7540111192366314E-2</v>
      </c>
      <c r="O269" s="7">
        <f t="shared" si="17"/>
        <v>-1.9417484842768062E-2</v>
      </c>
      <c r="P269" s="7">
        <f t="shared" si="19"/>
        <v>1.9145493840471151E-3</v>
      </c>
      <c r="Q269" s="7" t="e">
        <f>#REF!/B269</f>
        <v>#REF!</v>
      </c>
      <c r="R269" s="7" t="e">
        <f>#REF!/#REF!</f>
        <v>#REF!</v>
      </c>
      <c r="S269" s="7" t="e">
        <f>#REF!/#REF!</f>
        <v>#REF!</v>
      </c>
      <c r="T269" s="7" t="e">
        <f>C269/#REF!</f>
        <v>#REF!</v>
      </c>
    </row>
    <row r="270" spans="1:22" x14ac:dyDescent="0.3">
      <c r="A270" s="2">
        <v>43733</v>
      </c>
      <c r="B270" s="3">
        <v>21282993</v>
      </c>
      <c r="C270" s="42">
        <v>1404023</v>
      </c>
      <c r="D270" s="48">
        <f>VLOOKUP($A270,'Channel wise traffic'!$B$2:$K$368,7,FALSE)</f>
        <v>-78183</v>
      </c>
      <c r="E270" s="24">
        <f>VLOOKUP($A270,'Channel wise traffic'!$B$2:$K$368,8,FALSE)</f>
        <v>-58637</v>
      </c>
      <c r="F270" s="24">
        <f>VLOOKUP($A270,'Channel wise traffic'!$B$2:$K$368,9,FALSE)</f>
        <v>-23889</v>
      </c>
      <c r="G270" s="24">
        <f>VLOOKUP($A270,'Channel wise traffic'!$B$2:$K$368,10,FALSE)</f>
        <v>-56465</v>
      </c>
      <c r="H270" s="48">
        <f>VLOOKUP($A270,'Channel wise traffic'!$B$2:$P$368,11,FALSE)</f>
        <v>0</v>
      </c>
      <c r="I270" s="24">
        <f>VLOOKUP($A270,'Channel wise traffic'!$B$2:$P$368,12,FALSE)</f>
        <v>0</v>
      </c>
      <c r="J270" s="24">
        <f>VLOOKUP($A270,'Channel wise traffic'!$B$2:$P$368,13,FALSE)</f>
        <v>0</v>
      </c>
      <c r="K270" s="51">
        <f>VLOOKUP($A270,'Channel wise traffic'!$B$2:$P$368,14,FALSE)</f>
        <v>0</v>
      </c>
      <c r="L270" s="24">
        <f>VLOOKUP($A270,'Channel wise traffic'!$B$2:$P$368,15,FALSE)</f>
        <v>-217174</v>
      </c>
      <c r="M270" s="7">
        <f t="shared" si="16"/>
        <v>6.5969245960847703E-2</v>
      </c>
      <c r="N270" s="7">
        <f t="shared" si="18"/>
        <v>0.17446451485539427</v>
      </c>
      <c r="O270" s="7">
        <f t="shared" si="17"/>
        <v>-1.0101037819845726E-2</v>
      </c>
      <c r="P270" s="7">
        <f t="shared" si="19"/>
        <v>0.18644887986219594</v>
      </c>
      <c r="Q270" s="7" t="e">
        <f>#REF!/B270</f>
        <v>#REF!</v>
      </c>
      <c r="R270" s="7" t="e">
        <f>#REF!/#REF!</f>
        <v>#REF!</v>
      </c>
      <c r="S270" s="7" t="e">
        <f>#REF!/#REF!</f>
        <v>#REF!</v>
      </c>
      <c r="T270" s="7" t="e">
        <f>C270/#REF!</f>
        <v>#REF!</v>
      </c>
    </row>
    <row r="271" spans="1:22" x14ac:dyDescent="0.3">
      <c r="A271" s="2">
        <v>43734</v>
      </c>
      <c r="B271" s="3">
        <v>22368860</v>
      </c>
      <c r="C271" s="42">
        <v>1337789</v>
      </c>
      <c r="D271" s="48">
        <f>VLOOKUP($A271,'Channel wise traffic'!$B$2:$K$368,7,FALSE)</f>
        <v>0</v>
      </c>
      <c r="E271" s="24">
        <f>VLOOKUP($A271,'Channel wise traffic'!$B$2:$K$368,8,FALSE)</f>
        <v>0</v>
      </c>
      <c r="F271" s="24">
        <f>VLOOKUP($A271,'Channel wise traffic'!$B$2:$K$368,9,FALSE)</f>
        <v>0</v>
      </c>
      <c r="G271" s="24">
        <f>VLOOKUP($A271,'Channel wise traffic'!$B$2:$K$368,10,FALSE)</f>
        <v>0</v>
      </c>
      <c r="H271" s="48">
        <f>VLOOKUP($A271,'Channel wise traffic'!$B$2:$P$368,11,FALSE)</f>
        <v>390912</v>
      </c>
      <c r="I271" s="24">
        <f>VLOOKUP($A271,'Channel wise traffic'!$B$2:$P$368,12,FALSE)</f>
        <v>293184</v>
      </c>
      <c r="J271" s="24">
        <f>VLOOKUP($A271,'Channel wise traffic'!$B$2:$P$368,13,FALSE)</f>
        <v>119445</v>
      </c>
      <c r="K271" s="51">
        <f>VLOOKUP($A271,'Channel wise traffic'!$B$2:$P$368,14,FALSE)</f>
        <v>282325</v>
      </c>
      <c r="L271" s="24">
        <f>VLOOKUP($A271,'Channel wise traffic'!$B$2:$P$368,15,FALSE)</f>
        <v>1085866</v>
      </c>
      <c r="M271" s="7">
        <f t="shared" si="16"/>
        <v>5.9805864044926743E-2</v>
      </c>
      <c r="N271" s="7">
        <f t="shared" si="18"/>
        <v>6.2415223682413146E-2</v>
      </c>
      <c r="O271" s="7">
        <f t="shared" si="17"/>
        <v>5.1020408642713067E-2</v>
      </c>
      <c r="P271" s="7">
        <f t="shared" si="19"/>
        <v>1.0841668673604143E-2</v>
      </c>
      <c r="Q271" s="7" t="e">
        <f>#REF!/B271</f>
        <v>#REF!</v>
      </c>
      <c r="R271" s="7" t="e">
        <f>#REF!/#REF!</f>
        <v>#REF!</v>
      </c>
      <c r="S271" s="7" t="e">
        <f>#REF!/#REF!</f>
        <v>#REF!</v>
      </c>
      <c r="T271" s="7" t="e">
        <f>C271/#REF!</f>
        <v>#REF!</v>
      </c>
    </row>
    <row r="272" spans="1:22" x14ac:dyDescent="0.3">
      <c r="A272" s="2">
        <v>43735</v>
      </c>
      <c r="B272" s="3">
        <v>20848646</v>
      </c>
      <c r="C272" s="42">
        <v>1197375</v>
      </c>
      <c r="D272" s="48">
        <f>VLOOKUP($A272,'Channel wise traffic'!$B$2:$K$368,7,FALSE)</f>
        <v>-156365</v>
      </c>
      <c r="E272" s="24">
        <f>VLOOKUP($A272,'Channel wise traffic'!$B$2:$K$368,8,FALSE)</f>
        <v>-117274</v>
      </c>
      <c r="F272" s="24">
        <f>VLOOKUP($A272,'Channel wise traffic'!$B$2:$K$368,9,FALSE)</f>
        <v>-47778</v>
      </c>
      <c r="G272" s="24">
        <f>VLOOKUP($A272,'Channel wise traffic'!$B$2:$K$368,10,FALSE)</f>
        <v>-112930</v>
      </c>
      <c r="H272" s="48">
        <f>VLOOKUP($A272,'Channel wise traffic'!$B$2:$P$368,11,FALSE)</f>
        <v>0</v>
      </c>
      <c r="I272" s="24">
        <f>VLOOKUP($A272,'Channel wise traffic'!$B$2:$P$368,12,FALSE)</f>
        <v>0</v>
      </c>
      <c r="J272" s="24">
        <f>VLOOKUP($A272,'Channel wise traffic'!$B$2:$P$368,13,FALSE)</f>
        <v>0</v>
      </c>
      <c r="K272" s="51">
        <f>VLOOKUP($A272,'Channel wise traffic'!$B$2:$P$368,14,FALSE)</f>
        <v>0</v>
      </c>
      <c r="L272" s="24">
        <f>VLOOKUP($A272,'Channel wise traffic'!$B$2:$P$368,15,FALSE)</f>
        <v>-434347</v>
      </c>
      <c r="M272" s="7">
        <f t="shared" si="16"/>
        <v>5.7431787176970631E-2</v>
      </c>
      <c r="N272" s="7">
        <f t="shared" si="18"/>
        <v>-3.0677503703643749E-2</v>
      </c>
      <c r="O272" s="7">
        <f t="shared" si="17"/>
        <v>-2.0408172854259776E-2</v>
      </c>
      <c r="P272" s="7">
        <f t="shared" si="19"/>
        <v>-1.0483275344697396E-2</v>
      </c>
      <c r="Q272" s="7" t="e">
        <f>#REF!/B272</f>
        <v>#REF!</v>
      </c>
      <c r="R272" s="7" t="e">
        <f>#REF!/#REF!</f>
        <v>#REF!</v>
      </c>
      <c r="S272" s="7" t="e">
        <f>#REF!/#REF!</f>
        <v>#REF!</v>
      </c>
      <c r="T272" s="7" t="e">
        <f>C272/#REF!</f>
        <v>#REF!</v>
      </c>
    </row>
    <row r="273" spans="1:22" x14ac:dyDescent="0.3">
      <c r="A273" s="2">
        <v>43736</v>
      </c>
      <c r="B273" s="3">
        <v>43991955</v>
      </c>
      <c r="C273" s="42">
        <v>1582700</v>
      </c>
      <c r="D273" s="48">
        <f>VLOOKUP($A273,'Channel wise traffic'!$B$2:$K$368,7,FALSE)</f>
        <v>0</v>
      </c>
      <c r="E273" s="24">
        <f>VLOOKUP($A273,'Channel wise traffic'!$B$2:$K$368,8,FALSE)</f>
        <v>0</v>
      </c>
      <c r="F273" s="24">
        <f>VLOOKUP($A273,'Channel wise traffic'!$B$2:$K$368,9,FALSE)</f>
        <v>0</v>
      </c>
      <c r="G273" s="24">
        <f>VLOOKUP($A273,'Channel wise traffic'!$B$2:$K$368,10,FALSE)</f>
        <v>0</v>
      </c>
      <c r="H273" s="48">
        <f>VLOOKUP($A273,'Channel wise traffic'!$B$2:$P$368,11,FALSE)</f>
        <v>0</v>
      </c>
      <c r="I273" s="24">
        <f>VLOOKUP($A273,'Channel wise traffic'!$B$2:$P$368,12,FALSE)</f>
        <v>0</v>
      </c>
      <c r="J273" s="24">
        <f>VLOOKUP($A273,'Channel wise traffic'!$B$2:$P$368,13,FALSE)</f>
        <v>0</v>
      </c>
      <c r="K273" s="51">
        <f>VLOOKUP($A273,'Channel wise traffic'!$B$2:$P$368,14,FALSE)</f>
        <v>0</v>
      </c>
      <c r="L273" s="24">
        <f>VLOOKUP($A273,'Channel wise traffic'!$B$2:$P$368,15,FALSE)</f>
        <v>0</v>
      </c>
      <c r="M273" s="7">
        <f t="shared" si="16"/>
        <v>3.5977032618804958E-2</v>
      </c>
      <c r="N273" s="7">
        <f t="shared" si="18"/>
        <v>7.4326534989770598E-2</v>
      </c>
      <c r="O273" s="7">
        <f t="shared" si="17"/>
        <v>0</v>
      </c>
      <c r="P273" s="7">
        <f t="shared" si="19"/>
        <v>7.4326534989770598E-2</v>
      </c>
      <c r="Q273" s="7" t="e">
        <f>#REF!/B273</f>
        <v>#REF!</v>
      </c>
      <c r="R273" s="7" t="e">
        <f>#REF!/#REF!</f>
        <v>#REF!</v>
      </c>
      <c r="S273" s="7" t="e">
        <f>#REF!/#REF!</f>
        <v>#REF!</v>
      </c>
      <c r="T273" s="7" t="e">
        <f>C273/#REF!</f>
        <v>#REF!</v>
      </c>
    </row>
    <row r="274" spans="1:22" x14ac:dyDescent="0.3">
      <c r="A274" s="2">
        <v>43737</v>
      </c>
      <c r="B274" s="3">
        <v>42645263</v>
      </c>
      <c r="C274" s="42">
        <v>1565133</v>
      </c>
      <c r="D274" s="48">
        <f>VLOOKUP($A274,'Channel wise traffic'!$B$2:$K$368,7,FALSE)</f>
        <v>-1131222</v>
      </c>
      <c r="E274" s="24">
        <f>VLOOKUP($A274,'Channel wise traffic'!$B$2:$K$368,8,FALSE)</f>
        <v>-848416</v>
      </c>
      <c r="F274" s="24">
        <f>VLOOKUP($A274,'Channel wise traffic'!$B$2:$K$368,9,FALSE)</f>
        <v>-345652</v>
      </c>
      <c r="G274" s="24">
        <f>VLOOKUP($A274,'Channel wise traffic'!$B$2:$K$368,10,FALSE)</f>
        <v>-816993</v>
      </c>
      <c r="H274" s="48">
        <f>VLOOKUP($A274,'Channel wise traffic'!$B$2:$P$368,11,FALSE)</f>
        <v>0</v>
      </c>
      <c r="I274" s="24">
        <f>VLOOKUP($A274,'Channel wise traffic'!$B$2:$P$368,12,FALSE)</f>
        <v>0</v>
      </c>
      <c r="J274" s="24">
        <f>VLOOKUP($A274,'Channel wise traffic'!$B$2:$P$368,13,FALSE)</f>
        <v>0</v>
      </c>
      <c r="K274" s="51">
        <f>VLOOKUP($A274,'Channel wise traffic'!$B$2:$P$368,14,FALSE)</f>
        <v>0</v>
      </c>
      <c r="L274" s="24">
        <f>VLOOKUP($A274,'Channel wise traffic'!$B$2:$P$368,15,FALSE)</f>
        <v>-3142283</v>
      </c>
      <c r="M274" s="7">
        <f t="shared" si="16"/>
        <v>3.6701215795057938E-2</v>
      </c>
      <c r="N274" s="7">
        <f t="shared" si="18"/>
        <v>-0.17286542104971103</v>
      </c>
      <c r="O274" s="7">
        <f t="shared" si="17"/>
        <v>-6.8627440060392009E-2</v>
      </c>
      <c r="P274" s="7">
        <f t="shared" si="19"/>
        <v>-0.11191867301316905</v>
      </c>
      <c r="Q274" s="7" t="e">
        <f>#REF!/B274</f>
        <v>#REF!</v>
      </c>
      <c r="R274" s="7" t="e">
        <f>#REF!/#REF!</f>
        <v>#REF!</v>
      </c>
      <c r="S274" s="7" t="e">
        <f>#REF!/#REF!</f>
        <v>#REF!</v>
      </c>
      <c r="T274" s="7" t="e">
        <f>C274/#REF!</f>
        <v>#REF!</v>
      </c>
    </row>
    <row r="275" spans="1:22" x14ac:dyDescent="0.3">
      <c r="A275" s="2">
        <v>43738</v>
      </c>
      <c r="B275" s="3">
        <v>21717340</v>
      </c>
      <c r="C275" s="42">
        <v>1235906</v>
      </c>
      <c r="D275" s="48">
        <f>VLOOKUP($A275,'Channel wise traffic'!$B$2:$K$368,7,FALSE)</f>
        <v>0</v>
      </c>
      <c r="E275" s="24">
        <f>VLOOKUP($A275,'Channel wise traffic'!$B$2:$K$368,8,FALSE)</f>
        <v>0</v>
      </c>
      <c r="F275" s="24">
        <f>VLOOKUP($A275,'Channel wise traffic'!$B$2:$K$368,9,FALSE)</f>
        <v>0</v>
      </c>
      <c r="G275" s="24">
        <f>VLOOKUP($A275,'Channel wise traffic'!$B$2:$K$368,10,FALSE)</f>
        <v>0</v>
      </c>
      <c r="H275" s="48">
        <f>VLOOKUP($A275,'Channel wise traffic'!$B$2:$P$368,11,FALSE)</f>
        <v>312730</v>
      </c>
      <c r="I275" s="24">
        <f>VLOOKUP($A275,'Channel wise traffic'!$B$2:$P$368,12,FALSE)</f>
        <v>234547</v>
      </c>
      <c r="J275" s="24">
        <f>VLOOKUP($A275,'Channel wise traffic'!$B$2:$P$368,13,FALSE)</f>
        <v>95556</v>
      </c>
      <c r="K275" s="51">
        <f>VLOOKUP($A275,'Channel wise traffic'!$B$2:$P$368,14,FALSE)</f>
        <v>225860</v>
      </c>
      <c r="L275" s="24">
        <f>VLOOKUP($A275,'Channel wise traffic'!$B$2:$P$368,15,FALSE)</f>
        <v>868693</v>
      </c>
      <c r="M275" s="7">
        <f t="shared" si="16"/>
        <v>5.6908719023600493E-2</v>
      </c>
      <c r="N275" s="7">
        <f t="shared" si="18"/>
        <v>1.2666670490402376E-2</v>
      </c>
      <c r="O275" s="7">
        <f t="shared" si="17"/>
        <v>4.1666686651977258E-2</v>
      </c>
      <c r="P275" s="7">
        <f t="shared" si="19"/>
        <v>-2.7840014980976324E-2</v>
      </c>
      <c r="Q275" s="7" t="e">
        <f>#REF!/B275</f>
        <v>#REF!</v>
      </c>
      <c r="R275" s="7" t="e">
        <f>#REF!/#REF!</f>
        <v>#REF!</v>
      </c>
      <c r="S275" s="7" t="e">
        <f>#REF!/#REF!</f>
        <v>#REF!</v>
      </c>
      <c r="T275" s="7" t="e">
        <f>C275/#REF!</f>
        <v>#REF!</v>
      </c>
    </row>
    <row r="276" spans="1:22" x14ac:dyDescent="0.3">
      <c r="A276" s="2">
        <v>43739</v>
      </c>
      <c r="B276" s="3">
        <v>21934513</v>
      </c>
      <c r="C276" s="42">
        <v>1174372</v>
      </c>
      <c r="D276" s="48">
        <f>VLOOKUP($A276,'Channel wise traffic'!$B$2:$K$368,7,FALSE)</f>
        <v>0</v>
      </c>
      <c r="E276" s="24">
        <f>VLOOKUP($A276,'Channel wise traffic'!$B$2:$K$368,8,FALSE)</f>
        <v>0</v>
      </c>
      <c r="F276" s="24">
        <f>VLOOKUP($A276,'Channel wise traffic'!$B$2:$K$368,9,FALSE)</f>
        <v>0</v>
      </c>
      <c r="G276" s="24">
        <f>VLOOKUP($A276,'Channel wise traffic'!$B$2:$K$368,10,FALSE)</f>
        <v>0</v>
      </c>
      <c r="H276" s="48">
        <f>VLOOKUP($A276,'Channel wise traffic'!$B$2:$P$368,11,FALSE)</f>
        <v>0</v>
      </c>
      <c r="I276" s="24">
        <f>VLOOKUP($A276,'Channel wise traffic'!$B$2:$P$368,12,FALSE)</f>
        <v>0</v>
      </c>
      <c r="J276" s="24">
        <f>VLOOKUP($A276,'Channel wise traffic'!$B$2:$P$368,13,FALSE)</f>
        <v>0</v>
      </c>
      <c r="K276" s="51">
        <f>VLOOKUP($A276,'Channel wise traffic'!$B$2:$P$368,14,FALSE)</f>
        <v>0</v>
      </c>
      <c r="L276" s="24">
        <f>VLOOKUP($A276,'Channel wise traffic'!$B$2:$P$368,15,FALSE)</f>
        <v>0</v>
      </c>
      <c r="M276" s="7">
        <f t="shared" si="16"/>
        <v>5.3539916751285978E-2</v>
      </c>
      <c r="N276" s="7">
        <f t="shared" si="18"/>
        <v>-0.12234217065560604</v>
      </c>
      <c r="O276" s="7">
        <f t="shared" si="17"/>
        <v>0</v>
      </c>
      <c r="P276" s="7">
        <f t="shared" si="19"/>
        <v>-0.12234217065560604</v>
      </c>
      <c r="Q276" s="7" t="e">
        <f>#REF!/B276</f>
        <v>#REF!</v>
      </c>
      <c r="R276" s="7" t="e">
        <f>#REF!/#REF!</f>
        <v>#REF!</v>
      </c>
      <c r="S276" s="7" t="e">
        <f>#REF!/#REF!</f>
        <v>#REF!</v>
      </c>
      <c r="T276" s="7" t="e">
        <f>C276/#REF!</f>
        <v>#REF!</v>
      </c>
    </row>
    <row r="277" spans="1:22" x14ac:dyDescent="0.3">
      <c r="A277" s="2">
        <v>43740</v>
      </c>
      <c r="B277" s="3">
        <v>21500167</v>
      </c>
      <c r="C277" s="42">
        <v>1150753</v>
      </c>
      <c r="D277" s="48">
        <f>VLOOKUP($A277,'Channel wise traffic'!$B$2:$K$368,7,FALSE)</f>
        <v>0</v>
      </c>
      <c r="E277" s="24">
        <f>VLOOKUP($A277,'Channel wise traffic'!$B$2:$K$368,8,FALSE)</f>
        <v>0</v>
      </c>
      <c r="F277" s="24">
        <f>VLOOKUP($A277,'Channel wise traffic'!$B$2:$K$368,9,FALSE)</f>
        <v>0</v>
      </c>
      <c r="G277" s="24">
        <f>VLOOKUP($A277,'Channel wise traffic'!$B$2:$K$368,10,FALSE)</f>
        <v>0</v>
      </c>
      <c r="H277" s="48">
        <f>VLOOKUP($A277,'Channel wise traffic'!$B$2:$P$368,11,FALSE)</f>
        <v>78183</v>
      </c>
      <c r="I277" s="24">
        <f>VLOOKUP($A277,'Channel wise traffic'!$B$2:$P$368,12,FALSE)</f>
        <v>58637</v>
      </c>
      <c r="J277" s="24">
        <f>VLOOKUP($A277,'Channel wise traffic'!$B$2:$P$368,13,FALSE)</f>
        <v>23889</v>
      </c>
      <c r="K277" s="51">
        <f>VLOOKUP($A277,'Channel wise traffic'!$B$2:$P$368,14,FALSE)</f>
        <v>56465</v>
      </c>
      <c r="L277" s="24">
        <f>VLOOKUP($A277,'Channel wise traffic'!$B$2:$P$368,15,FALSE)</f>
        <v>217174</v>
      </c>
      <c r="M277" s="7">
        <f t="shared" si="16"/>
        <v>5.3522979612204875E-2</v>
      </c>
      <c r="N277" s="7">
        <f t="shared" si="18"/>
        <v>-0.18038878280484005</v>
      </c>
      <c r="O277" s="7">
        <f t="shared" si="17"/>
        <v>1.0204109920066262E-2</v>
      </c>
      <c r="P277" s="7">
        <f t="shared" si="19"/>
        <v>-0.18866770670729816</v>
      </c>
      <c r="Q277" s="7" t="e">
        <f>#REF!/B277</f>
        <v>#REF!</v>
      </c>
      <c r="R277" s="7" t="e">
        <f>#REF!/#REF!</f>
        <v>#REF!</v>
      </c>
      <c r="S277" s="7" t="e">
        <f>#REF!/#REF!</f>
        <v>#REF!</v>
      </c>
      <c r="T277" s="7" t="e">
        <f>C277/#REF!</f>
        <v>#REF!</v>
      </c>
    </row>
    <row r="278" spans="1:22" x14ac:dyDescent="0.3">
      <c r="A278" s="2">
        <v>43741</v>
      </c>
      <c r="B278" s="3">
        <v>21282993</v>
      </c>
      <c r="C278" s="42">
        <v>1311293</v>
      </c>
      <c r="D278" s="48">
        <f>VLOOKUP($A278,'Channel wise traffic'!$B$2:$K$368,7,FALSE)</f>
        <v>-390912</v>
      </c>
      <c r="E278" s="24">
        <f>VLOOKUP($A278,'Channel wise traffic'!$B$2:$K$368,8,FALSE)</f>
        <v>-293184</v>
      </c>
      <c r="F278" s="24">
        <f>VLOOKUP($A278,'Channel wise traffic'!$B$2:$K$368,9,FALSE)</f>
        <v>-119445</v>
      </c>
      <c r="G278" s="24">
        <f>VLOOKUP($A278,'Channel wise traffic'!$B$2:$K$368,10,FALSE)</f>
        <v>-282325</v>
      </c>
      <c r="H278" s="48">
        <f>VLOOKUP($A278,'Channel wise traffic'!$B$2:$P$368,11,FALSE)</f>
        <v>0</v>
      </c>
      <c r="I278" s="24">
        <f>VLOOKUP($A278,'Channel wise traffic'!$B$2:$P$368,12,FALSE)</f>
        <v>0</v>
      </c>
      <c r="J278" s="24">
        <f>VLOOKUP($A278,'Channel wise traffic'!$B$2:$P$368,13,FALSE)</f>
        <v>0</v>
      </c>
      <c r="K278" s="51">
        <f>VLOOKUP($A278,'Channel wise traffic'!$B$2:$P$368,14,FALSE)</f>
        <v>0</v>
      </c>
      <c r="L278" s="24">
        <f>VLOOKUP($A278,'Channel wise traffic'!$B$2:$P$368,15,FALSE)</f>
        <v>-1085866</v>
      </c>
      <c r="M278" s="7">
        <f t="shared" si="16"/>
        <v>6.161224598438763E-2</v>
      </c>
      <c r="N278" s="7">
        <f t="shared" si="18"/>
        <v>-1.9805813921328408E-2</v>
      </c>
      <c r="O278" s="7">
        <f t="shared" si="17"/>
        <v>-4.8543689754417474E-2</v>
      </c>
      <c r="P278" s="7">
        <f t="shared" si="19"/>
        <v>3.0204094001616832E-2</v>
      </c>
      <c r="Q278" s="7" t="e">
        <f>#REF!/B278</f>
        <v>#REF!</v>
      </c>
      <c r="R278" s="7" t="e">
        <f>#REF!/#REF!</f>
        <v>#REF!</v>
      </c>
      <c r="S278" s="7" t="e">
        <f>#REF!/#REF!</f>
        <v>#REF!</v>
      </c>
      <c r="T278" s="7" t="e">
        <f>C278/#REF!</f>
        <v>#REF!</v>
      </c>
    </row>
    <row r="279" spans="1:22" x14ac:dyDescent="0.3">
      <c r="A279" s="2">
        <v>43742</v>
      </c>
      <c r="B279" s="3">
        <v>21065820</v>
      </c>
      <c r="C279" s="42">
        <v>1127146</v>
      </c>
      <c r="D279" s="48">
        <f>VLOOKUP($A279,'Channel wise traffic'!$B$2:$K$368,7,FALSE)</f>
        <v>0</v>
      </c>
      <c r="E279" s="24">
        <f>VLOOKUP($A279,'Channel wise traffic'!$B$2:$K$368,8,FALSE)</f>
        <v>0</v>
      </c>
      <c r="F279" s="24">
        <f>VLOOKUP($A279,'Channel wise traffic'!$B$2:$K$368,9,FALSE)</f>
        <v>0</v>
      </c>
      <c r="G279" s="24">
        <f>VLOOKUP($A279,'Channel wise traffic'!$B$2:$K$368,10,FALSE)</f>
        <v>0</v>
      </c>
      <c r="H279" s="48">
        <f>VLOOKUP($A279,'Channel wise traffic'!$B$2:$P$368,11,FALSE)</f>
        <v>78183</v>
      </c>
      <c r="I279" s="24">
        <f>VLOOKUP($A279,'Channel wise traffic'!$B$2:$P$368,12,FALSE)</f>
        <v>58637</v>
      </c>
      <c r="J279" s="24">
        <f>VLOOKUP($A279,'Channel wise traffic'!$B$2:$P$368,13,FALSE)</f>
        <v>23889</v>
      </c>
      <c r="K279" s="51">
        <f>VLOOKUP($A279,'Channel wise traffic'!$B$2:$P$368,14,FALSE)</f>
        <v>56465</v>
      </c>
      <c r="L279" s="24">
        <f>VLOOKUP($A279,'Channel wise traffic'!$B$2:$P$368,15,FALSE)</f>
        <v>217174</v>
      </c>
      <c r="M279" s="7">
        <f t="shared" si="16"/>
        <v>5.3505916218784741E-2</v>
      </c>
      <c r="N279" s="7">
        <f t="shared" si="18"/>
        <v>-5.8652468942478331E-2</v>
      </c>
      <c r="O279" s="7">
        <f t="shared" si="17"/>
        <v>1.0416695645367069E-2</v>
      </c>
      <c r="P279" s="7">
        <f t="shared" si="19"/>
        <v>-6.835710938419326E-2</v>
      </c>
      <c r="Q279" s="7" t="e">
        <f>#REF!/B279</f>
        <v>#REF!</v>
      </c>
      <c r="R279" s="7" t="e">
        <f>#REF!/#REF!</f>
        <v>#REF!</v>
      </c>
      <c r="S279" s="7" t="e">
        <f>#REF!/#REF!</f>
        <v>#REF!</v>
      </c>
      <c r="T279" s="7" t="e">
        <f>C279/#REF!</f>
        <v>#REF!</v>
      </c>
    </row>
    <row r="280" spans="1:22" x14ac:dyDescent="0.3">
      <c r="A280" s="2">
        <v>43743</v>
      </c>
      <c r="B280" s="3">
        <v>46236443</v>
      </c>
      <c r="C280" s="42">
        <v>1648023</v>
      </c>
      <c r="D280" s="48">
        <f>VLOOKUP($A280,'Channel wise traffic'!$B$2:$K$368,7,FALSE)</f>
        <v>0</v>
      </c>
      <c r="E280" s="24">
        <f>VLOOKUP($A280,'Channel wise traffic'!$B$2:$K$368,8,FALSE)</f>
        <v>0</v>
      </c>
      <c r="F280" s="24">
        <f>VLOOKUP($A280,'Channel wise traffic'!$B$2:$K$368,9,FALSE)</f>
        <v>0</v>
      </c>
      <c r="G280" s="24">
        <f>VLOOKUP($A280,'Channel wise traffic'!$B$2:$K$368,10,FALSE)</f>
        <v>0</v>
      </c>
      <c r="H280" s="48">
        <f>VLOOKUP($A280,'Channel wise traffic'!$B$2:$P$368,11,FALSE)</f>
        <v>808015</v>
      </c>
      <c r="I280" s="24">
        <f>VLOOKUP($A280,'Channel wise traffic'!$B$2:$P$368,12,FALSE)</f>
        <v>606011</v>
      </c>
      <c r="J280" s="24">
        <f>VLOOKUP($A280,'Channel wise traffic'!$B$2:$P$368,13,FALSE)</f>
        <v>246893</v>
      </c>
      <c r="K280" s="51">
        <f>VLOOKUP($A280,'Channel wise traffic'!$B$2:$P$368,14,FALSE)</f>
        <v>583567</v>
      </c>
      <c r="L280" s="24">
        <f>VLOOKUP($A280,'Channel wise traffic'!$B$2:$P$368,15,FALSE)</f>
        <v>2244486</v>
      </c>
      <c r="M280" s="7">
        <f t="shared" si="16"/>
        <v>3.5643377670726097E-2</v>
      </c>
      <c r="N280" s="7">
        <f t="shared" si="18"/>
        <v>4.1273140835281552E-2</v>
      </c>
      <c r="O280" s="7">
        <f t="shared" si="17"/>
        <v>5.1020419528979843E-2</v>
      </c>
      <c r="P280" s="7">
        <f t="shared" si="19"/>
        <v>-9.2741097247820425E-3</v>
      </c>
      <c r="Q280" s="7" t="e">
        <f>#REF!/B280</f>
        <v>#REF!</v>
      </c>
      <c r="R280" s="7" t="e">
        <f>#REF!/#REF!</f>
        <v>#REF!</v>
      </c>
      <c r="S280" s="7" t="e">
        <f>#REF!/#REF!</f>
        <v>#REF!</v>
      </c>
      <c r="T280" s="7" t="e">
        <f>C280/#REF!</f>
        <v>#REF!</v>
      </c>
    </row>
    <row r="281" spans="1:22" x14ac:dyDescent="0.3">
      <c r="A281" s="2">
        <v>43744</v>
      </c>
      <c r="B281" s="3">
        <v>43543058</v>
      </c>
      <c r="C281" s="42">
        <v>1698799</v>
      </c>
      <c r="D281" s="48">
        <f>VLOOKUP($A281,'Channel wise traffic'!$B$2:$K$368,7,FALSE)</f>
        <v>0</v>
      </c>
      <c r="E281" s="24">
        <f>VLOOKUP($A281,'Channel wise traffic'!$B$2:$K$368,8,FALSE)</f>
        <v>0</v>
      </c>
      <c r="F281" s="24">
        <f>VLOOKUP($A281,'Channel wise traffic'!$B$2:$K$368,9,FALSE)</f>
        <v>0</v>
      </c>
      <c r="G281" s="24">
        <f>VLOOKUP($A281,'Channel wise traffic'!$B$2:$K$368,10,FALSE)</f>
        <v>0</v>
      </c>
      <c r="H281" s="48">
        <f>VLOOKUP($A281,'Channel wise traffic'!$B$2:$P$368,11,FALSE)</f>
        <v>323206</v>
      </c>
      <c r="I281" s="24">
        <f>VLOOKUP($A281,'Channel wise traffic'!$B$2:$P$368,12,FALSE)</f>
        <v>242404</v>
      </c>
      <c r="J281" s="24">
        <f>VLOOKUP($A281,'Channel wise traffic'!$B$2:$P$368,13,FALSE)</f>
        <v>98758</v>
      </c>
      <c r="K281" s="51">
        <f>VLOOKUP($A281,'Channel wise traffic'!$B$2:$P$368,14,FALSE)</f>
        <v>233427</v>
      </c>
      <c r="L281" s="24">
        <f>VLOOKUP($A281,'Channel wise traffic'!$B$2:$P$368,15,FALSE)</f>
        <v>897795</v>
      </c>
      <c r="M281" s="7">
        <f t="shared" si="16"/>
        <v>3.9014232762430233E-2</v>
      </c>
      <c r="N281" s="7">
        <f t="shared" si="18"/>
        <v>8.5402326831010456E-2</v>
      </c>
      <c r="O281" s="7">
        <f t="shared" si="17"/>
        <v>2.1052631332113103E-2</v>
      </c>
      <c r="P281" s="7">
        <f t="shared" si="19"/>
        <v>6.3022897668794764E-2</v>
      </c>
      <c r="Q281" s="7" t="e">
        <f>#REF!/B281</f>
        <v>#REF!</v>
      </c>
      <c r="R281" s="7" t="e">
        <f>#REF!/#REF!</f>
        <v>#REF!</v>
      </c>
      <c r="S281" s="7" t="e">
        <f>#REF!/#REF!</f>
        <v>#REF!</v>
      </c>
      <c r="T281" s="7" t="e">
        <f>C281/#REF!</f>
        <v>#REF!</v>
      </c>
    </row>
    <row r="282" spans="1:22" x14ac:dyDescent="0.3">
      <c r="A282" s="2">
        <v>43745</v>
      </c>
      <c r="B282" s="3">
        <v>21500167</v>
      </c>
      <c r="C282" s="42">
        <v>1377971</v>
      </c>
      <c r="D282" s="48">
        <f>VLOOKUP($A282,'Channel wise traffic'!$B$2:$K$368,7,FALSE)</f>
        <v>-78182</v>
      </c>
      <c r="E282" s="24">
        <f>VLOOKUP($A282,'Channel wise traffic'!$B$2:$K$368,8,FALSE)</f>
        <v>-58636</v>
      </c>
      <c r="F282" s="24">
        <f>VLOOKUP($A282,'Channel wise traffic'!$B$2:$K$368,9,FALSE)</f>
        <v>-23889</v>
      </c>
      <c r="G282" s="24">
        <f>VLOOKUP($A282,'Channel wise traffic'!$B$2:$K$368,10,FALSE)</f>
        <v>-56465</v>
      </c>
      <c r="H282" s="48">
        <f>VLOOKUP($A282,'Channel wise traffic'!$B$2:$P$368,11,FALSE)</f>
        <v>0</v>
      </c>
      <c r="I282" s="24">
        <f>VLOOKUP($A282,'Channel wise traffic'!$B$2:$P$368,12,FALSE)</f>
        <v>0</v>
      </c>
      <c r="J282" s="24">
        <f>VLOOKUP($A282,'Channel wise traffic'!$B$2:$P$368,13,FALSE)</f>
        <v>0</v>
      </c>
      <c r="K282" s="51">
        <f>VLOOKUP($A282,'Channel wise traffic'!$B$2:$P$368,14,FALSE)</f>
        <v>0</v>
      </c>
      <c r="L282" s="24">
        <f>VLOOKUP($A282,'Channel wise traffic'!$B$2:$P$368,15,FALSE)</f>
        <v>-217172</v>
      </c>
      <c r="M282" s="7">
        <f t="shared" si="16"/>
        <v>6.4091176594116686E-2</v>
      </c>
      <c r="N282" s="7">
        <f t="shared" si="18"/>
        <v>0.11494806239309452</v>
      </c>
      <c r="O282" s="7">
        <f t="shared" si="17"/>
        <v>-9.9999815815380311E-3</v>
      </c>
      <c r="P282" s="7">
        <f t="shared" si="19"/>
        <v>0.12621014308084444</v>
      </c>
      <c r="Q282" s="7" t="e">
        <f>#REF!/B282</f>
        <v>#REF!</v>
      </c>
      <c r="R282" s="7" t="e">
        <f>#REF!/#REF!</f>
        <v>#REF!</v>
      </c>
      <c r="S282" s="7" t="e">
        <f>#REF!/#REF!</f>
        <v>#REF!</v>
      </c>
      <c r="T282" s="7" t="e">
        <f>C282/#REF!</f>
        <v>#REF!</v>
      </c>
    </row>
    <row r="283" spans="1:22" x14ac:dyDescent="0.3">
      <c r="A283" s="2">
        <v>43746</v>
      </c>
      <c r="B283" s="3">
        <v>22368860</v>
      </c>
      <c r="C283" s="42">
        <v>1270411</v>
      </c>
      <c r="D283" s="48">
        <f>VLOOKUP($A283,'Channel wise traffic'!$B$2:$K$368,7,FALSE)</f>
        <v>0</v>
      </c>
      <c r="E283" s="24">
        <f>VLOOKUP($A283,'Channel wise traffic'!$B$2:$K$368,8,FALSE)</f>
        <v>0</v>
      </c>
      <c r="F283" s="24">
        <f>VLOOKUP($A283,'Channel wise traffic'!$B$2:$K$368,9,FALSE)</f>
        <v>0</v>
      </c>
      <c r="G283" s="24">
        <f>VLOOKUP($A283,'Channel wise traffic'!$B$2:$K$368,10,FALSE)</f>
        <v>0</v>
      </c>
      <c r="H283" s="48">
        <f>VLOOKUP($A283,'Channel wise traffic'!$B$2:$P$368,11,FALSE)</f>
        <v>156365</v>
      </c>
      <c r="I283" s="24">
        <f>VLOOKUP($A283,'Channel wise traffic'!$B$2:$P$368,12,FALSE)</f>
        <v>117274</v>
      </c>
      <c r="J283" s="24">
        <f>VLOOKUP($A283,'Channel wise traffic'!$B$2:$P$368,13,FALSE)</f>
        <v>47778</v>
      </c>
      <c r="K283" s="51">
        <f>VLOOKUP($A283,'Channel wise traffic'!$B$2:$P$368,14,FALSE)</f>
        <v>112930</v>
      </c>
      <c r="L283" s="24">
        <f>VLOOKUP($A283,'Channel wise traffic'!$B$2:$P$368,15,FALSE)</f>
        <v>434347</v>
      </c>
      <c r="M283" s="7">
        <f t="shared" si="16"/>
        <v>5.6793730212447123E-2</v>
      </c>
      <c r="N283" s="7">
        <f t="shared" si="18"/>
        <v>8.1779027429128126E-2</v>
      </c>
      <c r="O283" s="7">
        <f t="shared" si="17"/>
        <v>1.9801989677181275E-2</v>
      </c>
      <c r="P283" s="7">
        <f t="shared" si="19"/>
        <v>6.077359956079853E-2</v>
      </c>
      <c r="Q283" s="7" t="e">
        <f>#REF!/B283</f>
        <v>#REF!</v>
      </c>
      <c r="R283" s="7" t="e">
        <f>#REF!/#REF!</f>
        <v>#REF!</v>
      </c>
      <c r="S283" s="7" t="e">
        <f>#REF!/#REF!</f>
        <v>#REF!</v>
      </c>
      <c r="T283" s="7" t="e">
        <f>C283/#REF!</f>
        <v>#REF!</v>
      </c>
    </row>
    <row r="284" spans="1:22" s="35" customFormat="1" x14ac:dyDescent="0.3">
      <c r="A284" s="36">
        <v>43747</v>
      </c>
      <c r="B284" s="16">
        <v>20631473</v>
      </c>
      <c r="C284" s="47">
        <v>1402435</v>
      </c>
      <c r="D284" s="49">
        <f>VLOOKUP($A284,'Channel wise traffic'!$B$2:$K$368,7,FALSE)</f>
        <v>-312730</v>
      </c>
      <c r="E284" s="28">
        <f>VLOOKUP($A284,'Channel wise traffic'!$B$2:$K$368,8,FALSE)</f>
        <v>-234548</v>
      </c>
      <c r="F284" s="28">
        <f>VLOOKUP($A284,'Channel wise traffic'!$B$2:$K$368,9,FALSE)</f>
        <v>-95556</v>
      </c>
      <c r="G284" s="28">
        <f>VLOOKUP($A284,'Channel wise traffic'!$B$2:$K$368,10,FALSE)</f>
        <v>-225860</v>
      </c>
      <c r="H284" s="48">
        <f>VLOOKUP($A284,'Channel wise traffic'!$B$2:$P$368,11,FALSE)</f>
        <v>0</v>
      </c>
      <c r="I284" s="24">
        <f>VLOOKUP($A284,'Channel wise traffic'!$B$2:$P$368,12,FALSE)</f>
        <v>0</v>
      </c>
      <c r="J284" s="24">
        <f>VLOOKUP($A284,'Channel wise traffic'!$B$2:$P$368,13,FALSE)</f>
        <v>0</v>
      </c>
      <c r="K284" s="51">
        <f>VLOOKUP($A284,'Channel wise traffic'!$B$2:$P$368,14,FALSE)</f>
        <v>0</v>
      </c>
      <c r="L284" s="28">
        <f>VLOOKUP($A284,'Channel wise traffic'!$B$2:$P$368,15,FALSE)</f>
        <v>-868694</v>
      </c>
      <c r="M284" s="17">
        <f t="shared" si="16"/>
        <v>6.7975514884468013E-2</v>
      </c>
      <c r="N284" s="34">
        <f t="shared" si="18"/>
        <v>0.21871070507745793</v>
      </c>
      <c r="O284" s="34">
        <f t="shared" si="17"/>
        <v>-4.0404058256849784E-2</v>
      </c>
      <c r="P284" s="17">
        <f t="shared" si="19"/>
        <v>0.27002486365627365</v>
      </c>
      <c r="Q284" s="17" t="e">
        <f>#REF!/B284</f>
        <v>#REF!</v>
      </c>
      <c r="R284" s="17" t="e">
        <f>#REF!/#REF!</f>
        <v>#REF!</v>
      </c>
      <c r="S284" s="17" t="e">
        <f>#REF!/#REF!</f>
        <v>#REF!</v>
      </c>
      <c r="T284" s="17" t="e">
        <f>C284/#REF!</f>
        <v>#REF!</v>
      </c>
      <c r="U284"/>
      <c r="V284" s="35" t="s">
        <v>40</v>
      </c>
    </row>
    <row r="285" spans="1:22" x14ac:dyDescent="0.3">
      <c r="A285" s="2">
        <v>43748</v>
      </c>
      <c r="B285" s="3">
        <v>21282993</v>
      </c>
      <c r="C285" s="42">
        <v>1127263</v>
      </c>
      <c r="D285" s="48">
        <f>VLOOKUP($A285,'Channel wise traffic'!$B$2:$K$368,7,FALSE)</f>
        <v>0</v>
      </c>
      <c r="E285" s="24">
        <f>VLOOKUP($A285,'Channel wise traffic'!$B$2:$K$368,8,FALSE)</f>
        <v>0</v>
      </c>
      <c r="F285" s="24">
        <f>VLOOKUP($A285,'Channel wise traffic'!$B$2:$K$368,9,FALSE)</f>
        <v>0</v>
      </c>
      <c r="G285" s="24">
        <f>VLOOKUP($A285,'Channel wise traffic'!$B$2:$K$368,10,FALSE)</f>
        <v>0</v>
      </c>
      <c r="H285" s="48">
        <f>VLOOKUP($A285,'Channel wise traffic'!$B$2:$P$368,11,FALSE)</f>
        <v>0</v>
      </c>
      <c r="I285" s="24">
        <f>VLOOKUP($A285,'Channel wise traffic'!$B$2:$P$368,12,FALSE)</f>
        <v>0</v>
      </c>
      <c r="J285" s="24">
        <f>VLOOKUP($A285,'Channel wise traffic'!$B$2:$P$368,13,FALSE)</f>
        <v>0</v>
      </c>
      <c r="K285" s="51">
        <f>VLOOKUP($A285,'Channel wise traffic'!$B$2:$P$368,14,FALSE)</f>
        <v>0</v>
      </c>
      <c r="L285" s="24">
        <f>VLOOKUP($A285,'Channel wise traffic'!$B$2:$P$368,15,FALSE)</f>
        <v>0</v>
      </c>
      <c r="M285" s="7">
        <f t="shared" si="16"/>
        <v>5.2965435829443727E-2</v>
      </c>
      <c r="N285" s="7">
        <f t="shared" si="18"/>
        <v>-0.14034239487284683</v>
      </c>
      <c r="O285" s="7">
        <f t="shared" si="17"/>
        <v>0</v>
      </c>
      <c r="P285" s="7">
        <f t="shared" si="19"/>
        <v>-0.14034239487284683</v>
      </c>
      <c r="Q285" s="7" t="e">
        <f>#REF!/B285</f>
        <v>#REF!</v>
      </c>
      <c r="R285" s="7" t="e">
        <f>#REF!/#REF!</f>
        <v>#REF!</v>
      </c>
      <c r="S285" s="7" t="e">
        <f>#REF!/#REF!</f>
        <v>#REF!</v>
      </c>
      <c r="T285" s="7" t="e">
        <f>C285/#REF!</f>
        <v>#REF!</v>
      </c>
    </row>
    <row r="286" spans="1:22" x14ac:dyDescent="0.3">
      <c r="A286" s="2">
        <v>43749</v>
      </c>
      <c r="B286" s="3">
        <v>21282993</v>
      </c>
      <c r="C286" s="42">
        <v>1234922</v>
      </c>
      <c r="D286" s="48">
        <f>VLOOKUP($A286,'Channel wise traffic'!$B$2:$K$368,7,FALSE)</f>
        <v>0</v>
      </c>
      <c r="E286" s="24">
        <f>VLOOKUP($A286,'Channel wise traffic'!$B$2:$K$368,8,FALSE)</f>
        <v>0</v>
      </c>
      <c r="F286" s="24">
        <f>VLOOKUP($A286,'Channel wise traffic'!$B$2:$K$368,9,FALSE)</f>
        <v>0</v>
      </c>
      <c r="G286" s="24">
        <f>VLOOKUP($A286,'Channel wise traffic'!$B$2:$K$368,10,FALSE)</f>
        <v>0</v>
      </c>
      <c r="H286" s="48">
        <f>VLOOKUP($A286,'Channel wise traffic'!$B$2:$P$368,11,FALSE)</f>
        <v>78182</v>
      </c>
      <c r="I286" s="24">
        <f>VLOOKUP($A286,'Channel wise traffic'!$B$2:$P$368,12,FALSE)</f>
        <v>58637</v>
      </c>
      <c r="J286" s="24">
        <f>VLOOKUP($A286,'Channel wise traffic'!$B$2:$P$368,13,FALSE)</f>
        <v>23889</v>
      </c>
      <c r="K286" s="51">
        <f>VLOOKUP($A286,'Channel wise traffic'!$B$2:$P$368,14,FALSE)</f>
        <v>56465</v>
      </c>
      <c r="L286" s="24">
        <f>VLOOKUP($A286,'Channel wise traffic'!$B$2:$P$368,15,FALSE)</f>
        <v>217173</v>
      </c>
      <c r="M286" s="7">
        <f t="shared" si="16"/>
        <v>5.8023887899601341E-2</v>
      </c>
      <c r="N286" s="7">
        <f t="shared" si="18"/>
        <v>9.5618491304586994E-2</v>
      </c>
      <c r="O286" s="7">
        <f t="shared" si="17"/>
        <v>1.0309259264533743E-2</v>
      </c>
      <c r="P286" s="7">
        <f t="shared" si="19"/>
        <v>8.443873126744883E-2</v>
      </c>
      <c r="Q286" s="7" t="e">
        <f>#REF!/B286</f>
        <v>#REF!</v>
      </c>
      <c r="R286" s="7" t="e">
        <f>#REF!/#REF!</f>
        <v>#REF!</v>
      </c>
      <c r="S286" s="7" t="e">
        <f>#REF!/#REF!</f>
        <v>#REF!</v>
      </c>
      <c r="T286" s="7" t="e">
        <f>C286/#REF!</f>
        <v>#REF!</v>
      </c>
    </row>
    <row r="287" spans="1:22" x14ac:dyDescent="0.3">
      <c r="A287" s="2">
        <v>43750</v>
      </c>
      <c r="B287" s="3">
        <v>45338648</v>
      </c>
      <c r="C287" s="42">
        <v>1645504</v>
      </c>
      <c r="D287" s="48">
        <f>VLOOKUP($A287,'Channel wise traffic'!$B$2:$K$368,7,FALSE)</f>
        <v>-323206</v>
      </c>
      <c r="E287" s="24">
        <f>VLOOKUP($A287,'Channel wise traffic'!$B$2:$K$368,8,FALSE)</f>
        <v>-242404</v>
      </c>
      <c r="F287" s="24">
        <f>VLOOKUP($A287,'Channel wise traffic'!$B$2:$K$368,9,FALSE)</f>
        <v>-98757</v>
      </c>
      <c r="G287" s="24">
        <f>VLOOKUP($A287,'Channel wise traffic'!$B$2:$K$368,10,FALSE)</f>
        <v>-233427</v>
      </c>
      <c r="H287" s="48">
        <f>VLOOKUP($A287,'Channel wise traffic'!$B$2:$P$368,11,FALSE)</f>
        <v>0</v>
      </c>
      <c r="I287" s="24">
        <f>VLOOKUP($A287,'Channel wise traffic'!$B$2:$P$368,12,FALSE)</f>
        <v>0</v>
      </c>
      <c r="J287" s="24">
        <f>VLOOKUP($A287,'Channel wise traffic'!$B$2:$P$368,13,FALSE)</f>
        <v>0</v>
      </c>
      <c r="K287" s="51">
        <f>VLOOKUP($A287,'Channel wise traffic'!$B$2:$P$368,14,FALSE)</f>
        <v>0</v>
      </c>
      <c r="L287" s="24">
        <f>VLOOKUP($A287,'Channel wise traffic'!$B$2:$P$368,15,FALSE)</f>
        <v>-897794</v>
      </c>
      <c r="M287" s="7">
        <f t="shared" si="16"/>
        <v>3.6293627458851445E-2</v>
      </c>
      <c r="N287" s="7">
        <f t="shared" si="18"/>
        <v>-1.5284980852815488E-3</v>
      </c>
      <c r="O287" s="7">
        <f t="shared" si="17"/>
        <v>-1.9417475518175187E-2</v>
      </c>
      <c r="P287" s="7">
        <f t="shared" si="19"/>
        <v>1.824321460587619E-2</v>
      </c>
      <c r="Q287" s="7" t="e">
        <f>#REF!/B287</f>
        <v>#REF!</v>
      </c>
      <c r="R287" s="7" t="e">
        <f>#REF!/#REF!</f>
        <v>#REF!</v>
      </c>
      <c r="S287" s="7" t="e">
        <f>#REF!/#REF!</f>
        <v>#REF!</v>
      </c>
      <c r="T287" s="7" t="e">
        <f>C287/#REF!</f>
        <v>#REF!</v>
      </c>
    </row>
    <row r="288" spans="1:22" x14ac:dyDescent="0.3">
      <c r="A288" s="2">
        <v>43751</v>
      </c>
      <c r="B288" s="3">
        <v>43543058</v>
      </c>
      <c r="C288" s="42">
        <v>1678794</v>
      </c>
      <c r="D288" s="48">
        <f>VLOOKUP($A288,'Channel wise traffic'!$B$2:$K$368,7,FALSE)</f>
        <v>0</v>
      </c>
      <c r="E288" s="24">
        <f>VLOOKUP($A288,'Channel wise traffic'!$B$2:$K$368,8,FALSE)</f>
        <v>0</v>
      </c>
      <c r="F288" s="24">
        <f>VLOOKUP($A288,'Channel wise traffic'!$B$2:$K$368,9,FALSE)</f>
        <v>0</v>
      </c>
      <c r="G288" s="24">
        <f>VLOOKUP($A288,'Channel wise traffic'!$B$2:$K$368,10,FALSE)</f>
        <v>0</v>
      </c>
      <c r="H288" s="48">
        <f>VLOOKUP($A288,'Channel wise traffic'!$B$2:$P$368,11,FALSE)</f>
        <v>0</v>
      </c>
      <c r="I288" s="24">
        <f>VLOOKUP($A288,'Channel wise traffic'!$B$2:$P$368,12,FALSE)</f>
        <v>0</v>
      </c>
      <c r="J288" s="24">
        <f>VLOOKUP($A288,'Channel wise traffic'!$B$2:$P$368,13,FALSE)</f>
        <v>0</v>
      </c>
      <c r="K288" s="51">
        <f>VLOOKUP($A288,'Channel wise traffic'!$B$2:$P$368,14,FALSE)</f>
        <v>0</v>
      </c>
      <c r="L288" s="24">
        <f>VLOOKUP($A288,'Channel wise traffic'!$B$2:$P$368,15,FALSE)</f>
        <v>0</v>
      </c>
      <c r="M288" s="7">
        <f t="shared" si="16"/>
        <v>3.8554802467020116E-2</v>
      </c>
      <c r="N288" s="7">
        <f t="shared" si="18"/>
        <v>-1.1775966432756357E-2</v>
      </c>
      <c r="O288" s="7">
        <f t="shared" si="17"/>
        <v>0</v>
      </c>
      <c r="P288" s="7">
        <f t="shared" si="19"/>
        <v>-1.1775966432756246E-2</v>
      </c>
      <c r="Q288" s="7" t="e">
        <f>#REF!/B288</f>
        <v>#REF!</v>
      </c>
      <c r="R288" s="7" t="e">
        <f>#REF!/#REF!</f>
        <v>#REF!</v>
      </c>
      <c r="S288" s="7" t="e">
        <f>#REF!/#REF!</f>
        <v>#REF!</v>
      </c>
      <c r="T288" s="7" t="e">
        <f>C288/#REF!</f>
        <v>#REF!</v>
      </c>
    </row>
    <row r="289" spans="1:20" x14ac:dyDescent="0.3">
      <c r="A289" s="2">
        <v>43752</v>
      </c>
      <c r="B289" s="3">
        <v>20848646</v>
      </c>
      <c r="C289" s="42">
        <v>1104728</v>
      </c>
      <c r="D289" s="48">
        <f>VLOOKUP($A289,'Channel wise traffic'!$B$2:$K$368,7,FALSE)</f>
        <v>-234548</v>
      </c>
      <c r="E289" s="24">
        <f>VLOOKUP($A289,'Channel wise traffic'!$B$2:$K$368,8,FALSE)</f>
        <v>-175911</v>
      </c>
      <c r="F289" s="24">
        <f>VLOOKUP($A289,'Channel wise traffic'!$B$2:$K$368,9,FALSE)</f>
        <v>-71667</v>
      </c>
      <c r="G289" s="24">
        <f>VLOOKUP($A289,'Channel wise traffic'!$B$2:$K$368,10,FALSE)</f>
        <v>-169395</v>
      </c>
      <c r="H289" s="48">
        <f>VLOOKUP($A289,'Channel wise traffic'!$B$2:$P$368,11,FALSE)</f>
        <v>0</v>
      </c>
      <c r="I289" s="24">
        <f>VLOOKUP($A289,'Channel wise traffic'!$B$2:$P$368,12,FALSE)</f>
        <v>0</v>
      </c>
      <c r="J289" s="24">
        <f>VLOOKUP($A289,'Channel wise traffic'!$B$2:$P$368,13,FALSE)</f>
        <v>0</v>
      </c>
      <c r="K289" s="51">
        <f>VLOOKUP($A289,'Channel wise traffic'!$B$2:$P$368,14,FALSE)</f>
        <v>0</v>
      </c>
      <c r="L289" s="24">
        <f>VLOOKUP($A289,'Channel wise traffic'!$B$2:$P$368,15,FALSE)</f>
        <v>-651521</v>
      </c>
      <c r="M289" s="7">
        <f t="shared" si="16"/>
        <v>5.2987997398008482E-2</v>
      </c>
      <c r="N289" s="7">
        <f t="shared" si="18"/>
        <v>-0.19829372316253391</v>
      </c>
      <c r="O289" s="7">
        <f t="shared" si="17"/>
        <v>-3.0303066948270674E-2</v>
      </c>
      <c r="P289" s="7">
        <f t="shared" si="19"/>
        <v>-0.17324037076778254</v>
      </c>
      <c r="Q289" s="7" t="e">
        <f>#REF!/B289</f>
        <v>#REF!</v>
      </c>
      <c r="R289" s="7" t="e">
        <f>#REF!/#REF!</f>
        <v>#REF!</v>
      </c>
      <c r="S289" s="7" t="e">
        <f>#REF!/#REF!</f>
        <v>#REF!</v>
      </c>
      <c r="T289" s="7" t="e">
        <f>C289/#REF!</f>
        <v>#REF!</v>
      </c>
    </row>
    <row r="290" spans="1:20" x14ac:dyDescent="0.3">
      <c r="A290" s="2">
        <v>43753</v>
      </c>
      <c r="B290" s="3">
        <v>21934513</v>
      </c>
      <c r="C290" s="42">
        <v>1126686</v>
      </c>
      <c r="D290" s="48">
        <f>VLOOKUP($A290,'Channel wise traffic'!$B$2:$K$368,7,FALSE)</f>
        <v>-156365</v>
      </c>
      <c r="E290" s="24">
        <f>VLOOKUP($A290,'Channel wise traffic'!$B$2:$K$368,8,FALSE)</f>
        <v>-117274</v>
      </c>
      <c r="F290" s="24">
        <f>VLOOKUP($A290,'Channel wise traffic'!$B$2:$K$368,9,FALSE)</f>
        <v>-47778</v>
      </c>
      <c r="G290" s="24">
        <f>VLOOKUP($A290,'Channel wise traffic'!$B$2:$K$368,10,FALSE)</f>
        <v>-112930</v>
      </c>
      <c r="H290" s="48">
        <f>VLOOKUP($A290,'Channel wise traffic'!$B$2:$P$368,11,FALSE)</f>
        <v>0</v>
      </c>
      <c r="I290" s="24">
        <f>VLOOKUP($A290,'Channel wise traffic'!$B$2:$P$368,12,FALSE)</f>
        <v>0</v>
      </c>
      <c r="J290" s="24">
        <f>VLOOKUP($A290,'Channel wise traffic'!$B$2:$P$368,13,FALSE)</f>
        <v>0</v>
      </c>
      <c r="K290" s="51">
        <f>VLOOKUP($A290,'Channel wise traffic'!$B$2:$P$368,14,FALSE)</f>
        <v>0</v>
      </c>
      <c r="L290" s="24">
        <f>VLOOKUP($A290,'Channel wise traffic'!$B$2:$P$368,15,FALSE)</f>
        <v>-434347</v>
      </c>
      <c r="M290" s="7">
        <f t="shared" si="16"/>
        <v>5.1365899940427215E-2</v>
      </c>
      <c r="N290" s="7">
        <f t="shared" si="18"/>
        <v>-0.11313267910935909</v>
      </c>
      <c r="O290" s="7">
        <f t="shared" si="17"/>
        <v>-1.9417484842768062E-2</v>
      </c>
      <c r="P290" s="7">
        <f t="shared" si="19"/>
        <v>-9.557094157605317E-2</v>
      </c>
      <c r="Q290" s="7" t="e">
        <f>#REF!/B290</f>
        <v>#REF!</v>
      </c>
      <c r="R290" s="7" t="e">
        <f>#REF!/#REF!</f>
        <v>#REF!</v>
      </c>
      <c r="S290" s="7" t="e">
        <f>#REF!/#REF!</f>
        <v>#REF!</v>
      </c>
      <c r="T290" s="7" t="e">
        <f>C290/#REF!</f>
        <v>#REF!</v>
      </c>
    </row>
    <row r="291" spans="1:20" x14ac:dyDescent="0.3">
      <c r="A291" s="2">
        <v>43754</v>
      </c>
      <c r="B291" s="3">
        <v>20631473</v>
      </c>
      <c r="C291" s="42">
        <v>1308161</v>
      </c>
      <c r="D291" s="48">
        <f>VLOOKUP($A291,'Channel wise traffic'!$B$2:$K$368,7,FALSE)</f>
        <v>0</v>
      </c>
      <c r="E291" s="24">
        <f>VLOOKUP($A291,'Channel wise traffic'!$B$2:$K$368,8,FALSE)</f>
        <v>0</v>
      </c>
      <c r="F291" s="24">
        <f>VLOOKUP($A291,'Channel wise traffic'!$B$2:$K$368,9,FALSE)</f>
        <v>0</v>
      </c>
      <c r="G291" s="24">
        <f>VLOOKUP($A291,'Channel wise traffic'!$B$2:$K$368,10,FALSE)</f>
        <v>0</v>
      </c>
      <c r="H291" s="48">
        <f>VLOOKUP($A291,'Channel wise traffic'!$B$2:$P$368,11,FALSE)</f>
        <v>0</v>
      </c>
      <c r="I291" s="24">
        <f>VLOOKUP($A291,'Channel wise traffic'!$B$2:$P$368,12,FALSE)</f>
        <v>0</v>
      </c>
      <c r="J291" s="24">
        <f>VLOOKUP($A291,'Channel wise traffic'!$B$2:$P$368,13,FALSE)</f>
        <v>0</v>
      </c>
      <c r="K291" s="51">
        <f>VLOOKUP($A291,'Channel wise traffic'!$B$2:$P$368,14,FALSE)</f>
        <v>0</v>
      </c>
      <c r="L291" s="24">
        <f>VLOOKUP($A291,'Channel wise traffic'!$B$2:$P$368,15,FALSE)</f>
        <v>0</v>
      </c>
      <c r="M291" s="7">
        <f t="shared" si="16"/>
        <v>6.3406088358305773E-2</v>
      </c>
      <c r="N291" s="7">
        <f t="shared" si="18"/>
        <v>-6.7221653766484701E-2</v>
      </c>
      <c r="O291" s="7">
        <f t="shared" si="17"/>
        <v>0</v>
      </c>
      <c r="P291" s="7">
        <f t="shared" si="19"/>
        <v>-6.7221653766484812E-2</v>
      </c>
      <c r="Q291" s="7" t="e">
        <f>#REF!/B291</f>
        <v>#REF!</v>
      </c>
      <c r="R291" s="7" t="e">
        <f>#REF!/#REF!</f>
        <v>#REF!</v>
      </c>
      <c r="S291" s="7" t="e">
        <f>#REF!/#REF!</f>
        <v>#REF!</v>
      </c>
      <c r="T291" s="7" t="e">
        <f>C291/#REF!</f>
        <v>#REF!</v>
      </c>
    </row>
    <row r="292" spans="1:20" x14ac:dyDescent="0.3">
      <c r="A292" s="2">
        <v>43755</v>
      </c>
      <c r="B292" s="3">
        <v>22151687</v>
      </c>
      <c r="C292" s="42">
        <v>1196493</v>
      </c>
      <c r="D292" s="48">
        <f>VLOOKUP($A292,'Channel wise traffic'!$B$2:$K$368,7,FALSE)</f>
        <v>0</v>
      </c>
      <c r="E292" s="24">
        <f>VLOOKUP($A292,'Channel wise traffic'!$B$2:$K$368,8,FALSE)</f>
        <v>0</v>
      </c>
      <c r="F292" s="24">
        <f>VLOOKUP($A292,'Channel wise traffic'!$B$2:$K$368,9,FALSE)</f>
        <v>0</v>
      </c>
      <c r="G292" s="24">
        <f>VLOOKUP($A292,'Channel wise traffic'!$B$2:$K$368,10,FALSE)</f>
        <v>0</v>
      </c>
      <c r="H292" s="48">
        <f>VLOOKUP($A292,'Channel wise traffic'!$B$2:$P$368,11,FALSE)</f>
        <v>312730</v>
      </c>
      <c r="I292" s="24">
        <f>VLOOKUP($A292,'Channel wise traffic'!$B$2:$P$368,12,FALSE)</f>
        <v>234547</v>
      </c>
      <c r="J292" s="24">
        <f>VLOOKUP($A292,'Channel wise traffic'!$B$2:$P$368,13,FALSE)</f>
        <v>95556</v>
      </c>
      <c r="K292" s="51">
        <f>VLOOKUP($A292,'Channel wise traffic'!$B$2:$P$368,14,FALSE)</f>
        <v>225860</v>
      </c>
      <c r="L292" s="24">
        <f>VLOOKUP($A292,'Channel wise traffic'!$B$2:$P$368,15,FALSE)</f>
        <v>868693</v>
      </c>
      <c r="M292" s="7">
        <f t="shared" si="16"/>
        <v>5.4013628849125576E-2</v>
      </c>
      <c r="N292" s="7">
        <f t="shared" si="18"/>
        <v>6.1414239622874067E-2</v>
      </c>
      <c r="O292" s="7">
        <f t="shared" si="17"/>
        <v>4.0816345708519552E-2</v>
      </c>
      <c r="P292" s="7">
        <f t="shared" si="19"/>
        <v>1.9790133004043975E-2</v>
      </c>
      <c r="Q292" s="7" t="e">
        <f>#REF!/B292</f>
        <v>#REF!</v>
      </c>
      <c r="R292" s="7" t="e">
        <f>#REF!/#REF!</f>
        <v>#REF!</v>
      </c>
      <c r="S292" s="7" t="e">
        <f>#REF!/#REF!</f>
        <v>#REF!</v>
      </c>
      <c r="T292" s="7" t="e">
        <f>C292/#REF!</f>
        <v>#REF!</v>
      </c>
    </row>
    <row r="293" spans="1:20" x14ac:dyDescent="0.3">
      <c r="A293" s="2">
        <v>43756</v>
      </c>
      <c r="B293" s="3">
        <v>20848646</v>
      </c>
      <c r="C293" s="42">
        <v>1323473</v>
      </c>
      <c r="D293" s="48">
        <f>VLOOKUP($A293,'Channel wise traffic'!$B$2:$K$368,7,FALSE)</f>
        <v>-156365</v>
      </c>
      <c r="E293" s="24">
        <f>VLOOKUP($A293,'Channel wise traffic'!$B$2:$K$368,8,FALSE)</f>
        <v>-117274</v>
      </c>
      <c r="F293" s="24">
        <f>VLOOKUP($A293,'Channel wise traffic'!$B$2:$K$368,9,FALSE)</f>
        <v>-47778</v>
      </c>
      <c r="G293" s="24">
        <f>VLOOKUP($A293,'Channel wise traffic'!$B$2:$K$368,10,FALSE)</f>
        <v>-112930</v>
      </c>
      <c r="H293" s="48">
        <f>VLOOKUP($A293,'Channel wise traffic'!$B$2:$P$368,11,FALSE)</f>
        <v>0</v>
      </c>
      <c r="I293" s="24">
        <f>VLOOKUP($A293,'Channel wise traffic'!$B$2:$P$368,12,FALSE)</f>
        <v>0</v>
      </c>
      <c r="J293" s="24">
        <f>VLOOKUP($A293,'Channel wise traffic'!$B$2:$P$368,13,FALSE)</f>
        <v>0</v>
      </c>
      <c r="K293" s="51">
        <f>VLOOKUP($A293,'Channel wise traffic'!$B$2:$P$368,14,FALSE)</f>
        <v>0</v>
      </c>
      <c r="L293" s="24">
        <f>VLOOKUP($A293,'Channel wise traffic'!$B$2:$P$368,15,FALSE)</f>
        <v>-434347</v>
      </c>
      <c r="M293" s="7">
        <f t="shared" si="16"/>
        <v>6.3480045658600562E-2</v>
      </c>
      <c r="N293" s="7">
        <f t="shared" si="18"/>
        <v>7.1705743358689844E-2</v>
      </c>
      <c r="O293" s="7">
        <f t="shared" si="17"/>
        <v>-2.0408172854259776E-2</v>
      </c>
      <c r="P293" s="7">
        <f t="shared" si="19"/>
        <v>9.4032957054515309E-2</v>
      </c>
      <c r="Q293" s="7" t="e">
        <f>#REF!/B293</f>
        <v>#REF!</v>
      </c>
      <c r="R293" s="7" t="e">
        <f>#REF!/#REF!</f>
        <v>#REF!</v>
      </c>
      <c r="S293" s="7" t="e">
        <f>#REF!/#REF!</f>
        <v>#REF!</v>
      </c>
      <c r="T293" s="7" t="e">
        <f>C293/#REF!</f>
        <v>#REF!</v>
      </c>
    </row>
    <row r="294" spans="1:20" x14ac:dyDescent="0.3">
      <c r="A294" s="2">
        <v>43757</v>
      </c>
      <c r="B294" s="3">
        <v>46236443</v>
      </c>
      <c r="C294" s="42">
        <v>1697790</v>
      </c>
      <c r="D294" s="48">
        <f>VLOOKUP($A294,'Channel wise traffic'!$B$2:$K$368,7,FALSE)</f>
        <v>0</v>
      </c>
      <c r="E294" s="24">
        <f>VLOOKUP($A294,'Channel wise traffic'!$B$2:$K$368,8,FALSE)</f>
        <v>0</v>
      </c>
      <c r="F294" s="24">
        <f>VLOOKUP($A294,'Channel wise traffic'!$B$2:$K$368,9,FALSE)</f>
        <v>0</v>
      </c>
      <c r="G294" s="24">
        <f>VLOOKUP($A294,'Channel wise traffic'!$B$2:$K$368,10,FALSE)</f>
        <v>0</v>
      </c>
      <c r="H294" s="48">
        <f>VLOOKUP($A294,'Channel wise traffic'!$B$2:$P$368,11,FALSE)</f>
        <v>323206</v>
      </c>
      <c r="I294" s="24">
        <f>VLOOKUP($A294,'Channel wise traffic'!$B$2:$P$368,12,FALSE)</f>
        <v>242404</v>
      </c>
      <c r="J294" s="24">
        <f>VLOOKUP($A294,'Channel wise traffic'!$B$2:$P$368,13,FALSE)</f>
        <v>98757</v>
      </c>
      <c r="K294" s="51">
        <f>VLOOKUP($A294,'Channel wise traffic'!$B$2:$P$368,14,FALSE)</f>
        <v>233427</v>
      </c>
      <c r="L294" s="24">
        <f>VLOOKUP($A294,'Channel wise traffic'!$B$2:$P$368,15,FALSE)</f>
        <v>897794</v>
      </c>
      <c r="M294" s="7">
        <f t="shared" si="16"/>
        <v>3.671973642090072E-2</v>
      </c>
      <c r="N294" s="7">
        <f t="shared" si="18"/>
        <v>3.177506709190614E-2</v>
      </c>
      <c r="O294" s="7">
        <f t="shared" si="17"/>
        <v>1.9801979979641171E-2</v>
      </c>
      <c r="P294" s="7">
        <f t="shared" si="19"/>
        <v>1.1740599986385547E-2</v>
      </c>
      <c r="Q294" s="7" t="e">
        <f>#REF!/B294</f>
        <v>#REF!</v>
      </c>
      <c r="R294" s="7" t="e">
        <f>#REF!/#REF!</f>
        <v>#REF!</v>
      </c>
      <c r="S294" s="7" t="e">
        <f>#REF!/#REF!</f>
        <v>#REF!</v>
      </c>
      <c r="T294" s="7" t="e">
        <f>C294/#REF!</f>
        <v>#REF!</v>
      </c>
    </row>
    <row r="295" spans="1:20" x14ac:dyDescent="0.3">
      <c r="A295" s="2">
        <v>43758</v>
      </c>
      <c r="B295" s="3">
        <v>43094160</v>
      </c>
      <c r="C295" s="42">
        <v>1694736</v>
      </c>
      <c r="D295" s="48">
        <f>VLOOKUP($A295,'Channel wise traffic'!$B$2:$K$368,7,FALSE)</f>
        <v>-161603</v>
      </c>
      <c r="E295" s="24">
        <f>VLOOKUP($A295,'Channel wise traffic'!$B$2:$K$368,8,FALSE)</f>
        <v>-121202</v>
      </c>
      <c r="F295" s="24">
        <f>VLOOKUP($A295,'Channel wise traffic'!$B$2:$K$368,9,FALSE)</f>
        <v>-49379</v>
      </c>
      <c r="G295" s="24">
        <f>VLOOKUP($A295,'Channel wise traffic'!$B$2:$K$368,10,FALSE)</f>
        <v>-116714</v>
      </c>
      <c r="H295" s="48">
        <f>VLOOKUP($A295,'Channel wise traffic'!$B$2:$P$368,11,FALSE)</f>
        <v>0</v>
      </c>
      <c r="I295" s="24">
        <f>VLOOKUP($A295,'Channel wise traffic'!$B$2:$P$368,12,FALSE)</f>
        <v>0</v>
      </c>
      <c r="J295" s="24">
        <f>VLOOKUP($A295,'Channel wise traffic'!$B$2:$P$368,13,FALSE)</f>
        <v>0</v>
      </c>
      <c r="K295" s="51">
        <f>VLOOKUP($A295,'Channel wise traffic'!$B$2:$P$368,14,FALSE)</f>
        <v>0</v>
      </c>
      <c r="L295" s="24">
        <f>VLOOKUP($A295,'Channel wise traffic'!$B$2:$P$368,15,FALSE)</f>
        <v>-448898</v>
      </c>
      <c r="M295" s="7">
        <f t="shared" si="16"/>
        <v>3.9326349556413211E-2</v>
      </c>
      <c r="N295" s="7">
        <f t="shared" si="18"/>
        <v>9.4961025593371939E-3</v>
      </c>
      <c r="O295" s="7">
        <f t="shared" si="17"/>
        <v>-1.0309289715021874E-2</v>
      </c>
      <c r="P295" s="7">
        <f t="shared" si="19"/>
        <v>2.0011698673675582E-2</v>
      </c>
      <c r="Q295" s="7" t="e">
        <f>#REF!/B295</f>
        <v>#REF!</v>
      </c>
      <c r="R295" s="7" t="e">
        <f>#REF!/#REF!</f>
        <v>#REF!</v>
      </c>
      <c r="S295" s="7" t="e">
        <f>#REF!/#REF!</f>
        <v>#REF!</v>
      </c>
      <c r="T295" s="7" t="e">
        <f>C295/#REF!</f>
        <v>#REF!</v>
      </c>
    </row>
    <row r="296" spans="1:20" x14ac:dyDescent="0.3">
      <c r="A296" s="15">
        <v>43759</v>
      </c>
      <c r="B296" s="16">
        <v>22803207</v>
      </c>
      <c r="C296" s="46">
        <v>1462471</v>
      </c>
      <c r="D296" s="48">
        <f>VLOOKUP($A296,'Channel wise traffic'!$B$2:$K$368,7,FALSE)</f>
        <v>0</v>
      </c>
      <c r="E296" s="24">
        <f>VLOOKUP($A296,'Channel wise traffic'!$B$2:$K$368,8,FALSE)</f>
        <v>0</v>
      </c>
      <c r="F296" s="24">
        <f>VLOOKUP($A296,'Channel wise traffic'!$B$2:$K$368,9,FALSE)</f>
        <v>0</v>
      </c>
      <c r="G296" s="24">
        <f>VLOOKUP($A296,'Channel wise traffic'!$B$2:$K$368,10,FALSE)</f>
        <v>0</v>
      </c>
      <c r="H296" s="48">
        <f>VLOOKUP($A296,'Channel wise traffic'!$B$2:$P$368,11,FALSE)</f>
        <v>703642</v>
      </c>
      <c r="I296" s="24">
        <f>VLOOKUP($A296,'Channel wise traffic'!$B$2:$P$368,12,FALSE)</f>
        <v>527732</v>
      </c>
      <c r="J296" s="24">
        <f>VLOOKUP($A296,'Channel wise traffic'!$B$2:$P$368,13,FALSE)</f>
        <v>215001</v>
      </c>
      <c r="K296" s="51">
        <f>VLOOKUP($A296,'Channel wise traffic'!$B$2:$P$368,14,FALSE)</f>
        <v>508185</v>
      </c>
      <c r="L296" s="24">
        <f>VLOOKUP($A296,'Channel wise traffic'!$B$2:$P$368,15,FALSE)</f>
        <v>1954560</v>
      </c>
      <c r="M296" s="17">
        <f t="shared" si="16"/>
        <v>6.4134443896422116E-2</v>
      </c>
      <c r="N296" s="13">
        <f t="shared" si="18"/>
        <v>0.32382903302894461</v>
      </c>
      <c r="O296" s="13">
        <f t="shared" si="17"/>
        <v>9.3750020984576077E-2</v>
      </c>
      <c r="P296" s="17">
        <f t="shared" si="19"/>
        <v>0.21035794983323086</v>
      </c>
      <c r="Q296" s="17" t="e">
        <f>#REF!/B296</f>
        <v>#REF!</v>
      </c>
      <c r="R296" s="17" t="e">
        <f>#REF!/#REF!</f>
        <v>#REF!</v>
      </c>
      <c r="S296" s="17" t="e">
        <f>#REF!/#REF!</f>
        <v>#REF!</v>
      </c>
      <c r="T296" s="17" t="e">
        <f>C296/#REF!</f>
        <v>#REF!</v>
      </c>
    </row>
    <row r="297" spans="1:20" x14ac:dyDescent="0.3">
      <c r="A297" s="2">
        <v>43760</v>
      </c>
      <c r="B297" s="3">
        <v>21717340</v>
      </c>
      <c r="C297" s="42">
        <v>1350531</v>
      </c>
      <c r="D297" s="48">
        <f>VLOOKUP($A297,'Channel wise traffic'!$B$2:$K$368,7,FALSE)</f>
        <v>-78182</v>
      </c>
      <c r="E297" s="24">
        <f>VLOOKUP($A297,'Channel wise traffic'!$B$2:$K$368,8,FALSE)</f>
        <v>-58637</v>
      </c>
      <c r="F297" s="24">
        <f>VLOOKUP($A297,'Channel wise traffic'!$B$2:$K$368,9,FALSE)</f>
        <v>-23889</v>
      </c>
      <c r="G297" s="24">
        <f>VLOOKUP($A297,'Channel wise traffic'!$B$2:$K$368,10,FALSE)</f>
        <v>-56465</v>
      </c>
      <c r="H297" s="48">
        <f>VLOOKUP($A297,'Channel wise traffic'!$B$2:$P$368,11,FALSE)</f>
        <v>0</v>
      </c>
      <c r="I297" s="24">
        <f>VLOOKUP($A297,'Channel wise traffic'!$B$2:$P$368,12,FALSE)</f>
        <v>0</v>
      </c>
      <c r="J297" s="24">
        <f>VLOOKUP($A297,'Channel wise traffic'!$B$2:$P$368,13,FALSE)</f>
        <v>0</v>
      </c>
      <c r="K297" s="51">
        <f>VLOOKUP($A297,'Channel wise traffic'!$B$2:$P$368,14,FALSE)</f>
        <v>0</v>
      </c>
      <c r="L297" s="24">
        <f>VLOOKUP($A297,'Channel wise traffic'!$B$2:$P$368,15,FALSE)</f>
        <v>-217173</v>
      </c>
      <c r="M297" s="7">
        <f t="shared" si="16"/>
        <v>6.2186759520272743E-2</v>
      </c>
      <c r="N297" s="7">
        <f t="shared" si="18"/>
        <v>0.19867558485682779</v>
      </c>
      <c r="O297" s="7">
        <f t="shared" si="17"/>
        <v>-9.9009720434640736E-3</v>
      </c>
      <c r="P297" s="7">
        <f t="shared" si="19"/>
        <v>0.21066231862763574</v>
      </c>
      <c r="Q297" s="7" t="e">
        <f>#REF!/B297</f>
        <v>#REF!</v>
      </c>
      <c r="R297" s="7" t="e">
        <f>#REF!/#REF!</f>
        <v>#REF!</v>
      </c>
      <c r="S297" s="7" t="e">
        <f>#REF!/#REF!</f>
        <v>#REF!</v>
      </c>
      <c r="T297" s="7" t="e">
        <f>C297/#REF!</f>
        <v>#REF!</v>
      </c>
    </row>
    <row r="298" spans="1:20" x14ac:dyDescent="0.3">
      <c r="A298" s="2">
        <v>43761</v>
      </c>
      <c r="B298" s="3">
        <v>21717340</v>
      </c>
      <c r="C298" s="42">
        <v>1324554</v>
      </c>
      <c r="D298" s="48">
        <f>VLOOKUP($A298,'Channel wise traffic'!$B$2:$K$368,7,FALSE)</f>
        <v>0</v>
      </c>
      <c r="E298" s="24">
        <f>VLOOKUP($A298,'Channel wise traffic'!$B$2:$K$368,8,FALSE)</f>
        <v>0</v>
      </c>
      <c r="F298" s="24">
        <f>VLOOKUP($A298,'Channel wise traffic'!$B$2:$K$368,9,FALSE)</f>
        <v>0</v>
      </c>
      <c r="G298" s="24">
        <f>VLOOKUP($A298,'Channel wise traffic'!$B$2:$K$368,10,FALSE)</f>
        <v>0</v>
      </c>
      <c r="H298" s="48">
        <f>VLOOKUP($A298,'Channel wise traffic'!$B$2:$P$368,11,FALSE)</f>
        <v>390912</v>
      </c>
      <c r="I298" s="24">
        <f>VLOOKUP($A298,'Channel wise traffic'!$B$2:$P$368,12,FALSE)</f>
        <v>293184</v>
      </c>
      <c r="J298" s="24">
        <f>VLOOKUP($A298,'Channel wise traffic'!$B$2:$P$368,13,FALSE)</f>
        <v>119445</v>
      </c>
      <c r="K298" s="51">
        <f>VLOOKUP($A298,'Channel wise traffic'!$B$2:$P$368,14,FALSE)</f>
        <v>282325</v>
      </c>
      <c r="L298" s="24">
        <f>VLOOKUP($A298,'Channel wise traffic'!$B$2:$P$368,15,FALSE)</f>
        <v>1085866</v>
      </c>
      <c r="M298" s="7">
        <f t="shared" si="16"/>
        <v>6.0990618556416208E-2</v>
      </c>
      <c r="N298" s="7">
        <f t="shared" si="18"/>
        <v>1.2531332152540875E-2</v>
      </c>
      <c r="O298" s="7">
        <f t="shared" si="17"/>
        <v>5.2631578947368363E-2</v>
      </c>
      <c r="P298" s="7">
        <f t="shared" si="19"/>
        <v>-3.8095234455086113E-2</v>
      </c>
      <c r="Q298" s="7" t="e">
        <f>#REF!/B298</f>
        <v>#REF!</v>
      </c>
      <c r="R298" s="7" t="e">
        <f>#REF!/#REF!</f>
        <v>#REF!</v>
      </c>
      <c r="S298" s="7" t="e">
        <f>#REF!/#REF!</f>
        <v>#REF!</v>
      </c>
      <c r="T298" s="7" t="e">
        <f>C298/#REF!</f>
        <v>#REF!</v>
      </c>
    </row>
    <row r="299" spans="1:20" x14ac:dyDescent="0.3">
      <c r="A299" s="2">
        <v>43762</v>
      </c>
      <c r="B299" s="3">
        <v>21065820</v>
      </c>
      <c r="C299" s="42">
        <v>1309474</v>
      </c>
      <c r="D299" s="48">
        <f>VLOOKUP($A299,'Channel wise traffic'!$B$2:$K$368,7,FALSE)</f>
        <v>-390912</v>
      </c>
      <c r="E299" s="24">
        <f>VLOOKUP($A299,'Channel wise traffic'!$B$2:$K$368,8,FALSE)</f>
        <v>-293184</v>
      </c>
      <c r="F299" s="24">
        <f>VLOOKUP($A299,'Channel wise traffic'!$B$2:$K$368,9,FALSE)</f>
        <v>-119445</v>
      </c>
      <c r="G299" s="24">
        <f>VLOOKUP($A299,'Channel wise traffic'!$B$2:$K$368,10,FALSE)</f>
        <v>-282325</v>
      </c>
      <c r="H299" s="48">
        <f>VLOOKUP($A299,'Channel wise traffic'!$B$2:$P$368,11,FALSE)</f>
        <v>0</v>
      </c>
      <c r="I299" s="24">
        <f>VLOOKUP($A299,'Channel wise traffic'!$B$2:$P$368,12,FALSE)</f>
        <v>0</v>
      </c>
      <c r="J299" s="24">
        <f>VLOOKUP($A299,'Channel wise traffic'!$B$2:$P$368,13,FALSE)</f>
        <v>0</v>
      </c>
      <c r="K299" s="51">
        <f>VLOOKUP($A299,'Channel wise traffic'!$B$2:$P$368,14,FALSE)</f>
        <v>0</v>
      </c>
      <c r="L299" s="24">
        <f>VLOOKUP($A299,'Channel wise traffic'!$B$2:$P$368,15,FALSE)</f>
        <v>-1085866</v>
      </c>
      <c r="M299" s="7">
        <f t="shared" si="16"/>
        <v>6.2161074195070498E-2</v>
      </c>
      <c r="N299" s="7">
        <f t="shared" si="18"/>
        <v>9.4426795643601791E-2</v>
      </c>
      <c r="O299" s="7">
        <f t="shared" si="17"/>
        <v>-4.9019607400555998E-2</v>
      </c>
      <c r="P299" s="7">
        <f t="shared" si="19"/>
        <v>0.15084054746076969</v>
      </c>
      <c r="Q299" s="7" t="e">
        <f>#REF!/B299</f>
        <v>#REF!</v>
      </c>
      <c r="R299" s="7" t="e">
        <f>#REF!/#REF!</f>
        <v>#REF!</v>
      </c>
      <c r="S299" s="7" t="e">
        <f>#REF!/#REF!</f>
        <v>#REF!</v>
      </c>
      <c r="T299" s="7" t="e">
        <f>C299/#REF!</f>
        <v>#REF!</v>
      </c>
    </row>
    <row r="300" spans="1:20" x14ac:dyDescent="0.3">
      <c r="A300" s="2">
        <v>43763</v>
      </c>
      <c r="B300" s="3">
        <v>21500167</v>
      </c>
      <c r="C300" s="42">
        <v>1186714</v>
      </c>
      <c r="D300" s="48">
        <f>VLOOKUP($A300,'Channel wise traffic'!$B$2:$K$368,7,FALSE)</f>
        <v>0</v>
      </c>
      <c r="E300" s="24">
        <f>VLOOKUP($A300,'Channel wise traffic'!$B$2:$K$368,8,FALSE)</f>
        <v>0</v>
      </c>
      <c r="F300" s="24">
        <f>VLOOKUP($A300,'Channel wise traffic'!$B$2:$K$368,9,FALSE)</f>
        <v>0</v>
      </c>
      <c r="G300" s="24">
        <f>VLOOKUP($A300,'Channel wise traffic'!$B$2:$K$368,10,FALSE)</f>
        <v>0</v>
      </c>
      <c r="H300" s="48">
        <f>VLOOKUP($A300,'Channel wise traffic'!$B$2:$P$368,11,FALSE)</f>
        <v>234548</v>
      </c>
      <c r="I300" s="24">
        <f>VLOOKUP($A300,'Channel wise traffic'!$B$2:$P$368,12,FALSE)</f>
        <v>175911</v>
      </c>
      <c r="J300" s="24">
        <f>VLOOKUP($A300,'Channel wise traffic'!$B$2:$P$368,13,FALSE)</f>
        <v>71667</v>
      </c>
      <c r="K300" s="51">
        <f>VLOOKUP($A300,'Channel wise traffic'!$B$2:$P$368,14,FALSE)</f>
        <v>169395</v>
      </c>
      <c r="L300" s="24">
        <f>VLOOKUP($A300,'Channel wise traffic'!$B$2:$P$368,15,FALSE)</f>
        <v>651521</v>
      </c>
      <c r="M300" s="7">
        <f t="shared" si="16"/>
        <v>5.5195571271609192E-2</v>
      </c>
      <c r="N300" s="7">
        <f t="shared" si="18"/>
        <v>-0.10333342652249045</v>
      </c>
      <c r="O300" s="7">
        <f t="shared" si="17"/>
        <v>3.1250038971355698E-2</v>
      </c>
      <c r="P300" s="7">
        <f t="shared" si="19"/>
        <v>-0.13050517372885584</v>
      </c>
      <c r="Q300" s="7" t="e">
        <f>#REF!/B300</f>
        <v>#REF!</v>
      </c>
      <c r="R300" s="7" t="e">
        <f>#REF!/#REF!</f>
        <v>#REF!</v>
      </c>
      <c r="S300" s="7" t="e">
        <f>#REF!/#REF!</f>
        <v>#REF!</v>
      </c>
      <c r="T300" s="7" t="e">
        <f>C300/#REF!</f>
        <v>#REF!</v>
      </c>
    </row>
    <row r="301" spans="1:20" x14ac:dyDescent="0.3">
      <c r="A301" s="2">
        <v>43764</v>
      </c>
      <c r="B301" s="3">
        <v>43991955</v>
      </c>
      <c r="C301" s="42">
        <v>1582222</v>
      </c>
      <c r="D301" s="48">
        <f>VLOOKUP($A301,'Channel wise traffic'!$B$2:$K$368,7,FALSE)</f>
        <v>-808015</v>
      </c>
      <c r="E301" s="24">
        <f>VLOOKUP($A301,'Channel wise traffic'!$B$2:$K$368,8,FALSE)</f>
        <v>-606011</v>
      </c>
      <c r="F301" s="24">
        <f>VLOOKUP($A301,'Channel wise traffic'!$B$2:$K$368,9,FALSE)</f>
        <v>-246893</v>
      </c>
      <c r="G301" s="24">
        <f>VLOOKUP($A301,'Channel wise traffic'!$B$2:$K$368,10,FALSE)</f>
        <v>-583567</v>
      </c>
      <c r="H301" s="48">
        <f>VLOOKUP($A301,'Channel wise traffic'!$B$2:$P$368,11,FALSE)</f>
        <v>0</v>
      </c>
      <c r="I301" s="24">
        <f>VLOOKUP($A301,'Channel wise traffic'!$B$2:$P$368,12,FALSE)</f>
        <v>0</v>
      </c>
      <c r="J301" s="24">
        <f>VLOOKUP($A301,'Channel wise traffic'!$B$2:$P$368,13,FALSE)</f>
        <v>0</v>
      </c>
      <c r="K301" s="51">
        <f>VLOOKUP($A301,'Channel wise traffic'!$B$2:$P$368,14,FALSE)</f>
        <v>0</v>
      </c>
      <c r="L301" s="24">
        <f>VLOOKUP($A301,'Channel wise traffic'!$B$2:$P$368,15,FALSE)</f>
        <v>-2244486</v>
      </c>
      <c r="M301" s="7">
        <f t="shared" si="16"/>
        <v>3.5966166995760933E-2</v>
      </c>
      <c r="N301" s="7">
        <f t="shared" si="18"/>
        <v>-6.8069667037737314E-2</v>
      </c>
      <c r="O301" s="7">
        <f t="shared" si="17"/>
        <v>-4.8543699609418511E-2</v>
      </c>
      <c r="P301" s="7">
        <f t="shared" si="19"/>
        <v>-2.0522190478220792E-2</v>
      </c>
      <c r="Q301" s="7" t="e">
        <f>#REF!/B301</f>
        <v>#REF!</v>
      </c>
      <c r="R301" s="7" t="e">
        <f>#REF!/#REF!</f>
        <v>#REF!</v>
      </c>
      <c r="S301" s="7" t="e">
        <f>#REF!/#REF!</f>
        <v>#REF!</v>
      </c>
      <c r="T301" s="7" t="e">
        <f>C301/#REF!</f>
        <v>#REF!</v>
      </c>
    </row>
    <row r="302" spans="1:20" x14ac:dyDescent="0.3">
      <c r="A302" s="2">
        <v>43765</v>
      </c>
      <c r="B302" s="3">
        <v>43094160</v>
      </c>
      <c r="C302" s="42">
        <v>1613560</v>
      </c>
      <c r="D302" s="48">
        <f>VLOOKUP($A302,'Channel wise traffic'!$B$2:$K$368,7,FALSE)</f>
        <v>0</v>
      </c>
      <c r="E302" s="24">
        <f>VLOOKUP($A302,'Channel wise traffic'!$B$2:$K$368,8,FALSE)</f>
        <v>0</v>
      </c>
      <c r="F302" s="24">
        <f>VLOOKUP($A302,'Channel wise traffic'!$B$2:$K$368,9,FALSE)</f>
        <v>0</v>
      </c>
      <c r="G302" s="24">
        <f>VLOOKUP($A302,'Channel wise traffic'!$B$2:$K$368,10,FALSE)</f>
        <v>0</v>
      </c>
      <c r="H302" s="48">
        <f>VLOOKUP($A302,'Channel wise traffic'!$B$2:$P$368,11,FALSE)</f>
        <v>0</v>
      </c>
      <c r="I302" s="24">
        <f>VLOOKUP($A302,'Channel wise traffic'!$B$2:$P$368,12,FALSE)</f>
        <v>0</v>
      </c>
      <c r="J302" s="24">
        <f>VLOOKUP($A302,'Channel wise traffic'!$B$2:$P$368,13,FALSE)</f>
        <v>0</v>
      </c>
      <c r="K302" s="51">
        <f>VLOOKUP($A302,'Channel wise traffic'!$B$2:$P$368,14,FALSE)</f>
        <v>0</v>
      </c>
      <c r="L302" s="24">
        <f>VLOOKUP($A302,'Channel wise traffic'!$B$2:$P$368,15,FALSE)</f>
        <v>0</v>
      </c>
      <c r="M302" s="7">
        <f t="shared" si="16"/>
        <v>3.7442660444013759E-2</v>
      </c>
      <c r="N302" s="7">
        <f t="shared" si="18"/>
        <v>-4.7898905788276158E-2</v>
      </c>
      <c r="O302" s="7">
        <f t="shared" si="17"/>
        <v>0</v>
      </c>
      <c r="P302" s="7">
        <f t="shared" si="19"/>
        <v>-4.7898905788276158E-2</v>
      </c>
      <c r="Q302" s="7" t="e">
        <f>#REF!/B302</f>
        <v>#REF!</v>
      </c>
      <c r="R302" s="7" t="e">
        <f>#REF!/#REF!</f>
        <v>#REF!</v>
      </c>
      <c r="S302" s="7" t="e">
        <f>#REF!/#REF!</f>
        <v>#REF!</v>
      </c>
      <c r="T302" s="7" t="e">
        <f>C302/#REF!</f>
        <v>#REF!</v>
      </c>
    </row>
    <row r="303" spans="1:20" x14ac:dyDescent="0.3">
      <c r="A303" s="2">
        <v>43766</v>
      </c>
      <c r="B303" s="3">
        <v>21065820</v>
      </c>
      <c r="C303" s="42">
        <v>1222069</v>
      </c>
      <c r="D303" s="48">
        <f>VLOOKUP($A303,'Channel wise traffic'!$B$2:$K$368,7,FALSE)</f>
        <v>-625459</v>
      </c>
      <c r="E303" s="24">
        <f>VLOOKUP($A303,'Channel wise traffic'!$B$2:$K$368,8,FALSE)</f>
        <v>-469095</v>
      </c>
      <c r="F303" s="24">
        <f>VLOOKUP($A303,'Channel wise traffic'!$B$2:$K$368,9,FALSE)</f>
        <v>-191112</v>
      </c>
      <c r="G303" s="24">
        <f>VLOOKUP($A303,'Channel wise traffic'!$B$2:$K$368,10,FALSE)</f>
        <v>-451720</v>
      </c>
      <c r="H303" s="48">
        <f>VLOOKUP($A303,'Channel wise traffic'!$B$2:$P$368,11,FALSE)</f>
        <v>0</v>
      </c>
      <c r="I303" s="24">
        <f>VLOOKUP($A303,'Channel wise traffic'!$B$2:$P$368,12,FALSE)</f>
        <v>0</v>
      </c>
      <c r="J303" s="24">
        <f>VLOOKUP($A303,'Channel wise traffic'!$B$2:$P$368,13,FALSE)</f>
        <v>0</v>
      </c>
      <c r="K303" s="51">
        <f>VLOOKUP($A303,'Channel wise traffic'!$B$2:$P$368,14,FALSE)</f>
        <v>0</v>
      </c>
      <c r="L303" s="24">
        <f>VLOOKUP($A303,'Channel wise traffic'!$B$2:$P$368,15,FALSE)</f>
        <v>-1737386</v>
      </c>
      <c r="M303" s="7">
        <f t="shared" si="16"/>
        <v>5.8011935922741197E-2</v>
      </c>
      <c r="N303" s="7">
        <f t="shared" si="18"/>
        <v>-0.16438069541208</v>
      </c>
      <c r="O303" s="7">
        <f t="shared" si="17"/>
        <v>-7.6190467419780084E-2</v>
      </c>
      <c r="P303" s="7">
        <f t="shared" si="19"/>
        <v>-9.5463647951307462E-2</v>
      </c>
      <c r="Q303" s="7" t="e">
        <f>#REF!/B303</f>
        <v>#REF!</v>
      </c>
      <c r="R303" s="7" t="e">
        <f>#REF!/#REF!</f>
        <v>#REF!</v>
      </c>
      <c r="S303" s="7" t="e">
        <f>#REF!/#REF!</f>
        <v>#REF!</v>
      </c>
      <c r="T303" s="7" t="e">
        <f>C303/#REF!</f>
        <v>#REF!</v>
      </c>
    </row>
    <row r="304" spans="1:20" x14ac:dyDescent="0.3">
      <c r="A304" s="2">
        <v>43767</v>
      </c>
      <c r="B304" s="3">
        <v>22151687</v>
      </c>
      <c r="C304" s="42">
        <v>1173032</v>
      </c>
      <c r="D304" s="48">
        <f>VLOOKUP($A304,'Channel wise traffic'!$B$2:$K$368,7,FALSE)</f>
        <v>0</v>
      </c>
      <c r="E304" s="24">
        <f>VLOOKUP($A304,'Channel wise traffic'!$B$2:$K$368,8,FALSE)</f>
        <v>0</v>
      </c>
      <c r="F304" s="24">
        <f>VLOOKUP($A304,'Channel wise traffic'!$B$2:$K$368,9,FALSE)</f>
        <v>0</v>
      </c>
      <c r="G304" s="24">
        <f>VLOOKUP($A304,'Channel wise traffic'!$B$2:$K$368,10,FALSE)</f>
        <v>0</v>
      </c>
      <c r="H304" s="48">
        <f>VLOOKUP($A304,'Channel wise traffic'!$B$2:$P$368,11,FALSE)</f>
        <v>156365</v>
      </c>
      <c r="I304" s="24">
        <f>VLOOKUP($A304,'Channel wise traffic'!$B$2:$P$368,12,FALSE)</f>
        <v>117274</v>
      </c>
      <c r="J304" s="24">
        <f>VLOOKUP($A304,'Channel wise traffic'!$B$2:$P$368,13,FALSE)</f>
        <v>47778</v>
      </c>
      <c r="K304" s="51">
        <f>VLOOKUP($A304,'Channel wise traffic'!$B$2:$P$368,14,FALSE)</f>
        <v>112930</v>
      </c>
      <c r="L304" s="24">
        <f>VLOOKUP($A304,'Channel wise traffic'!$B$2:$P$368,15,FALSE)</f>
        <v>434347</v>
      </c>
      <c r="M304" s="7">
        <f t="shared" si="16"/>
        <v>5.2954522154452614E-2</v>
      </c>
      <c r="N304" s="7">
        <f t="shared" si="18"/>
        <v>-0.13142904531624966</v>
      </c>
      <c r="O304" s="7">
        <f t="shared" si="17"/>
        <v>2.0000009209230951E-2</v>
      </c>
      <c r="P304" s="7">
        <f t="shared" si="19"/>
        <v>-0.14845985603752898</v>
      </c>
      <c r="Q304" s="7" t="e">
        <f>#REF!/B304</f>
        <v>#REF!</v>
      </c>
      <c r="R304" s="7" t="e">
        <f>#REF!/#REF!</f>
        <v>#REF!</v>
      </c>
      <c r="S304" s="7" t="e">
        <f>#REF!/#REF!</f>
        <v>#REF!</v>
      </c>
      <c r="T304" s="7" t="e">
        <f>C304/#REF!</f>
        <v>#REF!</v>
      </c>
    </row>
    <row r="305" spans="1:20" x14ac:dyDescent="0.3">
      <c r="A305" s="2">
        <v>43768</v>
      </c>
      <c r="B305" s="3">
        <v>21500167</v>
      </c>
      <c r="C305" s="42">
        <v>1376301</v>
      </c>
      <c r="D305" s="48">
        <f>VLOOKUP($A305,'Channel wise traffic'!$B$2:$K$368,7,FALSE)</f>
        <v>-78182</v>
      </c>
      <c r="E305" s="24">
        <f>VLOOKUP($A305,'Channel wise traffic'!$B$2:$K$368,8,FALSE)</f>
        <v>-58636</v>
      </c>
      <c r="F305" s="24">
        <f>VLOOKUP($A305,'Channel wise traffic'!$B$2:$K$368,9,FALSE)</f>
        <v>-23889</v>
      </c>
      <c r="G305" s="24">
        <f>VLOOKUP($A305,'Channel wise traffic'!$B$2:$K$368,10,FALSE)</f>
        <v>-56465</v>
      </c>
      <c r="H305" s="48">
        <f>VLOOKUP($A305,'Channel wise traffic'!$B$2:$P$368,11,FALSE)</f>
        <v>0</v>
      </c>
      <c r="I305" s="24">
        <f>VLOOKUP($A305,'Channel wise traffic'!$B$2:$P$368,12,FALSE)</f>
        <v>0</v>
      </c>
      <c r="J305" s="24">
        <f>VLOOKUP($A305,'Channel wise traffic'!$B$2:$P$368,13,FALSE)</f>
        <v>0</v>
      </c>
      <c r="K305" s="51">
        <f>VLOOKUP($A305,'Channel wise traffic'!$B$2:$P$368,14,FALSE)</f>
        <v>0</v>
      </c>
      <c r="L305" s="24">
        <f>VLOOKUP($A305,'Channel wise traffic'!$B$2:$P$368,15,FALSE)</f>
        <v>-217172</v>
      </c>
      <c r="M305" s="7">
        <f t="shared" si="16"/>
        <v>6.4013502778838882E-2</v>
      </c>
      <c r="N305" s="7">
        <f t="shared" si="18"/>
        <v>3.906748988716191E-2</v>
      </c>
      <c r="O305" s="7">
        <f t="shared" si="17"/>
        <v>-9.9999815815380311E-3</v>
      </c>
      <c r="P305" s="7">
        <f t="shared" si="19"/>
        <v>4.9563101571539425E-2</v>
      </c>
      <c r="Q305" s="7" t="e">
        <f>#REF!/B305</f>
        <v>#REF!</v>
      </c>
      <c r="R305" s="7" t="e">
        <f>#REF!/#REF!</f>
        <v>#REF!</v>
      </c>
      <c r="S305" s="7" t="e">
        <f>#REF!/#REF!</f>
        <v>#REF!</v>
      </c>
      <c r="T305" s="7" t="e">
        <f>C305/#REF!</f>
        <v>#REF!</v>
      </c>
    </row>
    <row r="306" spans="1:20" x14ac:dyDescent="0.3">
      <c r="A306" s="2">
        <v>43769</v>
      </c>
      <c r="B306" s="3">
        <v>20631473</v>
      </c>
      <c r="C306" s="42">
        <v>1070679</v>
      </c>
      <c r="D306" s="48">
        <f>VLOOKUP($A306,'Channel wise traffic'!$B$2:$K$368,7,FALSE)</f>
        <v>-156365</v>
      </c>
      <c r="E306" s="24">
        <f>VLOOKUP($A306,'Channel wise traffic'!$B$2:$K$368,8,FALSE)</f>
        <v>-117274</v>
      </c>
      <c r="F306" s="24">
        <f>VLOOKUP($A306,'Channel wise traffic'!$B$2:$K$368,9,FALSE)</f>
        <v>-47778</v>
      </c>
      <c r="G306" s="24">
        <f>VLOOKUP($A306,'Channel wise traffic'!$B$2:$K$368,10,FALSE)</f>
        <v>-112930</v>
      </c>
      <c r="H306" s="48">
        <f>VLOOKUP($A306,'Channel wise traffic'!$B$2:$P$368,11,FALSE)</f>
        <v>0</v>
      </c>
      <c r="I306" s="24">
        <f>VLOOKUP($A306,'Channel wise traffic'!$B$2:$P$368,12,FALSE)</f>
        <v>0</v>
      </c>
      <c r="J306" s="24">
        <f>VLOOKUP($A306,'Channel wise traffic'!$B$2:$P$368,13,FALSE)</f>
        <v>0</v>
      </c>
      <c r="K306" s="51">
        <f>VLOOKUP($A306,'Channel wise traffic'!$B$2:$P$368,14,FALSE)</f>
        <v>0</v>
      </c>
      <c r="L306" s="24">
        <f>VLOOKUP($A306,'Channel wise traffic'!$B$2:$P$368,15,FALSE)</f>
        <v>-434347</v>
      </c>
      <c r="M306" s="7">
        <f t="shared" si="16"/>
        <v>5.1895422105828315E-2</v>
      </c>
      <c r="N306" s="7">
        <f t="shared" si="18"/>
        <v>-0.18235948174610572</v>
      </c>
      <c r="O306" s="7">
        <f t="shared" si="17"/>
        <v>-2.0618565999329763E-2</v>
      </c>
      <c r="P306" s="7">
        <f t="shared" si="19"/>
        <v>-0.16514598922513912</v>
      </c>
      <c r="Q306" s="7" t="e">
        <f>#REF!/B306</f>
        <v>#REF!</v>
      </c>
      <c r="R306" s="7" t="e">
        <f>#REF!/#REF!</f>
        <v>#REF!</v>
      </c>
      <c r="S306" s="7" t="e">
        <f>#REF!/#REF!</f>
        <v>#REF!</v>
      </c>
      <c r="T306" s="7" t="e">
        <f>C306/#REF!</f>
        <v>#REF!</v>
      </c>
    </row>
    <row r="307" spans="1:20" x14ac:dyDescent="0.3">
      <c r="A307" s="2">
        <v>43770</v>
      </c>
      <c r="B307" s="3">
        <v>21065820</v>
      </c>
      <c r="C307" s="42">
        <v>1270816</v>
      </c>
      <c r="D307" s="48">
        <f>VLOOKUP($A307,'Channel wise traffic'!$B$2:$K$368,7,FALSE)</f>
        <v>-156365</v>
      </c>
      <c r="E307" s="24">
        <f>VLOOKUP($A307,'Channel wise traffic'!$B$2:$K$368,8,FALSE)</f>
        <v>-117274</v>
      </c>
      <c r="F307" s="24">
        <f>VLOOKUP($A307,'Channel wise traffic'!$B$2:$K$368,9,FALSE)</f>
        <v>-47778</v>
      </c>
      <c r="G307" s="24">
        <f>VLOOKUP($A307,'Channel wise traffic'!$B$2:$K$368,10,FALSE)</f>
        <v>-112930</v>
      </c>
      <c r="H307" s="48">
        <f>VLOOKUP($A307,'Channel wise traffic'!$B$2:$P$368,11,FALSE)</f>
        <v>0</v>
      </c>
      <c r="I307" s="24">
        <f>VLOOKUP($A307,'Channel wise traffic'!$B$2:$P$368,12,FALSE)</f>
        <v>0</v>
      </c>
      <c r="J307" s="24">
        <f>VLOOKUP($A307,'Channel wise traffic'!$B$2:$P$368,13,FALSE)</f>
        <v>0</v>
      </c>
      <c r="K307" s="51">
        <f>VLOOKUP($A307,'Channel wise traffic'!$B$2:$P$368,14,FALSE)</f>
        <v>0</v>
      </c>
      <c r="L307" s="24">
        <f>VLOOKUP($A307,'Channel wise traffic'!$B$2:$P$368,15,FALSE)</f>
        <v>-434347</v>
      </c>
      <c r="M307" s="7">
        <f t="shared" si="16"/>
        <v>6.0325968796847214E-2</v>
      </c>
      <c r="N307" s="7">
        <f t="shared" si="18"/>
        <v>7.0869645087190403E-2</v>
      </c>
      <c r="O307" s="7">
        <f t="shared" si="17"/>
        <v>-2.0202029128424948E-2</v>
      </c>
      <c r="P307" s="7">
        <f t="shared" si="19"/>
        <v>9.2949441541099409E-2</v>
      </c>
      <c r="Q307" s="7" t="e">
        <f>#REF!/B307</f>
        <v>#REF!</v>
      </c>
      <c r="R307" s="7" t="e">
        <f>#REF!/#REF!</f>
        <v>#REF!</v>
      </c>
      <c r="S307" s="7" t="e">
        <f>#REF!/#REF!</f>
        <v>#REF!</v>
      </c>
      <c r="T307" s="7" t="e">
        <f>C307/#REF!</f>
        <v>#REF!</v>
      </c>
    </row>
    <row r="308" spans="1:20" x14ac:dyDescent="0.3">
      <c r="A308" s="2">
        <v>43771</v>
      </c>
      <c r="B308" s="3">
        <v>42645263</v>
      </c>
      <c r="C308" s="42">
        <v>1457267</v>
      </c>
      <c r="D308" s="48">
        <f>VLOOKUP($A308,'Channel wise traffic'!$B$2:$K$368,7,FALSE)</f>
        <v>-484810</v>
      </c>
      <c r="E308" s="24">
        <f>VLOOKUP($A308,'Channel wise traffic'!$B$2:$K$368,8,FALSE)</f>
        <v>-363607</v>
      </c>
      <c r="F308" s="24">
        <f>VLOOKUP($A308,'Channel wise traffic'!$B$2:$K$368,9,FALSE)</f>
        <v>-148137</v>
      </c>
      <c r="G308" s="24">
        <f>VLOOKUP($A308,'Channel wise traffic'!$B$2:$K$368,10,FALSE)</f>
        <v>-350140</v>
      </c>
      <c r="H308" s="48">
        <f>VLOOKUP($A308,'Channel wise traffic'!$B$2:$P$368,11,FALSE)</f>
        <v>0</v>
      </c>
      <c r="I308" s="24">
        <f>VLOOKUP($A308,'Channel wise traffic'!$B$2:$P$368,12,FALSE)</f>
        <v>0</v>
      </c>
      <c r="J308" s="24">
        <f>VLOOKUP($A308,'Channel wise traffic'!$B$2:$P$368,13,FALSE)</f>
        <v>0</v>
      </c>
      <c r="K308" s="51">
        <f>VLOOKUP($A308,'Channel wise traffic'!$B$2:$P$368,14,FALSE)</f>
        <v>0</v>
      </c>
      <c r="L308" s="24">
        <f>VLOOKUP($A308,'Channel wise traffic'!$B$2:$P$368,15,FALSE)</f>
        <v>-1346694</v>
      </c>
      <c r="M308" s="7">
        <f t="shared" si="16"/>
        <v>3.4171837561419192E-2</v>
      </c>
      <c r="N308" s="7">
        <f t="shared" si="18"/>
        <v>-7.8974379069435274E-2</v>
      </c>
      <c r="O308" s="7">
        <f t="shared" si="17"/>
        <v>-3.0612233532244737E-2</v>
      </c>
      <c r="P308" s="7">
        <f t="shared" si="19"/>
        <v>-4.9889370600798899E-2</v>
      </c>
      <c r="Q308" s="7" t="e">
        <f>#REF!/B308</f>
        <v>#REF!</v>
      </c>
      <c r="R308" s="7" t="e">
        <f>#REF!/#REF!</f>
        <v>#REF!</v>
      </c>
      <c r="S308" s="7" t="e">
        <f>#REF!/#REF!</f>
        <v>#REF!</v>
      </c>
      <c r="T308" s="7" t="e">
        <f>C308/#REF!</f>
        <v>#REF!</v>
      </c>
    </row>
    <row r="309" spans="1:20" x14ac:dyDescent="0.3">
      <c r="A309" s="2">
        <v>43772</v>
      </c>
      <c r="B309" s="3">
        <v>45787545</v>
      </c>
      <c r="C309" s="42">
        <v>1648175</v>
      </c>
      <c r="D309" s="48">
        <f>VLOOKUP($A309,'Channel wise traffic'!$B$2:$K$368,7,FALSE)</f>
        <v>0</v>
      </c>
      <c r="E309" s="24">
        <f>VLOOKUP($A309,'Channel wise traffic'!$B$2:$K$368,8,FALSE)</f>
        <v>0</v>
      </c>
      <c r="F309" s="24">
        <f>VLOOKUP($A309,'Channel wise traffic'!$B$2:$K$368,9,FALSE)</f>
        <v>0</v>
      </c>
      <c r="G309" s="24">
        <f>VLOOKUP($A309,'Channel wise traffic'!$B$2:$K$368,10,FALSE)</f>
        <v>0</v>
      </c>
      <c r="H309" s="48">
        <f>VLOOKUP($A309,'Channel wise traffic'!$B$2:$P$368,11,FALSE)</f>
        <v>969619</v>
      </c>
      <c r="I309" s="24">
        <f>VLOOKUP($A309,'Channel wise traffic'!$B$2:$P$368,12,FALSE)</f>
        <v>727214</v>
      </c>
      <c r="J309" s="24">
        <f>VLOOKUP($A309,'Channel wise traffic'!$B$2:$P$368,13,FALSE)</f>
        <v>296273</v>
      </c>
      <c r="K309" s="51">
        <f>VLOOKUP($A309,'Channel wise traffic'!$B$2:$P$368,14,FALSE)</f>
        <v>700280</v>
      </c>
      <c r="L309" s="24">
        <f>VLOOKUP($A309,'Channel wise traffic'!$B$2:$P$368,15,FALSE)</f>
        <v>2693386</v>
      </c>
      <c r="M309" s="7">
        <f t="shared" si="16"/>
        <v>3.5996142619133656E-2</v>
      </c>
      <c r="N309" s="7">
        <f t="shared" si="18"/>
        <v>2.14525645157293E-2</v>
      </c>
      <c r="O309" s="7">
        <f t="shared" si="17"/>
        <v>6.25E-2</v>
      </c>
      <c r="P309" s="7">
        <f t="shared" si="19"/>
        <v>-3.8632880455784169E-2</v>
      </c>
      <c r="Q309" s="7" t="e">
        <f>#REF!/B309</f>
        <v>#REF!</v>
      </c>
      <c r="R309" s="7" t="e">
        <f>#REF!/#REF!</f>
        <v>#REF!</v>
      </c>
      <c r="S309" s="7" t="e">
        <f>#REF!/#REF!</f>
        <v>#REF!</v>
      </c>
      <c r="T309" s="7" t="e">
        <f>C309/#REF!</f>
        <v>#REF!</v>
      </c>
    </row>
    <row r="310" spans="1:20" x14ac:dyDescent="0.3">
      <c r="A310" s="2">
        <v>43773</v>
      </c>
      <c r="B310" s="3">
        <v>21282993</v>
      </c>
      <c r="C310" s="42">
        <v>1070795</v>
      </c>
      <c r="D310" s="48">
        <f>VLOOKUP($A310,'Channel wise traffic'!$B$2:$K$368,7,FALSE)</f>
        <v>0</v>
      </c>
      <c r="E310" s="24">
        <f>VLOOKUP($A310,'Channel wise traffic'!$B$2:$K$368,8,FALSE)</f>
        <v>0</v>
      </c>
      <c r="F310" s="24">
        <f>VLOOKUP($A310,'Channel wise traffic'!$B$2:$K$368,9,FALSE)</f>
        <v>0</v>
      </c>
      <c r="G310" s="24">
        <f>VLOOKUP($A310,'Channel wise traffic'!$B$2:$K$368,10,FALSE)</f>
        <v>0</v>
      </c>
      <c r="H310" s="48">
        <f>VLOOKUP($A310,'Channel wise traffic'!$B$2:$P$368,11,FALSE)</f>
        <v>78182</v>
      </c>
      <c r="I310" s="24">
        <f>VLOOKUP($A310,'Channel wise traffic'!$B$2:$P$368,12,FALSE)</f>
        <v>58637</v>
      </c>
      <c r="J310" s="24">
        <f>VLOOKUP($A310,'Channel wise traffic'!$B$2:$P$368,13,FALSE)</f>
        <v>23889</v>
      </c>
      <c r="K310" s="51">
        <f>VLOOKUP($A310,'Channel wise traffic'!$B$2:$P$368,14,FALSE)</f>
        <v>56465</v>
      </c>
      <c r="L310" s="24">
        <f>VLOOKUP($A310,'Channel wise traffic'!$B$2:$P$368,15,FALSE)</f>
        <v>217173</v>
      </c>
      <c r="M310" s="7">
        <f t="shared" si="16"/>
        <v>5.0312237569217828E-2</v>
      </c>
      <c r="N310" s="7">
        <f t="shared" si="18"/>
        <v>-0.12378515452073491</v>
      </c>
      <c r="O310" s="7">
        <f t="shared" si="17"/>
        <v>1.0309259264533743E-2</v>
      </c>
      <c r="P310" s="7">
        <f t="shared" si="19"/>
        <v>-0.13272610594787992</v>
      </c>
      <c r="Q310" s="7" t="e">
        <f>#REF!/B310</f>
        <v>#REF!</v>
      </c>
      <c r="R310" s="7" t="e">
        <f>#REF!/#REF!</f>
        <v>#REF!</v>
      </c>
      <c r="S310" s="7" t="e">
        <f>#REF!/#REF!</f>
        <v>#REF!</v>
      </c>
      <c r="T310" s="7" t="e">
        <f>C310/#REF!</f>
        <v>#REF!</v>
      </c>
    </row>
    <row r="311" spans="1:20" x14ac:dyDescent="0.3">
      <c r="A311" s="2">
        <v>43774</v>
      </c>
      <c r="B311" s="3">
        <v>20848646</v>
      </c>
      <c r="C311" s="42">
        <v>1259241</v>
      </c>
      <c r="D311" s="48">
        <f>VLOOKUP($A311,'Channel wise traffic'!$B$2:$K$368,7,FALSE)</f>
        <v>-469095</v>
      </c>
      <c r="E311" s="24">
        <f>VLOOKUP($A311,'Channel wise traffic'!$B$2:$K$368,8,FALSE)</f>
        <v>-351821</v>
      </c>
      <c r="F311" s="24">
        <f>VLOOKUP($A311,'Channel wise traffic'!$B$2:$K$368,9,FALSE)</f>
        <v>-143334</v>
      </c>
      <c r="G311" s="24">
        <f>VLOOKUP($A311,'Channel wise traffic'!$B$2:$K$368,10,FALSE)</f>
        <v>-338790</v>
      </c>
      <c r="H311" s="48">
        <f>VLOOKUP($A311,'Channel wise traffic'!$B$2:$P$368,11,FALSE)</f>
        <v>0</v>
      </c>
      <c r="I311" s="24">
        <f>VLOOKUP($A311,'Channel wise traffic'!$B$2:$P$368,12,FALSE)</f>
        <v>0</v>
      </c>
      <c r="J311" s="24">
        <f>VLOOKUP($A311,'Channel wise traffic'!$B$2:$P$368,13,FALSE)</f>
        <v>0</v>
      </c>
      <c r="K311" s="51">
        <f>VLOOKUP($A311,'Channel wise traffic'!$B$2:$P$368,14,FALSE)</f>
        <v>0</v>
      </c>
      <c r="L311" s="24">
        <f>VLOOKUP($A311,'Channel wise traffic'!$B$2:$P$368,15,FALSE)</f>
        <v>-1303040</v>
      </c>
      <c r="M311" s="7">
        <f t="shared" si="16"/>
        <v>6.0399174123825596E-2</v>
      </c>
      <c r="N311" s="7">
        <f t="shared" si="18"/>
        <v>7.3492453743802422E-2</v>
      </c>
      <c r="O311" s="7">
        <f t="shared" si="17"/>
        <v>-5.8823555966640351E-2</v>
      </c>
      <c r="P311" s="7">
        <f t="shared" si="19"/>
        <v>0.14058576428391034</v>
      </c>
      <c r="Q311" s="7" t="e">
        <f>#REF!/B311</f>
        <v>#REF!</v>
      </c>
      <c r="R311" s="7" t="e">
        <f>#REF!/#REF!</f>
        <v>#REF!</v>
      </c>
      <c r="S311" s="7" t="e">
        <f>#REF!/#REF!</f>
        <v>#REF!</v>
      </c>
      <c r="T311" s="7" t="e">
        <f>C311/#REF!</f>
        <v>#REF!</v>
      </c>
    </row>
    <row r="312" spans="1:20" x14ac:dyDescent="0.3">
      <c r="A312" s="2">
        <v>43775</v>
      </c>
      <c r="B312" s="3">
        <v>21500167</v>
      </c>
      <c r="C312" s="42">
        <v>1162369</v>
      </c>
      <c r="D312" s="48">
        <f>VLOOKUP($A312,'Channel wise traffic'!$B$2:$K$368,7,FALSE)</f>
        <v>0</v>
      </c>
      <c r="E312" s="24">
        <f>VLOOKUP($A312,'Channel wise traffic'!$B$2:$K$368,8,FALSE)</f>
        <v>0</v>
      </c>
      <c r="F312" s="24">
        <f>VLOOKUP($A312,'Channel wise traffic'!$B$2:$K$368,9,FALSE)</f>
        <v>0</v>
      </c>
      <c r="G312" s="24">
        <f>VLOOKUP($A312,'Channel wise traffic'!$B$2:$K$368,10,FALSE)</f>
        <v>0</v>
      </c>
      <c r="H312" s="48">
        <f>VLOOKUP($A312,'Channel wise traffic'!$B$2:$P$368,11,FALSE)</f>
        <v>0</v>
      </c>
      <c r="I312" s="24">
        <f>VLOOKUP($A312,'Channel wise traffic'!$B$2:$P$368,12,FALSE)</f>
        <v>0</v>
      </c>
      <c r="J312" s="24">
        <f>VLOOKUP($A312,'Channel wise traffic'!$B$2:$P$368,13,FALSE)</f>
        <v>0</v>
      </c>
      <c r="K312" s="51">
        <f>VLOOKUP($A312,'Channel wise traffic'!$B$2:$P$368,14,FALSE)</f>
        <v>0</v>
      </c>
      <c r="L312" s="24">
        <f>VLOOKUP($A312,'Channel wise traffic'!$B$2:$P$368,15,FALSE)</f>
        <v>0</v>
      </c>
      <c r="M312" s="7">
        <f t="shared" si="16"/>
        <v>5.4063254485418648E-2</v>
      </c>
      <c r="N312" s="7">
        <f t="shared" si="18"/>
        <v>-0.15543983474545175</v>
      </c>
      <c r="O312" s="7">
        <f t="shared" si="17"/>
        <v>0</v>
      </c>
      <c r="P312" s="7">
        <f t="shared" si="19"/>
        <v>-0.15543983474545175</v>
      </c>
      <c r="Q312" s="7" t="e">
        <f>#REF!/B312</f>
        <v>#REF!</v>
      </c>
      <c r="R312" s="7" t="e">
        <f>#REF!/#REF!</f>
        <v>#REF!</v>
      </c>
      <c r="S312" s="7" t="e">
        <f>#REF!/#REF!</f>
        <v>#REF!</v>
      </c>
      <c r="T312" s="7" t="e">
        <f>C312/#REF!</f>
        <v>#REF!</v>
      </c>
    </row>
    <row r="313" spans="1:20" x14ac:dyDescent="0.3">
      <c r="A313" s="2">
        <v>43776</v>
      </c>
      <c r="B313" s="3">
        <v>20848646</v>
      </c>
      <c r="C313" s="42">
        <v>1209191</v>
      </c>
      <c r="D313" s="48">
        <f>VLOOKUP($A313,'Channel wise traffic'!$B$2:$K$368,7,FALSE)</f>
        <v>0</v>
      </c>
      <c r="E313" s="24">
        <f>VLOOKUP($A313,'Channel wise traffic'!$B$2:$K$368,8,FALSE)</f>
        <v>0</v>
      </c>
      <c r="F313" s="24">
        <f>VLOOKUP($A313,'Channel wise traffic'!$B$2:$K$368,9,FALSE)</f>
        <v>0</v>
      </c>
      <c r="G313" s="24">
        <f>VLOOKUP($A313,'Channel wise traffic'!$B$2:$K$368,10,FALSE)</f>
        <v>0</v>
      </c>
      <c r="H313" s="48">
        <f>VLOOKUP($A313,'Channel wise traffic'!$B$2:$P$368,11,FALSE)</f>
        <v>78182</v>
      </c>
      <c r="I313" s="24">
        <f>VLOOKUP($A313,'Channel wise traffic'!$B$2:$P$368,12,FALSE)</f>
        <v>58637</v>
      </c>
      <c r="J313" s="24">
        <f>VLOOKUP($A313,'Channel wise traffic'!$B$2:$P$368,13,FALSE)</f>
        <v>23889</v>
      </c>
      <c r="K313" s="51">
        <f>VLOOKUP($A313,'Channel wise traffic'!$B$2:$P$368,14,FALSE)</f>
        <v>56465</v>
      </c>
      <c r="L313" s="24">
        <f>VLOOKUP($A313,'Channel wise traffic'!$B$2:$P$368,15,FALSE)</f>
        <v>217173</v>
      </c>
      <c r="M313" s="7">
        <f t="shared" si="16"/>
        <v>5.7998538610133245E-2</v>
      </c>
      <c r="N313" s="7">
        <f t="shared" si="18"/>
        <v>0.1293683727802637</v>
      </c>
      <c r="O313" s="7">
        <f t="shared" si="17"/>
        <v>1.0526296401619062E-2</v>
      </c>
      <c r="P313" s="7">
        <f t="shared" si="19"/>
        <v>0.11760414033937483</v>
      </c>
      <c r="Q313" s="7" t="e">
        <f>#REF!/B313</f>
        <v>#REF!</v>
      </c>
      <c r="R313" s="7" t="e">
        <f>#REF!/#REF!</f>
        <v>#REF!</v>
      </c>
      <c r="S313" s="7" t="e">
        <f>#REF!/#REF!</f>
        <v>#REF!</v>
      </c>
      <c r="T313" s="7" t="e">
        <f>C313/#REF!</f>
        <v>#REF!</v>
      </c>
    </row>
    <row r="314" spans="1:20" x14ac:dyDescent="0.3">
      <c r="A314" s="2">
        <v>43777</v>
      </c>
      <c r="B314" s="3">
        <v>21065820</v>
      </c>
      <c r="C314" s="42">
        <v>1232661</v>
      </c>
      <c r="D314" s="48">
        <f>VLOOKUP($A314,'Channel wise traffic'!$B$2:$K$368,7,FALSE)</f>
        <v>0</v>
      </c>
      <c r="E314" s="24">
        <f>VLOOKUP($A314,'Channel wise traffic'!$B$2:$K$368,8,FALSE)</f>
        <v>0</v>
      </c>
      <c r="F314" s="24">
        <f>VLOOKUP($A314,'Channel wise traffic'!$B$2:$K$368,9,FALSE)</f>
        <v>0</v>
      </c>
      <c r="G314" s="24">
        <f>VLOOKUP($A314,'Channel wise traffic'!$B$2:$K$368,10,FALSE)</f>
        <v>0</v>
      </c>
      <c r="H314" s="48">
        <f>VLOOKUP($A314,'Channel wise traffic'!$B$2:$P$368,11,FALSE)</f>
        <v>0</v>
      </c>
      <c r="I314" s="24">
        <f>VLOOKUP($A314,'Channel wise traffic'!$B$2:$P$368,12,FALSE)</f>
        <v>0</v>
      </c>
      <c r="J314" s="24">
        <f>VLOOKUP($A314,'Channel wise traffic'!$B$2:$P$368,13,FALSE)</f>
        <v>0</v>
      </c>
      <c r="K314" s="51">
        <f>VLOOKUP($A314,'Channel wise traffic'!$B$2:$P$368,14,FALSE)</f>
        <v>0</v>
      </c>
      <c r="L314" s="24">
        <f>VLOOKUP($A314,'Channel wise traffic'!$B$2:$P$368,15,FALSE)</f>
        <v>0</v>
      </c>
      <c r="M314" s="7">
        <f t="shared" si="16"/>
        <v>5.8514740940537803E-2</v>
      </c>
      <c r="N314" s="7">
        <f t="shared" si="18"/>
        <v>-3.0024016065268277E-2</v>
      </c>
      <c r="O314" s="7">
        <f t="shared" si="17"/>
        <v>0</v>
      </c>
      <c r="P314" s="7">
        <f t="shared" si="19"/>
        <v>-3.0024016065268277E-2</v>
      </c>
      <c r="Q314" s="7" t="e">
        <f>#REF!/B314</f>
        <v>#REF!</v>
      </c>
      <c r="R314" s="7" t="e">
        <f>#REF!/#REF!</f>
        <v>#REF!</v>
      </c>
      <c r="S314" s="7" t="e">
        <f>#REF!/#REF!</f>
        <v>#REF!</v>
      </c>
      <c r="T314" s="7" t="e">
        <f>C314/#REF!</f>
        <v>#REF!</v>
      </c>
    </row>
    <row r="315" spans="1:20" x14ac:dyDescent="0.3">
      <c r="A315" s="15">
        <v>43778</v>
      </c>
      <c r="B315" s="16">
        <v>45787545</v>
      </c>
      <c r="C315" s="46">
        <v>1839957</v>
      </c>
      <c r="D315" s="48">
        <f>VLOOKUP($A315,'Channel wise traffic'!$B$2:$K$368,7,FALSE)</f>
        <v>0</v>
      </c>
      <c r="E315" s="24">
        <f>VLOOKUP($A315,'Channel wise traffic'!$B$2:$K$368,8,FALSE)</f>
        <v>0</v>
      </c>
      <c r="F315" s="24">
        <f>VLOOKUP($A315,'Channel wise traffic'!$B$2:$K$368,9,FALSE)</f>
        <v>0</v>
      </c>
      <c r="G315" s="24">
        <f>VLOOKUP($A315,'Channel wise traffic'!$B$2:$K$368,10,FALSE)</f>
        <v>0</v>
      </c>
      <c r="H315" s="48">
        <f>VLOOKUP($A315,'Channel wise traffic'!$B$2:$P$368,11,FALSE)</f>
        <v>1131222</v>
      </c>
      <c r="I315" s="24">
        <f>VLOOKUP($A315,'Channel wise traffic'!$B$2:$P$368,12,FALSE)</f>
        <v>848416</v>
      </c>
      <c r="J315" s="24">
        <f>VLOOKUP($A315,'Channel wise traffic'!$B$2:$P$368,13,FALSE)</f>
        <v>345652</v>
      </c>
      <c r="K315" s="51">
        <f>VLOOKUP($A315,'Channel wise traffic'!$B$2:$P$368,14,FALSE)</f>
        <v>816993</v>
      </c>
      <c r="L315" s="24">
        <f>VLOOKUP($A315,'Channel wise traffic'!$B$2:$P$368,15,FALSE)</f>
        <v>3142283</v>
      </c>
      <c r="M315" s="17">
        <f t="shared" si="16"/>
        <v>4.0184661571176179E-2</v>
      </c>
      <c r="N315" s="13">
        <f t="shared" si="18"/>
        <v>0.26260801898348074</v>
      </c>
      <c r="O315" s="13">
        <f t="shared" si="17"/>
        <v>7.3684197937763818E-2</v>
      </c>
      <c r="P315" s="17">
        <f t="shared" si="19"/>
        <v>0.17595846284092165</v>
      </c>
      <c r="Q315" s="17" t="e">
        <f>#REF!/B315</f>
        <v>#REF!</v>
      </c>
      <c r="R315" s="17" t="e">
        <f>#REF!/#REF!</f>
        <v>#REF!</v>
      </c>
      <c r="S315" s="17" t="e">
        <f>#REF!/#REF!</f>
        <v>#REF!</v>
      </c>
      <c r="T315" s="17" t="e">
        <f>C315/#REF!</f>
        <v>#REF!</v>
      </c>
    </row>
    <row r="316" spans="1:20" x14ac:dyDescent="0.3">
      <c r="A316" s="2">
        <v>43779</v>
      </c>
      <c r="B316" s="3">
        <v>47134238</v>
      </c>
      <c r="C316" s="42">
        <v>1627268</v>
      </c>
      <c r="D316" s="48">
        <f>VLOOKUP($A316,'Channel wise traffic'!$B$2:$K$368,7,FALSE)</f>
        <v>0</v>
      </c>
      <c r="E316" s="24">
        <f>VLOOKUP($A316,'Channel wise traffic'!$B$2:$K$368,8,FALSE)</f>
        <v>0</v>
      </c>
      <c r="F316" s="24">
        <f>VLOOKUP($A316,'Channel wise traffic'!$B$2:$K$368,9,FALSE)</f>
        <v>0</v>
      </c>
      <c r="G316" s="24">
        <f>VLOOKUP($A316,'Channel wise traffic'!$B$2:$K$368,10,FALSE)</f>
        <v>0</v>
      </c>
      <c r="H316" s="48">
        <f>VLOOKUP($A316,'Channel wise traffic'!$B$2:$P$368,11,FALSE)</f>
        <v>484809</v>
      </c>
      <c r="I316" s="24">
        <f>VLOOKUP($A316,'Channel wise traffic'!$B$2:$P$368,12,FALSE)</f>
        <v>363607</v>
      </c>
      <c r="J316" s="24">
        <f>VLOOKUP($A316,'Channel wise traffic'!$B$2:$P$368,13,FALSE)</f>
        <v>148136</v>
      </c>
      <c r="K316" s="51">
        <f>VLOOKUP($A316,'Channel wise traffic'!$B$2:$P$368,14,FALSE)</f>
        <v>350140</v>
      </c>
      <c r="L316" s="24">
        <f>VLOOKUP($A316,'Channel wise traffic'!$B$2:$P$368,15,FALSE)</f>
        <v>1346692</v>
      </c>
      <c r="M316" s="7">
        <f t="shared" si="16"/>
        <v>3.4524118115582987E-2</v>
      </c>
      <c r="N316" s="7">
        <f t="shared" si="18"/>
        <v>-1.2684939402672679E-2</v>
      </c>
      <c r="O316" s="7">
        <f t="shared" si="17"/>
        <v>2.9411775625882486E-2</v>
      </c>
      <c r="P316" s="7">
        <f t="shared" si="19"/>
        <v>-4.0893951308222043E-2</v>
      </c>
      <c r="Q316" s="7" t="e">
        <f>#REF!/B316</f>
        <v>#REF!</v>
      </c>
      <c r="R316" s="7" t="e">
        <f>#REF!/#REF!</f>
        <v>#REF!</v>
      </c>
      <c r="S316" s="7" t="e">
        <f>#REF!/#REF!</f>
        <v>#REF!</v>
      </c>
      <c r="T316" s="7" t="e">
        <f>C316/#REF!</f>
        <v>#REF!</v>
      </c>
    </row>
    <row r="317" spans="1:20" x14ac:dyDescent="0.3">
      <c r="A317" s="2">
        <v>43780</v>
      </c>
      <c r="B317" s="3">
        <v>21500167</v>
      </c>
      <c r="C317" s="42">
        <v>1245980</v>
      </c>
      <c r="D317" s="48">
        <f>VLOOKUP($A317,'Channel wise traffic'!$B$2:$K$368,7,FALSE)</f>
        <v>0</v>
      </c>
      <c r="E317" s="24">
        <f>VLOOKUP($A317,'Channel wise traffic'!$B$2:$K$368,8,FALSE)</f>
        <v>0</v>
      </c>
      <c r="F317" s="24">
        <f>VLOOKUP($A317,'Channel wise traffic'!$B$2:$K$368,9,FALSE)</f>
        <v>0</v>
      </c>
      <c r="G317" s="24">
        <f>VLOOKUP($A317,'Channel wise traffic'!$B$2:$K$368,10,FALSE)</f>
        <v>0</v>
      </c>
      <c r="H317" s="48">
        <f>VLOOKUP($A317,'Channel wise traffic'!$B$2:$P$368,11,FALSE)</f>
        <v>78183</v>
      </c>
      <c r="I317" s="24">
        <f>VLOOKUP($A317,'Channel wise traffic'!$B$2:$P$368,12,FALSE)</f>
        <v>58637</v>
      </c>
      <c r="J317" s="24">
        <f>VLOOKUP($A317,'Channel wise traffic'!$B$2:$P$368,13,FALSE)</f>
        <v>23889</v>
      </c>
      <c r="K317" s="51">
        <f>VLOOKUP($A317,'Channel wise traffic'!$B$2:$P$368,14,FALSE)</f>
        <v>56465</v>
      </c>
      <c r="L317" s="24">
        <f>VLOOKUP($A317,'Channel wise traffic'!$B$2:$P$368,15,FALSE)</f>
        <v>217174</v>
      </c>
      <c r="M317" s="7">
        <f t="shared" si="16"/>
        <v>5.79521079999053E-2</v>
      </c>
      <c r="N317" s="7">
        <f t="shared" si="18"/>
        <v>0.16360274375580763</v>
      </c>
      <c r="O317" s="7">
        <f t="shared" si="17"/>
        <v>1.0204109920066262E-2</v>
      </c>
      <c r="P317" s="7">
        <f t="shared" si="19"/>
        <v>0.15184914843385378</v>
      </c>
      <c r="Q317" s="7" t="e">
        <f>#REF!/B317</f>
        <v>#REF!</v>
      </c>
      <c r="R317" s="7" t="e">
        <f>#REF!/#REF!</f>
        <v>#REF!</v>
      </c>
      <c r="S317" s="7" t="e">
        <f>#REF!/#REF!</f>
        <v>#REF!</v>
      </c>
      <c r="T317" s="7" t="e">
        <f>C317/#REF!</f>
        <v>#REF!</v>
      </c>
    </row>
    <row r="318" spans="1:20" x14ac:dyDescent="0.3">
      <c r="A318" s="2">
        <v>43781</v>
      </c>
      <c r="B318" s="3">
        <v>20631473</v>
      </c>
      <c r="C318" s="42">
        <v>1230803</v>
      </c>
      <c r="D318" s="48">
        <f>VLOOKUP($A318,'Channel wise traffic'!$B$2:$K$368,7,FALSE)</f>
        <v>-78182</v>
      </c>
      <c r="E318" s="24">
        <f>VLOOKUP($A318,'Channel wise traffic'!$B$2:$K$368,8,FALSE)</f>
        <v>-58637</v>
      </c>
      <c r="F318" s="24">
        <f>VLOOKUP($A318,'Channel wise traffic'!$B$2:$K$368,9,FALSE)</f>
        <v>-23889</v>
      </c>
      <c r="G318" s="24">
        <f>VLOOKUP($A318,'Channel wise traffic'!$B$2:$K$368,10,FALSE)</f>
        <v>-56465</v>
      </c>
      <c r="H318" s="48">
        <f>VLOOKUP($A318,'Channel wise traffic'!$B$2:$P$368,11,FALSE)</f>
        <v>0</v>
      </c>
      <c r="I318" s="24">
        <f>VLOOKUP($A318,'Channel wise traffic'!$B$2:$P$368,12,FALSE)</f>
        <v>0</v>
      </c>
      <c r="J318" s="24">
        <f>VLOOKUP($A318,'Channel wise traffic'!$B$2:$P$368,13,FALSE)</f>
        <v>0</v>
      </c>
      <c r="K318" s="51">
        <f>VLOOKUP($A318,'Channel wise traffic'!$B$2:$P$368,14,FALSE)</f>
        <v>0</v>
      </c>
      <c r="L318" s="24">
        <f>VLOOKUP($A318,'Channel wise traffic'!$B$2:$P$368,15,FALSE)</f>
        <v>-217173</v>
      </c>
      <c r="M318" s="7">
        <f t="shared" si="16"/>
        <v>5.9656574205826214E-2</v>
      </c>
      <c r="N318" s="7">
        <f t="shared" si="18"/>
        <v>-2.2583445107012823E-2</v>
      </c>
      <c r="O318" s="7">
        <f t="shared" si="17"/>
        <v>-1.041664768062156E-2</v>
      </c>
      <c r="P318" s="7">
        <f t="shared" si="19"/>
        <v>-1.2294868742359966E-2</v>
      </c>
      <c r="Q318" s="7" t="e">
        <f>#REF!/B318</f>
        <v>#REF!</v>
      </c>
      <c r="R318" s="7" t="e">
        <f>#REF!/#REF!</f>
        <v>#REF!</v>
      </c>
      <c r="S318" s="7" t="e">
        <f>#REF!/#REF!</f>
        <v>#REF!</v>
      </c>
      <c r="T318" s="7" t="e">
        <f>C318/#REF!</f>
        <v>#REF!</v>
      </c>
    </row>
    <row r="319" spans="1:20" x14ac:dyDescent="0.3">
      <c r="A319" s="2">
        <v>43782</v>
      </c>
      <c r="B319" s="3">
        <v>21500167</v>
      </c>
      <c r="C319" s="42">
        <v>1361836</v>
      </c>
      <c r="D319" s="48">
        <f>VLOOKUP($A319,'Channel wise traffic'!$B$2:$K$368,7,FALSE)</f>
        <v>0</v>
      </c>
      <c r="E319" s="24">
        <f>VLOOKUP($A319,'Channel wise traffic'!$B$2:$K$368,8,FALSE)</f>
        <v>0</v>
      </c>
      <c r="F319" s="24">
        <f>VLOOKUP($A319,'Channel wise traffic'!$B$2:$K$368,9,FALSE)</f>
        <v>0</v>
      </c>
      <c r="G319" s="24">
        <f>VLOOKUP($A319,'Channel wise traffic'!$B$2:$K$368,10,FALSE)</f>
        <v>0</v>
      </c>
      <c r="H319" s="48">
        <f>VLOOKUP($A319,'Channel wise traffic'!$B$2:$P$368,11,FALSE)</f>
        <v>0</v>
      </c>
      <c r="I319" s="24">
        <f>VLOOKUP($A319,'Channel wise traffic'!$B$2:$P$368,12,FALSE)</f>
        <v>0</v>
      </c>
      <c r="J319" s="24">
        <f>VLOOKUP($A319,'Channel wise traffic'!$B$2:$P$368,13,FALSE)</f>
        <v>0</v>
      </c>
      <c r="K319" s="51">
        <f>VLOOKUP($A319,'Channel wise traffic'!$B$2:$P$368,14,FALSE)</f>
        <v>0</v>
      </c>
      <c r="L319" s="24">
        <f>VLOOKUP($A319,'Channel wise traffic'!$B$2:$P$368,15,FALSE)</f>
        <v>0</v>
      </c>
      <c r="M319" s="7">
        <f t="shared" si="16"/>
        <v>6.3340717306986496E-2</v>
      </c>
      <c r="N319" s="7">
        <f t="shared" si="18"/>
        <v>0.17160385385363863</v>
      </c>
      <c r="O319" s="7">
        <f t="shared" si="17"/>
        <v>0</v>
      </c>
      <c r="P319" s="7">
        <f t="shared" si="19"/>
        <v>0.17160385385363841</v>
      </c>
      <c r="Q319" s="7" t="e">
        <f>#REF!/B319</f>
        <v>#REF!</v>
      </c>
      <c r="R319" s="7" t="e">
        <f>#REF!/#REF!</f>
        <v>#REF!</v>
      </c>
      <c r="S319" s="7" t="e">
        <f>#REF!/#REF!</f>
        <v>#REF!</v>
      </c>
      <c r="T319" s="7" t="e">
        <f>C319/#REF!</f>
        <v>#REF!</v>
      </c>
    </row>
    <row r="320" spans="1:20" x14ac:dyDescent="0.3">
      <c r="A320" s="2">
        <v>43783</v>
      </c>
      <c r="B320" s="3">
        <v>20848646</v>
      </c>
      <c r="C320" s="42">
        <v>1349577</v>
      </c>
      <c r="D320" s="48">
        <f>VLOOKUP($A320,'Channel wise traffic'!$B$2:$K$368,7,FALSE)</f>
        <v>0</v>
      </c>
      <c r="E320" s="24">
        <f>VLOOKUP($A320,'Channel wise traffic'!$B$2:$K$368,8,FALSE)</f>
        <v>0</v>
      </c>
      <c r="F320" s="24">
        <f>VLOOKUP($A320,'Channel wise traffic'!$B$2:$K$368,9,FALSE)</f>
        <v>0</v>
      </c>
      <c r="G320" s="24">
        <f>VLOOKUP($A320,'Channel wise traffic'!$B$2:$K$368,10,FALSE)</f>
        <v>0</v>
      </c>
      <c r="H320" s="48">
        <f>VLOOKUP($A320,'Channel wise traffic'!$B$2:$P$368,11,FALSE)</f>
        <v>0</v>
      </c>
      <c r="I320" s="24">
        <f>VLOOKUP($A320,'Channel wise traffic'!$B$2:$P$368,12,FALSE)</f>
        <v>0</v>
      </c>
      <c r="J320" s="24">
        <f>VLOOKUP($A320,'Channel wise traffic'!$B$2:$P$368,13,FALSE)</f>
        <v>0</v>
      </c>
      <c r="K320" s="51">
        <f>VLOOKUP($A320,'Channel wise traffic'!$B$2:$P$368,14,FALSE)</f>
        <v>0</v>
      </c>
      <c r="L320" s="24">
        <f>VLOOKUP($A320,'Channel wise traffic'!$B$2:$P$368,15,FALSE)</f>
        <v>0</v>
      </c>
      <c r="M320" s="7">
        <f t="shared" si="16"/>
        <v>6.4732117375871798E-2</v>
      </c>
      <c r="N320" s="7">
        <f t="shared" si="18"/>
        <v>0.11609911089315084</v>
      </c>
      <c r="O320" s="7">
        <f t="shared" si="17"/>
        <v>0</v>
      </c>
      <c r="P320" s="7">
        <f t="shared" si="19"/>
        <v>0.11609911089315084</v>
      </c>
      <c r="Q320" s="7" t="e">
        <f>#REF!/B320</f>
        <v>#REF!</v>
      </c>
      <c r="R320" s="7" t="e">
        <f>#REF!/#REF!</f>
        <v>#REF!</v>
      </c>
      <c r="S320" s="7" t="e">
        <f>#REF!/#REF!</f>
        <v>#REF!</v>
      </c>
      <c r="T320" s="7" t="e">
        <f>C320/#REF!</f>
        <v>#REF!</v>
      </c>
    </row>
    <row r="321" spans="1:22" x14ac:dyDescent="0.3">
      <c r="A321" s="2">
        <v>43784</v>
      </c>
      <c r="B321" s="3">
        <v>21717340</v>
      </c>
      <c r="C321" s="42">
        <v>1324260</v>
      </c>
      <c r="D321" s="48">
        <f>VLOOKUP($A321,'Channel wise traffic'!$B$2:$K$368,7,FALSE)</f>
        <v>0</v>
      </c>
      <c r="E321" s="24">
        <f>VLOOKUP($A321,'Channel wise traffic'!$B$2:$K$368,8,FALSE)</f>
        <v>0</v>
      </c>
      <c r="F321" s="24">
        <f>VLOOKUP($A321,'Channel wise traffic'!$B$2:$K$368,9,FALSE)</f>
        <v>0</v>
      </c>
      <c r="G321" s="24">
        <f>VLOOKUP($A321,'Channel wise traffic'!$B$2:$K$368,10,FALSE)</f>
        <v>0</v>
      </c>
      <c r="H321" s="48">
        <f>VLOOKUP($A321,'Channel wise traffic'!$B$2:$P$368,11,FALSE)</f>
        <v>234547</v>
      </c>
      <c r="I321" s="24">
        <f>VLOOKUP($A321,'Channel wise traffic'!$B$2:$P$368,12,FALSE)</f>
        <v>175910</v>
      </c>
      <c r="J321" s="24">
        <f>VLOOKUP($A321,'Channel wise traffic'!$B$2:$P$368,13,FALSE)</f>
        <v>71667</v>
      </c>
      <c r="K321" s="51">
        <f>VLOOKUP($A321,'Channel wise traffic'!$B$2:$P$368,14,FALSE)</f>
        <v>169395</v>
      </c>
      <c r="L321" s="24">
        <f>VLOOKUP($A321,'Channel wise traffic'!$B$2:$P$368,15,FALSE)</f>
        <v>651519</v>
      </c>
      <c r="M321" s="7">
        <f t="shared" si="16"/>
        <v>6.0977080986898025E-2</v>
      </c>
      <c r="N321" s="7">
        <f t="shared" si="18"/>
        <v>7.4309968434143725E-2</v>
      </c>
      <c r="O321" s="7">
        <f t="shared" si="17"/>
        <v>3.0927825263863395E-2</v>
      </c>
      <c r="P321" s="7">
        <f t="shared" si="19"/>
        <v>4.2080679274687949E-2</v>
      </c>
      <c r="Q321" s="7" t="e">
        <f>#REF!/B321</f>
        <v>#REF!</v>
      </c>
      <c r="R321" s="7" t="e">
        <f>#REF!/#REF!</f>
        <v>#REF!</v>
      </c>
      <c r="S321" s="7" t="e">
        <f>#REF!/#REF!</f>
        <v>#REF!</v>
      </c>
      <c r="T321" s="7" t="e">
        <f>C321/#REF!</f>
        <v>#REF!</v>
      </c>
    </row>
    <row r="322" spans="1:22" x14ac:dyDescent="0.3">
      <c r="A322" s="2">
        <v>43785</v>
      </c>
      <c r="B322" s="3">
        <v>47134238</v>
      </c>
      <c r="C322" s="42">
        <v>1547007</v>
      </c>
      <c r="D322" s="48">
        <f>VLOOKUP($A322,'Channel wise traffic'!$B$2:$K$368,7,FALSE)</f>
        <v>0</v>
      </c>
      <c r="E322" s="24">
        <f>VLOOKUP($A322,'Channel wise traffic'!$B$2:$K$368,8,FALSE)</f>
        <v>0</v>
      </c>
      <c r="F322" s="24">
        <f>VLOOKUP($A322,'Channel wise traffic'!$B$2:$K$368,9,FALSE)</f>
        <v>0</v>
      </c>
      <c r="G322" s="24">
        <f>VLOOKUP($A322,'Channel wise traffic'!$B$2:$K$368,10,FALSE)</f>
        <v>0</v>
      </c>
      <c r="H322" s="48">
        <f>VLOOKUP($A322,'Channel wise traffic'!$B$2:$P$368,11,FALSE)</f>
        <v>484809</v>
      </c>
      <c r="I322" s="24">
        <f>VLOOKUP($A322,'Channel wise traffic'!$B$2:$P$368,12,FALSE)</f>
        <v>363607</v>
      </c>
      <c r="J322" s="24">
        <f>VLOOKUP($A322,'Channel wise traffic'!$B$2:$P$368,13,FALSE)</f>
        <v>148136</v>
      </c>
      <c r="K322" s="51">
        <f>VLOOKUP($A322,'Channel wise traffic'!$B$2:$P$368,14,FALSE)</f>
        <v>350140</v>
      </c>
      <c r="L322" s="24">
        <f>VLOOKUP($A322,'Channel wise traffic'!$B$2:$P$368,15,FALSE)</f>
        <v>1346692</v>
      </c>
      <c r="M322" s="7">
        <f t="shared" si="16"/>
        <v>3.2821300728358017E-2</v>
      </c>
      <c r="N322" s="7">
        <f t="shared" si="18"/>
        <v>-0.15921567732289399</v>
      </c>
      <c r="O322" s="7">
        <f t="shared" si="17"/>
        <v>2.9411775625882486E-2</v>
      </c>
      <c r="P322" s="7">
        <f t="shared" si="19"/>
        <v>-0.18323809520645018</v>
      </c>
      <c r="Q322" s="7" t="e">
        <f>#REF!/B322</f>
        <v>#REF!</v>
      </c>
      <c r="R322" s="7" t="e">
        <f>#REF!/#REF!</f>
        <v>#REF!</v>
      </c>
      <c r="S322" s="7" t="e">
        <f>#REF!/#REF!</f>
        <v>#REF!</v>
      </c>
      <c r="T322" s="7" t="e">
        <f>C322/#REF!</f>
        <v>#REF!</v>
      </c>
    </row>
    <row r="323" spans="1:22" s="35" customFormat="1" x14ac:dyDescent="0.3">
      <c r="A323" s="36">
        <v>43786</v>
      </c>
      <c r="B323" s="16">
        <v>43991955</v>
      </c>
      <c r="C323" s="47">
        <v>699650</v>
      </c>
      <c r="D323" s="49">
        <f>VLOOKUP($A323,'Channel wise traffic'!$B$2:$K$368,7,FALSE)</f>
        <v>-1131221</v>
      </c>
      <c r="E323" s="28">
        <f>VLOOKUP($A323,'Channel wise traffic'!$B$2:$K$368,8,FALSE)</f>
        <v>-848416</v>
      </c>
      <c r="F323" s="28">
        <f>VLOOKUP($A323,'Channel wise traffic'!$B$2:$K$368,9,FALSE)</f>
        <v>-345651</v>
      </c>
      <c r="G323" s="28">
        <f>VLOOKUP($A323,'Channel wise traffic'!$B$2:$K$368,10,FALSE)</f>
        <v>-816993</v>
      </c>
      <c r="H323" s="48">
        <f>VLOOKUP($A323,'Channel wise traffic'!$B$2:$P$368,11,FALSE)</f>
        <v>0</v>
      </c>
      <c r="I323" s="24">
        <f>VLOOKUP($A323,'Channel wise traffic'!$B$2:$P$368,12,FALSE)</f>
        <v>0</v>
      </c>
      <c r="J323" s="24">
        <f>VLOOKUP($A323,'Channel wise traffic'!$B$2:$P$368,13,FALSE)</f>
        <v>0</v>
      </c>
      <c r="K323" s="51">
        <f>VLOOKUP($A323,'Channel wise traffic'!$B$2:$P$368,14,FALSE)</f>
        <v>0</v>
      </c>
      <c r="L323" s="28">
        <f>VLOOKUP($A323,'Channel wise traffic'!$B$2:$P$368,15,FALSE)</f>
        <v>-3142281</v>
      </c>
      <c r="M323" s="17">
        <f t="shared" ref="M323:M368" si="20">C323/B323</f>
        <v>1.5904044273549561E-2</v>
      </c>
      <c r="N323" s="34">
        <f t="shared" si="18"/>
        <v>-0.57004623700582813</v>
      </c>
      <c r="O323" s="34">
        <f t="shared" si="17"/>
        <v>-6.6666676567466721E-2</v>
      </c>
      <c r="P323" s="17">
        <f t="shared" si="19"/>
        <v>-0.53933524904808428</v>
      </c>
      <c r="Q323" s="17" t="e">
        <f>#REF!/B323</f>
        <v>#REF!</v>
      </c>
      <c r="R323" s="17" t="e">
        <f>#REF!/#REF!</f>
        <v>#REF!</v>
      </c>
      <c r="S323" s="17" t="e">
        <f>#REF!/#REF!</f>
        <v>#REF!</v>
      </c>
      <c r="T323" s="17" t="e">
        <f>C323/#REF!</f>
        <v>#REF!</v>
      </c>
      <c r="U323"/>
      <c r="V323" s="35" t="s">
        <v>40</v>
      </c>
    </row>
    <row r="324" spans="1:22" x14ac:dyDescent="0.3">
      <c r="A324" s="2">
        <v>43787</v>
      </c>
      <c r="B324" s="3">
        <v>22803207</v>
      </c>
      <c r="C324" s="42">
        <v>1459163</v>
      </c>
      <c r="D324" s="48">
        <f>VLOOKUP($A324,'Channel wise traffic'!$B$2:$K$368,7,FALSE)</f>
        <v>0</v>
      </c>
      <c r="E324" s="24">
        <f>VLOOKUP($A324,'Channel wise traffic'!$B$2:$K$368,8,FALSE)</f>
        <v>0</v>
      </c>
      <c r="F324" s="24">
        <f>VLOOKUP($A324,'Channel wise traffic'!$B$2:$K$368,9,FALSE)</f>
        <v>0</v>
      </c>
      <c r="G324" s="24">
        <f>VLOOKUP($A324,'Channel wise traffic'!$B$2:$K$368,10,FALSE)</f>
        <v>0</v>
      </c>
      <c r="H324" s="48">
        <f>VLOOKUP($A324,'Channel wise traffic'!$B$2:$P$368,11,FALSE)</f>
        <v>469094</v>
      </c>
      <c r="I324" s="24">
        <f>VLOOKUP($A324,'Channel wise traffic'!$B$2:$P$368,12,FALSE)</f>
        <v>351821</v>
      </c>
      <c r="J324" s="24">
        <f>VLOOKUP($A324,'Channel wise traffic'!$B$2:$P$368,13,FALSE)</f>
        <v>143334</v>
      </c>
      <c r="K324" s="51">
        <f>VLOOKUP($A324,'Channel wise traffic'!$B$2:$P$368,14,FALSE)</f>
        <v>338790</v>
      </c>
      <c r="L324" s="24">
        <f>VLOOKUP($A324,'Channel wise traffic'!$B$2:$P$368,15,FALSE)</f>
        <v>1303039</v>
      </c>
      <c r="M324" s="7">
        <f t="shared" si="20"/>
        <v>6.3989376581986918E-2</v>
      </c>
      <c r="N324" s="7">
        <f t="shared" si="18"/>
        <v>0.17109664681616077</v>
      </c>
      <c r="O324" s="7">
        <f t="shared" si="17"/>
        <v>6.0606040874008116E-2</v>
      </c>
      <c r="P324" s="7">
        <f t="shared" si="19"/>
        <v>0.10417685896933171</v>
      </c>
      <c r="Q324" s="7" t="e">
        <f>#REF!/B324</f>
        <v>#REF!</v>
      </c>
      <c r="R324" s="7" t="e">
        <f>#REF!/#REF!</f>
        <v>#REF!</v>
      </c>
      <c r="S324" s="7" t="e">
        <f>#REF!/#REF!</f>
        <v>#REF!</v>
      </c>
      <c r="T324" s="7" t="e">
        <f>C324/#REF!</f>
        <v>#REF!</v>
      </c>
    </row>
    <row r="325" spans="1:22" x14ac:dyDescent="0.3">
      <c r="A325" s="2">
        <v>43788</v>
      </c>
      <c r="B325" s="3">
        <v>21282993</v>
      </c>
      <c r="C325" s="42">
        <v>1197954</v>
      </c>
      <c r="D325" s="48">
        <f>VLOOKUP($A325,'Channel wise traffic'!$B$2:$K$368,7,FALSE)</f>
        <v>0</v>
      </c>
      <c r="E325" s="24">
        <f>VLOOKUP($A325,'Channel wise traffic'!$B$2:$K$368,8,FALSE)</f>
        <v>0</v>
      </c>
      <c r="F325" s="24">
        <f>VLOOKUP($A325,'Channel wise traffic'!$B$2:$K$368,9,FALSE)</f>
        <v>0</v>
      </c>
      <c r="G325" s="24">
        <f>VLOOKUP($A325,'Channel wise traffic'!$B$2:$K$368,10,FALSE)</f>
        <v>0</v>
      </c>
      <c r="H325" s="48">
        <f>VLOOKUP($A325,'Channel wise traffic'!$B$2:$P$368,11,FALSE)</f>
        <v>234547</v>
      </c>
      <c r="I325" s="24">
        <f>VLOOKUP($A325,'Channel wise traffic'!$B$2:$P$368,12,FALSE)</f>
        <v>175911</v>
      </c>
      <c r="J325" s="24">
        <f>VLOOKUP($A325,'Channel wise traffic'!$B$2:$P$368,13,FALSE)</f>
        <v>71667</v>
      </c>
      <c r="K325" s="51">
        <f>VLOOKUP($A325,'Channel wise traffic'!$B$2:$P$368,14,FALSE)</f>
        <v>169395</v>
      </c>
      <c r="L325" s="24">
        <f>VLOOKUP($A325,'Channel wise traffic'!$B$2:$P$368,15,FALSE)</f>
        <v>651520</v>
      </c>
      <c r="M325" s="7">
        <f t="shared" si="20"/>
        <v>5.6286914157233428E-2</v>
      </c>
      <c r="N325" s="7">
        <f t="shared" si="18"/>
        <v>-2.6689080218361472E-2</v>
      </c>
      <c r="O325" s="7">
        <f t="shared" si="17"/>
        <v>3.1578937674493712E-2</v>
      </c>
      <c r="P325" s="7">
        <f t="shared" si="19"/>
        <v>-5.6484303590193408E-2</v>
      </c>
      <c r="Q325" s="7" t="e">
        <f>#REF!/B325</f>
        <v>#REF!</v>
      </c>
      <c r="R325" s="7" t="e">
        <f>#REF!/#REF!</f>
        <v>#REF!</v>
      </c>
      <c r="S325" s="7" t="e">
        <f>#REF!/#REF!</f>
        <v>#REF!</v>
      </c>
      <c r="T325" s="7" t="e">
        <f>C325/#REF!</f>
        <v>#REF!</v>
      </c>
    </row>
    <row r="326" spans="1:22" x14ac:dyDescent="0.3">
      <c r="A326" s="2">
        <v>43789</v>
      </c>
      <c r="B326" s="3">
        <v>22368860</v>
      </c>
      <c r="C326" s="42">
        <v>1338732</v>
      </c>
      <c r="D326" s="48">
        <f>VLOOKUP($A326,'Channel wise traffic'!$B$2:$K$368,7,FALSE)</f>
        <v>0</v>
      </c>
      <c r="E326" s="24">
        <f>VLOOKUP($A326,'Channel wise traffic'!$B$2:$K$368,8,FALSE)</f>
        <v>0</v>
      </c>
      <c r="F326" s="24">
        <f>VLOOKUP($A326,'Channel wise traffic'!$B$2:$K$368,9,FALSE)</f>
        <v>0</v>
      </c>
      <c r="G326" s="24">
        <f>VLOOKUP($A326,'Channel wise traffic'!$B$2:$K$368,10,FALSE)</f>
        <v>0</v>
      </c>
      <c r="H326" s="48">
        <f>VLOOKUP($A326,'Channel wise traffic'!$B$2:$P$368,11,FALSE)</f>
        <v>312729</v>
      </c>
      <c r="I326" s="24">
        <f>VLOOKUP($A326,'Channel wise traffic'!$B$2:$P$368,12,FALSE)</f>
        <v>234547</v>
      </c>
      <c r="J326" s="24">
        <f>VLOOKUP($A326,'Channel wise traffic'!$B$2:$P$368,13,FALSE)</f>
        <v>95556</v>
      </c>
      <c r="K326" s="51">
        <f>VLOOKUP($A326,'Channel wise traffic'!$B$2:$P$368,14,FALSE)</f>
        <v>225860</v>
      </c>
      <c r="L326" s="24">
        <f>VLOOKUP($A326,'Channel wise traffic'!$B$2:$P$368,15,FALSE)</f>
        <v>868692</v>
      </c>
      <c r="M326" s="7">
        <f t="shared" si="20"/>
        <v>5.9848020864719971E-2</v>
      </c>
      <c r="N326" s="7">
        <f t="shared" si="18"/>
        <v>-1.6965332095788321E-2</v>
      </c>
      <c r="O326" s="7">
        <f t="shared" si="17"/>
        <v>4.0404011745583279E-2</v>
      </c>
      <c r="P326" s="7">
        <f t="shared" si="19"/>
        <v>-5.5141409677109565E-2</v>
      </c>
      <c r="Q326" s="7" t="e">
        <f>#REF!/B326</f>
        <v>#REF!</v>
      </c>
      <c r="R326" s="7" t="e">
        <f>#REF!/#REF!</f>
        <v>#REF!</v>
      </c>
      <c r="S326" s="7" t="e">
        <f>#REF!/#REF!</f>
        <v>#REF!</v>
      </c>
      <c r="T326" s="7" t="e">
        <f>C326/#REF!</f>
        <v>#REF!</v>
      </c>
    </row>
    <row r="327" spans="1:22" x14ac:dyDescent="0.3">
      <c r="A327" s="2">
        <v>43790</v>
      </c>
      <c r="B327" s="3">
        <v>21282993</v>
      </c>
      <c r="C327" s="42">
        <v>1220447</v>
      </c>
      <c r="D327" s="48">
        <f>VLOOKUP($A327,'Channel wise traffic'!$B$2:$K$368,7,FALSE)</f>
        <v>0</v>
      </c>
      <c r="E327" s="24">
        <f>VLOOKUP($A327,'Channel wise traffic'!$B$2:$K$368,8,FALSE)</f>
        <v>0</v>
      </c>
      <c r="F327" s="24">
        <f>VLOOKUP($A327,'Channel wise traffic'!$B$2:$K$368,9,FALSE)</f>
        <v>0</v>
      </c>
      <c r="G327" s="24">
        <f>VLOOKUP($A327,'Channel wise traffic'!$B$2:$K$368,10,FALSE)</f>
        <v>0</v>
      </c>
      <c r="H327" s="48">
        <f>VLOOKUP($A327,'Channel wise traffic'!$B$2:$P$368,11,FALSE)</f>
        <v>156365</v>
      </c>
      <c r="I327" s="24">
        <f>VLOOKUP($A327,'Channel wise traffic'!$B$2:$P$368,12,FALSE)</f>
        <v>117274</v>
      </c>
      <c r="J327" s="24">
        <f>VLOOKUP($A327,'Channel wise traffic'!$B$2:$P$368,13,FALSE)</f>
        <v>47778</v>
      </c>
      <c r="K327" s="51">
        <f>VLOOKUP($A327,'Channel wise traffic'!$B$2:$P$368,14,FALSE)</f>
        <v>112930</v>
      </c>
      <c r="L327" s="24">
        <f>VLOOKUP($A327,'Channel wise traffic'!$B$2:$P$368,15,FALSE)</f>
        <v>434347</v>
      </c>
      <c r="M327" s="7">
        <f t="shared" si="20"/>
        <v>5.7343767392114449E-2</v>
      </c>
      <c r="N327" s="7">
        <f t="shared" si="18"/>
        <v>-9.5681832159261737E-2</v>
      </c>
      <c r="O327" s="7">
        <f t="shared" si="17"/>
        <v>2.0833343325988629E-2</v>
      </c>
      <c r="P327" s="7">
        <f t="shared" si="19"/>
        <v>-0.11413731364380297</v>
      </c>
      <c r="Q327" s="7" t="e">
        <f>#REF!/B327</f>
        <v>#REF!</v>
      </c>
      <c r="R327" s="7" t="e">
        <f>#REF!/#REF!</f>
        <v>#REF!</v>
      </c>
      <c r="S327" s="7" t="e">
        <f>#REF!/#REF!</f>
        <v>#REF!</v>
      </c>
      <c r="T327" s="7" t="e">
        <f>C327/#REF!</f>
        <v>#REF!</v>
      </c>
    </row>
    <row r="328" spans="1:22" x14ac:dyDescent="0.3">
      <c r="A328" s="2">
        <v>43791</v>
      </c>
      <c r="B328" s="3">
        <v>22803207</v>
      </c>
      <c r="C328" s="42">
        <v>1518155</v>
      </c>
      <c r="D328" s="48">
        <f>VLOOKUP($A328,'Channel wise traffic'!$B$2:$K$368,7,FALSE)</f>
        <v>0</v>
      </c>
      <c r="E328" s="24">
        <f>VLOOKUP($A328,'Channel wise traffic'!$B$2:$K$368,8,FALSE)</f>
        <v>0</v>
      </c>
      <c r="F328" s="24">
        <f>VLOOKUP($A328,'Channel wise traffic'!$B$2:$K$368,9,FALSE)</f>
        <v>0</v>
      </c>
      <c r="G328" s="24">
        <f>VLOOKUP($A328,'Channel wise traffic'!$B$2:$K$368,10,FALSE)</f>
        <v>0</v>
      </c>
      <c r="H328" s="48">
        <f>VLOOKUP($A328,'Channel wise traffic'!$B$2:$P$368,11,FALSE)</f>
        <v>390912</v>
      </c>
      <c r="I328" s="24">
        <f>VLOOKUP($A328,'Channel wise traffic'!$B$2:$P$368,12,FALSE)</f>
        <v>293185</v>
      </c>
      <c r="J328" s="24">
        <f>VLOOKUP($A328,'Channel wise traffic'!$B$2:$P$368,13,FALSE)</f>
        <v>119445</v>
      </c>
      <c r="K328" s="51">
        <f>VLOOKUP($A328,'Channel wise traffic'!$B$2:$P$368,14,FALSE)</f>
        <v>282325</v>
      </c>
      <c r="L328" s="24">
        <f>VLOOKUP($A328,'Channel wise traffic'!$B$2:$P$368,15,FALSE)</f>
        <v>1085867</v>
      </c>
      <c r="M328" s="7">
        <f t="shared" si="20"/>
        <v>6.6576381120427491E-2</v>
      </c>
      <c r="N328" s="7">
        <f t="shared" si="18"/>
        <v>0.14641762191714625</v>
      </c>
      <c r="O328" s="7">
        <f t="shared" si="17"/>
        <v>5.0000000000000044E-2</v>
      </c>
      <c r="P328" s="7">
        <f t="shared" si="19"/>
        <v>9.1826306587758255E-2</v>
      </c>
      <c r="Q328" s="7" t="e">
        <f>#REF!/B328</f>
        <v>#REF!</v>
      </c>
      <c r="R328" s="7" t="e">
        <f>#REF!/#REF!</f>
        <v>#REF!</v>
      </c>
      <c r="S328" s="7" t="e">
        <f>#REF!/#REF!</f>
        <v>#REF!</v>
      </c>
      <c r="T328" s="7" t="e">
        <f>C328/#REF!</f>
        <v>#REF!</v>
      </c>
    </row>
    <row r="329" spans="1:22" x14ac:dyDescent="0.3">
      <c r="A329" s="2">
        <v>43792</v>
      </c>
      <c r="B329" s="3">
        <v>45787545</v>
      </c>
      <c r="C329" s="42">
        <v>1631184</v>
      </c>
      <c r="D329" s="48">
        <f>VLOOKUP($A329,'Channel wise traffic'!$B$2:$K$368,7,FALSE)</f>
        <v>-484809</v>
      </c>
      <c r="E329" s="24">
        <f>VLOOKUP($A329,'Channel wise traffic'!$B$2:$K$368,8,FALSE)</f>
        <v>-363607</v>
      </c>
      <c r="F329" s="24">
        <f>VLOOKUP($A329,'Channel wise traffic'!$B$2:$K$368,9,FALSE)</f>
        <v>-148136</v>
      </c>
      <c r="G329" s="24">
        <f>VLOOKUP($A329,'Channel wise traffic'!$B$2:$K$368,10,FALSE)</f>
        <v>-350140</v>
      </c>
      <c r="H329" s="48">
        <f>VLOOKUP($A329,'Channel wise traffic'!$B$2:$P$368,11,FALSE)</f>
        <v>0</v>
      </c>
      <c r="I329" s="24">
        <f>VLOOKUP($A329,'Channel wise traffic'!$B$2:$P$368,12,FALSE)</f>
        <v>0</v>
      </c>
      <c r="J329" s="24">
        <f>VLOOKUP($A329,'Channel wise traffic'!$B$2:$P$368,13,FALSE)</f>
        <v>0</v>
      </c>
      <c r="K329" s="51">
        <f>VLOOKUP($A329,'Channel wise traffic'!$B$2:$P$368,14,FALSE)</f>
        <v>0</v>
      </c>
      <c r="L329" s="24">
        <f>VLOOKUP($A329,'Channel wise traffic'!$B$2:$P$368,15,FALSE)</f>
        <v>-1346692</v>
      </c>
      <c r="M329" s="7">
        <f t="shared" si="20"/>
        <v>3.5625059172751015E-2</v>
      </c>
      <c r="N329" s="7">
        <f t="shared" si="18"/>
        <v>5.4412811318888643E-2</v>
      </c>
      <c r="O329" s="7">
        <f t="shared" si="17"/>
        <v>-2.8571438876342947E-2</v>
      </c>
      <c r="P329" s="7">
        <f t="shared" si="19"/>
        <v>8.5424964342455612E-2</v>
      </c>
      <c r="Q329" s="7" t="e">
        <f>#REF!/B329</f>
        <v>#REF!</v>
      </c>
      <c r="R329" s="7" t="e">
        <f>#REF!/#REF!</f>
        <v>#REF!</v>
      </c>
      <c r="S329" s="7" t="e">
        <f>#REF!/#REF!</f>
        <v>#REF!</v>
      </c>
      <c r="T329" s="7" t="e">
        <f>C329/#REF!</f>
        <v>#REF!</v>
      </c>
    </row>
    <row r="330" spans="1:22" x14ac:dyDescent="0.3">
      <c r="A330" s="15">
        <v>43793</v>
      </c>
      <c r="B330" s="16">
        <v>46236443</v>
      </c>
      <c r="C330" s="46">
        <v>1647515</v>
      </c>
      <c r="D330" s="48">
        <f>VLOOKUP($A330,'Channel wise traffic'!$B$2:$K$368,7,FALSE)</f>
        <v>0</v>
      </c>
      <c r="E330" s="24">
        <f>VLOOKUP($A330,'Channel wise traffic'!$B$2:$K$368,8,FALSE)</f>
        <v>0</v>
      </c>
      <c r="F330" s="24">
        <f>VLOOKUP($A330,'Channel wise traffic'!$B$2:$K$368,9,FALSE)</f>
        <v>0</v>
      </c>
      <c r="G330" s="24">
        <f>VLOOKUP($A330,'Channel wise traffic'!$B$2:$K$368,10,FALSE)</f>
        <v>0</v>
      </c>
      <c r="H330" s="48">
        <f>VLOOKUP($A330,'Channel wise traffic'!$B$2:$P$368,11,FALSE)</f>
        <v>808015</v>
      </c>
      <c r="I330" s="24">
        <f>VLOOKUP($A330,'Channel wise traffic'!$B$2:$P$368,12,FALSE)</f>
        <v>606011</v>
      </c>
      <c r="J330" s="24">
        <f>VLOOKUP($A330,'Channel wise traffic'!$B$2:$P$368,13,FALSE)</f>
        <v>246893</v>
      </c>
      <c r="K330" s="51">
        <f>VLOOKUP($A330,'Channel wise traffic'!$B$2:$P$368,14,FALSE)</f>
        <v>583567</v>
      </c>
      <c r="L330" s="24">
        <f>VLOOKUP($A330,'Channel wise traffic'!$B$2:$P$368,15,FALSE)</f>
        <v>2244486</v>
      </c>
      <c r="M330" s="17">
        <f t="shared" si="20"/>
        <v>3.5632390666384087E-2</v>
      </c>
      <c r="N330" s="13">
        <f t="shared" si="18"/>
        <v>1.3547702422639891</v>
      </c>
      <c r="O330" s="13">
        <f t="shared" ref="O330:O368" si="21">(B330/B323)-1</f>
        <v>5.1020419528979843E-2</v>
      </c>
      <c r="P330" s="17">
        <f t="shared" si="19"/>
        <v>1.2404609829743283</v>
      </c>
      <c r="Q330" s="17" t="e">
        <f>#REF!/B330</f>
        <v>#REF!</v>
      </c>
      <c r="R330" s="17" t="e">
        <f>#REF!/#REF!</f>
        <v>#REF!</v>
      </c>
      <c r="S330" s="17" t="e">
        <f>#REF!/#REF!</f>
        <v>#REF!</v>
      </c>
      <c r="T330" s="17" t="e">
        <f>C330/#REF!</f>
        <v>#REF!</v>
      </c>
    </row>
    <row r="331" spans="1:22" x14ac:dyDescent="0.3">
      <c r="A331" s="2">
        <v>43794</v>
      </c>
      <c r="B331" s="3">
        <v>22151687</v>
      </c>
      <c r="C331" s="42">
        <v>1364973</v>
      </c>
      <c r="D331" s="48">
        <f>VLOOKUP($A331,'Channel wise traffic'!$B$2:$K$368,7,FALSE)</f>
        <v>-234547</v>
      </c>
      <c r="E331" s="24">
        <f>VLOOKUP($A331,'Channel wise traffic'!$B$2:$K$368,8,FALSE)</f>
        <v>-175911</v>
      </c>
      <c r="F331" s="24">
        <f>VLOOKUP($A331,'Channel wise traffic'!$B$2:$K$368,9,FALSE)</f>
        <v>-71667</v>
      </c>
      <c r="G331" s="24">
        <f>VLOOKUP($A331,'Channel wise traffic'!$B$2:$K$368,10,FALSE)</f>
        <v>-169395</v>
      </c>
      <c r="H331" s="48">
        <f>VLOOKUP($A331,'Channel wise traffic'!$B$2:$P$368,11,FALSE)</f>
        <v>0</v>
      </c>
      <c r="I331" s="24">
        <f>VLOOKUP($A331,'Channel wise traffic'!$B$2:$P$368,12,FALSE)</f>
        <v>0</v>
      </c>
      <c r="J331" s="24">
        <f>VLOOKUP($A331,'Channel wise traffic'!$B$2:$P$368,13,FALSE)</f>
        <v>0</v>
      </c>
      <c r="K331" s="51">
        <f>VLOOKUP($A331,'Channel wise traffic'!$B$2:$P$368,14,FALSE)</f>
        <v>0</v>
      </c>
      <c r="L331" s="24">
        <f>VLOOKUP($A331,'Channel wise traffic'!$B$2:$P$368,15,FALSE)</f>
        <v>-651520</v>
      </c>
      <c r="M331" s="7">
        <f t="shared" si="20"/>
        <v>6.1619370118402267E-2</v>
      </c>
      <c r="N331" s="7">
        <f t="shared" ref="N331:N368" si="22">(C331/C324)-1</f>
        <v>-6.4550704753341459E-2</v>
      </c>
      <c r="O331" s="7">
        <f t="shared" si="21"/>
        <v>-2.8571419800732412E-2</v>
      </c>
      <c r="P331" s="7">
        <f t="shared" ref="P331:P368" si="23">(M331/M324)-1</f>
        <v>-3.7037498881522302E-2</v>
      </c>
      <c r="Q331" s="7" t="e">
        <f>#REF!/B331</f>
        <v>#REF!</v>
      </c>
      <c r="R331" s="7" t="e">
        <f>#REF!/#REF!</f>
        <v>#REF!</v>
      </c>
      <c r="S331" s="7" t="e">
        <f>#REF!/#REF!</f>
        <v>#REF!</v>
      </c>
      <c r="T331" s="7" t="e">
        <f>C331/#REF!</f>
        <v>#REF!</v>
      </c>
    </row>
    <row r="332" spans="1:22" x14ac:dyDescent="0.3">
      <c r="A332" s="2">
        <v>43795</v>
      </c>
      <c r="B332" s="3">
        <v>21065820</v>
      </c>
      <c r="C332" s="42">
        <v>1258689</v>
      </c>
      <c r="D332" s="48">
        <f>VLOOKUP($A332,'Channel wise traffic'!$B$2:$K$368,7,FALSE)</f>
        <v>-78182</v>
      </c>
      <c r="E332" s="24">
        <f>VLOOKUP($A332,'Channel wise traffic'!$B$2:$K$368,8,FALSE)</f>
        <v>-58637</v>
      </c>
      <c r="F332" s="24">
        <f>VLOOKUP($A332,'Channel wise traffic'!$B$2:$K$368,9,FALSE)</f>
        <v>-23889</v>
      </c>
      <c r="G332" s="24">
        <f>VLOOKUP($A332,'Channel wise traffic'!$B$2:$K$368,10,FALSE)</f>
        <v>-56465</v>
      </c>
      <c r="H332" s="48">
        <f>VLOOKUP($A332,'Channel wise traffic'!$B$2:$P$368,11,FALSE)</f>
        <v>0</v>
      </c>
      <c r="I332" s="24">
        <f>VLOOKUP($A332,'Channel wise traffic'!$B$2:$P$368,12,FALSE)</f>
        <v>0</v>
      </c>
      <c r="J332" s="24">
        <f>VLOOKUP($A332,'Channel wise traffic'!$B$2:$P$368,13,FALSE)</f>
        <v>0</v>
      </c>
      <c r="K332" s="51">
        <f>VLOOKUP($A332,'Channel wise traffic'!$B$2:$P$368,14,FALSE)</f>
        <v>0</v>
      </c>
      <c r="L332" s="24">
        <f>VLOOKUP($A332,'Channel wise traffic'!$B$2:$P$368,15,FALSE)</f>
        <v>-217173</v>
      </c>
      <c r="M332" s="7">
        <f t="shared" si="20"/>
        <v>5.97502969264904E-2</v>
      </c>
      <c r="N332" s="7">
        <f t="shared" si="22"/>
        <v>5.0698941695590971E-2</v>
      </c>
      <c r="O332" s="7">
        <f t="shared" si="21"/>
        <v>-1.0204062934193514E-2</v>
      </c>
      <c r="P332" s="7">
        <f t="shared" si="23"/>
        <v>6.1530869494502038E-2</v>
      </c>
      <c r="Q332" s="7" t="e">
        <f>#REF!/B332</f>
        <v>#REF!</v>
      </c>
      <c r="R332" s="7" t="e">
        <f>#REF!/#REF!</f>
        <v>#REF!</v>
      </c>
      <c r="S332" s="7" t="e">
        <f>#REF!/#REF!</f>
        <v>#REF!</v>
      </c>
      <c r="T332" s="7" t="e">
        <f>C332/#REF!</f>
        <v>#REF!</v>
      </c>
    </row>
    <row r="333" spans="1:22" x14ac:dyDescent="0.3">
      <c r="A333" s="2">
        <v>43796</v>
      </c>
      <c r="B333" s="3">
        <v>22803207</v>
      </c>
      <c r="C333" s="42">
        <v>1347154</v>
      </c>
      <c r="D333" s="48">
        <f>VLOOKUP($A333,'Channel wise traffic'!$B$2:$K$368,7,FALSE)</f>
        <v>0</v>
      </c>
      <c r="E333" s="24">
        <f>VLOOKUP($A333,'Channel wise traffic'!$B$2:$K$368,8,FALSE)</f>
        <v>0</v>
      </c>
      <c r="F333" s="24">
        <f>VLOOKUP($A333,'Channel wise traffic'!$B$2:$K$368,9,FALSE)</f>
        <v>0</v>
      </c>
      <c r="G333" s="24">
        <f>VLOOKUP($A333,'Channel wise traffic'!$B$2:$K$368,10,FALSE)</f>
        <v>0</v>
      </c>
      <c r="H333" s="48">
        <f>VLOOKUP($A333,'Channel wise traffic'!$B$2:$P$368,11,FALSE)</f>
        <v>156365</v>
      </c>
      <c r="I333" s="24">
        <f>VLOOKUP($A333,'Channel wise traffic'!$B$2:$P$368,12,FALSE)</f>
        <v>117274</v>
      </c>
      <c r="J333" s="24">
        <f>VLOOKUP($A333,'Channel wise traffic'!$B$2:$P$368,13,FALSE)</f>
        <v>47778</v>
      </c>
      <c r="K333" s="51">
        <f>VLOOKUP($A333,'Channel wise traffic'!$B$2:$P$368,14,FALSE)</f>
        <v>112930</v>
      </c>
      <c r="L333" s="24">
        <f>VLOOKUP($A333,'Channel wise traffic'!$B$2:$P$368,15,FALSE)</f>
        <v>434347</v>
      </c>
      <c r="M333" s="7">
        <f t="shared" si="20"/>
        <v>5.9077392052793276E-2</v>
      </c>
      <c r="N333" s="7">
        <f t="shared" si="22"/>
        <v>6.2910276291296974E-3</v>
      </c>
      <c r="O333" s="7">
        <f t="shared" si="21"/>
        <v>1.9417484842767951E-2</v>
      </c>
      <c r="P333" s="7">
        <f t="shared" si="23"/>
        <v>-1.2876429342059903E-2</v>
      </c>
      <c r="Q333" s="7" t="e">
        <f>#REF!/B333</f>
        <v>#REF!</v>
      </c>
      <c r="R333" s="7" t="e">
        <f>#REF!/#REF!</f>
        <v>#REF!</v>
      </c>
      <c r="S333" s="7" t="e">
        <f>#REF!/#REF!</f>
        <v>#REF!</v>
      </c>
      <c r="T333" s="7" t="e">
        <f>C333/#REF!</f>
        <v>#REF!</v>
      </c>
    </row>
    <row r="334" spans="1:22" x14ac:dyDescent="0.3">
      <c r="A334" s="2">
        <v>43797</v>
      </c>
      <c r="B334" s="3">
        <v>22803207</v>
      </c>
      <c r="C334" s="42">
        <v>1295492</v>
      </c>
      <c r="D334" s="48">
        <f>VLOOKUP($A334,'Channel wise traffic'!$B$2:$K$368,7,FALSE)</f>
        <v>0</v>
      </c>
      <c r="E334" s="24">
        <f>VLOOKUP($A334,'Channel wise traffic'!$B$2:$K$368,8,FALSE)</f>
        <v>0</v>
      </c>
      <c r="F334" s="24">
        <f>VLOOKUP($A334,'Channel wise traffic'!$B$2:$K$368,9,FALSE)</f>
        <v>0</v>
      </c>
      <c r="G334" s="24">
        <f>VLOOKUP($A334,'Channel wise traffic'!$B$2:$K$368,10,FALSE)</f>
        <v>0</v>
      </c>
      <c r="H334" s="48">
        <f>VLOOKUP($A334,'Channel wise traffic'!$B$2:$P$368,11,FALSE)</f>
        <v>547277</v>
      </c>
      <c r="I334" s="24">
        <f>VLOOKUP($A334,'Channel wise traffic'!$B$2:$P$368,12,FALSE)</f>
        <v>410458</v>
      </c>
      <c r="J334" s="24">
        <f>VLOOKUP($A334,'Channel wise traffic'!$B$2:$P$368,13,FALSE)</f>
        <v>167223</v>
      </c>
      <c r="K334" s="51">
        <f>VLOOKUP($A334,'Channel wise traffic'!$B$2:$P$368,14,FALSE)</f>
        <v>395255</v>
      </c>
      <c r="L334" s="24">
        <f>VLOOKUP($A334,'Channel wise traffic'!$B$2:$P$368,15,FALSE)</f>
        <v>1520213</v>
      </c>
      <c r="M334" s="7">
        <f t="shared" si="20"/>
        <v>5.6811833528503247E-2</v>
      </c>
      <c r="N334" s="7">
        <f t="shared" si="22"/>
        <v>6.1489765635050153E-2</v>
      </c>
      <c r="O334" s="7">
        <f t="shared" si="21"/>
        <v>7.1428581496972621E-2</v>
      </c>
      <c r="P334" s="7">
        <f t="shared" si="23"/>
        <v>-9.2762280506242245E-3</v>
      </c>
      <c r="Q334" s="7" t="e">
        <f>#REF!/B334</f>
        <v>#REF!</v>
      </c>
      <c r="R334" s="7" t="e">
        <f>#REF!/#REF!</f>
        <v>#REF!</v>
      </c>
      <c r="S334" s="7" t="e">
        <f>#REF!/#REF!</f>
        <v>#REF!</v>
      </c>
      <c r="T334" s="7" t="e">
        <f>C334/#REF!</f>
        <v>#REF!</v>
      </c>
    </row>
    <row r="335" spans="1:22" x14ac:dyDescent="0.3">
      <c r="A335" s="2">
        <v>43798</v>
      </c>
      <c r="B335" s="3">
        <v>21717340</v>
      </c>
      <c r="C335" s="42">
        <v>1364454</v>
      </c>
      <c r="D335" s="48">
        <f>VLOOKUP($A335,'Channel wise traffic'!$B$2:$K$368,7,FALSE)</f>
        <v>-390912</v>
      </c>
      <c r="E335" s="24">
        <f>VLOOKUP($A335,'Channel wise traffic'!$B$2:$K$368,8,FALSE)</f>
        <v>-293185</v>
      </c>
      <c r="F335" s="24">
        <f>VLOOKUP($A335,'Channel wise traffic'!$B$2:$K$368,9,FALSE)</f>
        <v>-119445</v>
      </c>
      <c r="G335" s="24">
        <f>VLOOKUP($A335,'Channel wise traffic'!$B$2:$K$368,10,FALSE)</f>
        <v>-282325</v>
      </c>
      <c r="H335" s="48">
        <f>VLOOKUP($A335,'Channel wise traffic'!$B$2:$P$368,11,FALSE)</f>
        <v>0</v>
      </c>
      <c r="I335" s="24">
        <f>VLOOKUP($A335,'Channel wise traffic'!$B$2:$P$368,12,FALSE)</f>
        <v>0</v>
      </c>
      <c r="J335" s="24">
        <f>VLOOKUP($A335,'Channel wise traffic'!$B$2:$P$368,13,FALSE)</f>
        <v>0</v>
      </c>
      <c r="K335" s="51">
        <f>VLOOKUP($A335,'Channel wise traffic'!$B$2:$P$368,14,FALSE)</f>
        <v>0</v>
      </c>
      <c r="L335" s="24">
        <f>VLOOKUP($A335,'Channel wise traffic'!$B$2:$P$368,15,FALSE)</f>
        <v>-1085867</v>
      </c>
      <c r="M335" s="7">
        <f t="shared" si="20"/>
        <v>6.2827860133883806E-2</v>
      </c>
      <c r="N335" s="7">
        <f t="shared" si="22"/>
        <v>-0.1012419680467409</v>
      </c>
      <c r="O335" s="7">
        <f t="shared" si="21"/>
        <v>-4.7619047619047672E-2</v>
      </c>
      <c r="P335" s="7">
        <f t="shared" si="23"/>
        <v>-5.6304066449077927E-2</v>
      </c>
      <c r="Q335" s="7" t="e">
        <f>#REF!/B335</f>
        <v>#REF!</v>
      </c>
      <c r="R335" s="7" t="e">
        <f>#REF!/#REF!</f>
        <v>#REF!</v>
      </c>
      <c r="S335" s="7" t="e">
        <f>#REF!/#REF!</f>
        <v>#REF!</v>
      </c>
      <c r="T335" s="7" t="e">
        <f>C335/#REF!</f>
        <v>#REF!</v>
      </c>
    </row>
    <row r="336" spans="1:22" x14ac:dyDescent="0.3">
      <c r="A336" s="2">
        <v>43799</v>
      </c>
      <c r="B336" s="3">
        <v>47134238</v>
      </c>
      <c r="C336" s="42">
        <v>1728295</v>
      </c>
      <c r="D336" s="48">
        <f>VLOOKUP($A336,'Channel wise traffic'!$B$2:$K$368,7,FALSE)</f>
        <v>0</v>
      </c>
      <c r="E336" s="24">
        <f>VLOOKUP($A336,'Channel wise traffic'!$B$2:$K$368,8,FALSE)</f>
        <v>0</v>
      </c>
      <c r="F336" s="24">
        <f>VLOOKUP($A336,'Channel wise traffic'!$B$2:$K$368,9,FALSE)</f>
        <v>0</v>
      </c>
      <c r="G336" s="24">
        <f>VLOOKUP($A336,'Channel wise traffic'!$B$2:$K$368,10,FALSE)</f>
        <v>0</v>
      </c>
      <c r="H336" s="48">
        <f>VLOOKUP($A336,'Channel wise traffic'!$B$2:$P$368,11,FALSE)</f>
        <v>484809</v>
      </c>
      <c r="I336" s="24">
        <f>VLOOKUP($A336,'Channel wise traffic'!$B$2:$P$368,12,FALSE)</f>
        <v>363607</v>
      </c>
      <c r="J336" s="24">
        <f>VLOOKUP($A336,'Channel wise traffic'!$B$2:$P$368,13,FALSE)</f>
        <v>148136</v>
      </c>
      <c r="K336" s="51">
        <f>VLOOKUP($A336,'Channel wise traffic'!$B$2:$P$368,14,FALSE)</f>
        <v>350140</v>
      </c>
      <c r="L336" s="24">
        <f>VLOOKUP($A336,'Channel wise traffic'!$B$2:$P$368,15,FALSE)</f>
        <v>1346692</v>
      </c>
      <c r="M336" s="7">
        <f t="shared" si="20"/>
        <v>3.6667506961712205E-2</v>
      </c>
      <c r="N336" s="7">
        <f t="shared" si="22"/>
        <v>5.9534056243808253E-2</v>
      </c>
      <c r="O336" s="7">
        <f t="shared" si="21"/>
        <v>2.9411775625882486E-2</v>
      </c>
      <c r="P336" s="7">
        <f t="shared" si="23"/>
        <v>2.9261643718434538E-2</v>
      </c>
      <c r="Q336" s="7" t="e">
        <f>#REF!/B336</f>
        <v>#REF!</v>
      </c>
      <c r="R336" s="7" t="e">
        <f>#REF!/#REF!</f>
        <v>#REF!</v>
      </c>
      <c r="S336" s="7" t="e">
        <f>#REF!/#REF!</f>
        <v>#REF!</v>
      </c>
      <c r="T336" s="7" t="e">
        <f>C336/#REF!</f>
        <v>#REF!</v>
      </c>
    </row>
    <row r="337" spans="1:20" x14ac:dyDescent="0.3">
      <c r="A337" s="15">
        <v>43800</v>
      </c>
      <c r="B337" s="16">
        <v>46685340</v>
      </c>
      <c r="C337" s="46">
        <v>1989333</v>
      </c>
      <c r="D337" s="48">
        <f>VLOOKUP($A337,'Channel wise traffic'!$B$2:$K$368,7,FALSE)</f>
        <v>0</v>
      </c>
      <c r="E337" s="24">
        <f>VLOOKUP($A337,'Channel wise traffic'!$B$2:$K$368,8,FALSE)</f>
        <v>0</v>
      </c>
      <c r="F337" s="24">
        <f>VLOOKUP($A337,'Channel wise traffic'!$B$2:$K$368,9,FALSE)</f>
        <v>0</v>
      </c>
      <c r="G337" s="24">
        <f>VLOOKUP($A337,'Channel wise traffic'!$B$2:$K$368,10,FALSE)</f>
        <v>0</v>
      </c>
      <c r="H337" s="48">
        <f>VLOOKUP($A337,'Channel wise traffic'!$B$2:$P$368,11,FALSE)</f>
        <v>161603</v>
      </c>
      <c r="I337" s="24">
        <f>VLOOKUP($A337,'Channel wise traffic'!$B$2:$P$368,12,FALSE)</f>
        <v>121203</v>
      </c>
      <c r="J337" s="24">
        <f>VLOOKUP($A337,'Channel wise traffic'!$B$2:$P$368,13,FALSE)</f>
        <v>49379</v>
      </c>
      <c r="K337" s="51">
        <f>VLOOKUP($A337,'Channel wise traffic'!$B$2:$P$368,14,FALSE)</f>
        <v>116713</v>
      </c>
      <c r="L337" s="24">
        <f>VLOOKUP($A337,'Channel wise traffic'!$B$2:$P$368,15,FALSE)</f>
        <v>448898</v>
      </c>
      <c r="M337" s="17">
        <f t="shared" si="20"/>
        <v>4.2611513592918031E-2</v>
      </c>
      <c r="N337" s="13">
        <f t="shared" si="22"/>
        <v>0.20747489400703478</v>
      </c>
      <c r="O337" s="13">
        <f t="shared" si="21"/>
        <v>9.708726945106827E-3</v>
      </c>
      <c r="P337" s="17">
        <f t="shared" si="23"/>
        <v>0.19586457141979285</v>
      </c>
      <c r="Q337" s="17" t="e">
        <f>#REF!/B337</f>
        <v>#REF!</v>
      </c>
      <c r="R337" s="17" t="e">
        <f>#REF!/#REF!</f>
        <v>#REF!</v>
      </c>
      <c r="S337" s="17" t="e">
        <f>#REF!/#REF!</f>
        <v>#REF!</v>
      </c>
      <c r="T337" s="17" t="e">
        <f>C337/#REF!</f>
        <v>#REF!</v>
      </c>
    </row>
    <row r="338" spans="1:20" x14ac:dyDescent="0.3">
      <c r="A338" s="2">
        <v>43801</v>
      </c>
      <c r="B338" s="3">
        <v>21500167</v>
      </c>
      <c r="C338" s="42">
        <v>1310814</v>
      </c>
      <c r="D338" s="48">
        <f>VLOOKUP($A338,'Channel wise traffic'!$B$2:$K$368,7,FALSE)</f>
        <v>-234547</v>
      </c>
      <c r="E338" s="24">
        <f>VLOOKUP($A338,'Channel wise traffic'!$B$2:$K$368,8,FALSE)</f>
        <v>-175910</v>
      </c>
      <c r="F338" s="24">
        <f>VLOOKUP($A338,'Channel wise traffic'!$B$2:$K$368,9,FALSE)</f>
        <v>-71667</v>
      </c>
      <c r="G338" s="24">
        <f>VLOOKUP($A338,'Channel wise traffic'!$B$2:$K$368,10,FALSE)</f>
        <v>-169395</v>
      </c>
      <c r="H338" s="48">
        <f>VLOOKUP($A338,'Channel wise traffic'!$B$2:$P$368,11,FALSE)</f>
        <v>0</v>
      </c>
      <c r="I338" s="24">
        <f>VLOOKUP($A338,'Channel wise traffic'!$B$2:$P$368,12,FALSE)</f>
        <v>0</v>
      </c>
      <c r="J338" s="24">
        <f>VLOOKUP($A338,'Channel wise traffic'!$B$2:$P$368,13,FALSE)</f>
        <v>0</v>
      </c>
      <c r="K338" s="51">
        <f>VLOOKUP($A338,'Channel wise traffic'!$B$2:$P$368,14,FALSE)</f>
        <v>0</v>
      </c>
      <c r="L338" s="24">
        <f>VLOOKUP($A338,'Channel wise traffic'!$B$2:$P$368,15,FALSE)</f>
        <v>-651519</v>
      </c>
      <c r="M338" s="7">
        <f t="shared" si="20"/>
        <v>6.0967619460816282E-2</v>
      </c>
      <c r="N338" s="7">
        <f t="shared" si="22"/>
        <v>-3.9677707910705906E-2</v>
      </c>
      <c r="O338" s="7">
        <f t="shared" si="21"/>
        <v>-2.9411755411675844E-2</v>
      </c>
      <c r="P338" s="7">
        <f t="shared" si="23"/>
        <v>-1.0577041867413484E-2</v>
      </c>
      <c r="Q338" s="7" t="e">
        <f>#REF!/B338</f>
        <v>#REF!</v>
      </c>
      <c r="R338" s="7" t="e">
        <f>#REF!/#REF!</f>
        <v>#REF!</v>
      </c>
      <c r="S338" s="7" t="e">
        <f>#REF!/#REF!</f>
        <v>#REF!</v>
      </c>
      <c r="T338" s="7" t="e">
        <f>C338/#REF!</f>
        <v>#REF!</v>
      </c>
    </row>
    <row r="339" spans="1:20" x14ac:dyDescent="0.3">
      <c r="A339" s="2">
        <v>43802</v>
      </c>
      <c r="B339" s="3">
        <v>20848646</v>
      </c>
      <c r="C339" s="42">
        <v>1282884</v>
      </c>
      <c r="D339" s="48">
        <f>VLOOKUP($A339,'Channel wise traffic'!$B$2:$K$368,7,FALSE)</f>
        <v>-78183</v>
      </c>
      <c r="E339" s="24">
        <f>VLOOKUP($A339,'Channel wise traffic'!$B$2:$K$368,8,FALSE)</f>
        <v>-58637</v>
      </c>
      <c r="F339" s="24">
        <f>VLOOKUP($A339,'Channel wise traffic'!$B$2:$K$368,9,FALSE)</f>
        <v>-23889</v>
      </c>
      <c r="G339" s="24">
        <f>VLOOKUP($A339,'Channel wise traffic'!$B$2:$K$368,10,FALSE)</f>
        <v>-56465</v>
      </c>
      <c r="H339" s="48">
        <f>VLOOKUP($A339,'Channel wise traffic'!$B$2:$P$368,11,FALSE)</f>
        <v>0</v>
      </c>
      <c r="I339" s="24">
        <f>VLOOKUP($A339,'Channel wise traffic'!$B$2:$P$368,12,FALSE)</f>
        <v>0</v>
      </c>
      <c r="J339" s="24">
        <f>VLOOKUP($A339,'Channel wise traffic'!$B$2:$P$368,13,FALSE)</f>
        <v>0</v>
      </c>
      <c r="K339" s="51">
        <f>VLOOKUP($A339,'Channel wise traffic'!$B$2:$P$368,14,FALSE)</f>
        <v>0</v>
      </c>
      <c r="L339" s="24">
        <f>VLOOKUP($A339,'Channel wise traffic'!$B$2:$P$368,15,FALSE)</f>
        <v>-217174</v>
      </c>
      <c r="M339" s="7">
        <f t="shared" si="20"/>
        <v>6.1533204602351635E-2</v>
      </c>
      <c r="N339" s="7">
        <f t="shared" si="22"/>
        <v>1.9222381382533626E-2</v>
      </c>
      <c r="O339" s="7">
        <f t="shared" si="21"/>
        <v>-1.030930673479602E-2</v>
      </c>
      <c r="P339" s="7">
        <f t="shared" si="23"/>
        <v>2.9839310724341761E-2</v>
      </c>
      <c r="Q339" s="7" t="e">
        <f>#REF!/B339</f>
        <v>#REF!</v>
      </c>
      <c r="R339" s="7" t="e">
        <f>#REF!/#REF!</f>
        <v>#REF!</v>
      </c>
      <c r="S339" s="7" t="e">
        <f>#REF!/#REF!</f>
        <v>#REF!</v>
      </c>
      <c r="T339" s="7" t="e">
        <f>C339/#REF!</f>
        <v>#REF!</v>
      </c>
    </row>
    <row r="340" spans="1:20" x14ac:dyDescent="0.3">
      <c r="A340" s="2">
        <v>43803</v>
      </c>
      <c r="B340" s="3">
        <v>22368860</v>
      </c>
      <c r="C340" s="42">
        <v>1336022</v>
      </c>
      <c r="D340" s="48">
        <f>VLOOKUP($A340,'Channel wise traffic'!$B$2:$K$368,7,FALSE)</f>
        <v>-156365</v>
      </c>
      <c r="E340" s="24">
        <f>VLOOKUP($A340,'Channel wise traffic'!$B$2:$K$368,8,FALSE)</f>
        <v>-117274</v>
      </c>
      <c r="F340" s="24">
        <f>VLOOKUP($A340,'Channel wise traffic'!$B$2:$K$368,9,FALSE)</f>
        <v>-47778</v>
      </c>
      <c r="G340" s="24">
        <f>VLOOKUP($A340,'Channel wise traffic'!$B$2:$K$368,10,FALSE)</f>
        <v>-112930</v>
      </c>
      <c r="H340" s="48">
        <f>VLOOKUP($A340,'Channel wise traffic'!$B$2:$P$368,11,FALSE)</f>
        <v>0</v>
      </c>
      <c r="I340" s="24">
        <f>VLOOKUP($A340,'Channel wise traffic'!$B$2:$P$368,12,FALSE)</f>
        <v>0</v>
      </c>
      <c r="J340" s="24">
        <f>VLOOKUP($A340,'Channel wise traffic'!$B$2:$P$368,13,FALSE)</f>
        <v>0</v>
      </c>
      <c r="K340" s="51">
        <f>VLOOKUP($A340,'Channel wise traffic'!$B$2:$P$368,14,FALSE)</f>
        <v>0</v>
      </c>
      <c r="L340" s="24">
        <f>VLOOKUP($A340,'Channel wise traffic'!$B$2:$P$368,15,FALSE)</f>
        <v>-434347</v>
      </c>
      <c r="M340" s="7">
        <f t="shared" si="20"/>
        <v>5.9726870300945152E-2</v>
      </c>
      <c r="N340" s="7">
        <f t="shared" si="22"/>
        <v>-8.263346284092199E-3</v>
      </c>
      <c r="O340" s="7">
        <f t="shared" si="21"/>
        <v>-1.9047627818315149E-2</v>
      </c>
      <c r="P340" s="7">
        <f t="shared" si="23"/>
        <v>1.0993685157453914E-2</v>
      </c>
      <c r="Q340" s="7" t="e">
        <f>#REF!/B340</f>
        <v>#REF!</v>
      </c>
      <c r="R340" s="7" t="e">
        <f>#REF!/#REF!</f>
        <v>#REF!</v>
      </c>
      <c r="S340" s="7" t="e">
        <f>#REF!/#REF!</f>
        <v>#REF!</v>
      </c>
      <c r="T340" s="7" t="e">
        <f>C340/#REF!</f>
        <v>#REF!</v>
      </c>
    </row>
    <row r="341" spans="1:20" x14ac:dyDescent="0.3">
      <c r="A341" s="2">
        <v>43804</v>
      </c>
      <c r="B341" s="3">
        <v>22586034</v>
      </c>
      <c r="C341" s="42">
        <v>1418862</v>
      </c>
      <c r="D341" s="48">
        <f>VLOOKUP($A341,'Channel wise traffic'!$B$2:$K$368,7,FALSE)</f>
        <v>-78182</v>
      </c>
      <c r="E341" s="24">
        <f>VLOOKUP($A341,'Channel wise traffic'!$B$2:$K$368,8,FALSE)</f>
        <v>-58637</v>
      </c>
      <c r="F341" s="24">
        <f>VLOOKUP($A341,'Channel wise traffic'!$B$2:$K$368,9,FALSE)</f>
        <v>-23889</v>
      </c>
      <c r="G341" s="24">
        <f>VLOOKUP($A341,'Channel wise traffic'!$B$2:$K$368,10,FALSE)</f>
        <v>-56465</v>
      </c>
      <c r="H341" s="48">
        <f>VLOOKUP($A341,'Channel wise traffic'!$B$2:$P$368,11,FALSE)</f>
        <v>0</v>
      </c>
      <c r="I341" s="24">
        <f>VLOOKUP($A341,'Channel wise traffic'!$B$2:$P$368,12,FALSE)</f>
        <v>0</v>
      </c>
      <c r="J341" s="24">
        <f>VLOOKUP($A341,'Channel wise traffic'!$B$2:$P$368,13,FALSE)</f>
        <v>0</v>
      </c>
      <c r="K341" s="51">
        <f>VLOOKUP($A341,'Channel wise traffic'!$B$2:$P$368,14,FALSE)</f>
        <v>0</v>
      </c>
      <c r="L341" s="24">
        <f>VLOOKUP($A341,'Channel wise traffic'!$B$2:$P$368,15,FALSE)</f>
        <v>-217173</v>
      </c>
      <c r="M341" s="7">
        <f t="shared" si="20"/>
        <v>6.2820325162000548E-2</v>
      </c>
      <c r="N341" s="7">
        <f t="shared" si="22"/>
        <v>9.5230229133024258E-2</v>
      </c>
      <c r="O341" s="7">
        <f t="shared" si="21"/>
        <v>-9.5237919824172623E-3</v>
      </c>
      <c r="P341" s="7">
        <f t="shared" si="23"/>
        <v>0.10576126944543618</v>
      </c>
      <c r="Q341" s="7" t="e">
        <f>#REF!/B341</f>
        <v>#REF!</v>
      </c>
      <c r="R341" s="7" t="e">
        <f>#REF!/#REF!</f>
        <v>#REF!</v>
      </c>
      <c r="S341" s="7" t="e">
        <f>#REF!/#REF!</f>
        <v>#REF!</v>
      </c>
      <c r="T341" s="7" t="e">
        <f>C341/#REF!</f>
        <v>#REF!</v>
      </c>
    </row>
    <row r="342" spans="1:20" x14ac:dyDescent="0.3">
      <c r="A342" s="2">
        <v>43805</v>
      </c>
      <c r="B342" s="3">
        <v>21065820</v>
      </c>
      <c r="C342" s="42">
        <v>1336464</v>
      </c>
      <c r="D342" s="48">
        <f>VLOOKUP($A342,'Channel wise traffic'!$B$2:$K$368,7,FALSE)</f>
        <v>-234547</v>
      </c>
      <c r="E342" s="24">
        <f>VLOOKUP($A342,'Channel wise traffic'!$B$2:$K$368,8,FALSE)</f>
        <v>-175910</v>
      </c>
      <c r="F342" s="24">
        <f>VLOOKUP($A342,'Channel wise traffic'!$B$2:$K$368,9,FALSE)</f>
        <v>-71667</v>
      </c>
      <c r="G342" s="24">
        <f>VLOOKUP($A342,'Channel wise traffic'!$B$2:$K$368,10,FALSE)</f>
        <v>-169395</v>
      </c>
      <c r="H342" s="48">
        <f>VLOOKUP($A342,'Channel wise traffic'!$B$2:$P$368,11,FALSE)</f>
        <v>0</v>
      </c>
      <c r="I342" s="24">
        <f>VLOOKUP($A342,'Channel wise traffic'!$B$2:$P$368,12,FALSE)</f>
        <v>0</v>
      </c>
      <c r="J342" s="24">
        <f>VLOOKUP($A342,'Channel wise traffic'!$B$2:$P$368,13,FALSE)</f>
        <v>0</v>
      </c>
      <c r="K342" s="51">
        <f>VLOOKUP($A342,'Channel wise traffic'!$B$2:$P$368,14,FALSE)</f>
        <v>0</v>
      </c>
      <c r="L342" s="24">
        <f>VLOOKUP($A342,'Channel wise traffic'!$B$2:$P$368,15,FALSE)</f>
        <v>-651519</v>
      </c>
      <c r="M342" s="7">
        <f t="shared" si="20"/>
        <v>6.3442296573311643E-2</v>
      </c>
      <c r="N342" s="7">
        <f t="shared" si="22"/>
        <v>-2.0513699985488687E-2</v>
      </c>
      <c r="O342" s="7">
        <f t="shared" si="21"/>
        <v>-2.9999990790768982E-2</v>
      </c>
      <c r="P342" s="7">
        <f t="shared" si="23"/>
        <v>9.7796811497079528E-3</v>
      </c>
      <c r="Q342" s="7" t="e">
        <f>#REF!/B342</f>
        <v>#REF!</v>
      </c>
      <c r="R342" s="7" t="e">
        <f>#REF!/#REF!</f>
        <v>#REF!</v>
      </c>
      <c r="S342" s="7" t="e">
        <f>#REF!/#REF!</f>
        <v>#REF!</v>
      </c>
      <c r="T342" s="7" t="e">
        <f>C342/#REF!</f>
        <v>#REF!</v>
      </c>
    </row>
    <row r="343" spans="1:20" x14ac:dyDescent="0.3">
      <c r="A343" s="2">
        <v>43806</v>
      </c>
      <c r="B343" s="3">
        <v>43991955</v>
      </c>
      <c r="C343" s="42">
        <v>1665666</v>
      </c>
      <c r="D343" s="48">
        <f>VLOOKUP($A343,'Channel wise traffic'!$B$2:$K$368,7,FALSE)</f>
        <v>-1131221</v>
      </c>
      <c r="E343" s="24">
        <f>VLOOKUP($A343,'Channel wise traffic'!$B$2:$K$368,8,FALSE)</f>
        <v>-848416</v>
      </c>
      <c r="F343" s="24">
        <f>VLOOKUP($A343,'Channel wise traffic'!$B$2:$K$368,9,FALSE)</f>
        <v>-345651</v>
      </c>
      <c r="G343" s="24">
        <f>VLOOKUP($A343,'Channel wise traffic'!$B$2:$K$368,10,FALSE)</f>
        <v>-816993</v>
      </c>
      <c r="H343" s="48">
        <f>VLOOKUP($A343,'Channel wise traffic'!$B$2:$P$368,11,FALSE)</f>
        <v>0</v>
      </c>
      <c r="I343" s="24">
        <f>VLOOKUP($A343,'Channel wise traffic'!$B$2:$P$368,12,FALSE)</f>
        <v>0</v>
      </c>
      <c r="J343" s="24">
        <f>VLOOKUP($A343,'Channel wise traffic'!$B$2:$P$368,13,FALSE)</f>
        <v>0</v>
      </c>
      <c r="K343" s="51">
        <f>VLOOKUP($A343,'Channel wise traffic'!$B$2:$P$368,14,FALSE)</f>
        <v>0</v>
      </c>
      <c r="L343" s="24">
        <f>VLOOKUP($A343,'Channel wise traffic'!$B$2:$P$368,15,FALSE)</f>
        <v>-3142281</v>
      </c>
      <c r="M343" s="7">
        <f t="shared" si="20"/>
        <v>3.7862968354100197E-2</v>
      </c>
      <c r="N343" s="7">
        <f t="shared" si="22"/>
        <v>-3.623744788939387E-2</v>
      </c>
      <c r="O343" s="7">
        <f t="shared" si="21"/>
        <v>-6.6666676567466721E-2</v>
      </c>
      <c r="P343" s="7">
        <f t="shared" si="23"/>
        <v>3.2602745358070839E-2</v>
      </c>
      <c r="Q343" s="7" t="e">
        <f>#REF!/B343</f>
        <v>#REF!</v>
      </c>
      <c r="R343" s="7" t="e">
        <f>#REF!/#REF!</f>
        <v>#REF!</v>
      </c>
      <c r="S343" s="7" t="e">
        <f>#REF!/#REF!</f>
        <v>#REF!</v>
      </c>
      <c r="T343" s="7" t="e">
        <f>C343/#REF!</f>
        <v>#REF!</v>
      </c>
    </row>
    <row r="344" spans="1:20" x14ac:dyDescent="0.3">
      <c r="A344" s="2">
        <v>43807</v>
      </c>
      <c r="B344" s="3">
        <v>43991955</v>
      </c>
      <c r="C344" s="42">
        <v>1632680</v>
      </c>
      <c r="D344" s="48">
        <f>VLOOKUP($A344,'Channel wise traffic'!$B$2:$K$368,7,FALSE)</f>
        <v>-969618</v>
      </c>
      <c r="E344" s="24">
        <f>VLOOKUP($A344,'Channel wise traffic'!$B$2:$K$368,8,FALSE)</f>
        <v>-727214</v>
      </c>
      <c r="F344" s="24">
        <f>VLOOKUP($A344,'Channel wise traffic'!$B$2:$K$368,9,FALSE)</f>
        <v>-296272</v>
      </c>
      <c r="G344" s="24">
        <f>VLOOKUP($A344,'Channel wise traffic'!$B$2:$K$368,10,FALSE)</f>
        <v>-700280</v>
      </c>
      <c r="H344" s="48">
        <f>VLOOKUP($A344,'Channel wise traffic'!$B$2:$P$368,11,FALSE)</f>
        <v>0</v>
      </c>
      <c r="I344" s="24">
        <f>VLOOKUP($A344,'Channel wise traffic'!$B$2:$P$368,12,FALSE)</f>
        <v>0</v>
      </c>
      <c r="J344" s="24">
        <f>VLOOKUP($A344,'Channel wise traffic'!$B$2:$P$368,13,FALSE)</f>
        <v>0</v>
      </c>
      <c r="K344" s="51">
        <f>VLOOKUP($A344,'Channel wise traffic'!$B$2:$P$368,14,FALSE)</f>
        <v>0</v>
      </c>
      <c r="L344" s="24">
        <f>VLOOKUP($A344,'Channel wise traffic'!$B$2:$P$368,15,FALSE)</f>
        <v>-2693384</v>
      </c>
      <c r="M344" s="7">
        <f t="shared" si="20"/>
        <v>3.711314943834617E-2</v>
      </c>
      <c r="N344" s="7">
        <f t="shared" si="22"/>
        <v>-0.17928270430340221</v>
      </c>
      <c r="O344" s="7">
        <f t="shared" si="21"/>
        <v>-5.7692307692307709E-2</v>
      </c>
      <c r="P344" s="7">
        <f t="shared" si="23"/>
        <v>-0.12903470660769212</v>
      </c>
      <c r="Q344" s="7" t="e">
        <f>#REF!/B344</f>
        <v>#REF!</v>
      </c>
      <c r="R344" s="7" t="e">
        <f>#REF!/#REF!</f>
        <v>#REF!</v>
      </c>
      <c r="S344" s="7" t="e">
        <f>#REF!/#REF!</f>
        <v>#REF!</v>
      </c>
      <c r="T344" s="7" t="e">
        <f>C344/#REF!</f>
        <v>#REF!</v>
      </c>
    </row>
    <row r="345" spans="1:20" x14ac:dyDescent="0.3">
      <c r="A345" s="2">
        <v>43808</v>
      </c>
      <c r="B345" s="3">
        <v>22586034</v>
      </c>
      <c r="C345" s="42">
        <v>1245504</v>
      </c>
      <c r="D345" s="48">
        <f>VLOOKUP($A345,'Channel wise traffic'!$B$2:$K$368,7,FALSE)</f>
        <v>0</v>
      </c>
      <c r="E345" s="24">
        <f>VLOOKUP($A345,'Channel wise traffic'!$B$2:$K$368,8,FALSE)</f>
        <v>0</v>
      </c>
      <c r="F345" s="24">
        <f>VLOOKUP($A345,'Channel wise traffic'!$B$2:$K$368,9,FALSE)</f>
        <v>0</v>
      </c>
      <c r="G345" s="24">
        <f>VLOOKUP($A345,'Channel wise traffic'!$B$2:$K$368,10,FALSE)</f>
        <v>0</v>
      </c>
      <c r="H345" s="48">
        <f>VLOOKUP($A345,'Channel wise traffic'!$B$2:$P$368,11,FALSE)</f>
        <v>390912</v>
      </c>
      <c r="I345" s="24">
        <f>VLOOKUP($A345,'Channel wise traffic'!$B$2:$P$368,12,FALSE)</f>
        <v>293184</v>
      </c>
      <c r="J345" s="24">
        <f>VLOOKUP($A345,'Channel wise traffic'!$B$2:$P$368,13,FALSE)</f>
        <v>119445</v>
      </c>
      <c r="K345" s="51">
        <f>VLOOKUP($A345,'Channel wise traffic'!$B$2:$P$368,14,FALSE)</f>
        <v>282325</v>
      </c>
      <c r="L345" s="24">
        <f>VLOOKUP($A345,'Channel wise traffic'!$B$2:$P$368,15,FALSE)</f>
        <v>1085866</v>
      </c>
      <c r="M345" s="7">
        <f t="shared" si="20"/>
        <v>5.5144874040302959E-2</v>
      </c>
      <c r="N345" s="7">
        <f t="shared" si="22"/>
        <v>-4.9824002490055808E-2</v>
      </c>
      <c r="O345" s="7">
        <f t="shared" si="21"/>
        <v>5.0505049565428894E-2</v>
      </c>
      <c r="P345" s="7">
        <f t="shared" si="23"/>
        <v>-9.5505540022857272E-2</v>
      </c>
      <c r="Q345" s="7" t="e">
        <f>#REF!/B345</f>
        <v>#REF!</v>
      </c>
      <c r="R345" s="7" t="e">
        <f>#REF!/#REF!</f>
        <v>#REF!</v>
      </c>
      <c r="S345" s="7" t="e">
        <f>#REF!/#REF!</f>
        <v>#REF!</v>
      </c>
      <c r="T345" s="7" t="e">
        <f>C345/#REF!</f>
        <v>#REF!</v>
      </c>
    </row>
    <row r="346" spans="1:20" x14ac:dyDescent="0.3">
      <c r="A346" s="2">
        <v>43809</v>
      </c>
      <c r="B346" s="3">
        <v>21500167</v>
      </c>
      <c r="C346" s="42">
        <v>1235782</v>
      </c>
      <c r="D346" s="48">
        <f>VLOOKUP($A346,'Channel wise traffic'!$B$2:$K$368,7,FALSE)</f>
        <v>0</v>
      </c>
      <c r="E346" s="24">
        <f>VLOOKUP($A346,'Channel wise traffic'!$B$2:$K$368,8,FALSE)</f>
        <v>0</v>
      </c>
      <c r="F346" s="24">
        <f>VLOOKUP($A346,'Channel wise traffic'!$B$2:$K$368,9,FALSE)</f>
        <v>0</v>
      </c>
      <c r="G346" s="24">
        <f>VLOOKUP($A346,'Channel wise traffic'!$B$2:$K$368,10,FALSE)</f>
        <v>0</v>
      </c>
      <c r="H346" s="48">
        <f>VLOOKUP($A346,'Channel wise traffic'!$B$2:$P$368,11,FALSE)</f>
        <v>234548</v>
      </c>
      <c r="I346" s="24">
        <f>VLOOKUP($A346,'Channel wise traffic'!$B$2:$P$368,12,FALSE)</f>
        <v>175911</v>
      </c>
      <c r="J346" s="24">
        <f>VLOOKUP($A346,'Channel wise traffic'!$B$2:$P$368,13,FALSE)</f>
        <v>71667</v>
      </c>
      <c r="K346" s="51">
        <f>VLOOKUP($A346,'Channel wise traffic'!$B$2:$P$368,14,FALSE)</f>
        <v>169395</v>
      </c>
      <c r="L346" s="24">
        <f>VLOOKUP($A346,'Channel wise traffic'!$B$2:$P$368,15,FALSE)</f>
        <v>651521</v>
      </c>
      <c r="M346" s="7">
        <f t="shared" si="20"/>
        <v>5.7477786102777713E-2</v>
      </c>
      <c r="N346" s="7">
        <f t="shared" si="22"/>
        <v>-3.671571241047511E-2</v>
      </c>
      <c r="O346" s="7">
        <f t="shared" si="21"/>
        <v>3.1250038971355698E-2</v>
      </c>
      <c r="P346" s="7">
        <f t="shared" si="23"/>
        <v>-6.5906180667517744E-2</v>
      </c>
      <c r="Q346" s="7" t="e">
        <f>#REF!/B346</f>
        <v>#REF!</v>
      </c>
      <c r="R346" s="7" t="e">
        <f>#REF!/#REF!</f>
        <v>#REF!</v>
      </c>
      <c r="S346" s="7" t="e">
        <f>#REF!/#REF!</f>
        <v>#REF!</v>
      </c>
      <c r="T346" s="7" t="e">
        <f>C346/#REF!</f>
        <v>#REF!</v>
      </c>
    </row>
    <row r="347" spans="1:20" x14ac:dyDescent="0.3">
      <c r="A347" s="2">
        <v>43810</v>
      </c>
      <c r="B347" s="3">
        <v>22586034</v>
      </c>
      <c r="C347" s="42">
        <v>1246273</v>
      </c>
      <c r="D347" s="48">
        <f>VLOOKUP($A347,'Channel wise traffic'!$B$2:$K$368,7,FALSE)</f>
        <v>0</v>
      </c>
      <c r="E347" s="24">
        <f>VLOOKUP($A347,'Channel wise traffic'!$B$2:$K$368,8,FALSE)</f>
        <v>0</v>
      </c>
      <c r="F347" s="24">
        <f>VLOOKUP($A347,'Channel wise traffic'!$B$2:$K$368,9,FALSE)</f>
        <v>0</v>
      </c>
      <c r="G347" s="24">
        <f>VLOOKUP($A347,'Channel wise traffic'!$B$2:$K$368,10,FALSE)</f>
        <v>0</v>
      </c>
      <c r="H347" s="48">
        <f>VLOOKUP($A347,'Channel wise traffic'!$B$2:$P$368,11,FALSE)</f>
        <v>78183</v>
      </c>
      <c r="I347" s="24">
        <f>VLOOKUP($A347,'Channel wise traffic'!$B$2:$P$368,12,FALSE)</f>
        <v>58637</v>
      </c>
      <c r="J347" s="24">
        <f>VLOOKUP($A347,'Channel wise traffic'!$B$2:$P$368,13,FALSE)</f>
        <v>23889</v>
      </c>
      <c r="K347" s="51">
        <f>VLOOKUP($A347,'Channel wise traffic'!$B$2:$P$368,14,FALSE)</f>
        <v>56465</v>
      </c>
      <c r="L347" s="24">
        <f>VLOOKUP($A347,'Channel wise traffic'!$B$2:$P$368,15,FALSE)</f>
        <v>217174</v>
      </c>
      <c r="M347" s="7">
        <f t="shared" si="20"/>
        <v>5.5178921629180228E-2</v>
      </c>
      <c r="N347" s="7">
        <f t="shared" si="22"/>
        <v>-6.7176289013204826E-2</v>
      </c>
      <c r="O347" s="7">
        <f t="shared" si="21"/>
        <v>9.7087647738864913E-3</v>
      </c>
      <c r="P347" s="7">
        <f t="shared" si="23"/>
        <v>-7.6145772394388356E-2</v>
      </c>
      <c r="Q347" s="7" t="e">
        <f>#REF!/B347</f>
        <v>#REF!</v>
      </c>
      <c r="R347" s="7" t="e">
        <f>#REF!/#REF!</f>
        <v>#REF!</v>
      </c>
      <c r="S347" s="7" t="e">
        <f>#REF!/#REF!</f>
        <v>#REF!</v>
      </c>
      <c r="T347" s="7" t="e">
        <f>C347/#REF!</f>
        <v>#REF!</v>
      </c>
    </row>
    <row r="348" spans="1:20" x14ac:dyDescent="0.3">
      <c r="A348" s="2">
        <v>43811</v>
      </c>
      <c r="B348" s="3">
        <v>21934513</v>
      </c>
      <c r="C348" s="42">
        <v>1379437</v>
      </c>
      <c r="D348" s="48">
        <f>VLOOKUP($A348,'Channel wise traffic'!$B$2:$K$368,7,FALSE)</f>
        <v>-234548</v>
      </c>
      <c r="E348" s="24">
        <f>VLOOKUP($A348,'Channel wise traffic'!$B$2:$K$368,8,FALSE)</f>
        <v>-175911</v>
      </c>
      <c r="F348" s="24">
        <f>VLOOKUP($A348,'Channel wise traffic'!$B$2:$K$368,9,FALSE)</f>
        <v>-71667</v>
      </c>
      <c r="G348" s="24">
        <f>VLOOKUP($A348,'Channel wise traffic'!$B$2:$K$368,10,FALSE)</f>
        <v>-169395</v>
      </c>
      <c r="H348" s="48">
        <f>VLOOKUP($A348,'Channel wise traffic'!$B$2:$P$368,11,FALSE)</f>
        <v>0</v>
      </c>
      <c r="I348" s="24">
        <f>VLOOKUP($A348,'Channel wise traffic'!$B$2:$P$368,12,FALSE)</f>
        <v>0</v>
      </c>
      <c r="J348" s="24">
        <f>VLOOKUP($A348,'Channel wise traffic'!$B$2:$P$368,13,FALSE)</f>
        <v>0</v>
      </c>
      <c r="K348" s="51">
        <f>VLOOKUP($A348,'Channel wise traffic'!$B$2:$P$368,14,FALSE)</f>
        <v>0</v>
      </c>
      <c r="L348" s="24">
        <f>VLOOKUP($A348,'Channel wise traffic'!$B$2:$P$368,15,FALSE)</f>
        <v>-651521</v>
      </c>
      <c r="M348" s="7">
        <f t="shared" si="20"/>
        <v>6.2888882009826244E-2</v>
      </c>
      <c r="N348" s="7">
        <f t="shared" si="22"/>
        <v>-2.7786352724930241E-2</v>
      </c>
      <c r="O348" s="7">
        <f t="shared" si="21"/>
        <v>-2.8846188755405233E-2</v>
      </c>
      <c r="P348" s="7">
        <f t="shared" si="23"/>
        <v>1.0913163478365462E-3</v>
      </c>
      <c r="Q348" s="7" t="e">
        <f>#REF!/B348</f>
        <v>#REF!</v>
      </c>
      <c r="R348" s="7" t="e">
        <f>#REF!/#REF!</f>
        <v>#REF!</v>
      </c>
      <c r="S348" s="7" t="e">
        <f>#REF!/#REF!</f>
        <v>#REF!</v>
      </c>
      <c r="T348" s="7" t="e">
        <f>C348/#REF!</f>
        <v>#REF!</v>
      </c>
    </row>
    <row r="349" spans="1:20" x14ac:dyDescent="0.3">
      <c r="A349" s="2">
        <v>43812</v>
      </c>
      <c r="B349" s="3">
        <v>22803207</v>
      </c>
      <c r="C349" s="42">
        <v>1308303</v>
      </c>
      <c r="D349" s="48">
        <f>VLOOKUP($A349,'Channel wise traffic'!$B$2:$K$368,7,FALSE)</f>
        <v>0</v>
      </c>
      <c r="E349" s="24">
        <f>VLOOKUP($A349,'Channel wise traffic'!$B$2:$K$368,8,FALSE)</f>
        <v>0</v>
      </c>
      <c r="F349" s="24">
        <f>VLOOKUP($A349,'Channel wise traffic'!$B$2:$K$368,9,FALSE)</f>
        <v>0</v>
      </c>
      <c r="G349" s="24">
        <f>VLOOKUP($A349,'Channel wise traffic'!$B$2:$K$368,10,FALSE)</f>
        <v>0</v>
      </c>
      <c r="H349" s="48">
        <f>VLOOKUP($A349,'Channel wise traffic'!$B$2:$P$368,11,FALSE)</f>
        <v>625459</v>
      </c>
      <c r="I349" s="24">
        <f>VLOOKUP($A349,'Channel wise traffic'!$B$2:$P$368,12,FALSE)</f>
        <v>469095</v>
      </c>
      <c r="J349" s="24">
        <f>VLOOKUP($A349,'Channel wise traffic'!$B$2:$P$368,13,FALSE)</f>
        <v>191112</v>
      </c>
      <c r="K349" s="51">
        <f>VLOOKUP($A349,'Channel wise traffic'!$B$2:$P$368,14,FALSE)</f>
        <v>451720</v>
      </c>
      <c r="L349" s="24">
        <f>VLOOKUP($A349,'Channel wise traffic'!$B$2:$P$368,15,FALSE)</f>
        <v>1737386</v>
      </c>
      <c r="M349" s="7">
        <f t="shared" si="20"/>
        <v>5.7373640470833771E-2</v>
      </c>
      <c r="N349" s="7">
        <f t="shared" si="22"/>
        <v>-2.1071274647128546E-2</v>
      </c>
      <c r="O349" s="7">
        <f t="shared" si="21"/>
        <v>8.2474216527056665E-2</v>
      </c>
      <c r="P349" s="7">
        <f t="shared" si="23"/>
        <v>-9.5656311802413296E-2</v>
      </c>
      <c r="Q349" s="7" t="e">
        <f>#REF!/B349</f>
        <v>#REF!</v>
      </c>
      <c r="R349" s="7" t="e">
        <f>#REF!/#REF!</f>
        <v>#REF!</v>
      </c>
      <c r="S349" s="7" t="e">
        <f>#REF!/#REF!</f>
        <v>#REF!</v>
      </c>
      <c r="T349" s="7" t="e">
        <f>C349/#REF!</f>
        <v>#REF!</v>
      </c>
    </row>
    <row r="350" spans="1:20" x14ac:dyDescent="0.3">
      <c r="A350" s="2">
        <v>43813</v>
      </c>
      <c r="B350" s="3">
        <v>45787545</v>
      </c>
      <c r="C350" s="42">
        <v>1783676</v>
      </c>
      <c r="D350" s="48">
        <f>VLOOKUP($A350,'Channel wise traffic'!$B$2:$K$368,7,FALSE)</f>
        <v>0</v>
      </c>
      <c r="E350" s="24">
        <f>VLOOKUP($A350,'Channel wise traffic'!$B$2:$K$368,8,FALSE)</f>
        <v>0</v>
      </c>
      <c r="F350" s="24">
        <f>VLOOKUP($A350,'Channel wise traffic'!$B$2:$K$368,9,FALSE)</f>
        <v>0</v>
      </c>
      <c r="G350" s="24">
        <f>VLOOKUP($A350,'Channel wise traffic'!$B$2:$K$368,10,FALSE)</f>
        <v>0</v>
      </c>
      <c r="H350" s="48">
        <f>VLOOKUP($A350,'Channel wise traffic'!$B$2:$P$368,11,FALSE)</f>
        <v>646412</v>
      </c>
      <c r="I350" s="24">
        <f>VLOOKUP($A350,'Channel wise traffic'!$B$2:$P$368,12,FALSE)</f>
        <v>484809</v>
      </c>
      <c r="J350" s="24">
        <f>VLOOKUP($A350,'Channel wise traffic'!$B$2:$P$368,13,FALSE)</f>
        <v>197515</v>
      </c>
      <c r="K350" s="51">
        <f>VLOOKUP($A350,'Channel wise traffic'!$B$2:$P$368,14,FALSE)</f>
        <v>466853</v>
      </c>
      <c r="L350" s="24">
        <f>VLOOKUP($A350,'Channel wise traffic'!$B$2:$P$368,15,FALSE)</f>
        <v>1795589</v>
      </c>
      <c r="M350" s="7">
        <f t="shared" si="20"/>
        <v>3.8955484510034333E-2</v>
      </c>
      <c r="N350" s="7">
        <f t="shared" si="22"/>
        <v>7.0848537461892125E-2</v>
      </c>
      <c r="O350" s="7">
        <f t="shared" si="21"/>
        <v>4.081632653061229E-2</v>
      </c>
      <c r="P350" s="7">
        <f t="shared" si="23"/>
        <v>2.8854477169268922E-2</v>
      </c>
      <c r="Q350" s="7" t="e">
        <f>#REF!/B350</f>
        <v>#REF!</v>
      </c>
      <c r="R350" s="7" t="e">
        <f>#REF!/#REF!</f>
        <v>#REF!</v>
      </c>
      <c r="S350" s="7" t="e">
        <f>#REF!/#REF!</f>
        <v>#REF!</v>
      </c>
      <c r="T350" s="7" t="e">
        <f>C350/#REF!</f>
        <v>#REF!</v>
      </c>
    </row>
    <row r="351" spans="1:20" x14ac:dyDescent="0.3">
      <c r="A351" s="2">
        <v>43814</v>
      </c>
      <c r="B351" s="3">
        <v>43094160</v>
      </c>
      <c r="C351" s="42">
        <v>1385685</v>
      </c>
      <c r="D351" s="48">
        <f>VLOOKUP($A351,'Channel wise traffic'!$B$2:$K$368,7,FALSE)</f>
        <v>-323207</v>
      </c>
      <c r="E351" s="24">
        <f>VLOOKUP($A351,'Channel wise traffic'!$B$2:$K$368,8,FALSE)</f>
        <v>-242405</v>
      </c>
      <c r="F351" s="24">
        <f>VLOOKUP($A351,'Channel wise traffic'!$B$2:$K$368,9,FALSE)</f>
        <v>-98758</v>
      </c>
      <c r="G351" s="24">
        <f>VLOOKUP($A351,'Channel wise traffic'!$B$2:$K$368,10,FALSE)</f>
        <v>-233427</v>
      </c>
      <c r="H351" s="48">
        <f>VLOOKUP($A351,'Channel wise traffic'!$B$2:$P$368,11,FALSE)</f>
        <v>0</v>
      </c>
      <c r="I351" s="24">
        <f>VLOOKUP($A351,'Channel wise traffic'!$B$2:$P$368,12,FALSE)</f>
        <v>0</v>
      </c>
      <c r="J351" s="24">
        <f>VLOOKUP($A351,'Channel wise traffic'!$B$2:$P$368,13,FALSE)</f>
        <v>0</v>
      </c>
      <c r="K351" s="51">
        <f>VLOOKUP($A351,'Channel wise traffic'!$B$2:$P$368,14,FALSE)</f>
        <v>0</v>
      </c>
      <c r="L351" s="24">
        <f>VLOOKUP($A351,'Channel wise traffic'!$B$2:$P$368,15,FALSE)</f>
        <v>-897797</v>
      </c>
      <c r="M351" s="7">
        <f t="shared" si="20"/>
        <v>3.2154820978062923E-2</v>
      </c>
      <c r="N351" s="7">
        <f t="shared" si="22"/>
        <v>-0.1512819413479678</v>
      </c>
      <c r="O351" s="7">
        <f t="shared" si="21"/>
        <v>-2.0408163265306145E-2</v>
      </c>
      <c r="P351" s="7">
        <f t="shared" si="23"/>
        <v>-0.13360031512605031</v>
      </c>
      <c r="Q351" s="7" t="e">
        <f>#REF!/B351</f>
        <v>#REF!</v>
      </c>
      <c r="R351" s="7" t="e">
        <f>#REF!/#REF!</f>
        <v>#REF!</v>
      </c>
      <c r="S351" s="7" t="e">
        <f>#REF!/#REF!</f>
        <v>#REF!</v>
      </c>
      <c r="T351" s="7" t="e">
        <f>C351/#REF!</f>
        <v>#REF!</v>
      </c>
    </row>
    <row r="352" spans="1:20" x14ac:dyDescent="0.3">
      <c r="A352" s="2">
        <v>43815</v>
      </c>
      <c r="B352" s="3">
        <v>21282993</v>
      </c>
      <c r="C352" s="42">
        <v>1324939</v>
      </c>
      <c r="D352" s="48">
        <f>VLOOKUP($A352,'Channel wise traffic'!$B$2:$K$368,7,FALSE)</f>
        <v>-469095</v>
      </c>
      <c r="E352" s="24">
        <f>VLOOKUP($A352,'Channel wise traffic'!$B$2:$K$368,8,FALSE)</f>
        <v>-351821</v>
      </c>
      <c r="F352" s="24">
        <f>VLOOKUP($A352,'Channel wise traffic'!$B$2:$K$368,9,FALSE)</f>
        <v>-143334</v>
      </c>
      <c r="G352" s="24">
        <f>VLOOKUP($A352,'Channel wise traffic'!$B$2:$K$368,10,FALSE)</f>
        <v>-338790</v>
      </c>
      <c r="H352" s="48">
        <f>VLOOKUP($A352,'Channel wise traffic'!$B$2:$P$368,11,FALSE)</f>
        <v>0</v>
      </c>
      <c r="I352" s="24">
        <f>VLOOKUP($A352,'Channel wise traffic'!$B$2:$P$368,12,FALSE)</f>
        <v>0</v>
      </c>
      <c r="J352" s="24">
        <f>VLOOKUP($A352,'Channel wise traffic'!$B$2:$P$368,13,FALSE)</f>
        <v>0</v>
      </c>
      <c r="K352" s="51">
        <f>VLOOKUP($A352,'Channel wise traffic'!$B$2:$P$368,14,FALSE)</f>
        <v>0</v>
      </c>
      <c r="L352" s="24">
        <f>VLOOKUP($A352,'Channel wise traffic'!$B$2:$P$368,15,FALSE)</f>
        <v>-1303040</v>
      </c>
      <c r="M352" s="7">
        <f t="shared" si="20"/>
        <v>6.2253415203397382E-2</v>
      </c>
      <c r="N352" s="7">
        <f t="shared" si="22"/>
        <v>6.3777394532654963E-2</v>
      </c>
      <c r="O352" s="7">
        <f t="shared" si="21"/>
        <v>-5.7692333235662363E-2</v>
      </c>
      <c r="P352" s="7">
        <f t="shared" si="23"/>
        <v>0.12890665337088447</v>
      </c>
      <c r="Q352" s="7" t="e">
        <f>#REF!/B352</f>
        <v>#REF!</v>
      </c>
      <c r="R352" s="7" t="e">
        <f>#REF!/#REF!</f>
        <v>#REF!</v>
      </c>
      <c r="S352" s="7" t="e">
        <f>#REF!/#REF!</f>
        <v>#REF!</v>
      </c>
      <c r="T352" s="7" t="e">
        <f>C352/#REF!</f>
        <v>#REF!</v>
      </c>
    </row>
    <row r="353" spans="1:20" x14ac:dyDescent="0.3">
      <c r="A353" s="2">
        <v>43816</v>
      </c>
      <c r="B353" s="3">
        <v>21065820</v>
      </c>
      <c r="C353" s="42">
        <v>1104375</v>
      </c>
      <c r="D353" s="48">
        <f>VLOOKUP($A353,'Channel wise traffic'!$B$2:$K$368,7,FALSE)</f>
        <v>-156365</v>
      </c>
      <c r="E353" s="24">
        <f>VLOOKUP($A353,'Channel wise traffic'!$B$2:$K$368,8,FALSE)</f>
        <v>-117274</v>
      </c>
      <c r="F353" s="24">
        <f>VLOOKUP($A353,'Channel wise traffic'!$B$2:$K$368,9,FALSE)</f>
        <v>-47778</v>
      </c>
      <c r="G353" s="24">
        <f>VLOOKUP($A353,'Channel wise traffic'!$B$2:$K$368,10,FALSE)</f>
        <v>-112930</v>
      </c>
      <c r="H353" s="48">
        <f>VLOOKUP($A353,'Channel wise traffic'!$B$2:$P$368,11,FALSE)</f>
        <v>0</v>
      </c>
      <c r="I353" s="24">
        <f>VLOOKUP($A353,'Channel wise traffic'!$B$2:$P$368,12,FALSE)</f>
        <v>0</v>
      </c>
      <c r="J353" s="24">
        <f>VLOOKUP($A353,'Channel wise traffic'!$B$2:$P$368,13,FALSE)</f>
        <v>0</v>
      </c>
      <c r="K353" s="51">
        <f>VLOOKUP($A353,'Channel wise traffic'!$B$2:$P$368,14,FALSE)</f>
        <v>0</v>
      </c>
      <c r="L353" s="24">
        <f>VLOOKUP($A353,'Channel wise traffic'!$B$2:$P$368,15,FALSE)</f>
        <v>-434347</v>
      </c>
      <c r="M353" s="7">
        <f t="shared" si="20"/>
        <v>5.2424970876994104E-2</v>
      </c>
      <c r="N353" s="7">
        <f t="shared" si="22"/>
        <v>-0.10633509793798579</v>
      </c>
      <c r="O353" s="7">
        <f t="shared" si="21"/>
        <v>-2.0202029128424948E-2</v>
      </c>
      <c r="P353" s="7">
        <f t="shared" si="23"/>
        <v>-8.7909009173535724E-2</v>
      </c>
      <c r="Q353" s="7" t="e">
        <f>#REF!/B353</f>
        <v>#REF!</v>
      </c>
      <c r="R353" s="7" t="e">
        <f>#REF!/#REF!</f>
        <v>#REF!</v>
      </c>
      <c r="S353" s="7" t="e">
        <f>#REF!/#REF!</f>
        <v>#REF!</v>
      </c>
      <c r="T353" s="7" t="e">
        <f>C353/#REF!</f>
        <v>#REF!</v>
      </c>
    </row>
    <row r="354" spans="1:20" x14ac:dyDescent="0.3">
      <c r="A354" s="2">
        <v>43817</v>
      </c>
      <c r="B354" s="3">
        <v>22368860</v>
      </c>
      <c r="C354" s="42">
        <v>1284054</v>
      </c>
      <c r="D354" s="48">
        <f>VLOOKUP($A354,'Channel wise traffic'!$B$2:$K$368,7,FALSE)</f>
        <v>-78183</v>
      </c>
      <c r="E354" s="24">
        <f>VLOOKUP($A354,'Channel wise traffic'!$B$2:$K$368,8,FALSE)</f>
        <v>-58637</v>
      </c>
      <c r="F354" s="24">
        <f>VLOOKUP($A354,'Channel wise traffic'!$B$2:$K$368,9,FALSE)</f>
        <v>-23889</v>
      </c>
      <c r="G354" s="24">
        <f>VLOOKUP($A354,'Channel wise traffic'!$B$2:$K$368,10,FALSE)</f>
        <v>-56465</v>
      </c>
      <c r="H354" s="48">
        <f>VLOOKUP($A354,'Channel wise traffic'!$B$2:$P$368,11,FALSE)</f>
        <v>0</v>
      </c>
      <c r="I354" s="24">
        <f>VLOOKUP($A354,'Channel wise traffic'!$B$2:$P$368,12,FALSE)</f>
        <v>0</v>
      </c>
      <c r="J354" s="24">
        <f>VLOOKUP($A354,'Channel wise traffic'!$B$2:$P$368,13,FALSE)</f>
        <v>0</v>
      </c>
      <c r="K354" s="51">
        <f>VLOOKUP($A354,'Channel wise traffic'!$B$2:$P$368,14,FALSE)</f>
        <v>0</v>
      </c>
      <c r="L354" s="24">
        <f>VLOOKUP($A354,'Channel wise traffic'!$B$2:$P$368,15,FALSE)</f>
        <v>-217174</v>
      </c>
      <c r="M354" s="7">
        <f t="shared" si="20"/>
        <v>5.7403640596793933E-2</v>
      </c>
      <c r="N354" s="7">
        <f t="shared" si="22"/>
        <v>3.0315187763836571E-2</v>
      </c>
      <c r="O354" s="7">
        <f t="shared" si="21"/>
        <v>-9.6154110101844825E-3</v>
      </c>
      <c r="P354" s="7">
        <f t="shared" si="23"/>
        <v>4.0318275564798389E-2</v>
      </c>
      <c r="Q354" s="7" t="e">
        <f>#REF!/B354</f>
        <v>#REF!</v>
      </c>
      <c r="R354" s="7" t="e">
        <f>#REF!/#REF!</f>
        <v>#REF!</v>
      </c>
      <c r="S354" s="7" t="e">
        <f>#REF!/#REF!</f>
        <v>#REF!</v>
      </c>
      <c r="T354" s="7" t="e">
        <f>C354/#REF!</f>
        <v>#REF!</v>
      </c>
    </row>
    <row r="355" spans="1:20" x14ac:dyDescent="0.3">
      <c r="A355" s="2">
        <v>43818</v>
      </c>
      <c r="B355" s="3">
        <v>21065820</v>
      </c>
      <c r="C355" s="42">
        <v>1211187</v>
      </c>
      <c r="D355" s="48">
        <f>VLOOKUP($A355,'Channel wise traffic'!$B$2:$K$368,7,FALSE)</f>
        <v>-312729</v>
      </c>
      <c r="E355" s="24">
        <f>VLOOKUP($A355,'Channel wise traffic'!$B$2:$K$368,8,FALSE)</f>
        <v>-234547</v>
      </c>
      <c r="F355" s="24">
        <f>VLOOKUP($A355,'Channel wise traffic'!$B$2:$K$368,9,FALSE)</f>
        <v>-95556</v>
      </c>
      <c r="G355" s="24">
        <f>VLOOKUP($A355,'Channel wise traffic'!$B$2:$K$368,10,FALSE)</f>
        <v>-225860</v>
      </c>
      <c r="H355" s="48">
        <f>VLOOKUP($A355,'Channel wise traffic'!$B$2:$P$368,11,FALSE)</f>
        <v>0</v>
      </c>
      <c r="I355" s="24">
        <f>VLOOKUP($A355,'Channel wise traffic'!$B$2:$P$368,12,FALSE)</f>
        <v>0</v>
      </c>
      <c r="J355" s="24">
        <f>VLOOKUP($A355,'Channel wise traffic'!$B$2:$P$368,13,FALSE)</f>
        <v>0</v>
      </c>
      <c r="K355" s="51">
        <f>VLOOKUP($A355,'Channel wise traffic'!$B$2:$P$368,14,FALSE)</f>
        <v>0</v>
      </c>
      <c r="L355" s="24">
        <f>VLOOKUP($A355,'Channel wise traffic'!$B$2:$P$368,15,FALSE)</f>
        <v>-868692</v>
      </c>
      <c r="M355" s="7">
        <f t="shared" si="20"/>
        <v>5.7495364528890876E-2</v>
      </c>
      <c r="N355" s="7">
        <f t="shared" si="22"/>
        <v>-0.12197005010014961</v>
      </c>
      <c r="O355" s="7">
        <f t="shared" si="21"/>
        <v>-3.9603933764109533E-2</v>
      </c>
      <c r="P355" s="7">
        <f t="shared" si="23"/>
        <v>-8.5762654837664987E-2</v>
      </c>
      <c r="Q355" s="7" t="e">
        <f>#REF!/B355</f>
        <v>#REF!</v>
      </c>
      <c r="R355" s="7" t="e">
        <f>#REF!/#REF!</f>
        <v>#REF!</v>
      </c>
      <c r="S355" s="7" t="e">
        <f>#REF!/#REF!</f>
        <v>#REF!</v>
      </c>
      <c r="T355" s="7" t="e">
        <f>C355/#REF!</f>
        <v>#REF!</v>
      </c>
    </row>
    <row r="356" spans="1:20" x14ac:dyDescent="0.3">
      <c r="A356" s="2">
        <v>43819</v>
      </c>
      <c r="B356" s="3">
        <v>22151687</v>
      </c>
      <c r="C356" s="42">
        <v>1231419</v>
      </c>
      <c r="D356" s="48">
        <f>VLOOKUP($A356,'Channel wise traffic'!$B$2:$K$368,7,FALSE)</f>
        <v>-234547</v>
      </c>
      <c r="E356" s="24">
        <f>VLOOKUP($A356,'Channel wise traffic'!$B$2:$K$368,8,FALSE)</f>
        <v>-175911</v>
      </c>
      <c r="F356" s="24">
        <f>VLOOKUP($A356,'Channel wise traffic'!$B$2:$K$368,9,FALSE)</f>
        <v>-71667</v>
      </c>
      <c r="G356" s="24">
        <f>VLOOKUP($A356,'Channel wise traffic'!$B$2:$K$368,10,FALSE)</f>
        <v>-169395</v>
      </c>
      <c r="H356" s="48">
        <f>VLOOKUP($A356,'Channel wise traffic'!$B$2:$P$368,11,FALSE)</f>
        <v>0</v>
      </c>
      <c r="I356" s="24">
        <f>VLOOKUP($A356,'Channel wise traffic'!$B$2:$P$368,12,FALSE)</f>
        <v>0</v>
      </c>
      <c r="J356" s="24">
        <f>VLOOKUP($A356,'Channel wise traffic'!$B$2:$P$368,13,FALSE)</f>
        <v>0</v>
      </c>
      <c r="K356" s="51">
        <f>VLOOKUP($A356,'Channel wise traffic'!$B$2:$P$368,14,FALSE)</f>
        <v>0</v>
      </c>
      <c r="L356" s="24">
        <f>VLOOKUP($A356,'Channel wise traffic'!$B$2:$P$368,15,FALSE)</f>
        <v>-651520</v>
      </c>
      <c r="M356" s="7">
        <f t="shared" si="20"/>
        <v>5.5590303348002343E-2</v>
      </c>
      <c r="N356" s="7">
        <f t="shared" si="22"/>
        <v>-5.8766203241909509E-2</v>
      </c>
      <c r="O356" s="7">
        <f t="shared" si="21"/>
        <v>-2.8571419800732412E-2</v>
      </c>
      <c r="P356" s="7">
        <f t="shared" si="23"/>
        <v>-3.1082865026457518E-2</v>
      </c>
      <c r="Q356" s="7" t="e">
        <f>#REF!/B356</f>
        <v>#REF!</v>
      </c>
      <c r="R356" s="7" t="e">
        <f>#REF!/#REF!</f>
        <v>#REF!</v>
      </c>
      <c r="S356" s="7" t="e">
        <f>#REF!/#REF!</f>
        <v>#REF!</v>
      </c>
      <c r="T356" s="7" t="e">
        <f>C356/#REF!</f>
        <v>#REF!</v>
      </c>
    </row>
    <row r="357" spans="1:20" x14ac:dyDescent="0.3">
      <c r="A357" s="2">
        <v>43820</v>
      </c>
      <c r="B357" s="3">
        <v>46236443</v>
      </c>
      <c r="C357" s="42">
        <v>1502374</v>
      </c>
      <c r="D357" s="48">
        <f>VLOOKUP($A357,'Channel wise traffic'!$B$2:$K$368,7,FALSE)</f>
        <v>0</v>
      </c>
      <c r="E357" s="24">
        <f>VLOOKUP($A357,'Channel wise traffic'!$B$2:$K$368,8,FALSE)</f>
        <v>0</v>
      </c>
      <c r="F357" s="24">
        <f>VLOOKUP($A357,'Channel wise traffic'!$B$2:$K$368,9,FALSE)</f>
        <v>0</v>
      </c>
      <c r="G357" s="24">
        <f>VLOOKUP($A357,'Channel wise traffic'!$B$2:$K$368,10,FALSE)</f>
        <v>0</v>
      </c>
      <c r="H357" s="48">
        <f>VLOOKUP($A357,'Channel wise traffic'!$B$2:$P$368,11,FALSE)</f>
        <v>161603</v>
      </c>
      <c r="I357" s="24">
        <f>VLOOKUP($A357,'Channel wise traffic'!$B$2:$P$368,12,FALSE)</f>
        <v>121202</v>
      </c>
      <c r="J357" s="24">
        <f>VLOOKUP($A357,'Channel wise traffic'!$B$2:$P$368,13,FALSE)</f>
        <v>49378</v>
      </c>
      <c r="K357" s="51">
        <f>VLOOKUP($A357,'Channel wise traffic'!$B$2:$P$368,14,FALSE)</f>
        <v>116714</v>
      </c>
      <c r="L357" s="24">
        <f>VLOOKUP($A357,'Channel wise traffic'!$B$2:$P$368,15,FALSE)</f>
        <v>448897</v>
      </c>
      <c r="M357" s="7">
        <f t="shared" si="20"/>
        <v>3.2493286734881402E-2</v>
      </c>
      <c r="N357" s="7">
        <f t="shared" si="22"/>
        <v>-0.15770913551564303</v>
      </c>
      <c r="O357" s="7">
        <f t="shared" si="21"/>
        <v>9.8039324886276535E-3</v>
      </c>
      <c r="P357" s="7">
        <f t="shared" si="23"/>
        <v>-0.16588672574431385</v>
      </c>
      <c r="Q357" s="7" t="e">
        <f>#REF!/B357</f>
        <v>#REF!</v>
      </c>
      <c r="R357" s="7" t="e">
        <f>#REF!/#REF!</f>
        <v>#REF!</v>
      </c>
      <c r="S357" s="7" t="e">
        <f>#REF!/#REF!</f>
        <v>#REF!</v>
      </c>
      <c r="T357" s="7" t="e">
        <f>C357/#REF!</f>
        <v>#REF!</v>
      </c>
    </row>
    <row r="358" spans="1:20" x14ac:dyDescent="0.3">
      <c r="A358" s="15">
        <v>43821</v>
      </c>
      <c r="B358" s="16">
        <v>43094160</v>
      </c>
      <c r="C358" s="46">
        <v>1677083</v>
      </c>
      <c r="D358" s="48">
        <f>VLOOKUP($A358,'Channel wise traffic'!$B$2:$K$368,7,FALSE)</f>
        <v>0</v>
      </c>
      <c r="E358" s="24">
        <f>VLOOKUP($A358,'Channel wise traffic'!$B$2:$K$368,8,FALSE)</f>
        <v>0</v>
      </c>
      <c r="F358" s="24">
        <f>VLOOKUP($A358,'Channel wise traffic'!$B$2:$K$368,9,FALSE)</f>
        <v>0</v>
      </c>
      <c r="G358" s="24">
        <f>VLOOKUP($A358,'Channel wise traffic'!$B$2:$K$368,10,FALSE)</f>
        <v>0</v>
      </c>
      <c r="H358" s="48">
        <f>VLOOKUP($A358,'Channel wise traffic'!$B$2:$P$368,11,FALSE)</f>
        <v>0</v>
      </c>
      <c r="I358" s="24">
        <f>VLOOKUP($A358,'Channel wise traffic'!$B$2:$P$368,12,FALSE)</f>
        <v>0</v>
      </c>
      <c r="J358" s="24">
        <f>VLOOKUP($A358,'Channel wise traffic'!$B$2:$P$368,13,FALSE)</f>
        <v>0</v>
      </c>
      <c r="K358" s="51">
        <f>VLOOKUP($A358,'Channel wise traffic'!$B$2:$P$368,14,FALSE)</f>
        <v>0</v>
      </c>
      <c r="L358" s="24">
        <f>VLOOKUP($A358,'Channel wise traffic'!$B$2:$P$368,15,FALSE)</f>
        <v>0</v>
      </c>
      <c r="M358" s="17">
        <f t="shared" si="20"/>
        <v>3.8916711684367444E-2</v>
      </c>
      <c r="N358" s="13">
        <f t="shared" si="22"/>
        <v>0.21029166080314066</v>
      </c>
      <c r="O358" s="13">
        <f t="shared" si="21"/>
        <v>0</v>
      </c>
      <c r="P358" s="17">
        <f t="shared" si="23"/>
        <v>0.21029166080314066</v>
      </c>
      <c r="Q358" s="17" t="e">
        <f>#REF!/B358</f>
        <v>#REF!</v>
      </c>
      <c r="R358" s="17" t="e">
        <f>#REF!/#REF!</f>
        <v>#REF!</v>
      </c>
      <c r="S358" s="17" t="e">
        <f>#REF!/#REF!</f>
        <v>#REF!</v>
      </c>
      <c r="T358" s="17" t="e">
        <f>C358/#REF!</f>
        <v>#REF!</v>
      </c>
    </row>
    <row r="359" spans="1:20" x14ac:dyDescent="0.3">
      <c r="A359" s="2">
        <v>43822</v>
      </c>
      <c r="B359" s="3">
        <v>21500167</v>
      </c>
      <c r="C359" s="42">
        <v>1196595</v>
      </c>
      <c r="D359" s="48">
        <f>VLOOKUP($A359,'Channel wise traffic'!$B$2:$K$368,7,FALSE)</f>
        <v>0</v>
      </c>
      <c r="E359" s="24">
        <f>VLOOKUP($A359,'Channel wise traffic'!$B$2:$K$368,8,FALSE)</f>
        <v>0</v>
      </c>
      <c r="F359" s="24">
        <f>VLOOKUP($A359,'Channel wise traffic'!$B$2:$K$368,9,FALSE)</f>
        <v>0</v>
      </c>
      <c r="G359" s="24">
        <f>VLOOKUP($A359,'Channel wise traffic'!$B$2:$K$368,10,FALSE)</f>
        <v>0</v>
      </c>
      <c r="H359" s="48">
        <f>VLOOKUP($A359,'Channel wise traffic'!$B$2:$P$368,11,FALSE)</f>
        <v>78183</v>
      </c>
      <c r="I359" s="24">
        <f>VLOOKUP($A359,'Channel wise traffic'!$B$2:$P$368,12,FALSE)</f>
        <v>58637</v>
      </c>
      <c r="J359" s="24">
        <f>VLOOKUP($A359,'Channel wise traffic'!$B$2:$P$368,13,FALSE)</f>
        <v>23889</v>
      </c>
      <c r="K359" s="51">
        <f>VLOOKUP($A359,'Channel wise traffic'!$B$2:$P$368,14,FALSE)</f>
        <v>56465</v>
      </c>
      <c r="L359" s="24">
        <f>VLOOKUP($A359,'Channel wise traffic'!$B$2:$P$368,15,FALSE)</f>
        <v>217174</v>
      </c>
      <c r="M359" s="7">
        <f t="shared" si="20"/>
        <v>5.5655149097213988E-2</v>
      </c>
      <c r="N359" s="7">
        <f t="shared" si="22"/>
        <v>-9.6867855803172809E-2</v>
      </c>
      <c r="O359" s="7">
        <f t="shared" si="21"/>
        <v>1.0204109920066262E-2</v>
      </c>
      <c r="P359" s="7">
        <f t="shared" si="23"/>
        <v>-0.10599042774802347</v>
      </c>
      <c r="Q359" s="7" t="e">
        <f>#REF!/B359</f>
        <v>#REF!</v>
      </c>
      <c r="R359" s="7" t="e">
        <f>#REF!/#REF!</f>
        <v>#REF!</v>
      </c>
      <c r="S359" s="7" t="e">
        <f>#REF!/#REF!</f>
        <v>#REF!</v>
      </c>
      <c r="T359" s="7" t="e">
        <f>C359/#REF!</f>
        <v>#REF!</v>
      </c>
    </row>
    <row r="360" spans="1:20" x14ac:dyDescent="0.3">
      <c r="A360" s="2">
        <v>43823</v>
      </c>
      <c r="B360" s="3">
        <v>21282993</v>
      </c>
      <c r="C360" s="42">
        <v>1312214</v>
      </c>
      <c r="D360" s="48">
        <f>VLOOKUP($A360,'Channel wise traffic'!$B$2:$K$368,7,FALSE)</f>
        <v>0</v>
      </c>
      <c r="E360" s="24">
        <f>VLOOKUP($A360,'Channel wise traffic'!$B$2:$K$368,8,FALSE)</f>
        <v>0</v>
      </c>
      <c r="F360" s="24">
        <f>VLOOKUP($A360,'Channel wise traffic'!$B$2:$K$368,9,FALSE)</f>
        <v>0</v>
      </c>
      <c r="G360" s="24">
        <f>VLOOKUP($A360,'Channel wise traffic'!$B$2:$K$368,10,FALSE)</f>
        <v>0</v>
      </c>
      <c r="H360" s="48">
        <f>VLOOKUP($A360,'Channel wise traffic'!$B$2:$P$368,11,FALSE)</f>
        <v>78182</v>
      </c>
      <c r="I360" s="24">
        <f>VLOOKUP($A360,'Channel wise traffic'!$B$2:$P$368,12,FALSE)</f>
        <v>58637</v>
      </c>
      <c r="J360" s="24">
        <f>VLOOKUP($A360,'Channel wise traffic'!$B$2:$P$368,13,FALSE)</f>
        <v>23889</v>
      </c>
      <c r="K360" s="51">
        <f>VLOOKUP($A360,'Channel wise traffic'!$B$2:$P$368,14,FALSE)</f>
        <v>56465</v>
      </c>
      <c r="L360" s="24">
        <f>VLOOKUP($A360,'Channel wise traffic'!$B$2:$P$368,15,FALSE)</f>
        <v>217173</v>
      </c>
      <c r="M360" s="7">
        <f t="shared" si="20"/>
        <v>6.1655519973154153E-2</v>
      </c>
      <c r="N360" s="7">
        <f t="shared" si="22"/>
        <v>0.18819603848330502</v>
      </c>
      <c r="O360" s="7">
        <f t="shared" si="21"/>
        <v>1.0309259264533743E-2</v>
      </c>
      <c r="P360" s="7">
        <f t="shared" si="23"/>
        <v>0.17607161132846216</v>
      </c>
      <c r="Q360" s="7" t="e">
        <f>#REF!/B360</f>
        <v>#REF!</v>
      </c>
      <c r="R360" s="7" t="e">
        <f>#REF!/#REF!</f>
        <v>#REF!</v>
      </c>
      <c r="S360" s="7" t="e">
        <f>#REF!/#REF!</f>
        <v>#REF!</v>
      </c>
      <c r="T360" s="7" t="e">
        <f>C360/#REF!</f>
        <v>#REF!</v>
      </c>
    </row>
    <row r="361" spans="1:20" x14ac:dyDescent="0.3">
      <c r="A361" s="2">
        <v>43824</v>
      </c>
      <c r="B361" s="3">
        <v>20631473</v>
      </c>
      <c r="C361" s="42">
        <v>1258566</v>
      </c>
      <c r="D361" s="48">
        <f>VLOOKUP($A361,'Channel wise traffic'!$B$2:$K$368,7,FALSE)</f>
        <v>-625459</v>
      </c>
      <c r="E361" s="24">
        <f>VLOOKUP($A361,'Channel wise traffic'!$B$2:$K$368,8,FALSE)</f>
        <v>-469095</v>
      </c>
      <c r="F361" s="24">
        <f>VLOOKUP($A361,'Channel wise traffic'!$B$2:$K$368,9,FALSE)</f>
        <v>-191112</v>
      </c>
      <c r="G361" s="24">
        <f>VLOOKUP($A361,'Channel wise traffic'!$B$2:$K$368,10,FALSE)</f>
        <v>-451720</v>
      </c>
      <c r="H361" s="48">
        <f>VLOOKUP($A361,'Channel wise traffic'!$B$2:$P$368,11,FALSE)</f>
        <v>0</v>
      </c>
      <c r="I361" s="24">
        <f>VLOOKUP($A361,'Channel wise traffic'!$B$2:$P$368,12,FALSE)</f>
        <v>0</v>
      </c>
      <c r="J361" s="24">
        <f>VLOOKUP($A361,'Channel wise traffic'!$B$2:$P$368,13,FALSE)</f>
        <v>0</v>
      </c>
      <c r="K361" s="51">
        <f>VLOOKUP($A361,'Channel wise traffic'!$B$2:$P$368,14,FALSE)</f>
        <v>0</v>
      </c>
      <c r="L361" s="24">
        <f>VLOOKUP($A361,'Channel wise traffic'!$B$2:$P$368,15,FALSE)</f>
        <v>-1737386</v>
      </c>
      <c r="M361" s="7">
        <f t="shared" si="20"/>
        <v>6.1002236728322792E-2</v>
      </c>
      <c r="N361" s="7">
        <f t="shared" si="22"/>
        <v>-1.9849632492091485E-2</v>
      </c>
      <c r="O361" s="7">
        <f t="shared" si="21"/>
        <v>-7.7669894666066996E-2</v>
      </c>
      <c r="P361" s="7">
        <f t="shared" si="23"/>
        <v>6.2689336322857558E-2</v>
      </c>
      <c r="Q361" s="7" t="e">
        <f>#REF!/B361</f>
        <v>#REF!</v>
      </c>
      <c r="R361" s="7" t="e">
        <f>#REF!/#REF!</f>
        <v>#REF!</v>
      </c>
      <c r="S361" s="7" t="e">
        <f>#REF!/#REF!</f>
        <v>#REF!</v>
      </c>
      <c r="T361" s="7" t="e">
        <f>C361/#REF!</f>
        <v>#REF!</v>
      </c>
    </row>
    <row r="362" spans="1:20" x14ac:dyDescent="0.3">
      <c r="A362" s="2">
        <v>43825</v>
      </c>
      <c r="B362" s="3">
        <v>20631473</v>
      </c>
      <c r="C362" s="42">
        <v>1295048</v>
      </c>
      <c r="D362" s="48">
        <f>VLOOKUP($A362,'Channel wise traffic'!$B$2:$K$368,7,FALSE)</f>
        <v>-156365</v>
      </c>
      <c r="E362" s="24">
        <f>VLOOKUP($A362,'Channel wise traffic'!$B$2:$K$368,8,FALSE)</f>
        <v>-117274</v>
      </c>
      <c r="F362" s="24">
        <f>VLOOKUP($A362,'Channel wise traffic'!$B$2:$K$368,9,FALSE)</f>
        <v>-47778</v>
      </c>
      <c r="G362" s="24">
        <f>VLOOKUP($A362,'Channel wise traffic'!$B$2:$K$368,10,FALSE)</f>
        <v>-112930</v>
      </c>
      <c r="H362" s="48">
        <f>VLOOKUP($A362,'Channel wise traffic'!$B$2:$P$368,11,FALSE)</f>
        <v>0</v>
      </c>
      <c r="I362" s="24">
        <f>VLOOKUP($A362,'Channel wise traffic'!$B$2:$P$368,12,FALSE)</f>
        <v>0</v>
      </c>
      <c r="J362" s="24">
        <f>VLOOKUP($A362,'Channel wise traffic'!$B$2:$P$368,13,FALSE)</f>
        <v>0</v>
      </c>
      <c r="K362" s="51">
        <f>VLOOKUP($A362,'Channel wise traffic'!$B$2:$P$368,14,FALSE)</f>
        <v>0</v>
      </c>
      <c r="L362" s="24">
        <f>VLOOKUP($A362,'Channel wise traffic'!$B$2:$P$368,15,FALSE)</f>
        <v>-434347</v>
      </c>
      <c r="M362" s="7">
        <f t="shared" si="20"/>
        <v>6.2770506012828076E-2</v>
      </c>
      <c r="N362" s="7">
        <f t="shared" si="22"/>
        <v>6.9238688988570773E-2</v>
      </c>
      <c r="O362" s="7">
        <f t="shared" si="21"/>
        <v>-2.0618565999329763E-2</v>
      </c>
      <c r="P362" s="7">
        <f t="shared" si="23"/>
        <v>9.1748987542926042E-2</v>
      </c>
      <c r="Q362" s="7" t="e">
        <f>#REF!/B362</f>
        <v>#REF!</v>
      </c>
      <c r="R362" s="7" t="e">
        <f>#REF!/#REF!</f>
        <v>#REF!</v>
      </c>
      <c r="S362" s="7" t="e">
        <f>#REF!/#REF!</f>
        <v>#REF!</v>
      </c>
      <c r="T362" s="7" t="e">
        <f>C362/#REF!</f>
        <v>#REF!</v>
      </c>
    </row>
    <row r="363" spans="1:20" x14ac:dyDescent="0.3">
      <c r="A363" s="2">
        <v>43826</v>
      </c>
      <c r="B363" s="3">
        <v>22368860</v>
      </c>
      <c r="C363" s="42">
        <v>1309438</v>
      </c>
      <c r="D363" s="48">
        <f>VLOOKUP($A363,'Channel wise traffic'!$B$2:$K$368,7,FALSE)</f>
        <v>0</v>
      </c>
      <c r="E363" s="24">
        <f>VLOOKUP($A363,'Channel wise traffic'!$B$2:$K$368,8,FALSE)</f>
        <v>0</v>
      </c>
      <c r="F363" s="24">
        <f>VLOOKUP($A363,'Channel wise traffic'!$B$2:$K$368,9,FALSE)</f>
        <v>0</v>
      </c>
      <c r="G363" s="24">
        <f>VLOOKUP($A363,'Channel wise traffic'!$B$2:$K$368,10,FALSE)</f>
        <v>0</v>
      </c>
      <c r="H363" s="48">
        <f>VLOOKUP($A363,'Channel wise traffic'!$B$2:$P$368,11,FALSE)</f>
        <v>78182</v>
      </c>
      <c r="I363" s="24">
        <f>VLOOKUP($A363,'Channel wise traffic'!$B$2:$P$368,12,FALSE)</f>
        <v>58637</v>
      </c>
      <c r="J363" s="24">
        <f>VLOOKUP($A363,'Channel wise traffic'!$B$2:$P$368,13,FALSE)</f>
        <v>23889</v>
      </c>
      <c r="K363" s="51">
        <f>VLOOKUP($A363,'Channel wise traffic'!$B$2:$P$368,14,FALSE)</f>
        <v>56465</v>
      </c>
      <c r="L363" s="24">
        <f>VLOOKUP($A363,'Channel wise traffic'!$B$2:$P$368,15,FALSE)</f>
        <v>217173</v>
      </c>
      <c r="M363" s="7">
        <f t="shared" si="20"/>
        <v>5.8538432445819771E-2</v>
      </c>
      <c r="N363" s="7">
        <f t="shared" si="22"/>
        <v>6.335698896963593E-2</v>
      </c>
      <c r="O363" s="7">
        <f t="shared" si="21"/>
        <v>9.80390342279569E-3</v>
      </c>
      <c r="P363" s="7">
        <f t="shared" si="23"/>
        <v>5.3033153630440921E-2</v>
      </c>
      <c r="Q363" s="7" t="e">
        <f>#REF!/B363</f>
        <v>#REF!</v>
      </c>
      <c r="R363" s="7" t="e">
        <f>#REF!/#REF!</f>
        <v>#REF!</v>
      </c>
      <c r="S363" s="7" t="e">
        <f>#REF!/#REF!</f>
        <v>#REF!</v>
      </c>
      <c r="T363" s="7" t="e">
        <f>C363/#REF!</f>
        <v>#REF!</v>
      </c>
    </row>
    <row r="364" spans="1:20" x14ac:dyDescent="0.3">
      <c r="A364" s="2">
        <v>43827</v>
      </c>
      <c r="B364" s="3">
        <v>45338648</v>
      </c>
      <c r="C364" s="42">
        <v>1768333</v>
      </c>
      <c r="D364" s="48">
        <f>VLOOKUP($A364,'Channel wise traffic'!$B$2:$K$368,7,FALSE)</f>
        <v>-323206</v>
      </c>
      <c r="E364" s="24">
        <f>VLOOKUP($A364,'Channel wise traffic'!$B$2:$K$368,8,FALSE)</f>
        <v>-242404</v>
      </c>
      <c r="F364" s="24">
        <f>VLOOKUP($A364,'Channel wise traffic'!$B$2:$K$368,9,FALSE)</f>
        <v>-98757</v>
      </c>
      <c r="G364" s="24">
        <f>VLOOKUP($A364,'Channel wise traffic'!$B$2:$K$368,10,FALSE)</f>
        <v>-233427</v>
      </c>
      <c r="H364" s="48">
        <f>VLOOKUP($A364,'Channel wise traffic'!$B$2:$P$368,11,FALSE)</f>
        <v>0</v>
      </c>
      <c r="I364" s="24">
        <f>VLOOKUP($A364,'Channel wise traffic'!$B$2:$P$368,12,FALSE)</f>
        <v>0</v>
      </c>
      <c r="J364" s="24">
        <f>VLOOKUP($A364,'Channel wise traffic'!$B$2:$P$368,13,FALSE)</f>
        <v>0</v>
      </c>
      <c r="K364" s="51">
        <f>VLOOKUP($A364,'Channel wise traffic'!$B$2:$P$368,14,FALSE)</f>
        <v>0</v>
      </c>
      <c r="L364" s="24">
        <f>VLOOKUP($A364,'Channel wise traffic'!$B$2:$P$368,15,FALSE)</f>
        <v>-897794</v>
      </c>
      <c r="M364" s="7">
        <f t="shared" si="20"/>
        <v>3.9002773086661079E-2</v>
      </c>
      <c r="N364" s="7">
        <f t="shared" si="22"/>
        <v>0.17702582712427128</v>
      </c>
      <c r="O364" s="7">
        <f t="shared" si="21"/>
        <v>-1.9417475518175187E-2</v>
      </c>
      <c r="P364" s="7">
        <f t="shared" si="23"/>
        <v>0.2003332689885069</v>
      </c>
      <c r="Q364" s="7" t="e">
        <f>#REF!/B364</f>
        <v>#REF!</v>
      </c>
      <c r="R364" s="7" t="e">
        <f>#REF!/#REF!</f>
        <v>#REF!</v>
      </c>
      <c r="S364" s="7" t="e">
        <f>#REF!/#REF!</f>
        <v>#REF!</v>
      </c>
      <c r="T364" s="7" t="e">
        <f>C364/#REF!</f>
        <v>#REF!</v>
      </c>
    </row>
    <row r="365" spans="1:20" x14ac:dyDescent="0.3">
      <c r="A365" s="2">
        <v>43828</v>
      </c>
      <c r="B365" s="3">
        <v>43543058</v>
      </c>
      <c r="C365" s="42">
        <v>1596202</v>
      </c>
      <c r="D365" s="48">
        <f>VLOOKUP($A365,'Channel wise traffic'!$B$2:$K$368,7,FALSE)</f>
        <v>0</v>
      </c>
      <c r="E365" s="24">
        <f>VLOOKUP($A365,'Channel wise traffic'!$B$2:$K$368,8,FALSE)</f>
        <v>0</v>
      </c>
      <c r="F365" s="24">
        <f>VLOOKUP($A365,'Channel wise traffic'!$B$2:$K$368,9,FALSE)</f>
        <v>0</v>
      </c>
      <c r="G365" s="24">
        <f>VLOOKUP($A365,'Channel wise traffic'!$B$2:$K$368,10,FALSE)</f>
        <v>0</v>
      </c>
      <c r="H365" s="48">
        <f>VLOOKUP($A365,'Channel wise traffic'!$B$2:$P$368,11,FALSE)</f>
        <v>161603</v>
      </c>
      <c r="I365" s="24">
        <f>VLOOKUP($A365,'Channel wise traffic'!$B$2:$P$368,12,FALSE)</f>
        <v>121202</v>
      </c>
      <c r="J365" s="24">
        <f>VLOOKUP($A365,'Channel wise traffic'!$B$2:$P$368,13,FALSE)</f>
        <v>49379</v>
      </c>
      <c r="K365" s="51">
        <f>VLOOKUP($A365,'Channel wise traffic'!$B$2:$P$368,14,FALSE)</f>
        <v>116714</v>
      </c>
      <c r="L365" s="24">
        <f>VLOOKUP($A365,'Channel wise traffic'!$B$2:$P$368,15,FALSE)</f>
        <v>448898</v>
      </c>
      <c r="M365" s="7">
        <f t="shared" si="20"/>
        <v>3.6658013316382146E-2</v>
      </c>
      <c r="N365" s="7">
        <f t="shared" si="22"/>
        <v>-4.8227189709752039E-2</v>
      </c>
      <c r="O365" s="7">
        <f t="shared" si="21"/>
        <v>1.0416678269166812E-2</v>
      </c>
      <c r="P365" s="7">
        <f t="shared" si="23"/>
        <v>-5.8039291353914724E-2</v>
      </c>
      <c r="Q365" s="7" t="e">
        <f>#REF!/B365</f>
        <v>#REF!</v>
      </c>
      <c r="R365" s="7" t="e">
        <f>#REF!/#REF!</f>
        <v>#REF!</v>
      </c>
      <c r="S365" s="7" t="e">
        <f>#REF!/#REF!</f>
        <v>#REF!</v>
      </c>
      <c r="T365" s="7" t="e">
        <f>C365/#REF!</f>
        <v>#REF!</v>
      </c>
    </row>
    <row r="366" spans="1:20" x14ac:dyDescent="0.3">
      <c r="A366" s="2">
        <v>43829</v>
      </c>
      <c r="B366" s="3">
        <v>22151687</v>
      </c>
      <c r="C366" s="42">
        <v>1172548</v>
      </c>
      <c r="D366" s="48">
        <f>VLOOKUP($A366,'Channel wise traffic'!$B$2:$K$368,7,FALSE)</f>
        <v>0</v>
      </c>
      <c r="E366" s="24">
        <f>VLOOKUP($A366,'Channel wise traffic'!$B$2:$K$368,8,FALSE)</f>
        <v>0</v>
      </c>
      <c r="F366" s="24">
        <f>VLOOKUP($A366,'Channel wise traffic'!$B$2:$K$368,9,FALSE)</f>
        <v>0</v>
      </c>
      <c r="G366" s="24">
        <f>VLOOKUP($A366,'Channel wise traffic'!$B$2:$K$368,10,FALSE)</f>
        <v>0</v>
      </c>
      <c r="H366" s="48">
        <f>VLOOKUP($A366,'Channel wise traffic'!$B$2:$P$368,11,FALSE)</f>
        <v>234547</v>
      </c>
      <c r="I366" s="24">
        <f>VLOOKUP($A366,'Channel wise traffic'!$B$2:$P$368,12,FALSE)</f>
        <v>175910</v>
      </c>
      <c r="J366" s="24">
        <f>VLOOKUP($A366,'Channel wise traffic'!$B$2:$P$368,13,FALSE)</f>
        <v>71667</v>
      </c>
      <c r="K366" s="51">
        <f>VLOOKUP($A366,'Channel wise traffic'!$B$2:$P$368,14,FALSE)</f>
        <v>169395</v>
      </c>
      <c r="L366" s="24">
        <f>VLOOKUP($A366,'Channel wise traffic'!$B$2:$P$368,15,FALSE)</f>
        <v>651519</v>
      </c>
      <c r="M366" s="7">
        <f t="shared" si="20"/>
        <v>5.2932672802753128E-2</v>
      </c>
      <c r="N366" s="7">
        <f t="shared" si="22"/>
        <v>-2.0096189604669967E-2</v>
      </c>
      <c r="O366" s="7">
        <f t="shared" si="21"/>
        <v>3.0303020437004058E-2</v>
      </c>
      <c r="P366" s="7">
        <f t="shared" si="23"/>
        <v>-4.8916880802986507E-2</v>
      </c>
      <c r="Q366" s="7" t="e">
        <f>#REF!/B366</f>
        <v>#REF!</v>
      </c>
      <c r="R366" s="7" t="e">
        <f>#REF!/#REF!</f>
        <v>#REF!</v>
      </c>
      <c r="S366" s="7" t="e">
        <f>#REF!/#REF!</f>
        <v>#REF!</v>
      </c>
      <c r="T366" s="7" t="e">
        <f>C366/#REF!</f>
        <v>#REF!</v>
      </c>
    </row>
    <row r="367" spans="1:20" x14ac:dyDescent="0.3">
      <c r="A367" s="2">
        <v>43830</v>
      </c>
      <c r="B367" s="3">
        <v>21934513</v>
      </c>
      <c r="C367" s="42">
        <v>1284200</v>
      </c>
      <c r="D367" s="48">
        <f>VLOOKUP($A367,'Channel wise traffic'!$B$2:$K$368,7,FALSE)</f>
        <v>0</v>
      </c>
      <c r="E367" s="24">
        <f>VLOOKUP($A367,'Channel wise traffic'!$B$2:$K$368,8,FALSE)</f>
        <v>0</v>
      </c>
      <c r="F367" s="24">
        <f>VLOOKUP($A367,'Channel wise traffic'!$B$2:$K$368,9,FALSE)</f>
        <v>0</v>
      </c>
      <c r="G367" s="24">
        <f>VLOOKUP($A367,'Channel wise traffic'!$B$2:$K$368,10,FALSE)</f>
        <v>0</v>
      </c>
      <c r="H367" s="48">
        <f>VLOOKUP($A367,'Channel wise traffic'!$B$2:$P$368,11,FALSE)</f>
        <v>234547</v>
      </c>
      <c r="I367" s="24">
        <f>VLOOKUP($A367,'Channel wise traffic'!$B$2:$P$368,12,FALSE)</f>
        <v>175910</v>
      </c>
      <c r="J367" s="24">
        <f>VLOOKUP($A367,'Channel wise traffic'!$B$2:$P$368,13,FALSE)</f>
        <v>71667</v>
      </c>
      <c r="K367" s="51">
        <f>VLOOKUP($A367,'Channel wise traffic'!$B$2:$P$368,14,FALSE)</f>
        <v>169395</v>
      </c>
      <c r="L367" s="24">
        <f>VLOOKUP($A367,'Channel wise traffic'!$B$2:$P$368,15,FALSE)</f>
        <v>651519</v>
      </c>
      <c r="M367" s="7">
        <f t="shared" si="20"/>
        <v>5.854700307228157E-2</v>
      </c>
      <c r="N367" s="7">
        <f t="shared" si="22"/>
        <v>-2.1348651972925126E-2</v>
      </c>
      <c r="O367" s="7">
        <f t="shared" si="21"/>
        <v>3.061223578845329E-2</v>
      </c>
      <c r="P367" s="7">
        <f t="shared" si="23"/>
        <v>-5.0417495501231424E-2</v>
      </c>
      <c r="Q367" s="7" t="e">
        <f>#REF!/B367</f>
        <v>#REF!</v>
      </c>
      <c r="R367" s="7" t="e">
        <f>#REF!/#REF!</f>
        <v>#REF!</v>
      </c>
      <c r="S367" s="7" t="e">
        <f>#REF!/#REF!</f>
        <v>#REF!</v>
      </c>
      <c r="T367" s="7" t="e">
        <f>C367/#REF!</f>
        <v>#REF!</v>
      </c>
    </row>
    <row r="368" spans="1:20" x14ac:dyDescent="0.3">
      <c r="A368" s="2">
        <v>43831</v>
      </c>
      <c r="B368" s="3">
        <v>21717340</v>
      </c>
      <c r="C368" s="42">
        <v>1284516</v>
      </c>
      <c r="D368" s="55">
        <f>VLOOKUP($A368,'Channel wise traffic'!$B$2:$K$368,7,FALSE)</f>
        <v>0</v>
      </c>
      <c r="E368" s="56">
        <f>VLOOKUP($A368,'Channel wise traffic'!$B$2:$K$368,8,FALSE)</f>
        <v>0</v>
      </c>
      <c r="F368" s="56">
        <f>VLOOKUP($A368,'Channel wise traffic'!$B$2:$K$368,9,FALSE)</f>
        <v>0</v>
      </c>
      <c r="G368" s="56">
        <f>VLOOKUP($A368,'Channel wise traffic'!$B$2:$K$368,10,FALSE)</f>
        <v>0</v>
      </c>
      <c r="H368" s="55">
        <f>VLOOKUP($A368,'Channel wise traffic'!$B$2:$P$368,11,FALSE)</f>
        <v>390912</v>
      </c>
      <c r="I368" s="56">
        <f>VLOOKUP($A368,'Channel wise traffic'!$B$2:$P$368,12,FALSE)</f>
        <v>293184</v>
      </c>
      <c r="J368" s="56">
        <f>VLOOKUP($A368,'Channel wise traffic'!$B$2:$P$368,13,FALSE)</f>
        <v>119445</v>
      </c>
      <c r="K368" s="57">
        <f>VLOOKUP($A368,'Channel wise traffic'!$B$2:$P$368,14,FALSE)</f>
        <v>282325</v>
      </c>
      <c r="L368" s="24">
        <f>VLOOKUP($A368,'Channel wise traffic'!$B$2:$P$368,15,FALSE)</f>
        <v>1085866</v>
      </c>
      <c r="M368" s="7">
        <f t="shared" si="20"/>
        <v>5.914702260958294E-2</v>
      </c>
      <c r="N368" s="7">
        <f t="shared" si="22"/>
        <v>2.0618704144240274E-2</v>
      </c>
      <c r="O368" s="7">
        <f t="shared" si="21"/>
        <v>5.2631578947368363E-2</v>
      </c>
      <c r="P368" s="7">
        <f t="shared" si="23"/>
        <v>-3.0412231062971751E-2</v>
      </c>
      <c r="Q368" s="7" t="e">
        <f>#REF!/B368</f>
        <v>#REF!</v>
      </c>
      <c r="R368" s="7" t="e">
        <f>#REF!/#REF!</f>
        <v>#REF!</v>
      </c>
      <c r="S368" s="7" t="e">
        <f>#REF!/#REF!</f>
        <v>#REF!</v>
      </c>
      <c r="T368" s="7" t="e">
        <f>C368/#REF!</f>
        <v>#REF!</v>
      </c>
    </row>
  </sheetData>
  <autoFilter ref="A2:U368" xr:uid="{4375D379-A816-2846-B956-DD451B8B10CC}"/>
  <mergeCells count="1">
    <mergeCell ref="D1:G1"/>
  </mergeCells>
  <conditionalFormatting sqref="N10:N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3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:L11 L13:L18 L32:L51 L53:L102 L106:L172 L174:L179 L200:L258 L260:L265 L267:L283 L285:L322 L324:L1048576 L20:L23 L25:L30 L181:L198">
    <cfRule type="expression" priority="1">
      <formula>"AND($H3&lt;0,$O3&lt;-20%)"</formula>
    </cfRule>
    <cfRule type="expression" priority="2">
      <formula>"AND($H$3&lt;0,$O3&gt;-20%)"</formula>
    </cfRule>
    <cfRule type="cellIs" dxfId="8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D696-4222-4A62-A57F-F991A4B40E8E}">
  <dimension ref="B2:D39"/>
  <sheetViews>
    <sheetView workbookViewId="0">
      <selection activeCell="I30" sqref="I30"/>
    </sheetView>
  </sheetViews>
  <sheetFormatPr defaultRowHeight="15.6" x14ac:dyDescent="0.3"/>
  <cols>
    <col min="4" max="4" width="16.5" customWidth="1"/>
  </cols>
  <sheetData>
    <row r="2" spans="2:4" x14ac:dyDescent="0.3">
      <c r="B2" s="74" t="s">
        <v>55</v>
      </c>
      <c r="D2" s="75" t="s">
        <v>0</v>
      </c>
    </row>
    <row r="3" spans="2:4" x14ac:dyDescent="0.3">
      <c r="B3" s="22" t="s">
        <v>60</v>
      </c>
      <c r="C3" s="14"/>
      <c r="D3" s="99">
        <v>43475</v>
      </c>
    </row>
    <row r="4" spans="2:4" x14ac:dyDescent="0.3">
      <c r="B4" s="100" t="s">
        <v>54</v>
      </c>
      <c r="C4" s="14"/>
      <c r="D4" s="99">
        <v>43482</v>
      </c>
    </row>
    <row r="5" spans="2:4" x14ac:dyDescent="0.3">
      <c r="B5" s="14" t="s">
        <v>64</v>
      </c>
      <c r="C5" s="14"/>
      <c r="D5" s="99">
        <v>43486</v>
      </c>
    </row>
    <row r="6" spans="2:4" x14ac:dyDescent="0.3">
      <c r="B6" s="14"/>
      <c r="C6" s="14"/>
      <c r="D6" s="99">
        <v>43487</v>
      </c>
    </row>
    <row r="7" spans="2:4" x14ac:dyDescent="0.3">
      <c r="B7" s="14"/>
      <c r="C7" s="14"/>
      <c r="D7" s="99">
        <v>43494</v>
      </c>
    </row>
    <row r="8" spans="2:4" x14ac:dyDescent="0.3">
      <c r="B8" s="14"/>
      <c r="C8" s="14"/>
      <c r="D8" s="99">
        <v>43501</v>
      </c>
    </row>
    <row r="9" spans="2:4" x14ac:dyDescent="0.3">
      <c r="B9" s="14"/>
      <c r="C9" s="14"/>
      <c r="D9" s="99">
        <v>43515</v>
      </c>
    </row>
    <row r="10" spans="2:4" x14ac:dyDescent="0.3">
      <c r="B10" s="14"/>
      <c r="C10" s="14"/>
      <c r="D10" s="99">
        <v>43522</v>
      </c>
    </row>
    <row r="11" spans="2:4" x14ac:dyDescent="0.3">
      <c r="B11" s="14"/>
      <c r="C11" s="14"/>
      <c r="D11" s="99">
        <v>43524</v>
      </c>
    </row>
    <row r="12" spans="2:4" x14ac:dyDescent="0.3">
      <c r="B12" s="14"/>
      <c r="C12" s="14"/>
      <c r="D12" s="99">
        <v>43526</v>
      </c>
    </row>
    <row r="13" spans="2:4" x14ac:dyDescent="0.3">
      <c r="B13" s="14"/>
      <c r="C13" s="14"/>
      <c r="D13" s="99">
        <v>43533</v>
      </c>
    </row>
    <row r="14" spans="2:4" x14ac:dyDescent="0.3">
      <c r="B14" s="14"/>
      <c r="C14" s="14"/>
      <c r="D14" s="99">
        <v>43543</v>
      </c>
    </row>
    <row r="15" spans="2:4" x14ac:dyDescent="0.3">
      <c r="B15" s="14"/>
      <c r="C15" s="14"/>
      <c r="D15" s="99">
        <v>43548</v>
      </c>
    </row>
    <row r="16" spans="2:4" x14ac:dyDescent="0.3">
      <c r="B16" s="14"/>
      <c r="C16" s="14"/>
      <c r="D16" s="99">
        <v>43550</v>
      </c>
    </row>
    <row r="17" spans="2:4" x14ac:dyDescent="0.3">
      <c r="B17" s="14"/>
      <c r="C17" s="14"/>
      <c r="D17" s="99">
        <v>43559</v>
      </c>
    </row>
    <row r="18" spans="2:4" x14ac:dyDescent="0.3">
      <c r="B18" s="14"/>
      <c r="C18" s="14"/>
      <c r="D18" s="99">
        <v>43566</v>
      </c>
    </row>
    <row r="19" spans="2:4" x14ac:dyDescent="0.3">
      <c r="B19" s="14"/>
      <c r="C19" s="14"/>
      <c r="D19" s="99">
        <v>43567</v>
      </c>
    </row>
    <row r="20" spans="2:4" x14ac:dyDescent="0.3">
      <c r="B20" s="14"/>
      <c r="C20" s="14"/>
      <c r="D20" s="99">
        <v>43569</v>
      </c>
    </row>
    <row r="21" spans="2:4" x14ac:dyDescent="0.3">
      <c r="B21" s="14"/>
      <c r="C21" s="14"/>
      <c r="D21" s="99">
        <v>43573</v>
      </c>
    </row>
    <row r="22" spans="2:4" x14ac:dyDescent="0.3">
      <c r="B22" s="14"/>
      <c r="C22" s="14"/>
      <c r="D22" s="99">
        <v>43574</v>
      </c>
    </row>
    <row r="23" spans="2:4" x14ac:dyDescent="0.3">
      <c r="B23" s="14"/>
      <c r="C23" s="14"/>
      <c r="D23" s="99">
        <v>43580</v>
      </c>
    </row>
    <row r="24" spans="2:4" x14ac:dyDescent="0.3">
      <c r="B24" s="14"/>
      <c r="C24" s="14"/>
      <c r="D24" s="99">
        <v>43636</v>
      </c>
    </row>
    <row r="25" spans="2:4" x14ac:dyDescent="0.3">
      <c r="B25" s="14"/>
      <c r="C25" s="14"/>
      <c r="D25" s="99">
        <v>43643</v>
      </c>
    </row>
    <row r="26" spans="2:4" x14ac:dyDescent="0.3">
      <c r="B26" s="14"/>
      <c r="C26" s="14"/>
      <c r="D26" s="99">
        <v>43662</v>
      </c>
    </row>
    <row r="27" spans="2:4" x14ac:dyDescent="0.3">
      <c r="B27" s="14"/>
      <c r="C27" s="14"/>
      <c r="D27" s="99">
        <v>43669</v>
      </c>
    </row>
    <row r="28" spans="2:4" x14ac:dyDescent="0.3">
      <c r="B28" s="14"/>
      <c r="C28" s="14"/>
      <c r="D28" s="99">
        <v>43688</v>
      </c>
    </row>
    <row r="29" spans="2:4" x14ac:dyDescent="0.3">
      <c r="B29" s="14"/>
      <c r="C29" s="14"/>
      <c r="D29" s="99">
        <v>43695</v>
      </c>
    </row>
    <row r="30" spans="2:4" x14ac:dyDescent="0.3">
      <c r="B30" s="14"/>
      <c r="C30" s="14"/>
      <c r="D30" s="99">
        <v>43722</v>
      </c>
    </row>
    <row r="31" spans="2:4" x14ac:dyDescent="0.3">
      <c r="B31" s="14"/>
      <c r="C31" s="14"/>
      <c r="D31" s="99">
        <v>43729</v>
      </c>
    </row>
    <row r="32" spans="2:4" x14ac:dyDescent="0.3">
      <c r="B32" s="14"/>
      <c r="C32" s="14"/>
      <c r="D32" s="99">
        <v>43747</v>
      </c>
    </row>
    <row r="33" spans="2:4" x14ac:dyDescent="0.3">
      <c r="B33" s="14"/>
      <c r="C33" s="14"/>
      <c r="D33" s="99">
        <v>43759</v>
      </c>
    </row>
    <row r="34" spans="2:4" x14ac:dyDescent="0.3">
      <c r="B34" s="14"/>
      <c r="C34" s="14"/>
      <c r="D34" s="99">
        <v>43778</v>
      </c>
    </row>
    <row r="35" spans="2:4" x14ac:dyDescent="0.3">
      <c r="B35" s="14"/>
      <c r="C35" s="14"/>
      <c r="D35" s="99">
        <v>43786</v>
      </c>
    </row>
    <row r="36" spans="2:4" x14ac:dyDescent="0.3">
      <c r="B36" s="14"/>
      <c r="C36" s="14"/>
      <c r="D36" s="99">
        <v>43793</v>
      </c>
    </row>
    <row r="37" spans="2:4" x14ac:dyDescent="0.3">
      <c r="B37" s="14"/>
      <c r="C37" s="14"/>
      <c r="D37" s="99">
        <v>43800</v>
      </c>
    </row>
    <row r="38" spans="2:4" x14ac:dyDescent="0.3">
      <c r="B38" s="14"/>
      <c r="C38" s="14"/>
      <c r="D38" s="101">
        <v>43821</v>
      </c>
    </row>
    <row r="39" spans="2:4" x14ac:dyDescent="0.3">
      <c r="B39" s="14"/>
      <c r="C39" s="14"/>
      <c r="D39" s="14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8BAA-0547-4907-A55F-8AC2FEFA66F2}">
  <dimension ref="A1:EB171"/>
  <sheetViews>
    <sheetView topLeftCell="E1" workbookViewId="0">
      <selection activeCell="L1" sqref="L1"/>
    </sheetView>
  </sheetViews>
  <sheetFormatPr defaultColWidth="12.3984375" defaultRowHeight="15.6" x14ac:dyDescent="0.3"/>
  <cols>
    <col min="1" max="1" width="12.3984375" style="98"/>
    <col min="10" max="11" width="26.09765625" bestFit="1" customWidth="1"/>
    <col min="12" max="12" width="37.69921875" bestFit="1" customWidth="1"/>
  </cols>
  <sheetData>
    <row r="1" spans="1:131" ht="61.2" customHeight="1" x14ac:dyDescent="0.3">
      <c r="D1" s="180" t="s">
        <v>58</v>
      </c>
      <c r="E1" s="180"/>
      <c r="F1" s="180"/>
      <c r="G1" s="180"/>
      <c r="H1" s="180"/>
      <c r="I1" t="s">
        <v>25</v>
      </c>
      <c r="J1" s="79" t="s">
        <v>26</v>
      </c>
      <c r="K1" s="79" t="s">
        <v>27</v>
      </c>
      <c r="L1" s="79" t="s">
        <v>28</v>
      </c>
    </row>
    <row r="2" spans="1:131" ht="44.4" customHeight="1" x14ac:dyDescent="0.3">
      <c r="A2" s="68" t="s">
        <v>0</v>
      </c>
      <c r="B2" s="68" t="s">
        <v>1</v>
      </c>
      <c r="C2" s="103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73" t="s">
        <v>52</v>
      </c>
      <c r="I2" s="174" t="s">
        <v>17</v>
      </c>
      <c r="J2" s="162" t="s">
        <v>22</v>
      </c>
      <c r="K2" s="162" t="s">
        <v>23</v>
      </c>
      <c r="L2" s="162" t="s">
        <v>24</v>
      </c>
      <c r="M2" s="60" t="s">
        <v>55</v>
      </c>
    </row>
    <row r="3" spans="1:131" s="35" customFormat="1" x14ac:dyDescent="0.3">
      <c r="A3" s="95">
        <v>43475</v>
      </c>
      <c r="B3" s="24">
        <v>10641496</v>
      </c>
      <c r="C3" s="26">
        <v>623698</v>
      </c>
      <c r="D3" s="26">
        <f>IF(Table2[[#This Row],[Facebook]]&lt;&gt;0,VLOOKUP($A3,'Channel wise traffic'!$B$2:$K$368,7,FALSE),Table2[[#This Row],[Facebook2]])</f>
        <v>-7118356</v>
      </c>
      <c r="E3" s="26">
        <f>IF(Table2[[#This Row],[Youtube]]&lt;&gt;0,VLOOKUP($A3,'Channel wise traffic'!$B$2:$K$368,8,FALSE),Table2[[#This Row],[Youtube3]])</f>
        <v>-2755930</v>
      </c>
      <c r="F3" s="26">
        <f>IF(Table2[[#This Row],[Twitter]]&lt;&gt;0,VLOOKUP($A3,'Channel wise traffic'!$B$2:$K$368,9,FALSE),Table2[[#This Row],[Twitter4]])</f>
        <v>-1122787</v>
      </c>
      <c r="G3" s="26">
        <f>IF(Table2[[#This Row],[Others]]&lt;&gt;0,VLOOKUP($A3,'Channel wise traffic'!$B$2:$K$368,10,FALSE),Table2[[#This Row],[Others5]])</f>
        <v>789924</v>
      </c>
      <c r="H3" s="40">
        <f>VLOOKUP($A3,'Channel wise traffic'!$B$2:$P$368,15,FALSE)</f>
        <v>-10207149</v>
      </c>
      <c r="I3" s="63">
        <f>VLOOKUP(Table24[[#This Row],[Date]],'Session Details'!$A$2:$N$368,7,FALSE)</f>
        <v>5.8609992429635833E-2</v>
      </c>
      <c r="J3" s="7">
        <f>VLOOKUP(Table24[[#This Row],[Date]],'Session Details'!$A$2:$N$368,8,FALSE)</f>
        <v>-0.4522502426107996</v>
      </c>
      <c r="K3" s="7">
        <f>VLOOKUP(Table24[[#This Row],[Date]],'Session Details'!$A$2:$N$368,9,FALSE)</f>
        <v>-0.48958335231937844</v>
      </c>
      <c r="L3" s="7">
        <f>VLOOKUP(Table24[[#This Row],[Date]],'Session Details'!$A$2:$N$368,10,FALSE)</f>
        <v>7.3142421741578811E-2</v>
      </c>
      <c r="M3" s="95" t="s">
        <v>60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</row>
    <row r="4" spans="1:131" s="35" customFormat="1" x14ac:dyDescent="0.3">
      <c r="A4" s="95">
        <v>43482</v>
      </c>
      <c r="B4" s="61">
        <v>22368860</v>
      </c>
      <c r="C4" s="61">
        <v>1284532</v>
      </c>
      <c r="D4" s="26">
        <f>IF(Table2[[#This Row],[Facebook]]&lt;&gt;0,VLOOKUP($A4,'Channel wise traffic'!$B$2:$K$368,7,FALSE),Table2[[#This Row],[Facebook2]])</f>
        <v>7665633</v>
      </c>
      <c r="E4" s="26">
        <f>IF(Table2[[#This Row],[Youtube]]&lt;&gt;0,VLOOKUP($A4,'Channel wise traffic'!$B$2:$K$368,8,FALSE),Table2[[#This Row],[Youtube3]])</f>
        <v>3166388</v>
      </c>
      <c r="F4" s="26">
        <f>IF(Table2[[#This Row],[Twitter]]&lt;&gt;0,VLOOKUP($A4,'Channel wise traffic'!$B$2:$K$368,9,FALSE),Table2[[#This Row],[Twitter4]])</f>
        <v>1290010</v>
      </c>
      <c r="G4" s="26">
        <f>IF(Table2[[#This Row],[Others]]&lt;&gt;0,VLOOKUP($A4,'Channel wise traffic'!$B$2:$K$368,10,FALSE),Table2[[#This Row],[Others5]])</f>
        <v>-394669</v>
      </c>
      <c r="H4" s="40">
        <f>VLOOKUP($A4,'Channel wise traffic'!$B$2:$P$368,15,FALSE)</f>
        <v>11727362</v>
      </c>
      <c r="I4" s="63">
        <f>VLOOKUP(Table24[[#This Row],[Date]],'Session Details'!$A$2:$N$368,7,FALSE)</f>
        <v>5.7425009589223593E-2</v>
      </c>
      <c r="J4" s="7">
        <f>VLOOKUP(Table24[[#This Row],[Date]],'Session Details'!$A$2:$N$368,8,FALSE)</f>
        <v>1.0595416371384867</v>
      </c>
      <c r="K4" s="7">
        <f>VLOOKUP(Table24[[#This Row],[Date]],'Session Details'!$A$2:$N$368,9,FALSE)</f>
        <v>1.1020409160516529</v>
      </c>
      <c r="L4" s="7">
        <f>VLOOKUP(Table24[[#This Row],[Date]],'Session Details'!$A$2:$N$368,10,FALSE)</f>
        <v>-2.0218102601444077E-2</v>
      </c>
      <c r="M4" s="95" t="s">
        <v>60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</row>
    <row r="5" spans="1:131" s="35" customFormat="1" x14ac:dyDescent="0.3">
      <c r="A5" s="95">
        <v>43486</v>
      </c>
      <c r="B5" s="61">
        <v>22151687</v>
      </c>
      <c r="C5" s="61">
        <v>1476653</v>
      </c>
      <c r="D5" s="26">
        <f>IF(Table2[[#This Row],[Facebook]]&lt;&gt;0,VLOOKUP($A5,'Channel wise traffic'!$B$2:$K$368,7,FALSE),Table2[[#This Row],[Facebook2]])</f>
        <v>390912</v>
      </c>
      <c r="E5" s="26">
        <f>IF(Table2[[#This Row],[Youtube]]&lt;&gt;0,VLOOKUP($A5,'Channel wise traffic'!$B$2:$K$368,8,FALSE),Table2[[#This Row],[Youtube3]])</f>
        <v>293184</v>
      </c>
      <c r="F5" s="26">
        <f>IF(Table2[[#This Row],[Twitter]]&lt;&gt;0,VLOOKUP($A5,'Channel wise traffic'!$B$2:$K$368,9,FALSE),Table2[[#This Row],[Twitter4]])</f>
        <v>119445</v>
      </c>
      <c r="G5" s="26">
        <f>IF(Table2[[#This Row],[Others]]&lt;&gt;0,VLOOKUP($A5,'Channel wise traffic'!$B$2:$K$368,10,FALSE),Table2[[#This Row],[Others5]])</f>
        <v>282325</v>
      </c>
      <c r="H5" s="40">
        <f>VLOOKUP($A5,'Channel wise traffic'!$B$2:$P$368,15,FALSE)</f>
        <v>1085866</v>
      </c>
      <c r="I5" s="63">
        <f>VLOOKUP(Table24[[#This Row],[Date]],'Session Details'!$A$2:$N$368,7,FALSE)</f>
        <v>6.6660972593193465E-2</v>
      </c>
      <c r="J5" s="7">
        <f>VLOOKUP(Table24[[#This Row],[Date]],'Session Details'!$A$2:$N$368,8,FALSE)</f>
        <v>0.23352106416819263</v>
      </c>
      <c r="K5" s="7">
        <f>VLOOKUP(Table24[[#This Row],[Date]],'Session Details'!$A$2:$N$368,9,FALSE)</f>
        <v>5.154639126319327E-2</v>
      </c>
      <c r="L5" s="7">
        <f>VLOOKUP(Table24[[#This Row],[Date]],'Session Details'!$A$2:$N$368,10,FALSE)</f>
        <v>0.17305434588235169</v>
      </c>
      <c r="M5" s="95" t="s">
        <v>54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</row>
    <row r="6" spans="1:131" s="35" customFormat="1" x14ac:dyDescent="0.3">
      <c r="A6" s="95">
        <v>43487</v>
      </c>
      <c r="B6" s="61">
        <v>37570998</v>
      </c>
      <c r="C6" s="61">
        <v>2221600</v>
      </c>
      <c r="D6" s="26">
        <f>IF(Table2[[#This Row],[Facebook]]&lt;&gt;0,VLOOKUP($A6,'Channel wise traffic'!$B$2:$K$368,7,FALSE),Table2[[#This Row],[Facebook2]])</f>
        <v>5863682</v>
      </c>
      <c r="E6" s="26">
        <f>IF(Table2[[#This Row],[Youtube]]&lt;&gt;0,VLOOKUP($A6,'Channel wise traffic'!$B$2:$K$368,8,FALSE),Table2[[#This Row],[Youtube3]])</f>
        <v>-3717575</v>
      </c>
      <c r="F6" s="26">
        <f>IF(Table2[[#This Row],[Twitter]]&lt;&gt;0,VLOOKUP($A6,'Channel wise traffic'!$B$2:$K$368,9,FALSE),Table2[[#This Row],[Twitter4]])</f>
        <v>17486238</v>
      </c>
      <c r="G6" s="26">
        <f>IF(Table2[[#This Row],[Others]]&lt;&gt;0,VLOOKUP($A6,'Channel wise traffic'!$B$2:$K$368,10,FALSE),Table2[[#This Row],[Others5]])</f>
        <v>-3344340</v>
      </c>
      <c r="H6" s="40">
        <f>VLOOKUP($A6,'Channel wise traffic'!$B$2:$P$368,15,FALSE)</f>
        <v>16288005</v>
      </c>
      <c r="I6" s="63">
        <f>VLOOKUP(Table24[[#This Row],[Date]],'Session Details'!$A$2:$N$368,7,FALSE)</f>
        <v>5.9130715665311848E-2</v>
      </c>
      <c r="J6" s="7">
        <f>VLOOKUP(Table24[[#This Row],[Date]],'Session Details'!$A$2:$N$368,8,FALSE)</f>
        <v>0.85430485686646174</v>
      </c>
      <c r="K6" s="7">
        <f>VLOOKUP(Table24[[#This Row],[Date]],'Session Details'!$A$2:$N$368,9,FALSE)</f>
        <v>0.76530612964069489</v>
      </c>
      <c r="L6" s="7">
        <f>VLOOKUP(Table24[[#This Row],[Date]],'Session Details'!$A$2:$N$368,10,FALSE)</f>
        <v>5.041546377221362E-2</v>
      </c>
      <c r="M6" s="95" t="s">
        <v>60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</row>
    <row r="7" spans="1:131" s="35" customFormat="1" x14ac:dyDescent="0.3">
      <c r="A7" s="104">
        <v>43494</v>
      </c>
      <c r="B7" s="61">
        <v>22368860</v>
      </c>
      <c r="C7" s="26">
        <v>628519</v>
      </c>
      <c r="D7" s="26">
        <f>IF(Table2[[#This Row],[Facebook]]&lt;&gt;0,VLOOKUP($A7,'Channel wise traffic'!$B$2:$K$368,7,FALSE),Table2[[#This Row],[Facebook2]])</f>
        <v>-5472770</v>
      </c>
      <c r="E7" s="26">
        <f>IF(Table2[[#This Row],[Youtube]]&lt;&gt;0,VLOOKUP($A7,'Channel wise traffic'!$B$2:$K$368,8,FALSE),Table2[[#This Row],[Youtube3]])</f>
        <v>4010759</v>
      </c>
      <c r="F7" s="26">
        <f>IF(Table2[[#This Row],[Twitter]]&lt;&gt;0,VLOOKUP($A7,'Channel wise traffic'!$B$2:$K$368,9,FALSE),Table2[[#This Row],[Twitter4]])</f>
        <v>-17366793</v>
      </c>
      <c r="G7" s="26">
        <f>IF(Table2[[#This Row],[Others]]&lt;&gt;0,VLOOKUP($A7,'Channel wise traffic'!$B$2:$K$368,10,FALSE),Table2[[#This Row],[Others5]])</f>
        <v>3626665</v>
      </c>
      <c r="H7" s="40">
        <f>VLOOKUP($A7,'Channel wise traffic'!$B$2:$P$368,15,FALSE)</f>
        <v>-15202139</v>
      </c>
      <c r="I7" s="63">
        <f>VLOOKUP(Table24[[#This Row],[Date]],'Session Details'!$A$2:$N$368,7,FALSE)</f>
        <v>2.8097945089736356E-2</v>
      </c>
      <c r="J7" s="7">
        <f>VLOOKUP(Table24[[#This Row],[Date]],'Session Details'!$A$2:$N$368,8,FALSE)</f>
        <v>-0.71708723442563915</v>
      </c>
      <c r="K7" s="7">
        <f>VLOOKUP(Table24[[#This Row],[Date]],'Session Details'!$A$2:$N$368,9,FALSE)</f>
        <v>-0.40462427961056557</v>
      </c>
      <c r="L7" s="7">
        <f>VLOOKUP(Table24[[#This Row],[Date]],'Session Details'!$A$2:$N$368,10,FALSE)</f>
        <v>-0.52481642115115479</v>
      </c>
      <c r="M7" s="104" t="s">
        <v>64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</row>
    <row r="8" spans="1:131" x14ac:dyDescent="0.3">
      <c r="A8" s="104">
        <v>43501</v>
      </c>
      <c r="B8" s="61">
        <v>22368860</v>
      </c>
      <c r="C8" s="26">
        <v>1349861</v>
      </c>
      <c r="D8" s="26">
        <f>IF(Table2[[#This Row],[Facebook]]&lt;&gt;0,VLOOKUP($A8,'Channel wise traffic'!$B$2:$K$368,7,FALSE),Table2[[#This Row],[Facebook2]])</f>
        <v>0</v>
      </c>
      <c r="E8" s="26">
        <f>IF(Table2[[#This Row],[Youtube]]&lt;&gt;0,VLOOKUP($A8,'Channel wise traffic'!$B$2:$K$368,8,FALSE),Table2[[#This Row],[Youtube3]])</f>
        <v>0</v>
      </c>
      <c r="F8" s="26">
        <f>IF(Table2[[#This Row],[Twitter]]&lt;&gt;0,VLOOKUP($A8,'Channel wise traffic'!$B$2:$K$368,9,FALSE),Table2[[#This Row],[Twitter4]])</f>
        <v>0</v>
      </c>
      <c r="G8" s="26">
        <f>IF(Table2[[#This Row],[Others]]&lt;&gt;0,VLOOKUP($A8,'Channel wise traffic'!$B$2:$K$368,10,FALSE),Table2[[#This Row],[Others5]])</f>
        <v>0</v>
      </c>
      <c r="H8" s="40">
        <f>VLOOKUP($A8,'Channel wise traffic'!$B$2:$P$368,15,FALSE)</f>
        <v>0</v>
      </c>
      <c r="I8" s="63">
        <f>VLOOKUP(Table24[[#This Row],[Date]],'Session Details'!$A$2:$N$368,7,FALSE)</f>
        <v>6.0345542866288224E-2</v>
      </c>
      <c r="J8" s="7">
        <f>VLOOKUP(Table24[[#This Row],[Date]],'Session Details'!$A$2:$N$368,8,FALSE)</f>
        <v>1.1476852728398028</v>
      </c>
      <c r="K8" s="7">
        <f>VLOOKUP(Table24[[#This Row],[Date]],'Session Details'!$A$2:$N$368,9,FALSE)</f>
        <v>0</v>
      </c>
      <c r="L8" s="7">
        <f>VLOOKUP(Table24[[#This Row],[Date]],'Session Details'!$A$2:$N$368,10,FALSE)</f>
        <v>1.1476852728398028</v>
      </c>
      <c r="M8" s="104" t="s">
        <v>54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</row>
    <row r="9" spans="1:131" s="35" customFormat="1" x14ac:dyDescent="0.3">
      <c r="A9" s="104">
        <v>43515</v>
      </c>
      <c r="B9" s="61">
        <v>21934513</v>
      </c>
      <c r="C9" s="26">
        <v>620260</v>
      </c>
      <c r="D9" s="26">
        <f>IF(Table2[[#This Row],[Facebook]]&lt;&gt;0,VLOOKUP($A9,'Channel wise traffic'!$B$2:$K$368,7,FALSE),Table2[[#This Row],[Facebook2]])</f>
        <v>-312730</v>
      </c>
      <c r="E9" s="26">
        <f>IF(Table2[[#This Row],[Youtube]]&lt;&gt;0,VLOOKUP($A9,'Channel wise traffic'!$B$2:$K$368,8,FALSE),Table2[[#This Row],[Youtube3]])</f>
        <v>-234548</v>
      </c>
      <c r="F9" s="26">
        <f>IF(Table2[[#This Row],[Twitter]]&lt;&gt;0,VLOOKUP($A9,'Channel wise traffic'!$B$2:$K$368,9,FALSE),Table2[[#This Row],[Twitter4]])</f>
        <v>-95556</v>
      </c>
      <c r="G9" s="26">
        <f>IF(Table2[[#This Row],[Others]]&lt;&gt;0,VLOOKUP($A9,'Channel wise traffic'!$B$2:$K$368,10,FALSE),Table2[[#This Row],[Others5]])</f>
        <v>-225860</v>
      </c>
      <c r="H9" s="40">
        <f>VLOOKUP($A9,'Channel wise traffic'!$B$2:$P$368,15,FALSE)</f>
        <v>-868694</v>
      </c>
      <c r="I9" s="63">
        <f>VLOOKUP(Table24[[#This Row],[Date]],'Session Details'!$A$2:$N$368,7,FALSE)</f>
        <v>2.8277810407735061E-2</v>
      </c>
      <c r="J9" s="7">
        <f>VLOOKUP(Table24[[#This Row],[Date]],'Session Details'!$A$2:$N$368,8,FALSE)</f>
        <v>-0.55839299648571217</v>
      </c>
      <c r="K9" s="7">
        <f>VLOOKUP(Table24[[#This Row],[Date]],'Session Details'!$A$2:$N$368,9,FALSE)</f>
        <v>-3.809525563663041E-2</v>
      </c>
      <c r="L9" s="7">
        <f>VLOOKUP(Table24[[#This Row],[Date]],'Session Details'!$A$2:$N$368,10,FALSE)</f>
        <v>-0.54090360183579034</v>
      </c>
      <c r="M9" s="104" t="s">
        <v>54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</row>
    <row r="10" spans="1:131" x14ac:dyDescent="0.3">
      <c r="A10" s="104">
        <v>43522</v>
      </c>
      <c r="B10" s="61">
        <v>22368860</v>
      </c>
      <c r="C10" s="26">
        <v>1364832</v>
      </c>
      <c r="D10" s="26">
        <f>IF(Table2[[#This Row],[Facebook]]&lt;&gt;0,VLOOKUP($A10,'Channel wise traffic'!$B$2:$K$368,7,FALSE),Table2[[#This Row],[Facebook2]])</f>
        <v>156365</v>
      </c>
      <c r="E10" s="26">
        <f>IF(Table2[[#This Row],[Youtube]]&lt;&gt;0,VLOOKUP($A10,'Channel wise traffic'!$B$2:$K$368,8,FALSE),Table2[[#This Row],[Youtube3]])</f>
        <v>117274</v>
      </c>
      <c r="F10" s="26">
        <f>IF(Table2[[#This Row],[Twitter]]&lt;&gt;0,VLOOKUP($A10,'Channel wise traffic'!$B$2:$K$368,9,FALSE),Table2[[#This Row],[Twitter4]])</f>
        <v>47778</v>
      </c>
      <c r="G10" s="26">
        <f>IF(Table2[[#This Row],[Others]]&lt;&gt;0,VLOOKUP($A10,'Channel wise traffic'!$B$2:$K$368,10,FALSE),Table2[[#This Row],[Others5]])</f>
        <v>112930</v>
      </c>
      <c r="H10" s="40">
        <f>VLOOKUP($A10,'Channel wise traffic'!$B$2:$P$368,15,FALSE)</f>
        <v>434347</v>
      </c>
      <c r="I10" s="63">
        <f>VLOOKUP(Table24[[#This Row],[Date]],'Session Details'!$A$2:$N$368,7,FALSE)</f>
        <v>6.1014821497385206E-2</v>
      </c>
      <c r="J10" s="7">
        <f>VLOOKUP(Table24[[#This Row],[Date]],'Session Details'!$A$2:$N$368,8,FALSE)</f>
        <v>1.2004191790539451</v>
      </c>
      <c r="K10" s="7">
        <f>VLOOKUP(Table24[[#This Row],[Date]],'Session Details'!$A$2:$N$368,9,FALSE)</f>
        <v>1.9801989677181275E-2</v>
      </c>
      <c r="L10" s="7">
        <f>VLOOKUP(Table24[[#This Row],[Date]],'Session Details'!$A$2:$N$368,10,FALSE)</f>
        <v>1.157692572996929</v>
      </c>
      <c r="M10" s="104" t="s">
        <v>54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</row>
    <row r="11" spans="1:131" x14ac:dyDescent="0.3">
      <c r="A11" s="104">
        <v>43524</v>
      </c>
      <c r="B11" s="61">
        <v>22586034</v>
      </c>
      <c r="C11" s="26">
        <v>1405660</v>
      </c>
      <c r="D11" s="26">
        <f>IF(Table2[[#This Row],[Facebook]]&lt;&gt;0,VLOOKUP($A11,'Channel wise traffic'!$B$2:$K$368,7,FALSE),Table2[[#This Row],[Facebook2]])</f>
        <v>625460</v>
      </c>
      <c r="E11" s="26">
        <f>IF(Table2[[#This Row],[Youtube]]&lt;&gt;0,VLOOKUP($A11,'Channel wise traffic'!$B$2:$K$368,8,FALSE),Table2[[#This Row],[Youtube3]])</f>
        <v>469095</v>
      </c>
      <c r="F11" s="26">
        <f>IF(Table2[[#This Row],[Twitter]]&lt;&gt;0,VLOOKUP($A11,'Channel wise traffic'!$B$2:$K$368,9,FALSE),Table2[[#This Row],[Twitter4]])</f>
        <v>191112</v>
      </c>
      <c r="G11" s="26">
        <f>IF(Table2[[#This Row],[Others]]&lt;&gt;0,VLOOKUP($A11,'Channel wise traffic'!$B$2:$K$368,10,FALSE),Table2[[#This Row],[Others5]])</f>
        <v>451720</v>
      </c>
      <c r="H11" s="40">
        <f>VLOOKUP($A11,'Channel wise traffic'!$B$2:$P$368,15,FALSE)</f>
        <v>1737387</v>
      </c>
      <c r="I11" s="63">
        <f>VLOOKUP(Table24[[#This Row],[Date]],'Session Details'!$A$2:$N$368,7,FALSE)</f>
        <v>6.2235804656984049E-2</v>
      </c>
      <c r="J11" s="7">
        <f>VLOOKUP(Table24[[#This Row],[Date]],'Session Details'!$A$2:$N$368,8,FALSE)</f>
        <v>0.22324803045110131</v>
      </c>
      <c r="K11" s="7">
        <f>VLOOKUP(Table24[[#This Row],[Date]],'Session Details'!$A$2:$N$368,9,FALSE)</f>
        <v>8.3333373303954517E-2</v>
      </c>
      <c r="L11" s="7">
        <f>VLOOKUP(Table24[[#This Row],[Date]],'Session Details'!$A$2:$N$368,10,FALSE)</f>
        <v>0.12915198644756454</v>
      </c>
      <c r="M11" s="104" t="s">
        <v>54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</row>
    <row r="12" spans="1:131" x14ac:dyDescent="0.3">
      <c r="A12" s="104">
        <v>43526</v>
      </c>
      <c r="B12" s="61">
        <v>46685340</v>
      </c>
      <c r="C12" s="26">
        <v>900972</v>
      </c>
      <c r="D12" s="26">
        <f>IF(Table2[[#This Row],[Facebook]]&lt;&gt;0,VLOOKUP($A12,'Channel wise traffic'!$B$2:$K$368,7,FALSE),Table2[[#This Row],[Facebook2]])</f>
        <v>1292825</v>
      </c>
      <c r="E12" s="26">
        <f>IF(Table2[[#This Row],[Youtube]]&lt;&gt;0,VLOOKUP($A12,'Channel wise traffic'!$B$2:$K$368,8,FALSE),Table2[[#This Row],[Youtube3]])</f>
        <v>969619</v>
      </c>
      <c r="F12" s="26">
        <f>IF(Table2[[#This Row],[Twitter]]&lt;&gt;0,VLOOKUP($A12,'Channel wise traffic'!$B$2:$K$368,9,FALSE),Table2[[#This Row],[Twitter4]])</f>
        <v>395030</v>
      </c>
      <c r="G12" s="26">
        <f>IF(Table2[[#This Row],[Others]]&lt;&gt;0,VLOOKUP($A12,'Channel wise traffic'!$B$2:$K$368,10,FALSE),Table2[[#This Row],[Others5]])</f>
        <v>933707</v>
      </c>
      <c r="H12" s="40">
        <f>VLOOKUP($A12,'Channel wise traffic'!$B$2:$P$368,15,FALSE)</f>
        <v>3591181</v>
      </c>
      <c r="I12" s="63">
        <f>VLOOKUP(Table24[[#This Row],[Date]],'Session Details'!$A$2:$N$368,7,FALSE)</f>
        <v>1.9298820571939712E-2</v>
      </c>
      <c r="J12" s="7">
        <f>VLOOKUP(Table24[[#This Row],[Date]],'Session Details'!$A$2:$N$368,8,FALSE)</f>
        <v>-0.37594234941110949</v>
      </c>
      <c r="K12" s="7">
        <f>VLOOKUP(Table24[[#This Row],[Date]],'Session Details'!$A$2:$N$368,9,FALSE)</f>
        <v>8.3333333333333259E-2</v>
      </c>
      <c r="L12" s="7">
        <f>VLOOKUP(Table24[[#This Row],[Date]],'Session Details'!$A$2:$N$368,10,FALSE)</f>
        <v>-0.42394678407179354</v>
      </c>
      <c r="M12" s="104" t="s">
        <v>54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</row>
    <row r="13" spans="1:131" x14ac:dyDescent="0.3">
      <c r="A13" s="104">
        <v>43533</v>
      </c>
      <c r="B13" s="61">
        <v>46685340</v>
      </c>
      <c r="C13" s="26">
        <v>1820150</v>
      </c>
      <c r="D13" s="26">
        <f>IF(Table2[[#This Row],[Facebook]]&lt;&gt;0,VLOOKUP($A13,'Channel wise traffic'!$B$2:$K$368,7,FALSE),Table2[[#This Row],[Facebook2]])</f>
        <v>0</v>
      </c>
      <c r="E13" s="26">
        <f>IF(Table2[[#This Row],[Youtube]]&lt;&gt;0,VLOOKUP($A13,'Channel wise traffic'!$B$2:$K$368,8,FALSE),Table2[[#This Row],[Youtube3]])</f>
        <v>0</v>
      </c>
      <c r="F13" s="26">
        <f>IF(Table2[[#This Row],[Twitter]]&lt;&gt;0,VLOOKUP($A13,'Channel wise traffic'!$B$2:$K$368,9,FALSE),Table2[[#This Row],[Twitter4]])</f>
        <v>0</v>
      </c>
      <c r="G13" s="26">
        <f>IF(Table2[[#This Row],[Others]]&lt;&gt;0,VLOOKUP($A13,'Channel wise traffic'!$B$2:$K$368,10,FALSE),Table2[[#This Row],[Others5]])</f>
        <v>0</v>
      </c>
      <c r="H13" s="40">
        <f>VLOOKUP($A13,'Channel wise traffic'!$B$2:$P$368,15,FALSE)</f>
        <v>0</v>
      </c>
      <c r="I13" s="63">
        <f>VLOOKUP(Table24[[#This Row],[Date]],'Session Details'!$A$2:$N$368,7,FALSE)</f>
        <v>3.8987613670586958E-2</v>
      </c>
      <c r="J13" s="7">
        <f>VLOOKUP(Table24[[#This Row],[Date]],'Session Details'!$A$2:$N$368,8,FALSE)</f>
        <v>1.0202070652584099</v>
      </c>
      <c r="K13" s="7">
        <f>VLOOKUP(Table24[[#This Row],[Date]],'Session Details'!$A$2:$N$368,9,FALSE)</f>
        <v>0</v>
      </c>
      <c r="L13" s="7">
        <f>VLOOKUP(Table24[[#This Row],[Date]],'Session Details'!$A$2:$N$368,10,FALSE)</f>
        <v>1.0202070652584103</v>
      </c>
      <c r="M13" s="104" t="s">
        <v>54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</row>
    <row r="14" spans="1:131" x14ac:dyDescent="0.3">
      <c r="A14" s="104">
        <v>43543</v>
      </c>
      <c r="B14" s="61">
        <v>21934513</v>
      </c>
      <c r="C14" s="26">
        <v>707578</v>
      </c>
      <c r="D14" s="26">
        <f>IF(Table2[[#This Row],[Facebook]]&lt;&gt;0,VLOOKUP($A14,'Channel wise traffic'!$B$2:$K$368,7,FALSE),Table2[[#This Row],[Facebook2]])</f>
        <v>156364</v>
      </c>
      <c r="E14" s="26">
        <f>IF(Table2[[#This Row],[Youtube]]&lt;&gt;0,VLOOKUP($A14,'Channel wise traffic'!$B$2:$K$368,8,FALSE),Table2[[#This Row],[Youtube3]])</f>
        <v>117273</v>
      </c>
      <c r="F14" s="26">
        <f>IF(Table2[[#This Row],[Twitter]]&lt;&gt;0,VLOOKUP($A14,'Channel wise traffic'!$B$2:$K$368,9,FALSE),Table2[[#This Row],[Twitter4]])</f>
        <v>47778</v>
      </c>
      <c r="G14" s="26">
        <f>IF(Table2[[#This Row],[Others]]&lt;&gt;0,VLOOKUP($A14,'Channel wise traffic'!$B$2:$K$368,10,FALSE),Table2[[#This Row],[Others5]])</f>
        <v>112930</v>
      </c>
      <c r="H14" s="40">
        <f>VLOOKUP($A14,'Channel wise traffic'!$B$2:$P$368,15,FALSE)</f>
        <v>434345</v>
      </c>
      <c r="I14" s="63">
        <f>VLOOKUP(Table24[[#This Row],[Date]],'Session Details'!$A$2:$N$368,7,FALSE)</f>
        <v>3.2258660130726403E-2</v>
      </c>
      <c r="J14" s="7">
        <f>VLOOKUP(Table24[[#This Row],[Date]],'Session Details'!$A$2:$N$368,8,FALSE)</f>
        <v>-0.45549226537958976</v>
      </c>
      <c r="K14" s="7">
        <f>VLOOKUP(Table24[[#This Row],[Date]],'Session Details'!$A$2:$N$368,9,FALSE)</f>
        <v>2.0201982617158221E-2</v>
      </c>
      <c r="L14" s="7">
        <f>VLOOKUP(Table24[[#This Row],[Date]],'Session Details'!$A$2:$N$368,10,FALSE)</f>
        <v>-0.46627457709544307</v>
      </c>
      <c r="M14" s="104" t="s">
        <v>54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</row>
    <row r="15" spans="1:131" x14ac:dyDescent="0.3">
      <c r="A15" s="104">
        <v>43548</v>
      </c>
      <c r="B15" s="61">
        <v>45338648</v>
      </c>
      <c r="C15" s="26">
        <v>1839416</v>
      </c>
      <c r="D15" s="26">
        <f>IF(Table2[[#This Row],[Facebook]]&lt;&gt;0,VLOOKUP($A15,'Channel wise traffic'!$B$2:$K$368,7,FALSE),Table2[[#This Row],[Facebook2]])</f>
        <v>969619</v>
      </c>
      <c r="E15" s="26">
        <f>IF(Table2[[#This Row],[Youtube]]&lt;&gt;0,VLOOKUP($A15,'Channel wise traffic'!$B$2:$K$368,8,FALSE),Table2[[#This Row],[Youtube3]])</f>
        <v>727214</v>
      </c>
      <c r="F15" s="26">
        <f>IF(Table2[[#This Row],[Twitter]]&lt;&gt;0,VLOOKUP($A15,'Channel wise traffic'!$B$2:$K$368,9,FALSE),Table2[[#This Row],[Twitter4]])</f>
        <v>296273</v>
      </c>
      <c r="G15" s="26">
        <f>IF(Table2[[#This Row],[Others]]&lt;&gt;0,VLOOKUP($A15,'Channel wise traffic'!$B$2:$K$368,10,FALSE),Table2[[#This Row],[Others5]])</f>
        <v>700280</v>
      </c>
      <c r="H15" s="40">
        <f>VLOOKUP($A15,'Channel wise traffic'!$B$2:$P$368,15,FALSE)</f>
        <v>2693386</v>
      </c>
      <c r="I15" s="63">
        <f>VLOOKUP(Table24[[#This Row],[Date]],'Session Details'!$A$2:$N$368,7,FALSE)</f>
        <v>4.05705966353474E-2</v>
      </c>
      <c r="J15" s="7">
        <f>VLOOKUP(Table24[[#This Row],[Date]],'Session Details'!$A$2:$N$368,8,FALSE)</f>
        <v>0.22259812803337153</v>
      </c>
      <c r="K15" s="7">
        <f>VLOOKUP(Table24[[#This Row],[Date]],'Session Details'!$A$2:$N$368,9,FALSE)</f>
        <v>6.3157893996339087E-2</v>
      </c>
      <c r="L15" s="7">
        <f>VLOOKUP(Table24[[#This Row],[Date]],'Session Details'!$A$2:$N$368,10,FALSE)</f>
        <v>0.14996853706998059</v>
      </c>
      <c r="M15" s="104" t="s">
        <v>54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</row>
    <row r="16" spans="1:131" s="35" customFormat="1" x14ac:dyDescent="0.3">
      <c r="A16" s="104">
        <v>43550</v>
      </c>
      <c r="B16" s="61">
        <v>20848646</v>
      </c>
      <c r="C16" s="26">
        <v>1259241</v>
      </c>
      <c r="D16" s="26">
        <f>IF(Table2[[#This Row],[Facebook]]&lt;&gt;0,VLOOKUP($A16,'Channel wise traffic'!$B$2:$K$368,7,FALSE),Table2[[#This Row],[Facebook2]])</f>
        <v>-390912</v>
      </c>
      <c r="E16" s="26">
        <f>IF(Table2[[#This Row],[Youtube]]&lt;&gt;0,VLOOKUP($A16,'Channel wise traffic'!$B$2:$K$368,8,FALSE),Table2[[#This Row],[Youtube3]])</f>
        <v>-293184</v>
      </c>
      <c r="F16" s="26">
        <f>IF(Table2[[#This Row],[Twitter]]&lt;&gt;0,VLOOKUP($A16,'Channel wise traffic'!$B$2:$K$368,9,FALSE),Table2[[#This Row],[Twitter4]])</f>
        <v>-119445</v>
      </c>
      <c r="G16" s="26">
        <f>IF(Table2[[#This Row],[Others]]&lt;&gt;0,VLOOKUP($A16,'Channel wise traffic'!$B$2:$K$368,10,FALSE),Table2[[#This Row],[Others5]])</f>
        <v>-282325</v>
      </c>
      <c r="H16" s="40">
        <f>VLOOKUP($A16,'Channel wise traffic'!$B$2:$P$368,15,FALSE)</f>
        <v>-1085866</v>
      </c>
      <c r="I16" s="63">
        <f>VLOOKUP(Table24[[#This Row],[Date]],'Session Details'!$A$2:$N$368,7,FALSE)</f>
        <v>6.0399174123825596E-2</v>
      </c>
      <c r="J16" s="7">
        <f>VLOOKUP(Table24[[#This Row],[Date]],'Session Details'!$A$2:$N$368,8,FALSE)</f>
        <v>0.77964973472889199</v>
      </c>
      <c r="K16" s="7">
        <f>VLOOKUP(Table24[[#This Row],[Date]],'Session Details'!$A$2:$N$368,9,FALSE)</f>
        <v>-4.9504951397826846E-2</v>
      </c>
      <c r="L16" s="7">
        <f>VLOOKUP(Table24[[#This Row],[Date]],'Session Details'!$A$2:$N$368,10,FALSE)</f>
        <v>0.87233982685769784</v>
      </c>
      <c r="M16" s="104" t="s">
        <v>54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</row>
    <row r="17" spans="1:131" x14ac:dyDescent="0.3">
      <c r="A17" s="104">
        <v>43559</v>
      </c>
      <c r="B17" s="61">
        <v>22151687</v>
      </c>
      <c r="C17" s="26">
        <v>628275</v>
      </c>
      <c r="D17" s="26">
        <f>IF(Table2[[#This Row],[Facebook]]&lt;&gt;0,VLOOKUP($A17,'Channel wise traffic'!$B$2:$K$368,7,FALSE),Table2[[#This Row],[Facebook2]])</f>
        <v>234547</v>
      </c>
      <c r="E17" s="26">
        <f>IF(Table2[[#This Row],[Youtube]]&lt;&gt;0,VLOOKUP($A17,'Channel wise traffic'!$B$2:$K$368,8,FALSE),Table2[[#This Row],[Youtube3]])</f>
        <v>175910</v>
      </c>
      <c r="F17" s="26">
        <f>IF(Table2[[#This Row],[Twitter]]&lt;&gt;0,VLOOKUP($A17,'Channel wise traffic'!$B$2:$K$368,9,FALSE),Table2[[#This Row],[Twitter4]])</f>
        <v>71667</v>
      </c>
      <c r="G17" s="26">
        <f>IF(Table2[[#This Row],[Others]]&lt;&gt;0,VLOOKUP($A17,'Channel wise traffic'!$B$2:$K$368,10,FALSE),Table2[[#This Row],[Others5]])</f>
        <v>169395</v>
      </c>
      <c r="H17" s="40">
        <f>VLOOKUP($A17,'Channel wise traffic'!$B$2:$P$368,15,FALSE)</f>
        <v>651519</v>
      </c>
      <c r="I17" s="63">
        <f>VLOOKUP(Table24[[#This Row],[Date]],'Session Details'!$A$2:$N$368,7,FALSE)</f>
        <v>2.8362399667348135E-2</v>
      </c>
      <c r="J17" s="7">
        <f>VLOOKUP(Table24[[#This Row],[Date]],'Session Details'!$A$2:$N$368,8,FALSE)</f>
        <v>-0.52087951809985289</v>
      </c>
      <c r="K17" s="7">
        <f>VLOOKUP(Table24[[#This Row],[Date]],'Session Details'!$A$2:$N$368,9,FALSE)</f>
        <v>3.0303020437004058E-2</v>
      </c>
      <c r="L17" s="7">
        <f>VLOOKUP(Table24[[#This Row],[Date]],'Session Details'!$A$2:$N$368,10,FALSE)</f>
        <v>-0.53497129252622422</v>
      </c>
      <c r="M17" s="104" t="s">
        <v>54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</row>
    <row r="18" spans="1:131" s="35" customFormat="1" x14ac:dyDescent="0.3">
      <c r="A18" s="104">
        <v>43566</v>
      </c>
      <c r="B18" s="61">
        <v>20631473</v>
      </c>
      <c r="C18" s="26">
        <v>1208741</v>
      </c>
      <c r="D18" s="26">
        <f>IF(Table2[[#This Row],[Facebook]]&lt;&gt;0,VLOOKUP($A18,'Channel wise traffic'!$B$2:$K$368,7,FALSE),Table2[[#This Row],[Facebook2]])</f>
        <v>-547277</v>
      </c>
      <c r="E18" s="26">
        <f>IF(Table2[[#This Row],[Youtube]]&lt;&gt;0,VLOOKUP($A18,'Channel wise traffic'!$B$2:$K$368,8,FALSE),Table2[[#This Row],[Youtube3]])</f>
        <v>-410458</v>
      </c>
      <c r="F18" s="26">
        <f>IF(Table2[[#This Row],[Twitter]]&lt;&gt;0,VLOOKUP($A18,'Channel wise traffic'!$B$2:$K$368,9,FALSE),Table2[[#This Row],[Twitter4]])</f>
        <v>-167223</v>
      </c>
      <c r="G18" s="26">
        <f>IF(Table2[[#This Row],[Others]]&lt;&gt;0,VLOOKUP($A18,'Channel wise traffic'!$B$2:$K$368,10,FALSE),Table2[[#This Row],[Others5]])</f>
        <v>-395255</v>
      </c>
      <c r="H18" s="40">
        <f>VLOOKUP($A18,'Channel wise traffic'!$B$2:$P$368,15,FALSE)</f>
        <v>-1520213</v>
      </c>
      <c r="I18" s="63">
        <f>VLOOKUP(Table24[[#This Row],[Date]],'Session Details'!$A$2:$N$368,7,FALSE)</f>
        <v>5.8587237081908793E-2</v>
      </c>
      <c r="J18" s="7">
        <f>VLOOKUP(Table24[[#This Row],[Date]],'Session Details'!$A$2:$N$368,8,FALSE)</f>
        <v>0.9239043412518404</v>
      </c>
      <c r="K18" s="7">
        <f>VLOOKUP(Table24[[#This Row],[Date]],'Session Details'!$A$2:$N$368,9,FALSE)</f>
        <v>-6.8627459389436152E-2</v>
      </c>
      <c r="L18" s="7">
        <f>VLOOKUP(Table24[[#This Row],[Date]],'Session Details'!$A$2:$N$368,10,FALSE)</f>
        <v>1.0656657324153227</v>
      </c>
      <c r="M18" s="104" t="s">
        <v>54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</row>
    <row r="19" spans="1:131" s="35" customFormat="1" x14ac:dyDescent="0.3">
      <c r="A19" s="104">
        <v>43567</v>
      </c>
      <c r="B19" s="61">
        <v>20631473</v>
      </c>
      <c r="C19" s="26">
        <v>1138287</v>
      </c>
      <c r="D19" s="26">
        <f>IF(Table2[[#This Row],[Facebook]]&lt;&gt;0,VLOOKUP($A19,'Channel wise traffic'!$B$2:$K$368,7,FALSE),Table2[[#This Row],[Facebook2]])</f>
        <v>-703642</v>
      </c>
      <c r="E19" s="26">
        <f>IF(Table2[[#This Row],[Youtube]]&lt;&gt;0,VLOOKUP($A19,'Channel wise traffic'!$B$2:$K$368,8,FALSE),Table2[[#This Row],[Youtube3]])</f>
        <v>-527732</v>
      </c>
      <c r="F19" s="26">
        <f>IF(Table2[[#This Row],[Twitter]]&lt;&gt;0,VLOOKUP($A19,'Channel wise traffic'!$B$2:$K$368,9,FALSE),Table2[[#This Row],[Twitter4]])</f>
        <v>-215001</v>
      </c>
      <c r="G19" s="26">
        <f>IF(Table2[[#This Row],[Others]]&lt;&gt;0,VLOOKUP($A19,'Channel wise traffic'!$B$2:$K$368,10,FALSE),Table2[[#This Row],[Others5]])</f>
        <v>-508185</v>
      </c>
      <c r="H19" s="40">
        <f>VLOOKUP($A19,'Channel wise traffic'!$B$2:$P$368,15,FALSE)</f>
        <v>-1954560</v>
      </c>
      <c r="I19" s="63">
        <f>VLOOKUP(Table24[[#This Row],[Date]],'Session Details'!$A$2:$N$368,7,FALSE)</f>
        <v>5.5172357300906243E-2</v>
      </c>
      <c r="J19" s="7">
        <f>VLOOKUP(Table24[[#This Row],[Date]],'Session Details'!$A$2:$N$368,8,FALSE)</f>
        <v>-0.27312591355188975</v>
      </c>
      <c r="K19" s="7">
        <f>VLOOKUP(Table24[[#This Row],[Date]],'Session Details'!$A$2:$N$368,9,FALSE)</f>
        <v>-8.6538477715919493E-2</v>
      </c>
      <c r="L19" s="7">
        <f>VLOOKUP(Table24[[#This Row],[Date]],'Session Details'!$A$2:$N$368,10,FALSE)</f>
        <v>-0.20426414390111858</v>
      </c>
      <c r="M19" s="104" t="s">
        <v>54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</row>
    <row r="20" spans="1:131" x14ac:dyDescent="0.3">
      <c r="A20" s="104">
        <v>43569</v>
      </c>
      <c r="B20" s="61">
        <v>46685340</v>
      </c>
      <c r="C20" s="26">
        <v>1930656</v>
      </c>
      <c r="D20" s="26">
        <f>IF(Table2[[#This Row],[Facebook]]&lt;&gt;0,VLOOKUP($A20,'Channel wise traffic'!$B$2:$K$368,7,FALSE),Table2[[#This Row],[Facebook2]])</f>
        <v>1292825</v>
      </c>
      <c r="E20" s="26">
        <f>IF(Table2[[#This Row],[Youtube]]&lt;&gt;0,VLOOKUP($A20,'Channel wise traffic'!$B$2:$K$368,8,FALSE),Table2[[#This Row],[Youtube3]])</f>
        <v>969619</v>
      </c>
      <c r="F20" s="26">
        <f>IF(Table2[[#This Row],[Twitter]]&lt;&gt;0,VLOOKUP($A20,'Channel wise traffic'!$B$2:$K$368,9,FALSE),Table2[[#This Row],[Twitter4]])</f>
        <v>395030</v>
      </c>
      <c r="G20" s="26">
        <f>IF(Table2[[#This Row],[Others]]&lt;&gt;0,VLOOKUP($A20,'Channel wise traffic'!$B$2:$K$368,10,FALSE),Table2[[#This Row],[Others5]])</f>
        <v>933707</v>
      </c>
      <c r="H20" s="40">
        <f>VLOOKUP($A20,'Channel wise traffic'!$B$2:$P$368,15,FALSE)</f>
        <v>3591181</v>
      </c>
      <c r="I20" s="63">
        <f>VLOOKUP(Table24[[#This Row],[Date]],'Session Details'!$A$2:$N$368,7,FALSE)</f>
        <v>4.1354652231300019E-2</v>
      </c>
      <c r="J20" s="7">
        <f>VLOOKUP(Table24[[#This Row],[Date]],'Session Details'!$A$2:$N$368,8,FALSE)</f>
        <v>0.28376620785956508</v>
      </c>
      <c r="K20" s="7">
        <f>VLOOKUP(Table24[[#This Row],[Date]],'Session Details'!$A$2:$N$368,9,FALSE)</f>
        <v>8.3333333333333259E-2</v>
      </c>
      <c r="L20" s="7">
        <f>VLOOKUP(Table24[[#This Row],[Date]],'Session Details'!$A$2:$N$368,10,FALSE)</f>
        <v>0.18501496110113713</v>
      </c>
      <c r="M20" s="104" t="s">
        <v>54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</row>
    <row r="21" spans="1:131" x14ac:dyDescent="0.3">
      <c r="A21" s="104">
        <v>43573</v>
      </c>
      <c r="B21" s="61">
        <v>22803207</v>
      </c>
      <c r="C21" s="26">
        <v>2091398</v>
      </c>
      <c r="D21" s="26">
        <f>IF(Table2[[#This Row],[Facebook]]&lt;&gt;0,VLOOKUP($A21,'Channel wise traffic'!$B$2:$K$368,7,FALSE),Table2[[#This Row],[Facebook2]])</f>
        <v>781824</v>
      </c>
      <c r="E21" s="26">
        <f>IF(Table2[[#This Row],[Youtube]]&lt;&gt;0,VLOOKUP($A21,'Channel wise traffic'!$B$2:$K$368,8,FALSE),Table2[[#This Row],[Youtube3]])</f>
        <v>586369</v>
      </c>
      <c r="F21" s="26">
        <f>IF(Table2[[#This Row],[Twitter]]&lt;&gt;0,VLOOKUP($A21,'Channel wise traffic'!$B$2:$K$368,9,FALSE),Table2[[#This Row],[Twitter4]])</f>
        <v>238890</v>
      </c>
      <c r="G21" s="26">
        <f>IF(Table2[[#This Row],[Others]]&lt;&gt;0,VLOOKUP($A21,'Channel wise traffic'!$B$2:$K$368,10,FALSE),Table2[[#This Row],[Others5]])</f>
        <v>564650</v>
      </c>
      <c r="H21" s="40">
        <f>VLOOKUP($A21,'Channel wise traffic'!$B$2:$P$368,15,FALSE)</f>
        <v>2171733</v>
      </c>
      <c r="I21" s="63">
        <f>VLOOKUP(Table24[[#This Row],[Date]],'Session Details'!$A$2:$N$368,7,FALSE)</f>
        <v>9.1715082005789803E-2</v>
      </c>
      <c r="J21" s="7">
        <f>VLOOKUP(Table24[[#This Row],[Date]],'Session Details'!$A$2:$N$368,8,FALSE)</f>
        <v>0.7302283946685022</v>
      </c>
      <c r="K21" s="7">
        <f>VLOOKUP(Table24[[#This Row],[Date]],'Session Details'!$A$2:$N$368,9,FALSE)</f>
        <v>0.10526315789473695</v>
      </c>
      <c r="L21" s="7">
        <f>VLOOKUP(Table24[[#This Row],[Date]],'Session Details'!$A$2:$N$368,10,FALSE)</f>
        <v>0.56544473803340667</v>
      </c>
      <c r="M21" s="104" t="s">
        <v>54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</row>
    <row r="22" spans="1:131" x14ac:dyDescent="0.3">
      <c r="A22" s="104">
        <v>43574</v>
      </c>
      <c r="B22" s="61">
        <v>22151687</v>
      </c>
      <c r="C22" s="26">
        <v>1419728</v>
      </c>
      <c r="D22" s="26">
        <f>IF(Table2[[#This Row],[Facebook]]&lt;&gt;0,VLOOKUP($A22,'Channel wise traffic'!$B$2:$K$368,7,FALSE),Table2[[#This Row],[Facebook2]])</f>
        <v>547277</v>
      </c>
      <c r="E22" s="26">
        <f>IF(Table2[[#This Row],[Youtube]]&lt;&gt;0,VLOOKUP($A22,'Channel wise traffic'!$B$2:$K$368,8,FALSE),Table2[[#This Row],[Youtube3]])</f>
        <v>410458</v>
      </c>
      <c r="F22" s="26">
        <f>IF(Table2[[#This Row],[Twitter]]&lt;&gt;0,VLOOKUP($A22,'Channel wise traffic'!$B$2:$K$368,9,FALSE),Table2[[#This Row],[Twitter4]])</f>
        <v>167223</v>
      </c>
      <c r="G22" s="26">
        <f>IF(Table2[[#This Row],[Others]]&lt;&gt;0,VLOOKUP($A22,'Channel wise traffic'!$B$2:$K$368,10,FALSE),Table2[[#This Row],[Others5]])</f>
        <v>395255</v>
      </c>
      <c r="H22" s="40">
        <f>VLOOKUP($A22,'Channel wise traffic'!$B$2:$P$368,15,FALSE)</f>
        <v>1520213</v>
      </c>
      <c r="I22" s="63">
        <f>VLOOKUP(Table24[[#This Row],[Date]],'Session Details'!$A$2:$N$368,7,FALSE)</f>
        <v>6.409119088762856E-2</v>
      </c>
      <c r="J22" s="7">
        <f>VLOOKUP(Table24[[#This Row],[Date]],'Session Details'!$A$2:$N$368,8,FALSE)</f>
        <v>0.2472495952251057</v>
      </c>
      <c r="K22" s="7">
        <f>VLOOKUP(Table24[[#This Row],[Date]],'Session Details'!$A$2:$N$368,9,FALSE)</f>
        <v>7.3684220220243013E-2</v>
      </c>
      <c r="L22" s="7">
        <f>VLOOKUP(Table24[[#This Row],[Date]],'Session Details'!$A$2:$N$368,10,FALSE)</f>
        <v>0.16165402428030418</v>
      </c>
      <c r="M22" s="104" t="s">
        <v>54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</row>
    <row r="23" spans="1:131" x14ac:dyDescent="0.3">
      <c r="A23" s="104">
        <v>43580</v>
      </c>
      <c r="B23" s="61">
        <v>22803207</v>
      </c>
      <c r="C23" s="26">
        <v>1282226</v>
      </c>
      <c r="D23" s="26">
        <f>IF(Table2[[#This Row],[Facebook]]&lt;&gt;0,VLOOKUP($A23,'Channel wise traffic'!$B$2:$K$368,7,FALSE),Table2[[#This Row],[Facebook2]])</f>
        <v>0</v>
      </c>
      <c r="E23" s="26">
        <f>IF(Table2[[#This Row],[Youtube]]&lt;&gt;0,VLOOKUP($A23,'Channel wise traffic'!$B$2:$K$368,8,FALSE),Table2[[#This Row],[Youtube3]])</f>
        <v>0</v>
      </c>
      <c r="F23" s="26">
        <f>IF(Table2[[#This Row],[Twitter]]&lt;&gt;0,VLOOKUP($A23,'Channel wise traffic'!$B$2:$K$368,9,FALSE),Table2[[#This Row],[Twitter4]])</f>
        <v>0</v>
      </c>
      <c r="G23" s="26">
        <f>IF(Table2[[#This Row],[Others]]&lt;&gt;0,VLOOKUP($A23,'Channel wise traffic'!$B$2:$K$368,10,FALSE),Table2[[#This Row],[Others5]])</f>
        <v>0</v>
      </c>
      <c r="H23" s="40">
        <f>VLOOKUP($A23,'Channel wise traffic'!$B$2:$P$368,15,FALSE)</f>
        <v>0</v>
      </c>
      <c r="I23" s="63">
        <f>VLOOKUP(Table24[[#This Row],[Date]],'Session Details'!$A$2:$N$368,7,FALSE)</f>
        <v>5.6230073252415767E-2</v>
      </c>
      <c r="J23" s="7">
        <f>VLOOKUP(Table24[[#This Row],[Date]],'Session Details'!$A$2:$N$368,8,FALSE)</f>
        <v>-0.38690483590402214</v>
      </c>
      <c r="K23" s="7">
        <f>VLOOKUP(Table24[[#This Row],[Date]],'Session Details'!$A$2:$N$368,9,FALSE)</f>
        <v>0</v>
      </c>
      <c r="L23" s="7">
        <f>VLOOKUP(Table24[[#This Row],[Date]],'Session Details'!$A$2:$N$368,10,FALSE)</f>
        <v>-0.38690483590402214</v>
      </c>
      <c r="M23" s="104" t="s">
        <v>54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</row>
    <row r="24" spans="1:131" x14ac:dyDescent="0.3">
      <c r="A24" s="104">
        <v>43636</v>
      </c>
      <c r="B24" s="61">
        <v>10207150</v>
      </c>
      <c r="C24" s="26">
        <v>616058</v>
      </c>
      <c r="D24" s="26">
        <f>IF(Table2[[#This Row],[Facebook]]&lt;&gt;0,VLOOKUP($A24,'Channel wise traffic'!$B$2:$K$368,7,FALSE),Table2[[#This Row],[Facebook2]])</f>
        <v>-4143668</v>
      </c>
      <c r="E24" s="26">
        <f>IF(Table2[[#This Row],[Youtube]]&lt;&gt;0,VLOOKUP($A24,'Channel wise traffic'!$B$2:$K$368,8,FALSE),Table2[[#This Row],[Youtube3]])</f>
        <v>-3107751</v>
      </c>
      <c r="F24" s="26">
        <f>IF(Table2[[#This Row],[Twitter]]&lt;&gt;0,VLOOKUP($A24,'Channel wise traffic'!$B$2:$K$368,9,FALSE),Table2[[#This Row],[Twitter4]])</f>
        <v>-1266121</v>
      </c>
      <c r="G24" s="26">
        <f>IF(Table2[[#This Row],[Others]]&lt;&gt;0,VLOOKUP($A24,'Channel wise traffic'!$B$2:$K$368,10,FALSE),Table2[[#This Row],[Others5]])</f>
        <v>-2992649</v>
      </c>
      <c r="H24" s="40">
        <f>VLOOKUP($A24,'Channel wise traffic'!$B$2:$P$368,15,FALSE)</f>
        <v>-11510189</v>
      </c>
      <c r="I24" s="63">
        <f>VLOOKUP(Table24[[#This Row],[Date]],'Session Details'!$A$2:$N$368,7,FALSE)</f>
        <v>6.035553509059826E-2</v>
      </c>
      <c r="J24" s="7">
        <f>VLOOKUP(Table24[[#This Row],[Date]],'Session Details'!$A$2:$N$368,8,FALSE)</f>
        <v>-0.54373712252615491</v>
      </c>
      <c r="K24" s="7">
        <f>VLOOKUP(Table24[[#This Row],[Date]],'Session Details'!$A$2:$N$368,9,FALSE)</f>
        <v>-0.52999999079076909</v>
      </c>
      <c r="L24" s="7">
        <f>VLOOKUP(Table24[[#This Row],[Date]],'Session Details'!$A$2:$N$368,10,FALSE)</f>
        <v>-2.9227939289827587E-2</v>
      </c>
      <c r="M24" s="95" t="s">
        <v>60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</row>
    <row r="25" spans="1:131" x14ac:dyDescent="0.3">
      <c r="A25" s="104">
        <v>43643</v>
      </c>
      <c r="B25" s="61">
        <v>22368860</v>
      </c>
      <c r="C25" s="26">
        <v>1322811</v>
      </c>
      <c r="D25" s="26">
        <f>IF(Table2[[#This Row],[Facebook]]&lt;&gt;0,VLOOKUP($A25,'Channel wise traffic'!$B$2:$K$368,7,FALSE),Table2[[#This Row],[Facebook2]])</f>
        <v>4378215</v>
      </c>
      <c r="E25" s="26">
        <f>IF(Table2[[#This Row],[Youtube]]&lt;&gt;0,VLOOKUP($A25,'Channel wise traffic'!$B$2:$K$368,8,FALSE),Table2[[#This Row],[Youtube3]])</f>
        <v>3283662</v>
      </c>
      <c r="F25" s="26">
        <f>IF(Table2[[#This Row],[Twitter]]&lt;&gt;0,VLOOKUP($A25,'Channel wise traffic'!$B$2:$K$368,9,FALSE),Table2[[#This Row],[Twitter4]])</f>
        <v>1337788</v>
      </c>
      <c r="G25" s="26">
        <f>IF(Table2[[#This Row],[Others]]&lt;&gt;0,VLOOKUP($A25,'Channel wise traffic'!$B$2:$K$368,10,FALSE),Table2[[#This Row],[Others5]])</f>
        <v>3162044</v>
      </c>
      <c r="H25" s="40">
        <f>VLOOKUP($A25,'Channel wise traffic'!$B$2:$P$368,15,FALSE)</f>
        <v>12161709</v>
      </c>
      <c r="I25" s="63">
        <f>VLOOKUP(Table24[[#This Row],[Date]],'Session Details'!$A$2:$N$368,7,FALSE)</f>
        <v>5.9136272478794182E-2</v>
      </c>
      <c r="J25" s="7">
        <f>VLOOKUP(Table24[[#This Row],[Date]],'Session Details'!$A$2:$N$368,8,FALSE)</f>
        <v>1.1472182813955829</v>
      </c>
      <c r="K25" s="7">
        <f>VLOOKUP(Table24[[#This Row],[Date]],'Session Details'!$A$2:$N$368,9,FALSE)</f>
        <v>1.1914892991677402</v>
      </c>
      <c r="L25" s="7">
        <f>VLOOKUP(Table24[[#This Row],[Date]],'Session Details'!$A$2:$N$368,10,FALSE)</f>
        <v>-2.0201338783159994E-2</v>
      </c>
      <c r="M25" s="108" t="s">
        <v>60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</row>
    <row r="26" spans="1:131" x14ac:dyDescent="0.3">
      <c r="A26" s="104">
        <v>43662</v>
      </c>
      <c r="B26" s="61">
        <v>20631473</v>
      </c>
      <c r="C26" s="26">
        <v>498841</v>
      </c>
      <c r="D26" s="26">
        <f>IF(Table2[[#This Row],[Facebook]]&lt;&gt;0,VLOOKUP($A26,'Channel wise traffic'!$B$2:$K$368,7,FALSE),Table2[[#This Row],[Facebook2]])</f>
        <v>-781824</v>
      </c>
      <c r="E26" s="26">
        <f>IF(Table2[[#This Row],[Youtube]]&lt;&gt;0,VLOOKUP($A26,'Channel wise traffic'!$B$2:$K$368,8,FALSE),Table2[[#This Row],[Youtube3]])</f>
        <v>-586369</v>
      </c>
      <c r="F26" s="26">
        <f>IF(Table2[[#This Row],[Twitter]]&lt;&gt;0,VLOOKUP($A26,'Channel wise traffic'!$B$2:$K$368,9,FALSE),Table2[[#This Row],[Twitter4]])</f>
        <v>-238890</v>
      </c>
      <c r="G26" s="26">
        <f>IF(Table2[[#This Row],[Others]]&lt;&gt;0,VLOOKUP($A26,'Channel wise traffic'!$B$2:$K$368,10,FALSE),Table2[[#This Row],[Others5]])</f>
        <v>-564650</v>
      </c>
      <c r="H26" s="40">
        <f>VLOOKUP($A26,'Channel wise traffic'!$B$2:$P$368,15,FALSE)</f>
        <v>-2171733</v>
      </c>
      <c r="I26" s="63">
        <f>VLOOKUP(Table24[[#This Row],[Date]],'Session Details'!$A$2:$N$368,7,FALSE)</f>
        <v>2.4178642019404045E-2</v>
      </c>
      <c r="J26" s="7">
        <f>VLOOKUP(Table24[[#This Row],[Date]],'Session Details'!$A$2:$N$368,8,FALSE)</f>
        <v>-0.63082013655867986</v>
      </c>
      <c r="K26" s="7">
        <f>VLOOKUP(Table24[[#This Row],[Date]],'Session Details'!$A$2:$N$368,9,FALSE)</f>
        <v>-9.5238095238095233E-2</v>
      </c>
      <c r="L26" s="7">
        <f>VLOOKUP(Table24[[#This Row],[Date]],'Session Details'!$A$2:$N$368,10,FALSE)</f>
        <v>-0.59195909830169868</v>
      </c>
      <c r="M26" s="104" t="s">
        <v>54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</row>
    <row r="27" spans="1:131" x14ac:dyDescent="0.3">
      <c r="A27" s="104">
        <v>43669</v>
      </c>
      <c r="B27" s="61">
        <v>21282993</v>
      </c>
      <c r="C27" s="26">
        <v>1172435</v>
      </c>
      <c r="D27" s="26">
        <f>IF(Table2[[#This Row],[Facebook]]&lt;&gt;0,VLOOKUP($A27,'Channel wise traffic'!$B$2:$K$368,7,FALSE),Table2[[#This Row],[Facebook2]])</f>
        <v>234547</v>
      </c>
      <c r="E27" s="26">
        <f>IF(Table2[[#This Row],[Youtube]]&lt;&gt;0,VLOOKUP($A27,'Channel wise traffic'!$B$2:$K$368,8,FALSE),Table2[[#This Row],[Youtube3]])</f>
        <v>175911</v>
      </c>
      <c r="F27" s="26">
        <f>IF(Table2[[#This Row],[Twitter]]&lt;&gt;0,VLOOKUP($A27,'Channel wise traffic'!$B$2:$K$368,9,FALSE),Table2[[#This Row],[Twitter4]])</f>
        <v>71667</v>
      </c>
      <c r="G27" s="26">
        <f>IF(Table2[[#This Row],[Others]]&lt;&gt;0,VLOOKUP($A27,'Channel wise traffic'!$B$2:$K$368,10,FALSE),Table2[[#This Row],[Others5]])</f>
        <v>169395</v>
      </c>
      <c r="H27" s="40">
        <f>VLOOKUP($A27,'Channel wise traffic'!$B$2:$P$368,15,FALSE)</f>
        <v>651520</v>
      </c>
      <c r="I27" s="63">
        <f>VLOOKUP(Table24[[#This Row],[Date]],'Session Details'!$A$2:$N$368,7,FALSE)</f>
        <v>5.5087881671529941E-2</v>
      </c>
      <c r="J27" s="7">
        <f>VLOOKUP(Table24[[#This Row],[Date]],'Session Details'!$A$2:$N$368,8,FALSE)</f>
        <v>1.3503180372102532</v>
      </c>
      <c r="K27" s="7">
        <f>VLOOKUP(Table24[[#This Row],[Date]],'Session Details'!$A$2:$N$368,9,FALSE)</f>
        <v>3.1578937674493712E-2</v>
      </c>
      <c r="L27" s="7">
        <f>VLOOKUP(Table24[[#This Row],[Date]],'Session Details'!$A$2:$N$368,10,FALSE)</f>
        <v>1.2783695472773182</v>
      </c>
      <c r="M27" s="61" t="s">
        <v>54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</row>
    <row r="28" spans="1:131" x14ac:dyDescent="0.3">
      <c r="A28" s="104">
        <v>43688</v>
      </c>
      <c r="B28" s="61">
        <v>43991955</v>
      </c>
      <c r="C28" s="26">
        <v>765773</v>
      </c>
      <c r="D28" s="26">
        <f>IF(Table2[[#This Row],[Facebook]]&lt;&gt;0,VLOOKUP($A28,'Channel wise traffic'!$B$2:$K$368,7,FALSE),Table2[[#This Row],[Facebook2]])</f>
        <v>0</v>
      </c>
      <c r="E28" s="26">
        <f>IF(Table2[[#This Row],[Youtube]]&lt;&gt;0,VLOOKUP($A28,'Channel wise traffic'!$B$2:$K$368,8,FALSE),Table2[[#This Row],[Youtube3]])</f>
        <v>0</v>
      </c>
      <c r="F28" s="26">
        <f>IF(Table2[[#This Row],[Twitter]]&lt;&gt;0,VLOOKUP($A28,'Channel wise traffic'!$B$2:$K$368,9,FALSE),Table2[[#This Row],[Twitter4]])</f>
        <v>0</v>
      </c>
      <c r="G28" s="26">
        <f>IF(Table2[[#This Row],[Others]]&lt;&gt;0,VLOOKUP($A28,'Channel wise traffic'!$B$2:$K$368,10,FALSE),Table2[[#This Row],[Others5]])</f>
        <v>0</v>
      </c>
      <c r="H28" s="40">
        <f>VLOOKUP($A28,'Channel wise traffic'!$B$2:$P$368,15,FALSE)</f>
        <v>0</v>
      </c>
      <c r="I28" s="63">
        <f>VLOOKUP(Table24[[#This Row],[Date]],'Session Details'!$A$2:$N$368,7,FALSE)</f>
        <v>1.7407114550830941E-2</v>
      </c>
      <c r="J28" s="7">
        <f>VLOOKUP(Table24[[#This Row],[Date]],'Session Details'!$A$2:$N$368,8,FALSE)</f>
        <v>-0.54353363205176886</v>
      </c>
      <c r="K28" s="7">
        <f>VLOOKUP(Table24[[#This Row],[Date]],'Session Details'!$A$2:$N$368,9,FALSE)</f>
        <v>0</v>
      </c>
      <c r="L28" s="7">
        <f>VLOOKUP(Table24[[#This Row],[Date]],'Session Details'!$A$2:$N$368,10,FALSE)</f>
        <v>-0.54353363205176897</v>
      </c>
      <c r="M28" s="104" t="s">
        <v>54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</row>
    <row r="29" spans="1:131" x14ac:dyDescent="0.3">
      <c r="A29" s="104">
        <v>43695</v>
      </c>
      <c r="B29" s="61">
        <v>45338648</v>
      </c>
      <c r="C29" s="26">
        <v>1582215</v>
      </c>
      <c r="D29" s="26">
        <f>IF(Table2[[#This Row],[Facebook]]&lt;&gt;0,VLOOKUP($A29,'Channel wise traffic'!$B$2:$K$368,7,FALSE),Table2[[#This Row],[Facebook2]])</f>
        <v>484809</v>
      </c>
      <c r="E29" s="26">
        <f>IF(Table2[[#This Row],[Youtube]]&lt;&gt;0,VLOOKUP($A29,'Channel wise traffic'!$B$2:$K$368,8,FALSE),Table2[[#This Row],[Youtube3]])</f>
        <v>363607</v>
      </c>
      <c r="F29" s="26">
        <f>IF(Table2[[#This Row],[Twitter]]&lt;&gt;0,VLOOKUP($A29,'Channel wise traffic'!$B$2:$K$368,9,FALSE),Table2[[#This Row],[Twitter4]])</f>
        <v>148136</v>
      </c>
      <c r="G29" s="26">
        <f>IF(Table2[[#This Row],[Others]]&lt;&gt;0,VLOOKUP($A29,'Channel wise traffic'!$B$2:$K$368,10,FALSE),Table2[[#This Row],[Others5]])</f>
        <v>350140</v>
      </c>
      <c r="H29" s="40">
        <f>VLOOKUP($A29,'Channel wise traffic'!$B$2:$P$368,15,FALSE)</f>
        <v>1346692</v>
      </c>
      <c r="I29" s="63">
        <f>VLOOKUP(Table24[[#This Row],[Date]],'Session Details'!$A$2:$N$368,7,FALSE)</f>
        <v>3.4897710227265712E-2</v>
      </c>
      <c r="J29" s="7">
        <f>VLOOKUP(Table24[[#This Row],[Date]],'Session Details'!$A$2:$N$368,8,FALSE)</f>
        <v>1.0661671278564273</v>
      </c>
      <c r="K29" s="7">
        <f>VLOOKUP(Table24[[#This Row],[Date]],'Session Details'!$A$2:$N$368,9,FALSE)</f>
        <v>3.0612256263673698E-2</v>
      </c>
      <c r="L29" s="7">
        <f>VLOOKUP(Table24[[#This Row],[Date]],'Session Details'!$A$2:$N$368,10,FALSE)</f>
        <v>1.0047958049198824</v>
      </c>
      <c r="M29" s="61" t="s">
        <v>54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</row>
    <row r="30" spans="1:131" x14ac:dyDescent="0.3">
      <c r="A30" s="104">
        <v>43722</v>
      </c>
      <c r="B30" s="61">
        <v>44440853</v>
      </c>
      <c r="C30" s="26">
        <v>696459</v>
      </c>
      <c r="D30" s="26">
        <f>IF(Table2[[#This Row],[Facebook]]&lt;&gt;0,VLOOKUP($A30,'Channel wise traffic'!$B$2:$K$368,7,FALSE),Table2[[#This Row],[Facebook2]])</f>
        <v>-808015</v>
      </c>
      <c r="E30" s="26">
        <f>IF(Table2[[#This Row],[Youtube]]&lt;&gt;0,VLOOKUP($A30,'Channel wise traffic'!$B$2:$K$368,8,FALSE),Table2[[#This Row],[Youtube3]])</f>
        <v>-606012</v>
      </c>
      <c r="F30" s="26">
        <f>IF(Table2[[#This Row],[Twitter]]&lt;&gt;0,VLOOKUP($A30,'Channel wise traffic'!$B$2:$K$368,9,FALSE),Table2[[#This Row],[Twitter4]])</f>
        <v>-246894</v>
      </c>
      <c r="G30" s="26">
        <f>IF(Table2[[#This Row],[Others]]&lt;&gt;0,VLOOKUP($A30,'Channel wise traffic'!$B$2:$K$368,10,FALSE),Table2[[#This Row],[Others5]])</f>
        <v>-583567</v>
      </c>
      <c r="H30" s="40">
        <f>VLOOKUP($A30,'Channel wise traffic'!$B$2:$P$368,15,FALSE)</f>
        <v>-2244488</v>
      </c>
      <c r="I30" s="63">
        <f>VLOOKUP(Table24[[#This Row],[Date]],'Session Details'!$A$2:$N$368,7,FALSE)</f>
        <v>1.5671593882322647E-2</v>
      </c>
      <c r="J30" s="7">
        <f>VLOOKUP(Table24[[#This Row],[Date]],'Session Details'!$A$2:$N$368,8,FALSE)</f>
        <v>-0.53590439000986212</v>
      </c>
      <c r="K30" s="7">
        <f>VLOOKUP(Table24[[#This Row],[Date]],'Session Details'!$A$2:$N$368,9,FALSE)</f>
        <v>-4.8076912366922908E-2</v>
      </c>
      <c r="L30" s="7">
        <f>VLOOKUP(Table24[[#This Row],[Date]],'Session Details'!$A$2:$N$368,10,FALSE)</f>
        <v>-0.51246522327334754</v>
      </c>
      <c r="M30" s="104" t="s">
        <v>53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</row>
    <row r="31" spans="1:131" x14ac:dyDescent="0.3">
      <c r="A31" s="104">
        <v>43729</v>
      </c>
      <c r="B31" s="61">
        <v>43991955</v>
      </c>
      <c r="C31" s="26">
        <v>1473202</v>
      </c>
      <c r="D31" s="26">
        <f>IF(Table2[[#This Row],[Facebook]]&lt;&gt;0,VLOOKUP($A31,'Channel wise traffic'!$B$2:$K$368,7,FALSE),Table2[[#This Row],[Facebook2]])</f>
        <v>-161603</v>
      </c>
      <c r="E31" s="26">
        <f>IF(Table2[[#This Row],[Youtube]]&lt;&gt;0,VLOOKUP($A31,'Channel wise traffic'!$B$2:$K$368,8,FALSE),Table2[[#This Row],[Youtube3]])</f>
        <v>-121202</v>
      </c>
      <c r="F31" s="26">
        <f>IF(Table2[[#This Row],[Twitter]]&lt;&gt;0,VLOOKUP($A31,'Channel wise traffic'!$B$2:$K$368,9,FALSE),Table2[[#This Row],[Twitter4]])</f>
        <v>-49378</v>
      </c>
      <c r="G31" s="26">
        <f>IF(Table2[[#This Row],[Others]]&lt;&gt;0,VLOOKUP($A31,'Channel wise traffic'!$B$2:$K$368,10,FALSE),Table2[[#This Row],[Others5]])</f>
        <v>-116713</v>
      </c>
      <c r="H31" s="40">
        <f>VLOOKUP($A31,'Channel wise traffic'!$B$2:$P$368,15,FALSE)</f>
        <v>-448896</v>
      </c>
      <c r="I31" s="63">
        <f>VLOOKUP(Table24[[#This Row],[Date]],'Session Details'!$A$2:$N$368,7,FALSE)</f>
        <v>3.3487986610279082E-2</v>
      </c>
      <c r="J31" s="7">
        <f>VLOOKUP(Table24[[#This Row],[Date]],'Session Details'!$A$2:$N$368,8,FALSE)</f>
        <v>1.1152745531323451</v>
      </c>
      <c r="K31" s="7">
        <f>VLOOKUP(Table24[[#This Row],[Date]],'Session Details'!$A$2:$N$368,9,FALSE)</f>
        <v>-1.0101021238273722E-2</v>
      </c>
      <c r="L31" s="7">
        <f>VLOOKUP(Table24[[#This Row],[Date]],'Session Details'!$A$2:$N$368,10,FALSE)</f>
        <v>1.1368590113895878</v>
      </c>
      <c r="M31" s="61" t="s">
        <v>54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</row>
    <row r="32" spans="1:131" x14ac:dyDescent="0.3">
      <c r="A32" s="104">
        <v>43747</v>
      </c>
      <c r="B32" s="61">
        <v>20631473</v>
      </c>
      <c r="C32" s="26">
        <v>1402435</v>
      </c>
      <c r="D32" s="26">
        <f>IF(Table2[[#This Row],[Facebook]]&lt;&gt;0,VLOOKUP($A32,'Channel wise traffic'!$B$2:$K$368,7,FALSE),Table2[[#This Row],[Facebook2]])</f>
        <v>-312730</v>
      </c>
      <c r="E32" s="26">
        <f>IF(Table2[[#This Row],[Youtube]]&lt;&gt;0,VLOOKUP($A32,'Channel wise traffic'!$B$2:$K$368,8,FALSE),Table2[[#This Row],[Youtube3]])</f>
        <v>-234548</v>
      </c>
      <c r="F32" s="26">
        <f>IF(Table2[[#This Row],[Twitter]]&lt;&gt;0,VLOOKUP($A32,'Channel wise traffic'!$B$2:$K$368,9,FALSE),Table2[[#This Row],[Twitter4]])</f>
        <v>-95556</v>
      </c>
      <c r="G32" s="26">
        <f>IF(Table2[[#This Row],[Others]]&lt;&gt;0,VLOOKUP($A32,'Channel wise traffic'!$B$2:$K$368,10,FALSE),Table2[[#This Row],[Others5]])</f>
        <v>-225860</v>
      </c>
      <c r="H32" s="40">
        <f>VLOOKUP($A32,'Channel wise traffic'!$B$2:$P$368,15,FALSE)</f>
        <v>-868694</v>
      </c>
      <c r="I32" s="63">
        <f>VLOOKUP(Table24[[#This Row],[Date]],'Session Details'!$A$2:$N$368,7,FALSE)</f>
        <v>6.7975514884468013E-2</v>
      </c>
      <c r="J32" s="7">
        <f>VLOOKUP(Table24[[#This Row],[Date]],'Session Details'!$A$2:$N$368,8,FALSE)</f>
        <v>0.21871070507745793</v>
      </c>
      <c r="K32" s="7">
        <f>VLOOKUP(Table24[[#This Row],[Date]],'Session Details'!$A$2:$N$368,9,FALSE)</f>
        <v>-4.0404058256849784E-2</v>
      </c>
      <c r="L32" s="7">
        <f>VLOOKUP(Table24[[#This Row],[Date]],'Session Details'!$A$2:$N$368,10,FALSE)</f>
        <v>0.27002486365627365</v>
      </c>
      <c r="M32" s="61" t="s">
        <v>54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</row>
    <row r="33" spans="1:132" x14ac:dyDescent="0.3">
      <c r="A33" s="104">
        <v>43759</v>
      </c>
      <c r="B33" s="61">
        <v>22803207</v>
      </c>
      <c r="C33" s="26">
        <v>1462471</v>
      </c>
      <c r="D33" s="26">
        <f>IF(Table2[[#This Row],[Facebook]]&lt;&gt;0,VLOOKUP($A33,'Channel wise traffic'!$B$2:$K$368,7,FALSE),Table2[[#This Row],[Facebook2]])</f>
        <v>703642</v>
      </c>
      <c r="E33" s="26">
        <f>IF(Table2[[#This Row],[Youtube]]&lt;&gt;0,VLOOKUP($A33,'Channel wise traffic'!$B$2:$K$368,8,FALSE),Table2[[#This Row],[Youtube3]])</f>
        <v>527732</v>
      </c>
      <c r="F33" s="26">
        <f>IF(Table2[[#This Row],[Twitter]]&lt;&gt;0,VLOOKUP($A33,'Channel wise traffic'!$B$2:$K$368,9,FALSE),Table2[[#This Row],[Twitter4]])</f>
        <v>215001</v>
      </c>
      <c r="G33" s="26">
        <f>IF(Table2[[#This Row],[Others]]&lt;&gt;0,VLOOKUP($A33,'Channel wise traffic'!$B$2:$K$368,10,FALSE),Table2[[#This Row],[Others5]])</f>
        <v>508185</v>
      </c>
      <c r="H33" s="40">
        <f>VLOOKUP($A33,'Channel wise traffic'!$B$2:$P$368,15,FALSE)</f>
        <v>1954560</v>
      </c>
      <c r="I33" s="63">
        <f>VLOOKUP(Table24[[#This Row],[Date]],'Session Details'!$A$2:$N$368,7,FALSE)</f>
        <v>6.4134443896422116E-2</v>
      </c>
      <c r="J33" s="7">
        <f>VLOOKUP(Table24[[#This Row],[Date]],'Session Details'!$A$2:$N$368,8,FALSE)</f>
        <v>0.32382903302894461</v>
      </c>
      <c r="K33" s="7">
        <f>VLOOKUP(Table24[[#This Row],[Date]],'Session Details'!$A$2:$N$368,9,FALSE)</f>
        <v>9.3750020984576077E-2</v>
      </c>
      <c r="L33" s="7">
        <f>VLOOKUP(Table24[[#This Row],[Date]],'Session Details'!$A$2:$N$368,10,FALSE)</f>
        <v>0.21035794983323086</v>
      </c>
      <c r="M33" s="61" t="s">
        <v>54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</row>
    <row r="34" spans="1:132" x14ac:dyDescent="0.3">
      <c r="A34" s="104">
        <v>43778</v>
      </c>
      <c r="B34" s="61">
        <v>45787545</v>
      </c>
      <c r="C34" s="26">
        <v>1839957</v>
      </c>
      <c r="D34" s="26">
        <f>IF(Table2[[#This Row],[Facebook]]&lt;&gt;0,VLOOKUP($A34,'Channel wise traffic'!$B$2:$K$368,7,FALSE),Table2[[#This Row],[Facebook2]])</f>
        <v>1131222</v>
      </c>
      <c r="E34" s="26">
        <f>IF(Table2[[#This Row],[Youtube]]&lt;&gt;0,VLOOKUP($A34,'Channel wise traffic'!$B$2:$K$368,8,FALSE),Table2[[#This Row],[Youtube3]])</f>
        <v>848416</v>
      </c>
      <c r="F34" s="26">
        <f>IF(Table2[[#This Row],[Twitter]]&lt;&gt;0,VLOOKUP($A34,'Channel wise traffic'!$B$2:$K$368,9,FALSE),Table2[[#This Row],[Twitter4]])</f>
        <v>345652</v>
      </c>
      <c r="G34" s="26">
        <f>IF(Table2[[#This Row],[Others]]&lt;&gt;0,VLOOKUP($A34,'Channel wise traffic'!$B$2:$K$368,10,FALSE),Table2[[#This Row],[Others5]])</f>
        <v>816993</v>
      </c>
      <c r="H34" s="40">
        <f>VLOOKUP($A34,'Channel wise traffic'!$B$2:$P$368,15,FALSE)</f>
        <v>3142283</v>
      </c>
      <c r="I34" s="63">
        <f>VLOOKUP(Table24[[#This Row],[Date]],'Session Details'!$A$2:$N$368,7,FALSE)</f>
        <v>4.0184661571176179E-2</v>
      </c>
      <c r="J34" s="7">
        <f>VLOOKUP(Table24[[#This Row],[Date]],'Session Details'!$A$2:$N$368,8,FALSE)</f>
        <v>0.26260801898348074</v>
      </c>
      <c r="K34" s="7">
        <f>VLOOKUP(Table24[[#This Row],[Date]],'Session Details'!$A$2:$N$368,9,FALSE)</f>
        <v>7.3684197937763818E-2</v>
      </c>
      <c r="L34" s="7">
        <f>VLOOKUP(Table24[[#This Row],[Date]],'Session Details'!$A$2:$N$368,10,FALSE)</f>
        <v>0.17595846284092165</v>
      </c>
      <c r="M34" s="61" t="s">
        <v>54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</row>
    <row r="35" spans="1:132" x14ac:dyDescent="0.3">
      <c r="A35" s="104">
        <v>43786</v>
      </c>
      <c r="B35" s="61">
        <v>43991955</v>
      </c>
      <c r="C35" s="26">
        <v>699650</v>
      </c>
      <c r="D35" s="26">
        <f>IF(Table2[[#This Row],[Facebook]]&lt;&gt;0,VLOOKUP($A35,'Channel wise traffic'!$B$2:$K$368,7,FALSE),Table2[[#This Row],[Facebook2]])</f>
        <v>-1131221</v>
      </c>
      <c r="E35" s="26">
        <f>IF(Table2[[#This Row],[Youtube]]&lt;&gt;0,VLOOKUP($A35,'Channel wise traffic'!$B$2:$K$368,8,FALSE),Table2[[#This Row],[Youtube3]])</f>
        <v>-848416</v>
      </c>
      <c r="F35" s="26">
        <f>IF(Table2[[#This Row],[Twitter]]&lt;&gt;0,VLOOKUP($A35,'Channel wise traffic'!$B$2:$K$368,9,FALSE),Table2[[#This Row],[Twitter4]])</f>
        <v>-345651</v>
      </c>
      <c r="G35" s="26">
        <f>IF(Table2[[#This Row],[Others]]&lt;&gt;0,VLOOKUP($A35,'Channel wise traffic'!$B$2:$K$368,10,FALSE),Table2[[#This Row],[Others5]])</f>
        <v>-816993</v>
      </c>
      <c r="H35" s="40">
        <f>VLOOKUP($A35,'Channel wise traffic'!$B$2:$P$368,15,FALSE)</f>
        <v>-3142281</v>
      </c>
      <c r="I35" s="63">
        <f>VLOOKUP(Table24[[#This Row],[Date]],'Session Details'!$A$2:$N$368,7,FALSE)</f>
        <v>1.5904044273549561E-2</v>
      </c>
      <c r="J35" s="7">
        <f>VLOOKUP(Table24[[#This Row],[Date]],'Session Details'!$A$2:$N$368,8,FALSE)</f>
        <v>-0.57004623700582813</v>
      </c>
      <c r="K35" s="7">
        <f>VLOOKUP(Table24[[#This Row],[Date]],'Session Details'!$A$2:$N$368,9,FALSE)</f>
        <v>-6.6666676567466721E-2</v>
      </c>
      <c r="L35" s="7">
        <f>VLOOKUP(Table24[[#This Row],[Date]],'Session Details'!$A$2:$N$368,10,FALSE)</f>
        <v>-0.53933524904808428</v>
      </c>
      <c r="M35" s="104" t="s">
        <v>54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</row>
    <row r="36" spans="1:132" x14ac:dyDescent="0.3">
      <c r="A36" s="104">
        <v>43793</v>
      </c>
      <c r="B36" s="61">
        <v>46236443</v>
      </c>
      <c r="C36" s="26">
        <v>1647515</v>
      </c>
      <c r="D36" s="26">
        <f>IF(Table2[[#This Row],[Facebook]]&lt;&gt;0,VLOOKUP($A36,'Channel wise traffic'!$B$2:$K$368,7,FALSE),Table2[[#This Row],[Facebook2]])</f>
        <v>808015</v>
      </c>
      <c r="E36" s="26">
        <f>IF(Table2[[#This Row],[Youtube]]&lt;&gt;0,VLOOKUP($A36,'Channel wise traffic'!$B$2:$K$368,8,FALSE),Table2[[#This Row],[Youtube3]])</f>
        <v>606011</v>
      </c>
      <c r="F36" s="26">
        <f>IF(Table2[[#This Row],[Twitter]]&lt;&gt;0,VLOOKUP($A36,'Channel wise traffic'!$B$2:$K$368,9,FALSE),Table2[[#This Row],[Twitter4]])</f>
        <v>246893</v>
      </c>
      <c r="G36" s="26">
        <f>IF(Table2[[#This Row],[Others]]&lt;&gt;0,VLOOKUP($A36,'Channel wise traffic'!$B$2:$K$368,10,FALSE),Table2[[#This Row],[Others5]])</f>
        <v>583567</v>
      </c>
      <c r="H36" s="40">
        <f>VLOOKUP($A36,'Channel wise traffic'!$B$2:$P$368,15,FALSE)</f>
        <v>2244486</v>
      </c>
      <c r="I36" s="63">
        <f>VLOOKUP(Table24[[#This Row],[Date]],'Session Details'!$A$2:$N$368,7,FALSE)</f>
        <v>3.5632390666384087E-2</v>
      </c>
      <c r="J36" s="7">
        <f>VLOOKUP(Table24[[#This Row],[Date]],'Session Details'!$A$2:$N$368,8,FALSE)</f>
        <v>1.3547702422639891</v>
      </c>
      <c r="K36" s="7">
        <f>VLOOKUP(Table24[[#This Row],[Date]],'Session Details'!$A$2:$N$368,9,FALSE)</f>
        <v>5.1020419528979843E-2</v>
      </c>
      <c r="L36" s="7">
        <f>VLOOKUP(Table24[[#This Row],[Date]],'Session Details'!$A$2:$N$368,10,FALSE)</f>
        <v>1.2404609829743283</v>
      </c>
      <c r="M36" s="61" t="s">
        <v>54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</row>
    <row r="37" spans="1:132" x14ac:dyDescent="0.3">
      <c r="A37" s="104">
        <v>43800</v>
      </c>
      <c r="B37" s="61">
        <v>46685340</v>
      </c>
      <c r="C37" s="26">
        <v>1989333</v>
      </c>
      <c r="D37" s="26">
        <f>IF(Table2[[#This Row],[Facebook]]&lt;&gt;0,VLOOKUP($A37,'Channel wise traffic'!$B$2:$K$368,7,FALSE),Table2[[#This Row],[Facebook2]])</f>
        <v>161603</v>
      </c>
      <c r="E37" s="26">
        <f>IF(Table2[[#This Row],[Youtube]]&lt;&gt;0,VLOOKUP($A37,'Channel wise traffic'!$B$2:$K$368,8,FALSE),Table2[[#This Row],[Youtube3]])</f>
        <v>121203</v>
      </c>
      <c r="F37" s="26">
        <f>IF(Table2[[#This Row],[Twitter]]&lt;&gt;0,VLOOKUP($A37,'Channel wise traffic'!$B$2:$K$368,9,FALSE),Table2[[#This Row],[Twitter4]])</f>
        <v>49379</v>
      </c>
      <c r="G37" s="26">
        <f>IF(Table2[[#This Row],[Others]]&lt;&gt;0,VLOOKUP($A37,'Channel wise traffic'!$B$2:$K$368,10,FALSE),Table2[[#This Row],[Others5]])</f>
        <v>116713</v>
      </c>
      <c r="H37" s="40">
        <f>VLOOKUP($A37,'Channel wise traffic'!$B$2:$P$368,15,FALSE)</f>
        <v>448898</v>
      </c>
      <c r="I37" s="63">
        <f>VLOOKUP(Table24[[#This Row],[Date]],'Session Details'!$A$2:$N$368,7,FALSE)</f>
        <v>4.2611513592918031E-2</v>
      </c>
      <c r="J37" s="7">
        <f>VLOOKUP(Table24[[#This Row],[Date]],'Session Details'!$A$2:$N$368,8,FALSE)</f>
        <v>0.20747489400703478</v>
      </c>
      <c r="K37" s="7">
        <f>VLOOKUP(Table24[[#This Row],[Date]],'Session Details'!$A$2:$N$368,9,FALSE)</f>
        <v>9.708726945106827E-3</v>
      </c>
      <c r="L37" s="7">
        <f>VLOOKUP(Table24[[#This Row],[Date]],'Session Details'!$A$2:$N$368,10,FALSE)</f>
        <v>0.19586457141979285</v>
      </c>
      <c r="M37" s="61" t="s">
        <v>54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</row>
    <row r="38" spans="1:132" x14ac:dyDescent="0.3">
      <c r="A38" s="104">
        <v>43821</v>
      </c>
      <c r="B38" s="61">
        <v>43094160</v>
      </c>
      <c r="C38" s="26">
        <v>1677083</v>
      </c>
      <c r="D38" s="66">
        <f>IF(Table2[[#This Row],[Facebook]]&lt;&gt;0,VLOOKUP($A38,'Channel wise traffic'!$B$2:$K$368,7,FALSE),Table2[[#This Row],[Facebook2]])</f>
        <v>0</v>
      </c>
      <c r="E38" s="66">
        <f>IF(Table2[[#This Row],[Youtube]]&lt;&gt;0,VLOOKUP($A38,'Channel wise traffic'!$B$2:$K$368,8,FALSE),Table2[[#This Row],[Youtube3]])</f>
        <v>0</v>
      </c>
      <c r="F38" s="66">
        <f>IF(Table2[[#This Row],[Twitter]]&lt;&gt;0,VLOOKUP($A38,'Channel wise traffic'!$B$2:$K$368,9,FALSE),Table2[[#This Row],[Twitter4]])</f>
        <v>0</v>
      </c>
      <c r="G38" s="66">
        <f>IF(Table2[[#This Row],[Others]]&lt;&gt;0,VLOOKUP($A38,'Channel wise traffic'!$B$2:$K$368,10,FALSE),Table2[[#This Row],[Others5]])</f>
        <v>0</v>
      </c>
      <c r="H38" s="67">
        <f>VLOOKUP($A38,'Channel wise traffic'!$B$2:$P$368,15,FALSE)</f>
        <v>0</v>
      </c>
      <c r="I38" s="63">
        <f>VLOOKUP(Table24[[#This Row],[Date]],'Session Details'!$A$2:$N$368,7,FALSE)</f>
        <v>3.8916711684367444E-2</v>
      </c>
      <c r="J38" s="7">
        <f>VLOOKUP(Table24[[#This Row],[Date]],'Session Details'!$A$2:$N$368,8,FALSE)</f>
        <v>0.21029166080314066</v>
      </c>
      <c r="K38" s="7">
        <f>VLOOKUP(Table24[[#This Row],[Date]],'Session Details'!$A$2:$N$368,9,FALSE)</f>
        <v>0</v>
      </c>
      <c r="L38" s="7">
        <f>VLOOKUP(Table24[[#This Row],[Date]],'Session Details'!$A$2:$N$368,10,FALSE)</f>
        <v>0.21029166080314066</v>
      </c>
      <c r="M38" s="61" t="s">
        <v>54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</row>
    <row r="39" spans="1:132" x14ac:dyDescent="0.3">
      <c r="A39" s="61" t="s">
        <v>33</v>
      </c>
      <c r="B39" s="26"/>
      <c r="C39" s="26"/>
      <c r="D39" s="26"/>
      <c r="H39" s="26"/>
      <c r="I39" s="111"/>
      <c r="J39" s="111"/>
      <c r="K39" s="111"/>
      <c r="L39" s="111"/>
      <c r="M39" s="61">
        <f>SUBTOTAL(103,Table24[Reason])</f>
        <v>36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</row>
    <row r="40" spans="1:132" x14ac:dyDescent="0.3">
      <c r="A40" s="104"/>
      <c r="B40" s="26"/>
      <c r="C40" s="26"/>
      <c r="M40" s="61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</row>
    <row r="41" spans="1:132" x14ac:dyDescent="0.3">
      <c r="A41" s="104"/>
      <c r="B41" s="26"/>
      <c r="C41" s="26"/>
      <c r="M41" s="61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</row>
    <row r="42" spans="1:132" x14ac:dyDescent="0.3">
      <c r="M42" s="10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</row>
    <row r="43" spans="1:132" x14ac:dyDescent="0.3">
      <c r="M43" s="61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</row>
    <row r="44" spans="1:132" x14ac:dyDescent="0.3">
      <c r="M44" s="61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</row>
    <row r="45" spans="1:132" x14ac:dyDescent="0.3">
      <c r="M45" s="61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</row>
    <row r="46" spans="1:132" x14ac:dyDescent="0.3">
      <c r="M46" s="61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</row>
    <row r="47" spans="1:132" x14ac:dyDescent="0.3">
      <c r="M47" s="61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</row>
    <row r="48" spans="1:132" x14ac:dyDescent="0.3">
      <c r="M48" s="61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</row>
    <row r="49" spans="14:132" x14ac:dyDescent="0.3"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</row>
    <row r="50" spans="14:132" x14ac:dyDescent="0.3"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</row>
    <row r="51" spans="14:132" x14ac:dyDescent="0.3"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</row>
    <row r="52" spans="14:132" x14ac:dyDescent="0.3"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</row>
    <row r="53" spans="14:132" x14ac:dyDescent="0.3"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</row>
    <row r="54" spans="14:132" x14ac:dyDescent="0.3"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</row>
    <row r="55" spans="14:132" x14ac:dyDescent="0.3"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</row>
    <row r="56" spans="14:132" x14ac:dyDescent="0.3"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</row>
    <row r="57" spans="14:132" x14ac:dyDescent="0.3"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</row>
    <row r="58" spans="14:132" x14ac:dyDescent="0.3"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</row>
    <row r="59" spans="14:132" x14ac:dyDescent="0.3"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</row>
    <row r="60" spans="14:132" x14ac:dyDescent="0.3"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</row>
    <row r="61" spans="14:132" x14ac:dyDescent="0.3"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</row>
    <row r="62" spans="14:132" x14ac:dyDescent="0.3"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</row>
    <row r="63" spans="14:132" x14ac:dyDescent="0.3"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</row>
    <row r="64" spans="14:132" x14ac:dyDescent="0.3"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</row>
    <row r="65" spans="14:132" x14ac:dyDescent="0.3"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</row>
    <row r="66" spans="14:132" x14ac:dyDescent="0.3"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</row>
    <row r="67" spans="14:132" x14ac:dyDescent="0.3"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</row>
    <row r="68" spans="14:132" x14ac:dyDescent="0.3"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</row>
    <row r="69" spans="14:132" x14ac:dyDescent="0.3"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</row>
    <row r="70" spans="14:132" x14ac:dyDescent="0.3"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</row>
    <row r="71" spans="14:132" x14ac:dyDescent="0.3"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</row>
    <row r="72" spans="14:132" x14ac:dyDescent="0.3"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</row>
    <row r="73" spans="14:132" x14ac:dyDescent="0.3"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</row>
    <row r="74" spans="14:132" x14ac:dyDescent="0.3"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</row>
    <row r="75" spans="14:132" x14ac:dyDescent="0.3"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</row>
    <row r="76" spans="14:132" x14ac:dyDescent="0.3"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</row>
    <row r="77" spans="14:132" x14ac:dyDescent="0.3"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</row>
    <row r="78" spans="14:132" x14ac:dyDescent="0.3"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</row>
    <row r="79" spans="14:132" x14ac:dyDescent="0.3"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</row>
    <row r="80" spans="14:132" x14ac:dyDescent="0.3"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</row>
    <row r="81" spans="14:132" x14ac:dyDescent="0.3"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</row>
    <row r="82" spans="14:132" x14ac:dyDescent="0.3"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</row>
    <row r="83" spans="14:132" x14ac:dyDescent="0.3"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</row>
    <row r="84" spans="14:132" x14ac:dyDescent="0.3"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</row>
    <row r="85" spans="14:132" x14ac:dyDescent="0.3"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</row>
    <row r="86" spans="14:132" x14ac:dyDescent="0.3"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</row>
    <row r="87" spans="14:132" x14ac:dyDescent="0.3"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</row>
    <row r="88" spans="14:132" x14ac:dyDescent="0.3"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</row>
    <row r="89" spans="14:132" x14ac:dyDescent="0.3"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</row>
    <row r="90" spans="14:132" x14ac:dyDescent="0.3"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</row>
    <row r="91" spans="14:132" x14ac:dyDescent="0.3"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</row>
    <row r="92" spans="14:132" x14ac:dyDescent="0.3"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</row>
    <row r="93" spans="14:132" x14ac:dyDescent="0.3"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</row>
    <row r="94" spans="14:132" x14ac:dyDescent="0.3"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</row>
    <row r="95" spans="14:132" x14ac:dyDescent="0.3"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</row>
    <row r="96" spans="14:132" x14ac:dyDescent="0.3"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</row>
    <row r="97" spans="14:132" x14ac:dyDescent="0.3"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</row>
    <row r="98" spans="14:132" x14ac:dyDescent="0.3"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</row>
    <row r="99" spans="14:132" x14ac:dyDescent="0.3"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</row>
    <row r="100" spans="14:132" x14ac:dyDescent="0.3"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</row>
    <row r="101" spans="14:132" x14ac:dyDescent="0.3"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</row>
    <row r="102" spans="14:132" x14ac:dyDescent="0.3"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</row>
    <row r="103" spans="14:132" x14ac:dyDescent="0.3"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</row>
    <row r="104" spans="14:132" x14ac:dyDescent="0.3"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</row>
    <row r="105" spans="14:132" x14ac:dyDescent="0.3"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</row>
    <row r="106" spans="14:132" x14ac:dyDescent="0.3"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</row>
    <row r="107" spans="14:132" x14ac:dyDescent="0.3"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</row>
    <row r="108" spans="14:132" x14ac:dyDescent="0.3"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</row>
    <row r="109" spans="14:132" x14ac:dyDescent="0.3"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</row>
    <row r="110" spans="14:132" x14ac:dyDescent="0.3"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</row>
    <row r="111" spans="14:132" x14ac:dyDescent="0.3"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</row>
    <row r="112" spans="14:132" x14ac:dyDescent="0.3"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</row>
    <row r="113" spans="14:132" x14ac:dyDescent="0.3"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</row>
    <row r="114" spans="14:132" x14ac:dyDescent="0.3"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</row>
    <row r="115" spans="14:132" x14ac:dyDescent="0.3"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</row>
    <row r="116" spans="14:132" x14ac:dyDescent="0.3"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</row>
    <row r="117" spans="14:132" x14ac:dyDescent="0.3"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</row>
    <row r="118" spans="14:132" x14ac:dyDescent="0.3"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</row>
    <row r="119" spans="14:132" x14ac:dyDescent="0.3"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</row>
    <row r="120" spans="14:132" x14ac:dyDescent="0.3"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</row>
    <row r="121" spans="14:132" x14ac:dyDescent="0.3"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</row>
    <row r="122" spans="14:132" x14ac:dyDescent="0.3"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</row>
    <row r="123" spans="14:132" x14ac:dyDescent="0.3"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</row>
    <row r="124" spans="14:132" x14ac:dyDescent="0.3"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</row>
    <row r="125" spans="14:132" x14ac:dyDescent="0.3"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</row>
    <row r="126" spans="14:132" x14ac:dyDescent="0.3"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</row>
    <row r="127" spans="14:132" x14ac:dyDescent="0.3"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</row>
    <row r="128" spans="14:132" x14ac:dyDescent="0.3"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</row>
    <row r="129" spans="14:132" x14ac:dyDescent="0.3"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</row>
    <row r="130" spans="14:132" x14ac:dyDescent="0.3"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</row>
    <row r="131" spans="14:132" x14ac:dyDescent="0.3"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</row>
    <row r="132" spans="14:132" x14ac:dyDescent="0.3"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</row>
    <row r="133" spans="14:132" x14ac:dyDescent="0.3"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</row>
    <row r="134" spans="14:132" x14ac:dyDescent="0.3"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</row>
    <row r="135" spans="14:132" x14ac:dyDescent="0.3"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</row>
    <row r="136" spans="14:132" x14ac:dyDescent="0.3"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</row>
    <row r="137" spans="14:132" x14ac:dyDescent="0.3"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</row>
    <row r="138" spans="14:132" x14ac:dyDescent="0.3"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</row>
    <row r="139" spans="14:132" x14ac:dyDescent="0.3"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</row>
    <row r="140" spans="14:132" x14ac:dyDescent="0.3"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</row>
    <row r="141" spans="14:132" x14ac:dyDescent="0.3"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</row>
    <row r="142" spans="14:132" x14ac:dyDescent="0.3"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</row>
    <row r="143" spans="14:132" x14ac:dyDescent="0.3"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</row>
    <row r="144" spans="14:132" x14ac:dyDescent="0.3"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</row>
    <row r="145" spans="14:132" x14ac:dyDescent="0.3"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</row>
    <row r="146" spans="14:132" x14ac:dyDescent="0.3"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</row>
    <row r="147" spans="14:132" x14ac:dyDescent="0.3"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</row>
    <row r="148" spans="14:132" x14ac:dyDescent="0.3"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</row>
    <row r="149" spans="14:132" x14ac:dyDescent="0.3"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</row>
    <row r="150" spans="14:132" x14ac:dyDescent="0.3"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</row>
    <row r="151" spans="14:132" x14ac:dyDescent="0.3"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</row>
    <row r="152" spans="14:132" x14ac:dyDescent="0.3"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</row>
    <row r="153" spans="14:132" x14ac:dyDescent="0.3"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</row>
    <row r="154" spans="14:132" x14ac:dyDescent="0.3"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</row>
    <row r="155" spans="14:132" x14ac:dyDescent="0.3"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</row>
    <row r="156" spans="14:132" x14ac:dyDescent="0.3"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</row>
    <row r="157" spans="14:132" x14ac:dyDescent="0.3"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</row>
    <row r="158" spans="14:132" x14ac:dyDescent="0.3"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</row>
    <row r="159" spans="14:132" x14ac:dyDescent="0.3"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</row>
    <row r="160" spans="14:132" x14ac:dyDescent="0.3"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</row>
    <row r="161" spans="14:132" x14ac:dyDescent="0.3"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</row>
    <row r="162" spans="14:132" x14ac:dyDescent="0.3"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</row>
    <row r="163" spans="14:132" x14ac:dyDescent="0.3"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</row>
    <row r="164" spans="14:132" x14ac:dyDescent="0.3"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</row>
    <row r="165" spans="14:132" x14ac:dyDescent="0.3"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</row>
    <row r="166" spans="14:132" x14ac:dyDescent="0.3"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</row>
    <row r="167" spans="14:132" x14ac:dyDescent="0.3"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</row>
    <row r="168" spans="14:132" x14ac:dyDescent="0.3"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</row>
    <row r="169" spans="14:132" x14ac:dyDescent="0.3"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</row>
    <row r="170" spans="14:132" x14ac:dyDescent="0.3"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</row>
    <row r="171" spans="14:132" x14ac:dyDescent="0.3">
      <c r="N171" s="14"/>
    </row>
  </sheetData>
  <mergeCells count="1">
    <mergeCell ref="D1:H1"/>
  </mergeCells>
  <phoneticPr fontId="4" type="noConversion"/>
  <conditionalFormatting sqref="J3:J38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L38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5DA247-1045-431A-8716-0956FF615AA0}">
          <x14:formula1>
            <xm:f>'Data Validation'!$B$3:$B$5</xm:f>
          </x14:formula1>
          <xm:sqref>M2:M38</xm:sqref>
        </x14:dataValidation>
        <x14:dataValidation type="list" allowBlank="1" showInputMessage="1" showErrorMessage="1" xr:uid="{7E33FB24-1001-4F93-ADA5-733201097CE4}">
          <x14:formula1>
            <xm:f>'Data Validation'!$D$2:$D$38</xm:f>
          </x14:formula1>
          <xm:sqref>A2:A38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B5E-EC9C-4795-9D43-DCB9FADC5537}">
  <sheetPr>
    <tabColor theme="4" tint="0.39997558519241921"/>
  </sheetPr>
  <dimension ref="B1:K369"/>
  <sheetViews>
    <sheetView topLeftCell="A237" zoomScale="98" zoomScaleNormal="98" workbookViewId="0">
      <selection activeCell="I263" sqref="I263"/>
    </sheetView>
  </sheetViews>
  <sheetFormatPr defaultColWidth="11.19921875" defaultRowHeight="15.6" x14ac:dyDescent="0.3"/>
  <cols>
    <col min="7" max="7" width="12.3984375" customWidth="1"/>
    <col min="8" max="8" width="12.796875" style="7" customWidth="1"/>
    <col min="9" max="9" width="11.796875" style="7" customWidth="1"/>
    <col min="10" max="10" width="11.19921875" style="7"/>
    <col min="11" max="11" width="10.796875" style="7" bestFit="1" customWidth="1"/>
  </cols>
  <sheetData>
    <row r="1" spans="2:11" x14ac:dyDescent="0.3">
      <c r="H1" s="180" t="s">
        <v>66</v>
      </c>
      <c r="I1" s="180"/>
      <c r="J1" s="180"/>
      <c r="K1" s="180"/>
    </row>
    <row r="2" spans="2:11" x14ac:dyDescent="0.3">
      <c r="B2" s="37" t="s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33</v>
      </c>
      <c r="H2" s="93" t="s">
        <v>67</v>
      </c>
      <c r="I2" s="93" t="s">
        <v>68</v>
      </c>
      <c r="J2" s="93" t="s">
        <v>69</v>
      </c>
      <c r="K2" s="93" t="s">
        <v>70</v>
      </c>
    </row>
    <row r="3" spans="2:11" x14ac:dyDescent="0.3">
      <c r="B3" s="38">
        <v>43466</v>
      </c>
      <c r="C3" s="3">
        <v>7505512</v>
      </c>
      <c r="D3" s="3">
        <v>5629134</v>
      </c>
      <c r="E3" s="3">
        <v>2293351</v>
      </c>
      <c r="F3" s="3">
        <v>5420648</v>
      </c>
      <c r="G3" s="3">
        <f>SUM(C3:F3)</f>
        <v>20848645</v>
      </c>
      <c r="H3" s="3">
        <v>0</v>
      </c>
      <c r="I3" s="3">
        <v>0</v>
      </c>
      <c r="J3" s="3">
        <v>0</v>
      </c>
      <c r="K3" s="3">
        <v>0</v>
      </c>
    </row>
    <row r="4" spans="2:11" x14ac:dyDescent="0.3">
      <c r="B4" s="38">
        <v>43467</v>
      </c>
      <c r="C4" s="3">
        <v>7896424</v>
      </c>
      <c r="D4" s="3">
        <v>5922318</v>
      </c>
      <c r="E4" s="3">
        <v>2412796</v>
      </c>
      <c r="F4" s="3">
        <v>5702973</v>
      </c>
      <c r="G4" s="3">
        <f>SUM(C4:F4)</f>
        <v>21934511</v>
      </c>
      <c r="H4" s="3">
        <v>0</v>
      </c>
      <c r="I4" s="3">
        <v>0</v>
      </c>
      <c r="J4" s="3">
        <v>0</v>
      </c>
      <c r="K4" s="3">
        <v>0</v>
      </c>
    </row>
    <row r="5" spans="2:11" x14ac:dyDescent="0.3">
      <c r="B5" s="38">
        <v>43468</v>
      </c>
      <c r="C5" s="3">
        <v>7505512</v>
      </c>
      <c r="D5" s="3">
        <v>5629134</v>
      </c>
      <c r="E5" s="3">
        <v>2293351</v>
      </c>
      <c r="F5" s="3">
        <v>5420648</v>
      </c>
      <c r="G5" s="3">
        <f t="shared" ref="G5:G67" si="0">SUM(C5:F5)</f>
        <v>20848645</v>
      </c>
      <c r="H5" s="3">
        <v>0</v>
      </c>
      <c r="I5" s="3">
        <v>0</v>
      </c>
      <c r="J5" s="3">
        <v>0</v>
      </c>
      <c r="K5" s="3">
        <v>0</v>
      </c>
    </row>
    <row r="6" spans="2:11" x14ac:dyDescent="0.3">
      <c r="B6" s="38">
        <v>43469</v>
      </c>
      <c r="C6" s="3">
        <v>7818242</v>
      </c>
      <c r="D6" s="3">
        <v>5863681</v>
      </c>
      <c r="E6" s="3">
        <v>2388907</v>
      </c>
      <c r="F6" s="3">
        <v>5646508</v>
      </c>
      <c r="G6" s="3">
        <f t="shared" si="0"/>
        <v>21717338</v>
      </c>
      <c r="H6" s="3">
        <v>0</v>
      </c>
      <c r="I6" s="3">
        <v>0</v>
      </c>
      <c r="J6" s="3">
        <v>0</v>
      </c>
      <c r="K6" s="3">
        <v>0</v>
      </c>
    </row>
    <row r="7" spans="2:11" x14ac:dyDescent="0.3">
      <c r="B7" s="38">
        <v>43470</v>
      </c>
      <c r="C7" s="3">
        <v>15352294</v>
      </c>
      <c r="D7" s="3">
        <v>11514221</v>
      </c>
      <c r="E7" s="3">
        <v>4690978</v>
      </c>
      <c r="F7" s="3">
        <v>11087768</v>
      </c>
      <c r="G7" s="3">
        <f t="shared" si="0"/>
        <v>42645261</v>
      </c>
      <c r="H7" s="3">
        <v>0</v>
      </c>
      <c r="I7" s="3">
        <v>0</v>
      </c>
      <c r="J7" s="3">
        <v>0</v>
      </c>
      <c r="K7" s="3">
        <v>0</v>
      </c>
    </row>
    <row r="8" spans="2:11" x14ac:dyDescent="0.3">
      <c r="B8" s="38">
        <v>43471</v>
      </c>
      <c r="C8" s="3">
        <v>15675500</v>
      </c>
      <c r="D8" s="3">
        <v>11756625</v>
      </c>
      <c r="E8" s="3">
        <v>4789736</v>
      </c>
      <c r="F8" s="3">
        <v>11321195</v>
      </c>
      <c r="G8" s="3">
        <f t="shared" si="0"/>
        <v>43543056</v>
      </c>
      <c r="H8" s="3">
        <v>0</v>
      </c>
      <c r="I8" s="3">
        <v>0</v>
      </c>
      <c r="J8" s="3">
        <v>0</v>
      </c>
      <c r="K8" s="3">
        <v>0</v>
      </c>
    </row>
    <row r="9" spans="2:11" x14ac:dyDescent="0.3">
      <c r="B9" s="38">
        <v>43472</v>
      </c>
      <c r="C9" s="3">
        <v>8209154</v>
      </c>
      <c r="D9" s="3">
        <v>6156866</v>
      </c>
      <c r="E9" s="3">
        <v>2508352</v>
      </c>
      <c r="F9" s="3">
        <v>5928833</v>
      </c>
      <c r="G9" s="3">
        <f t="shared" si="0"/>
        <v>22803205</v>
      </c>
      <c r="H9" s="3">
        <v>0</v>
      </c>
      <c r="I9" s="3">
        <v>0</v>
      </c>
      <c r="J9" s="3">
        <v>0</v>
      </c>
      <c r="K9" s="3">
        <v>0</v>
      </c>
    </row>
    <row r="10" spans="2:11" x14ac:dyDescent="0.3">
      <c r="B10" s="38">
        <v>43473</v>
      </c>
      <c r="C10" s="3">
        <v>7818242</v>
      </c>
      <c r="D10" s="3">
        <v>5863681</v>
      </c>
      <c r="E10" s="3">
        <v>2388907</v>
      </c>
      <c r="F10" s="3">
        <v>5646508</v>
      </c>
      <c r="G10" s="3">
        <f t="shared" si="0"/>
        <v>21717338</v>
      </c>
      <c r="H10" s="3">
        <f>($C10-$C3)/$C3</f>
        <v>4.1666711078471398E-2</v>
      </c>
      <c r="I10" s="3">
        <f>($D10-$D3)/D3</f>
        <v>4.1666622254861937E-2</v>
      </c>
      <c r="J10" s="3">
        <f>(E10-E3)/E3</f>
        <v>4.1666539487413834E-2</v>
      </c>
      <c r="K10" s="3">
        <f>(F10-F3)/F3</f>
        <v>4.166660517340362E-2</v>
      </c>
    </row>
    <row r="11" spans="2:11" x14ac:dyDescent="0.3">
      <c r="B11" s="38">
        <v>43474</v>
      </c>
      <c r="C11" s="3">
        <v>8130972</v>
      </c>
      <c r="D11" s="3">
        <v>6098229</v>
      </c>
      <c r="E11" s="3">
        <v>2484463</v>
      </c>
      <c r="F11" s="3">
        <v>5872368</v>
      </c>
      <c r="G11" s="3">
        <f t="shared" si="0"/>
        <v>22586032</v>
      </c>
      <c r="H11" s="3">
        <f t="shared" ref="H11:H74" si="1">($C11-$C4)/$C4</f>
        <v>2.9703065590196271E-2</v>
      </c>
      <c r="I11" s="3">
        <f t="shared" ref="I11:I74" si="2">($D11-$D4)/D4</f>
        <v>2.9703065590196271E-2</v>
      </c>
      <c r="J11" s="3">
        <f t="shared" ref="J11:J74" si="3">(E11-E4)/E4</f>
        <v>2.9702884122818508E-2</v>
      </c>
      <c r="K11" s="3">
        <f t="shared" ref="K11:K74" si="4">(F11-F4)/F4</f>
        <v>2.9702928630382784E-2</v>
      </c>
    </row>
    <row r="12" spans="2:11" x14ac:dyDescent="0.3">
      <c r="B12" s="38">
        <v>43475</v>
      </c>
      <c r="C12" s="3">
        <v>387156</v>
      </c>
      <c r="D12" s="3">
        <v>2873204</v>
      </c>
      <c r="E12" s="3">
        <v>1170564</v>
      </c>
      <c r="F12" s="3">
        <v>6210572</v>
      </c>
      <c r="G12" s="3">
        <f t="shared" si="0"/>
        <v>10641496</v>
      </c>
      <c r="H12" s="3">
        <f t="shared" si="1"/>
        <v>-0.94841710998530149</v>
      </c>
      <c r="I12" s="3">
        <f t="shared" si="2"/>
        <v>-0.48958330002447981</v>
      </c>
      <c r="J12" s="3">
        <f t="shared" si="3"/>
        <v>-0.48958358314972283</v>
      </c>
      <c r="K12" s="3">
        <f t="shared" si="4"/>
        <v>0.14572501295048121</v>
      </c>
    </row>
    <row r="13" spans="2:11" x14ac:dyDescent="0.3">
      <c r="B13" s="38">
        <v>43476</v>
      </c>
      <c r="C13" s="3">
        <v>7427330</v>
      </c>
      <c r="D13" s="3">
        <v>5570497</v>
      </c>
      <c r="E13" s="3">
        <v>2269462</v>
      </c>
      <c r="F13" s="3">
        <v>5364183</v>
      </c>
      <c r="G13" s="3">
        <f t="shared" si="0"/>
        <v>20631472</v>
      </c>
      <c r="H13" s="3">
        <f t="shared" si="1"/>
        <v>-4.9999987209400784E-2</v>
      </c>
      <c r="I13" s="3">
        <f t="shared" si="2"/>
        <v>-4.9999991472933131E-2</v>
      </c>
      <c r="J13" s="3">
        <f t="shared" si="3"/>
        <v>-4.9999853489482847E-2</v>
      </c>
      <c r="K13" s="3">
        <f t="shared" si="4"/>
        <v>-4.999992915975679E-2</v>
      </c>
    </row>
    <row r="14" spans="2:11" x14ac:dyDescent="0.3">
      <c r="B14" s="38">
        <v>43477</v>
      </c>
      <c r="C14" s="3">
        <v>15352294</v>
      </c>
      <c r="D14" s="3">
        <v>11514221</v>
      </c>
      <c r="E14" s="3">
        <v>4690978</v>
      </c>
      <c r="F14" s="3">
        <v>11087768</v>
      </c>
      <c r="G14" s="3">
        <f t="shared" si="0"/>
        <v>42645261</v>
      </c>
      <c r="H14" s="3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</row>
    <row r="15" spans="2:11" x14ac:dyDescent="0.3">
      <c r="B15" s="38">
        <v>43478</v>
      </c>
      <c r="C15" s="3">
        <v>16645119</v>
      </c>
      <c r="D15" s="3">
        <v>12483839</v>
      </c>
      <c r="E15" s="3">
        <v>5086008</v>
      </c>
      <c r="F15" s="3">
        <v>12021475</v>
      </c>
      <c r="G15" s="3">
        <f t="shared" si="0"/>
        <v>46236441</v>
      </c>
      <c r="H15" s="3">
        <f t="shared" si="1"/>
        <v>6.1855698382826702E-2</v>
      </c>
      <c r="I15" s="3">
        <f t="shared" si="2"/>
        <v>6.1855677118220577E-2</v>
      </c>
      <c r="J15" s="3">
        <f t="shared" si="3"/>
        <v>6.1855601227291022E-2</v>
      </c>
      <c r="K15" s="3">
        <f t="shared" si="4"/>
        <v>6.1855660996917729E-2</v>
      </c>
    </row>
    <row r="16" spans="2:11" x14ac:dyDescent="0.3">
      <c r="B16" s="38">
        <v>43479</v>
      </c>
      <c r="C16" s="3">
        <v>7583695</v>
      </c>
      <c r="D16" s="3">
        <v>5687771</v>
      </c>
      <c r="E16" s="3">
        <v>2317240</v>
      </c>
      <c r="F16" s="3">
        <v>5477113</v>
      </c>
      <c r="G16" s="3">
        <f t="shared" si="0"/>
        <v>21065819</v>
      </c>
      <c r="H16" s="3">
        <f t="shared" si="1"/>
        <v>-7.6190433265108687E-2</v>
      </c>
      <c r="I16" s="3">
        <f t="shared" si="2"/>
        <v>-7.6190548892894533E-2</v>
      </c>
      <c r="J16" s="3">
        <f t="shared" si="3"/>
        <v>-7.6190263567473784E-2</v>
      </c>
      <c r="K16" s="3">
        <f t="shared" si="4"/>
        <v>-7.6190373383767093E-2</v>
      </c>
    </row>
    <row r="17" spans="2:11" x14ac:dyDescent="0.3">
      <c r="B17" s="38">
        <v>43480</v>
      </c>
      <c r="C17" s="3">
        <v>7661877</v>
      </c>
      <c r="D17" s="3">
        <v>5746408</v>
      </c>
      <c r="E17" s="3">
        <v>2341129</v>
      </c>
      <c r="F17" s="3">
        <v>5533578</v>
      </c>
      <c r="G17" s="3">
        <f t="shared" si="0"/>
        <v>21282992</v>
      </c>
      <c r="H17" s="3">
        <f t="shared" si="1"/>
        <v>-2.0000020464958745E-2</v>
      </c>
      <c r="I17" s="3">
        <f t="shared" si="2"/>
        <v>-1.9999894264370793E-2</v>
      </c>
      <c r="J17" s="3">
        <f t="shared" si="3"/>
        <v>-1.9999941395793138E-2</v>
      </c>
      <c r="K17" s="3">
        <f t="shared" si="4"/>
        <v>-1.9999971663902716E-2</v>
      </c>
    </row>
    <row r="18" spans="2:11" x14ac:dyDescent="0.3">
      <c r="B18" s="38">
        <v>43481</v>
      </c>
      <c r="C18" s="3">
        <v>7583695</v>
      </c>
      <c r="D18" s="3">
        <v>5687771</v>
      </c>
      <c r="E18" s="3">
        <v>2317240</v>
      </c>
      <c r="F18" s="3">
        <v>5477113</v>
      </c>
      <c r="G18" s="3">
        <f t="shared" si="0"/>
        <v>21065819</v>
      </c>
      <c r="H18" s="3">
        <f t="shared" si="1"/>
        <v>-6.7307697037943315E-2</v>
      </c>
      <c r="I18" s="3">
        <f t="shared" si="2"/>
        <v>-6.7307738033452011E-2</v>
      </c>
      <c r="J18" s="3">
        <f t="shared" si="3"/>
        <v>-6.730750266757847E-2</v>
      </c>
      <c r="K18" s="3">
        <f t="shared" si="4"/>
        <v>-6.7307600613585525E-2</v>
      </c>
    </row>
    <row r="19" spans="2:11" x14ac:dyDescent="0.3">
      <c r="B19" s="38">
        <v>43482</v>
      </c>
      <c r="C19" s="3">
        <v>8052789</v>
      </c>
      <c r="D19" s="3">
        <v>6039592</v>
      </c>
      <c r="E19" s="3">
        <v>2460574</v>
      </c>
      <c r="F19" s="3">
        <v>5815903</v>
      </c>
      <c r="G19" s="3">
        <f t="shared" si="0"/>
        <v>22368858</v>
      </c>
      <c r="H19" s="3">
        <f t="shared" si="1"/>
        <v>19.799855872051577</v>
      </c>
      <c r="I19" s="3">
        <f t="shared" si="2"/>
        <v>1.1020407879148157</v>
      </c>
      <c r="J19" s="3">
        <f t="shared" si="3"/>
        <v>1.10204140909852</v>
      </c>
      <c r="K19" s="3">
        <f t="shared" si="4"/>
        <v>-6.3547930850813741E-2</v>
      </c>
    </row>
    <row r="20" spans="2:11" x14ac:dyDescent="0.3">
      <c r="B20" s="38">
        <v>43483</v>
      </c>
      <c r="C20" s="3">
        <v>7974607</v>
      </c>
      <c r="D20" s="3">
        <v>5980955</v>
      </c>
      <c r="E20" s="3">
        <v>2436685</v>
      </c>
      <c r="F20" s="3">
        <v>5759438</v>
      </c>
      <c r="G20" s="3">
        <f t="shared" si="0"/>
        <v>22151685</v>
      </c>
      <c r="H20" s="3">
        <f t="shared" si="1"/>
        <v>7.3684217612520253E-2</v>
      </c>
      <c r="I20" s="3">
        <f t="shared" si="2"/>
        <v>7.3684269105611225E-2</v>
      </c>
      <c r="J20" s="3">
        <f t="shared" si="3"/>
        <v>7.3683983252418414E-2</v>
      </c>
      <c r="K20" s="3">
        <f t="shared" si="4"/>
        <v>7.3684100635642E-2</v>
      </c>
    </row>
    <row r="21" spans="2:11" x14ac:dyDescent="0.3">
      <c r="B21" s="38">
        <v>43484</v>
      </c>
      <c r="C21" s="3">
        <v>15352294</v>
      </c>
      <c r="D21" s="3">
        <v>11514221</v>
      </c>
      <c r="E21" s="3">
        <v>4690978</v>
      </c>
      <c r="F21" s="3">
        <v>11087768</v>
      </c>
      <c r="G21" s="3">
        <f t="shared" si="0"/>
        <v>42645261</v>
      </c>
      <c r="H21" s="3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</row>
    <row r="22" spans="2:11" x14ac:dyDescent="0.3">
      <c r="B22" s="38">
        <v>43485</v>
      </c>
      <c r="C22" s="3">
        <v>15998707</v>
      </c>
      <c r="D22" s="3">
        <v>11999030</v>
      </c>
      <c r="E22" s="3">
        <v>4888493</v>
      </c>
      <c r="F22" s="3">
        <v>11554621</v>
      </c>
      <c r="G22" s="3">
        <f t="shared" si="0"/>
        <v>44440851</v>
      </c>
      <c r="H22" s="3">
        <f t="shared" si="1"/>
        <v>-3.8834928125175916E-2</v>
      </c>
      <c r="I22" s="3">
        <f t="shared" si="2"/>
        <v>-3.8834928902879956E-2</v>
      </c>
      <c r="J22" s="3">
        <f t="shared" si="3"/>
        <v>-3.8834976272156867E-2</v>
      </c>
      <c r="K22" s="3">
        <f t="shared" si="4"/>
        <v>-3.8835001528514594E-2</v>
      </c>
    </row>
    <row r="23" spans="2:11" x14ac:dyDescent="0.3">
      <c r="B23" s="38">
        <v>43486</v>
      </c>
      <c r="C23" s="3">
        <v>7974607</v>
      </c>
      <c r="D23" s="3">
        <v>5980955</v>
      </c>
      <c r="E23" s="3">
        <v>2436685</v>
      </c>
      <c r="F23" s="3">
        <v>5759438</v>
      </c>
      <c r="G23" s="3">
        <f t="shared" si="0"/>
        <v>22151685</v>
      </c>
      <c r="H23" s="3">
        <f t="shared" si="1"/>
        <v>5.1546376799172434E-2</v>
      </c>
      <c r="I23" s="3">
        <f t="shared" si="2"/>
        <v>5.1546379064839283E-2</v>
      </c>
      <c r="J23" s="3">
        <f t="shared" si="3"/>
        <v>5.1546236039426215E-2</v>
      </c>
      <c r="K23" s="3">
        <f t="shared" si="4"/>
        <v>5.1546316462705806E-2</v>
      </c>
    </row>
    <row r="24" spans="2:11" x14ac:dyDescent="0.3">
      <c r="B24" s="38">
        <v>43487</v>
      </c>
      <c r="C24" s="3">
        <v>13525559</v>
      </c>
      <c r="D24" s="3">
        <v>2028833</v>
      </c>
      <c r="E24" s="3">
        <v>19827367</v>
      </c>
      <c r="F24" s="3">
        <v>2189238</v>
      </c>
      <c r="G24" s="3">
        <f t="shared" si="0"/>
        <v>37570997</v>
      </c>
      <c r="H24" s="3">
        <f t="shared" si="1"/>
        <v>0.76530620368873059</v>
      </c>
      <c r="I24" s="3">
        <f t="shared" si="2"/>
        <v>-0.64693892254082896</v>
      </c>
      <c r="J24" s="3">
        <f t="shared" si="3"/>
        <v>7.4691475779420955</v>
      </c>
      <c r="K24" s="3">
        <f t="shared" si="4"/>
        <v>-0.60437207174092422</v>
      </c>
    </row>
    <row r="25" spans="2:11" x14ac:dyDescent="0.3">
      <c r="B25" s="38">
        <v>43488</v>
      </c>
      <c r="C25" s="3">
        <v>7740060</v>
      </c>
      <c r="D25" s="3">
        <v>5805045</v>
      </c>
      <c r="E25" s="3">
        <v>2365018</v>
      </c>
      <c r="F25" s="3">
        <v>5590043</v>
      </c>
      <c r="G25" s="3">
        <f t="shared" si="0"/>
        <v>21500166</v>
      </c>
      <c r="H25" s="3">
        <f t="shared" si="1"/>
        <v>2.0618577092037588E-2</v>
      </c>
      <c r="I25" s="3">
        <f t="shared" si="2"/>
        <v>2.0618621952255112E-2</v>
      </c>
      <c r="J25" s="3">
        <f t="shared" si="3"/>
        <v>2.0618494415770485E-2</v>
      </c>
      <c r="K25" s="3">
        <f t="shared" si="4"/>
        <v>2.0618526585082324E-2</v>
      </c>
    </row>
    <row r="26" spans="2:11" x14ac:dyDescent="0.3">
      <c r="B26" s="38">
        <v>43489</v>
      </c>
      <c r="C26" s="3">
        <v>7427330</v>
      </c>
      <c r="D26" s="3">
        <v>5570497</v>
      </c>
      <c r="E26" s="3">
        <v>2269462</v>
      </c>
      <c r="F26" s="3">
        <v>5364183</v>
      </c>
      <c r="G26" s="3">
        <f t="shared" si="0"/>
        <v>20631472</v>
      </c>
      <c r="H26" s="3">
        <f t="shared" si="1"/>
        <v>-7.7669860715337255E-2</v>
      </c>
      <c r="I26" s="3">
        <f t="shared" si="2"/>
        <v>-7.7669981680881753E-2</v>
      </c>
      <c r="J26" s="3">
        <f t="shared" si="3"/>
        <v>-7.7669681952259914E-2</v>
      </c>
      <c r="K26" s="3">
        <f t="shared" si="4"/>
        <v>-7.7669796074659431E-2</v>
      </c>
    </row>
    <row r="27" spans="2:11" x14ac:dyDescent="0.3">
      <c r="B27" s="38">
        <v>43490</v>
      </c>
      <c r="C27" s="3">
        <v>7427330</v>
      </c>
      <c r="D27" s="3">
        <v>5570497</v>
      </c>
      <c r="E27" s="3">
        <v>2269462</v>
      </c>
      <c r="F27" s="3">
        <v>5364183</v>
      </c>
      <c r="G27" s="3">
        <f t="shared" si="0"/>
        <v>20631472</v>
      </c>
      <c r="H27" s="3">
        <f t="shared" si="1"/>
        <v>-6.8627457127354366E-2</v>
      </c>
      <c r="I27" s="3">
        <f t="shared" si="2"/>
        <v>-6.8627501795281862E-2</v>
      </c>
      <c r="J27" s="3">
        <f t="shared" si="3"/>
        <v>-6.8627253830511534E-2</v>
      </c>
      <c r="K27" s="3">
        <f t="shared" si="4"/>
        <v>-6.8627355655187183E-2</v>
      </c>
    </row>
    <row r="28" spans="2:11" x14ac:dyDescent="0.3">
      <c r="B28" s="38">
        <v>43491</v>
      </c>
      <c r="C28" s="3">
        <v>16968325</v>
      </c>
      <c r="D28" s="3">
        <v>12726244</v>
      </c>
      <c r="E28" s="3">
        <v>5184766</v>
      </c>
      <c r="F28" s="3">
        <v>12254901</v>
      </c>
      <c r="G28" s="3">
        <f t="shared" si="0"/>
        <v>47134236</v>
      </c>
      <c r="H28" s="3">
        <f t="shared" si="1"/>
        <v>0.10526316132299186</v>
      </c>
      <c r="I28" s="3">
        <f t="shared" si="2"/>
        <v>0.10526313503970439</v>
      </c>
      <c r="J28" s="3">
        <f t="shared" si="3"/>
        <v>0.10526333741066361</v>
      </c>
      <c r="K28" s="3">
        <f t="shared" si="4"/>
        <v>0.1052631151734055</v>
      </c>
    </row>
    <row r="29" spans="2:11" x14ac:dyDescent="0.3">
      <c r="B29" s="38">
        <v>43492</v>
      </c>
      <c r="C29" s="3">
        <v>16321913</v>
      </c>
      <c r="D29" s="3">
        <v>12241435</v>
      </c>
      <c r="E29" s="3">
        <v>4987251</v>
      </c>
      <c r="F29" s="3">
        <v>11788048</v>
      </c>
      <c r="G29" s="3">
        <f t="shared" si="0"/>
        <v>45338647</v>
      </c>
      <c r="H29" s="3">
        <f t="shared" si="1"/>
        <v>2.0202007574737134E-2</v>
      </c>
      <c r="I29" s="3">
        <f t="shared" si="2"/>
        <v>2.0202049665681308E-2</v>
      </c>
      <c r="J29" s="3">
        <f t="shared" si="3"/>
        <v>2.020213591386957E-2</v>
      </c>
      <c r="K29" s="3">
        <f t="shared" si="4"/>
        <v>2.0202047302114019E-2</v>
      </c>
    </row>
    <row r="30" spans="2:11" x14ac:dyDescent="0.3">
      <c r="B30" s="38">
        <v>43493</v>
      </c>
      <c r="C30" s="3">
        <v>7661877</v>
      </c>
      <c r="D30" s="3">
        <v>5746408</v>
      </c>
      <c r="E30" s="3">
        <v>2341129</v>
      </c>
      <c r="F30" s="3">
        <v>5533578</v>
      </c>
      <c r="G30" s="3">
        <f t="shared" si="0"/>
        <v>21282992</v>
      </c>
      <c r="H30" s="3">
        <f t="shared" si="1"/>
        <v>-3.9215725615067927E-2</v>
      </c>
      <c r="I30" s="3">
        <f t="shared" si="2"/>
        <v>-3.9215643655570058E-2</v>
      </c>
      <c r="J30" s="3">
        <f t="shared" si="3"/>
        <v>-3.9215573617435162E-2</v>
      </c>
      <c r="K30" s="3">
        <f t="shared" si="4"/>
        <v>-3.9215631802964106E-2</v>
      </c>
    </row>
    <row r="31" spans="2:11" x14ac:dyDescent="0.3">
      <c r="B31" s="38">
        <v>43494</v>
      </c>
      <c r="C31" s="3">
        <v>8052789</v>
      </c>
      <c r="D31" s="3">
        <v>6039592</v>
      </c>
      <c r="E31" s="3">
        <v>2460574</v>
      </c>
      <c r="F31" s="3">
        <v>5815903</v>
      </c>
      <c r="G31" s="3">
        <f t="shared" si="0"/>
        <v>22368858</v>
      </c>
      <c r="H31" s="3">
        <f t="shared" si="1"/>
        <v>-0.40462431164582552</v>
      </c>
      <c r="I31" s="3">
        <f t="shared" si="2"/>
        <v>1.9768798121875975</v>
      </c>
      <c r="J31" s="3">
        <f t="shared" si="3"/>
        <v>-0.87590011321220818</v>
      </c>
      <c r="K31" s="3">
        <f t="shared" si="4"/>
        <v>1.6565878173136042</v>
      </c>
    </row>
    <row r="32" spans="2:11" x14ac:dyDescent="0.3">
      <c r="B32" s="38">
        <v>43495</v>
      </c>
      <c r="C32" s="3">
        <v>8052789</v>
      </c>
      <c r="D32" s="3">
        <v>6039592</v>
      </c>
      <c r="E32" s="3">
        <v>2460574</v>
      </c>
      <c r="F32" s="3">
        <v>5815903</v>
      </c>
      <c r="G32" s="3">
        <f t="shared" si="0"/>
        <v>22368858</v>
      </c>
      <c r="H32" s="3">
        <f t="shared" si="1"/>
        <v>4.0403950356973979E-2</v>
      </c>
      <c r="I32" s="3">
        <f t="shared" si="2"/>
        <v>4.0403993422962269E-2</v>
      </c>
      <c r="J32" s="3">
        <f t="shared" si="3"/>
        <v>4.0403920815824661E-2</v>
      </c>
      <c r="K32" s="3">
        <f t="shared" si="4"/>
        <v>4.040398258117156E-2</v>
      </c>
    </row>
    <row r="33" spans="2:11" x14ac:dyDescent="0.3">
      <c r="B33" s="38">
        <v>43496</v>
      </c>
      <c r="C33" s="3">
        <v>7505512</v>
      </c>
      <c r="D33" s="3">
        <v>5629134</v>
      </c>
      <c r="E33" s="3">
        <v>2293351</v>
      </c>
      <c r="F33" s="3">
        <v>5420648</v>
      </c>
      <c r="G33" s="3">
        <f t="shared" si="0"/>
        <v>20848645</v>
      </c>
      <c r="H33" s="3">
        <f t="shared" si="1"/>
        <v>1.052625909983803E-2</v>
      </c>
      <c r="I33" s="3">
        <f t="shared" si="2"/>
        <v>1.0526349803258129E-2</v>
      </c>
      <c r="J33" s="3">
        <f t="shared" si="3"/>
        <v>1.052628332177406E-2</v>
      </c>
      <c r="K33" s="3">
        <f t="shared" si="4"/>
        <v>1.0526300090806E-2</v>
      </c>
    </row>
    <row r="34" spans="2:11" x14ac:dyDescent="0.3">
      <c r="B34" s="38">
        <v>43497</v>
      </c>
      <c r="C34" s="3">
        <v>7427330</v>
      </c>
      <c r="D34" s="3">
        <v>5570497</v>
      </c>
      <c r="E34" s="3">
        <v>2269462</v>
      </c>
      <c r="F34" s="3">
        <v>5364183</v>
      </c>
      <c r="G34" s="3">
        <f t="shared" si="0"/>
        <v>20631472</v>
      </c>
      <c r="H34" s="3">
        <f t="shared" si="1"/>
        <v>0</v>
      </c>
      <c r="I34" s="3">
        <f t="shared" si="2"/>
        <v>0</v>
      </c>
      <c r="J34" s="3">
        <f t="shared" si="3"/>
        <v>0</v>
      </c>
      <c r="K34" s="3">
        <f t="shared" si="4"/>
        <v>0</v>
      </c>
    </row>
    <row r="35" spans="2:11" x14ac:dyDescent="0.3">
      <c r="B35" s="38">
        <v>43498</v>
      </c>
      <c r="C35" s="3">
        <v>15675500</v>
      </c>
      <c r="D35" s="3">
        <v>11756625</v>
      </c>
      <c r="E35" s="3">
        <v>4789736</v>
      </c>
      <c r="F35" s="3">
        <v>11321195</v>
      </c>
      <c r="G35" s="3">
        <f t="shared" si="0"/>
        <v>43543056</v>
      </c>
      <c r="H35" s="3">
        <f t="shared" si="1"/>
        <v>-7.6190490222222879E-2</v>
      </c>
      <c r="I35" s="3">
        <f t="shared" si="2"/>
        <v>-7.6190508369947965E-2</v>
      </c>
      <c r="J35" s="3">
        <f t="shared" si="3"/>
        <v>-7.6190516601906427E-2</v>
      </c>
      <c r="K35" s="3">
        <f t="shared" si="4"/>
        <v>-7.6190415573328577E-2</v>
      </c>
    </row>
    <row r="36" spans="2:11" x14ac:dyDescent="0.3">
      <c r="B36" s="38">
        <v>43499</v>
      </c>
      <c r="C36" s="3">
        <v>16160310</v>
      </c>
      <c r="D36" s="3">
        <v>12120232</v>
      </c>
      <c r="E36" s="3">
        <v>4937872</v>
      </c>
      <c r="F36" s="3">
        <v>11671335</v>
      </c>
      <c r="G36" s="3">
        <f t="shared" si="0"/>
        <v>44889749</v>
      </c>
      <c r="H36" s="3">
        <f t="shared" si="1"/>
        <v>-9.9009840329378051E-3</v>
      </c>
      <c r="I36" s="3">
        <f t="shared" si="2"/>
        <v>-9.9010450980624408E-3</v>
      </c>
      <c r="J36" s="3">
        <f t="shared" si="3"/>
        <v>-9.901045686290905E-3</v>
      </c>
      <c r="K36" s="3">
        <f t="shared" si="4"/>
        <v>-9.9009607018905928E-3</v>
      </c>
    </row>
    <row r="37" spans="2:11" x14ac:dyDescent="0.3">
      <c r="B37" s="38">
        <v>43500</v>
      </c>
      <c r="C37" s="3">
        <v>7661877</v>
      </c>
      <c r="D37" s="3">
        <v>5746408</v>
      </c>
      <c r="E37" s="3">
        <v>2341129</v>
      </c>
      <c r="F37" s="3">
        <v>5533578</v>
      </c>
      <c r="G37" s="3">
        <f t="shared" si="0"/>
        <v>21282992</v>
      </c>
      <c r="H37" s="3">
        <f t="shared" si="1"/>
        <v>0</v>
      </c>
      <c r="I37" s="3">
        <f t="shared" si="2"/>
        <v>0</v>
      </c>
      <c r="J37" s="3">
        <f t="shared" si="3"/>
        <v>0</v>
      </c>
      <c r="K37" s="3">
        <f t="shared" si="4"/>
        <v>0</v>
      </c>
    </row>
    <row r="38" spans="2:11" x14ac:dyDescent="0.3">
      <c r="B38" s="38">
        <v>43501</v>
      </c>
      <c r="C38" s="3">
        <v>8052789</v>
      </c>
      <c r="D38" s="3">
        <v>6039592</v>
      </c>
      <c r="E38" s="3">
        <v>2460574</v>
      </c>
      <c r="F38" s="3">
        <v>5815903</v>
      </c>
      <c r="G38" s="3">
        <f t="shared" si="0"/>
        <v>22368858</v>
      </c>
      <c r="H38" s="3">
        <f t="shared" si="1"/>
        <v>0</v>
      </c>
      <c r="I38" s="3">
        <f t="shared" si="2"/>
        <v>0</v>
      </c>
      <c r="J38" s="3">
        <f t="shared" si="3"/>
        <v>0</v>
      </c>
      <c r="K38" s="3">
        <f t="shared" si="4"/>
        <v>0</v>
      </c>
    </row>
    <row r="39" spans="2:11" x14ac:dyDescent="0.3">
      <c r="B39" s="38">
        <v>43502</v>
      </c>
      <c r="C39" s="3">
        <v>7427330</v>
      </c>
      <c r="D39" s="3">
        <v>5570497</v>
      </c>
      <c r="E39" s="3">
        <v>2269462</v>
      </c>
      <c r="F39" s="3">
        <v>5364183</v>
      </c>
      <c r="G39" s="3">
        <f t="shared" si="0"/>
        <v>20631472</v>
      </c>
      <c r="H39" s="3">
        <f t="shared" si="1"/>
        <v>-7.7669860715337255E-2</v>
      </c>
      <c r="I39" s="3">
        <f t="shared" si="2"/>
        <v>-7.7669981680881753E-2</v>
      </c>
      <c r="J39" s="3">
        <f t="shared" si="3"/>
        <v>-7.7669681952259914E-2</v>
      </c>
      <c r="K39" s="3">
        <f t="shared" si="4"/>
        <v>-7.7669796074659431E-2</v>
      </c>
    </row>
    <row r="40" spans="2:11" x14ac:dyDescent="0.3">
      <c r="B40" s="38">
        <v>43503</v>
      </c>
      <c r="C40" s="3">
        <v>7974607</v>
      </c>
      <c r="D40" s="3">
        <v>5980955</v>
      </c>
      <c r="E40" s="3">
        <v>2436685</v>
      </c>
      <c r="F40" s="3">
        <v>5759438</v>
      </c>
      <c r="G40" s="3">
        <f t="shared" si="0"/>
        <v>22151685</v>
      </c>
      <c r="H40" s="3">
        <f t="shared" si="1"/>
        <v>6.2500066617707087E-2</v>
      </c>
      <c r="I40" s="3">
        <f t="shared" si="2"/>
        <v>6.2500022205902367E-2</v>
      </c>
      <c r="J40" s="3">
        <f t="shared" si="3"/>
        <v>6.2499809231120751E-2</v>
      </c>
      <c r="K40" s="3">
        <f t="shared" si="4"/>
        <v>6.2499907760105437E-2</v>
      </c>
    </row>
    <row r="41" spans="2:11" x14ac:dyDescent="0.3">
      <c r="B41" s="38">
        <v>43504</v>
      </c>
      <c r="C41" s="3">
        <v>7896424</v>
      </c>
      <c r="D41" s="3">
        <v>5922318</v>
      </c>
      <c r="E41" s="3">
        <v>2412796</v>
      </c>
      <c r="F41" s="3">
        <v>5702973</v>
      </c>
      <c r="G41" s="3">
        <f t="shared" si="0"/>
        <v>21934511</v>
      </c>
      <c r="H41" s="3">
        <f t="shared" si="1"/>
        <v>6.3157823874797542E-2</v>
      </c>
      <c r="I41" s="3">
        <f t="shared" si="2"/>
        <v>6.3157919302353094E-2</v>
      </c>
      <c r="J41" s="3">
        <f t="shared" si="3"/>
        <v>6.3157699930644351E-2</v>
      </c>
      <c r="K41" s="3">
        <f t="shared" si="4"/>
        <v>6.3157800544835996E-2</v>
      </c>
    </row>
    <row r="42" spans="2:11" x14ac:dyDescent="0.3">
      <c r="B42" s="38">
        <v>43505</v>
      </c>
      <c r="C42" s="3">
        <v>15837104</v>
      </c>
      <c r="D42" s="3">
        <v>11877828</v>
      </c>
      <c r="E42" s="3">
        <v>4839115</v>
      </c>
      <c r="F42" s="3">
        <v>11437908</v>
      </c>
      <c r="G42" s="3">
        <f t="shared" si="0"/>
        <v>43991955</v>
      </c>
      <c r="H42" s="3">
        <f t="shared" si="1"/>
        <v>1.0309336225319767E-2</v>
      </c>
      <c r="I42" s="3">
        <f t="shared" si="2"/>
        <v>1.0309336225319767E-2</v>
      </c>
      <c r="J42" s="3">
        <f t="shared" si="3"/>
        <v>1.0309336464473198E-2</v>
      </c>
      <c r="K42" s="3">
        <f t="shared" si="4"/>
        <v>1.0309247389520276E-2</v>
      </c>
    </row>
    <row r="43" spans="2:11" x14ac:dyDescent="0.3">
      <c r="B43" s="38">
        <v>43506</v>
      </c>
      <c r="C43" s="3">
        <v>16645119</v>
      </c>
      <c r="D43" s="3">
        <v>12483839</v>
      </c>
      <c r="E43" s="3">
        <v>5086008</v>
      </c>
      <c r="F43" s="3">
        <v>12021475</v>
      </c>
      <c r="G43" s="3">
        <f t="shared" si="0"/>
        <v>46236441</v>
      </c>
      <c r="H43" s="3">
        <f t="shared" si="1"/>
        <v>2.9999981435999679E-2</v>
      </c>
      <c r="I43" s="3">
        <f t="shared" si="2"/>
        <v>3.0000003300266861E-2</v>
      </c>
      <c r="J43" s="3">
        <f t="shared" si="3"/>
        <v>2.9999967597377979E-2</v>
      </c>
      <c r="K43" s="3">
        <f t="shared" si="4"/>
        <v>2.9999995715999928E-2</v>
      </c>
    </row>
    <row r="44" spans="2:11" x14ac:dyDescent="0.3">
      <c r="B44" s="38">
        <v>43507</v>
      </c>
      <c r="C44" s="3">
        <v>8052789</v>
      </c>
      <c r="D44" s="3">
        <v>6039592</v>
      </c>
      <c r="E44" s="3">
        <v>2460574</v>
      </c>
      <c r="F44" s="3">
        <v>5815903</v>
      </c>
      <c r="G44" s="3">
        <f t="shared" si="0"/>
        <v>22368858</v>
      </c>
      <c r="H44" s="3">
        <f t="shared" si="1"/>
        <v>5.102039617707254E-2</v>
      </c>
      <c r="I44" s="3">
        <f t="shared" si="2"/>
        <v>5.1020393957407831E-2</v>
      </c>
      <c r="J44" s="3">
        <f t="shared" si="3"/>
        <v>5.1020255611715547E-2</v>
      </c>
      <c r="K44" s="3">
        <f t="shared" si="4"/>
        <v>5.1020334402081258E-2</v>
      </c>
    </row>
    <row r="45" spans="2:11" x14ac:dyDescent="0.3">
      <c r="B45" s="38">
        <v>43508</v>
      </c>
      <c r="C45" s="3">
        <v>8209154</v>
      </c>
      <c r="D45" s="3">
        <v>6156866</v>
      </c>
      <c r="E45" s="3">
        <v>2508352</v>
      </c>
      <c r="F45" s="3">
        <v>5928833</v>
      </c>
      <c r="G45" s="3">
        <f t="shared" si="0"/>
        <v>22803205</v>
      </c>
      <c r="H45" s="3">
        <f t="shared" si="1"/>
        <v>1.9417496223979046E-2</v>
      </c>
      <c r="I45" s="3">
        <f t="shared" si="2"/>
        <v>1.9417536813745036E-2</v>
      </c>
      <c r="J45" s="3">
        <f t="shared" si="3"/>
        <v>1.9417420488064979E-2</v>
      </c>
      <c r="K45" s="3">
        <f t="shared" si="4"/>
        <v>1.9417449018664858E-2</v>
      </c>
    </row>
    <row r="46" spans="2:11" x14ac:dyDescent="0.3">
      <c r="B46" s="38">
        <v>43509</v>
      </c>
      <c r="C46" s="3">
        <v>7818242</v>
      </c>
      <c r="D46" s="3">
        <v>5863681</v>
      </c>
      <c r="E46" s="3">
        <v>2388907</v>
      </c>
      <c r="F46" s="3">
        <v>5646508</v>
      </c>
      <c r="G46" s="3">
        <f t="shared" si="0"/>
        <v>21717338</v>
      </c>
      <c r="H46" s="3">
        <f t="shared" si="1"/>
        <v>5.2631564774959505E-2</v>
      </c>
      <c r="I46" s="3">
        <f t="shared" si="2"/>
        <v>5.2631569499094963E-2</v>
      </c>
      <c r="J46" s="3">
        <f t="shared" si="3"/>
        <v>5.2631416608870295E-2</v>
      </c>
      <c r="K46" s="3">
        <f t="shared" si="4"/>
        <v>5.2631500454029999E-2</v>
      </c>
    </row>
    <row r="47" spans="2:11" x14ac:dyDescent="0.3">
      <c r="B47" s="38">
        <v>43510</v>
      </c>
      <c r="C47" s="3">
        <v>7740060</v>
      </c>
      <c r="D47" s="3">
        <v>5805045</v>
      </c>
      <c r="E47" s="3">
        <v>2365018</v>
      </c>
      <c r="F47" s="3">
        <v>5590043</v>
      </c>
      <c r="G47" s="3">
        <f t="shared" si="0"/>
        <v>21500166</v>
      </c>
      <c r="H47" s="3">
        <f t="shared" si="1"/>
        <v>-2.9411731512286435E-2</v>
      </c>
      <c r="I47" s="3">
        <f t="shared" si="2"/>
        <v>-2.9411690942332789E-2</v>
      </c>
      <c r="J47" s="3">
        <f t="shared" si="3"/>
        <v>-2.9411680213076372E-2</v>
      </c>
      <c r="K47" s="3">
        <f t="shared" si="4"/>
        <v>-2.9411723852223081E-2</v>
      </c>
    </row>
    <row r="48" spans="2:11" x14ac:dyDescent="0.3">
      <c r="B48" s="38">
        <v>43511</v>
      </c>
      <c r="C48" s="3">
        <v>7740060</v>
      </c>
      <c r="D48" s="3">
        <v>5805045</v>
      </c>
      <c r="E48" s="3">
        <v>2365018</v>
      </c>
      <c r="F48" s="3">
        <v>5590043</v>
      </c>
      <c r="G48" s="3">
        <f t="shared" si="0"/>
        <v>21500166</v>
      </c>
      <c r="H48" s="3">
        <f t="shared" si="1"/>
        <v>-1.9801874873993597E-2</v>
      </c>
      <c r="I48" s="3">
        <f t="shared" si="2"/>
        <v>-1.9801874873993597E-2</v>
      </c>
      <c r="J48" s="3">
        <f t="shared" si="3"/>
        <v>-1.9801922748545669E-2</v>
      </c>
      <c r="K48" s="3">
        <f t="shared" si="4"/>
        <v>-1.9801952420255189E-2</v>
      </c>
    </row>
    <row r="49" spans="2:11" x14ac:dyDescent="0.3">
      <c r="B49" s="38">
        <v>43512</v>
      </c>
      <c r="C49" s="3">
        <v>16483516</v>
      </c>
      <c r="D49" s="3">
        <v>12362637</v>
      </c>
      <c r="E49" s="3">
        <v>5036630</v>
      </c>
      <c r="F49" s="3">
        <v>11904761</v>
      </c>
      <c r="G49" s="3">
        <f t="shared" si="0"/>
        <v>45787544</v>
      </c>
      <c r="H49" s="3">
        <f t="shared" si="1"/>
        <v>4.0816300758017378E-2</v>
      </c>
      <c r="I49" s="3">
        <f t="shared" si="2"/>
        <v>4.0816300758017378E-2</v>
      </c>
      <c r="J49" s="3">
        <f t="shared" si="3"/>
        <v>4.0816347617281257E-2</v>
      </c>
      <c r="K49" s="3">
        <f t="shared" si="4"/>
        <v>4.0816292629736135E-2</v>
      </c>
    </row>
    <row r="50" spans="2:11" x14ac:dyDescent="0.3">
      <c r="B50" s="38">
        <v>43513</v>
      </c>
      <c r="C50" s="3">
        <v>16321913</v>
      </c>
      <c r="D50" s="3">
        <v>12241435</v>
      </c>
      <c r="E50" s="3">
        <v>4987251</v>
      </c>
      <c r="F50" s="3">
        <v>11788048</v>
      </c>
      <c r="G50" s="3">
        <f t="shared" si="0"/>
        <v>45338647</v>
      </c>
      <c r="H50" s="3">
        <f t="shared" si="1"/>
        <v>-1.9417464062587958E-2</v>
      </c>
      <c r="I50" s="3">
        <f t="shared" si="2"/>
        <v>-1.941742439965783E-2</v>
      </c>
      <c r="J50" s="3">
        <f t="shared" si="3"/>
        <v>-1.9417389827149308E-2</v>
      </c>
      <c r="K50" s="3">
        <f t="shared" si="4"/>
        <v>-1.9417500764257297E-2</v>
      </c>
    </row>
    <row r="51" spans="2:11" x14ac:dyDescent="0.3">
      <c r="B51" s="38">
        <v>43514</v>
      </c>
      <c r="C51" s="3">
        <v>7818242</v>
      </c>
      <c r="D51" s="3">
        <v>5863681</v>
      </c>
      <c r="E51" s="3">
        <v>2388907</v>
      </c>
      <c r="F51" s="3">
        <v>5646508</v>
      </c>
      <c r="G51" s="3">
        <f t="shared" si="0"/>
        <v>21717338</v>
      </c>
      <c r="H51" s="3">
        <f t="shared" si="1"/>
        <v>-2.9126182245679106E-2</v>
      </c>
      <c r="I51" s="3">
        <f t="shared" si="2"/>
        <v>-2.912630522061755E-2</v>
      </c>
      <c r="J51" s="3">
        <f t="shared" si="3"/>
        <v>-2.912613073209747E-2</v>
      </c>
      <c r="K51" s="3">
        <f t="shared" si="4"/>
        <v>-2.9126173527997287E-2</v>
      </c>
    </row>
    <row r="52" spans="2:11" x14ac:dyDescent="0.3">
      <c r="B52" s="38">
        <v>43515</v>
      </c>
      <c r="C52" s="3">
        <v>7896424</v>
      </c>
      <c r="D52" s="3">
        <v>5922318</v>
      </c>
      <c r="E52" s="3">
        <v>2412796</v>
      </c>
      <c r="F52" s="3">
        <v>5702973</v>
      </c>
      <c r="G52" s="3">
        <f t="shared" si="0"/>
        <v>21934511</v>
      </c>
      <c r="H52" s="3">
        <f t="shared" si="1"/>
        <v>-3.8095277540170398E-2</v>
      </c>
      <c r="I52" s="3">
        <f t="shared" si="2"/>
        <v>-3.8095355656595414E-2</v>
      </c>
      <c r="J52" s="3">
        <f t="shared" si="3"/>
        <v>-3.8095131783736892E-2</v>
      </c>
      <c r="K52" s="3">
        <f t="shared" si="4"/>
        <v>-3.8095186691883547E-2</v>
      </c>
    </row>
    <row r="53" spans="2:11" x14ac:dyDescent="0.3">
      <c r="B53" s="38">
        <v>43516</v>
      </c>
      <c r="C53" s="3">
        <v>7974607</v>
      </c>
      <c r="D53" s="3">
        <v>5980955</v>
      </c>
      <c r="E53" s="3">
        <v>2436685</v>
      </c>
      <c r="F53" s="3">
        <v>5759438</v>
      </c>
      <c r="G53" s="3">
        <f t="shared" si="0"/>
        <v>22151685</v>
      </c>
      <c r="H53" s="3">
        <f t="shared" si="1"/>
        <v>2.0000020464958745E-2</v>
      </c>
      <c r="I53" s="3">
        <f t="shared" si="2"/>
        <v>2.0000064805708224E-2</v>
      </c>
      <c r="J53" s="3">
        <f t="shared" si="3"/>
        <v>1.9999941395793138E-2</v>
      </c>
      <c r="K53" s="3">
        <f t="shared" si="4"/>
        <v>1.9999971663902716E-2</v>
      </c>
    </row>
    <row r="54" spans="2:11" x14ac:dyDescent="0.3">
      <c r="B54" s="38">
        <v>43517</v>
      </c>
      <c r="C54" s="3">
        <v>7505512</v>
      </c>
      <c r="D54" s="3">
        <v>5629134</v>
      </c>
      <c r="E54" s="3">
        <v>2293351</v>
      </c>
      <c r="F54" s="3">
        <v>5420648</v>
      </c>
      <c r="G54" s="3">
        <f t="shared" si="0"/>
        <v>20848645</v>
      </c>
      <c r="H54" s="3">
        <f t="shared" si="1"/>
        <v>-3.0303124265186575E-2</v>
      </c>
      <c r="I54" s="3">
        <f t="shared" si="2"/>
        <v>-3.0303124265186575E-2</v>
      </c>
      <c r="J54" s="3">
        <f t="shared" si="3"/>
        <v>-3.0302940611868494E-2</v>
      </c>
      <c r="K54" s="3">
        <f t="shared" si="4"/>
        <v>-3.030298693587867E-2</v>
      </c>
    </row>
    <row r="55" spans="2:11" x14ac:dyDescent="0.3">
      <c r="B55" s="38">
        <v>43518</v>
      </c>
      <c r="C55" s="3">
        <v>7974607</v>
      </c>
      <c r="D55" s="3">
        <v>5980955</v>
      </c>
      <c r="E55" s="3">
        <v>2436685</v>
      </c>
      <c r="F55" s="3">
        <v>5759438</v>
      </c>
      <c r="G55" s="3">
        <f t="shared" si="0"/>
        <v>22151685</v>
      </c>
      <c r="H55" s="3">
        <f t="shared" si="1"/>
        <v>3.03029950672217E-2</v>
      </c>
      <c r="I55" s="3">
        <f t="shared" si="2"/>
        <v>3.030295200123341E-2</v>
      </c>
      <c r="J55" s="3">
        <f t="shared" si="3"/>
        <v>3.0302940611868494E-2</v>
      </c>
      <c r="K55" s="3">
        <f t="shared" si="4"/>
        <v>3.030298693587867E-2</v>
      </c>
    </row>
    <row r="56" spans="2:11" x14ac:dyDescent="0.3">
      <c r="B56" s="38">
        <v>43519</v>
      </c>
      <c r="C56" s="3">
        <v>15513897</v>
      </c>
      <c r="D56" s="3">
        <v>11635423</v>
      </c>
      <c r="E56" s="3">
        <v>4740357</v>
      </c>
      <c r="F56" s="3">
        <v>11204481</v>
      </c>
      <c r="G56" s="3">
        <f t="shared" si="0"/>
        <v>43094158</v>
      </c>
      <c r="H56" s="3">
        <f t="shared" si="1"/>
        <v>-5.8823554392157598E-2</v>
      </c>
      <c r="I56" s="3">
        <f t="shared" si="2"/>
        <v>-5.8823534169934778E-2</v>
      </c>
      <c r="J56" s="3">
        <f t="shared" si="3"/>
        <v>-5.8823657882353879E-2</v>
      </c>
      <c r="K56" s="3">
        <f t="shared" si="4"/>
        <v>-5.8823524470587862E-2</v>
      </c>
    </row>
    <row r="57" spans="2:11" x14ac:dyDescent="0.3">
      <c r="B57" s="38">
        <v>43520</v>
      </c>
      <c r="C57" s="3">
        <v>15998707</v>
      </c>
      <c r="D57" s="3">
        <v>11999030</v>
      </c>
      <c r="E57" s="3">
        <v>4888493</v>
      </c>
      <c r="F57" s="3">
        <v>11554621</v>
      </c>
      <c r="G57" s="3">
        <f t="shared" si="0"/>
        <v>44440851</v>
      </c>
      <c r="H57" s="3">
        <f t="shared" si="1"/>
        <v>-1.980196806587561E-2</v>
      </c>
      <c r="I57" s="3">
        <f t="shared" si="2"/>
        <v>-1.9802008506355669E-2</v>
      </c>
      <c r="J57" s="3">
        <f t="shared" si="3"/>
        <v>-1.980209137258181E-2</v>
      </c>
      <c r="K57" s="3">
        <f t="shared" si="4"/>
        <v>-1.9802006235468333E-2</v>
      </c>
    </row>
    <row r="58" spans="2:11" x14ac:dyDescent="0.3">
      <c r="B58" s="38">
        <v>43521</v>
      </c>
      <c r="C58" s="3">
        <v>7583695</v>
      </c>
      <c r="D58" s="3">
        <v>5687771</v>
      </c>
      <c r="E58" s="3">
        <v>2317240</v>
      </c>
      <c r="F58" s="3">
        <v>5477113</v>
      </c>
      <c r="G58" s="3">
        <f t="shared" si="0"/>
        <v>21065819</v>
      </c>
      <c r="H58" s="3">
        <f t="shared" si="1"/>
        <v>-2.9999966744442039E-2</v>
      </c>
      <c r="I58" s="3">
        <f t="shared" si="2"/>
        <v>-2.9999926667224907E-2</v>
      </c>
      <c r="J58" s="3">
        <f t="shared" si="3"/>
        <v>-2.9999912093689709E-2</v>
      </c>
      <c r="K58" s="3">
        <f t="shared" si="4"/>
        <v>-2.9999957495854074E-2</v>
      </c>
    </row>
    <row r="59" spans="2:11" x14ac:dyDescent="0.3">
      <c r="B59" s="38">
        <v>43522</v>
      </c>
      <c r="C59" s="3">
        <v>8052789</v>
      </c>
      <c r="D59" s="3">
        <v>6039592</v>
      </c>
      <c r="E59" s="3">
        <v>2460574</v>
      </c>
      <c r="F59" s="3">
        <v>5815903</v>
      </c>
      <c r="G59" s="3">
        <f t="shared" si="0"/>
        <v>22368858</v>
      </c>
      <c r="H59" s="3">
        <f t="shared" si="1"/>
        <v>1.9802001513596533E-2</v>
      </c>
      <c r="I59" s="3">
        <f t="shared" si="2"/>
        <v>1.9802043726797513E-2</v>
      </c>
      <c r="J59" s="3">
        <f t="shared" si="3"/>
        <v>1.9801922748545669E-2</v>
      </c>
      <c r="K59" s="3">
        <f t="shared" si="4"/>
        <v>1.9801952420255189E-2</v>
      </c>
    </row>
    <row r="60" spans="2:11" x14ac:dyDescent="0.3">
      <c r="B60" s="38">
        <v>43523</v>
      </c>
      <c r="C60" s="3">
        <v>7740060</v>
      </c>
      <c r="D60" s="3">
        <v>5805045</v>
      </c>
      <c r="E60" s="3">
        <v>2365018</v>
      </c>
      <c r="F60" s="3">
        <v>5590043</v>
      </c>
      <c r="G60" s="3">
        <f t="shared" si="0"/>
        <v>21500166</v>
      </c>
      <c r="H60" s="3">
        <f t="shared" si="1"/>
        <v>-2.9411731512286435E-2</v>
      </c>
      <c r="I60" s="3">
        <f t="shared" si="2"/>
        <v>-2.9411690942332789E-2</v>
      </c>
      <c r="J60" s="3">
        <f t="shared" si="3"/>
        <v>-2.9411680213076372E-2</v>
      </c>
      <c r="K60" s="3">
        <f t="shared" si="4"/>
        <v>-2.9411723852223081E-2</v>
      </c>
    </row>
    <row r="61" spans="2:11" x14ac:dyDescent="0.3">
      <c r="B61" s="38">
        <v>43524</v>
      </c>
      <c r="C61" s="3">
        <v>8130972</v>
      </c>
      <c r="D61" s="3">
        <v>6098229</v>
      </c>
      <c r="E61" s="3">
        <v>2484463</v>
      </c>
      <c r="F61" s="3">
        <v>5872368</v>
      </c>
      <c r="G61" s="3">
        <f t="shared" si="0"/>
        <v>22586032</v>
      </c>
      <c r="H61" s="3">
        <f t="shared" si="1"/>
        <v>8.3333422156942796E-2</v>
      </c>
      <c r="I61" s="3">
        <f t="shared" si="2"/>
        <v>8.3333422156942796E-2</v>
      </c>
      <c r="J61" s="3">
        <f t="shared" si="3"/>
        <v>8.3333078974827668E-2</v>
      </c>
      <c r="K61" s="3">
        <f t="shared" si="4"/>
        <v>8.333321034680724E-2</v>
      </c>
    </row>
    <row r="62" spans="2:11" x14ac:dyDescent="0.3">
      <c r="B62" s="38">
        <v>43525</v>
      </c>
      <c r="C62" s="3">
        <v>8052789</v>
      </c>
      <c r="D62" s="3">
        <v>6039592</v>
      </c>
      <c r="E62" s="3">
        <v>2460574</v>
      </c>
      <c r="F62" s="3">
        <v>5815903</v>
      </c>
      <c r="G62" s="3">
        <f t="shared" si="0"/>
        <v>22368858</v>
      </c>
      <c r="H62" s="3">
        <f t="shared" si="1"/>
        <v>9.803868704752472E-3</v>
      </c>
      <c r="I62" s="3">
        <f t="shared" si="2"/>
        <v>9.8039527132372673E-3</v>
      </c>
      <c r="J62" s="3">
        <f t="shared" si="3"/>
        <v>9.8038934043587905E-3</v>
      </c>
      <c r="K62" s="3">
        <f t="shared" si="4"/>
        <v>9.8039079507410264E-3</v>
      </c>
    </row>
    <row r="63" spans="2:11" x14ac:dyDescent="0.3">
      <c r="B63" s="38">
        <v>43526</v>
      </c>
      <c r="C63" s="3">
        <v>16806722</v>
      </c>
      <c r="D63" s="3">
        <v>12605042</v>
      </c>
      <c r="E63" s="3">
        <v>5135387</v>
      </c>
      <c r="F63" s="3">
        <v>12138188</v>
      </c>
      <c r="G63" s="3">
        <f t="shared" si="0"/>
        <v>46685339</v>
      </c>
      <c r="H63" s="3">
        <f t="shared" si="1"/>
        <v>8.3333349447917565E-2</v>
      </c>
      <c r="I63" s="3">
        <f t="shared" si="2"/>
        <v>8.3333369143519756E-2</v>
      </c>
      <c r="J63" s="3">
        <f t="shared" si="3"/>
        <v>8.3333386071977281E-2</v>
      </c>
      <c r="K63" s="3">
        <f t="shared" si="4"/>
        <v>8.3333355645834911E-2</v>
      </c>
    </row>
    <row r="64" spans="2:11" x14ac:dyDescent="0.3">
      <c r="B64" s="38">
        <v>43527</v>
      </c>
      <c r="C64" s="3">
        <v>15837104</v>
      </c>
      <c r="D64" s="3">
        <v>11877828</v>
      </c>
      <c r="E64" s="3">
        <v>4839115</v>
      </c>
      <c r="F64" s="3">
        <v>11437908</v>
      </c>
      <c r="G64" s="3">
        <f t="shared" si="0"/>
        <v>43991955</v>
      </c>
      <c r="H64" s="3">
        <f t="shared" si="1"/>
        <v>-1.0101003787368567E-2</v>
      </c>
      <c r="I64" s="3">
        <f t="shared" si="2"/>
        <v>-1.010098316280566E-2</v>
      </c>
      <c r="J64" s="3">
        <f t="shared" si="3"/>
        <v>-1.0100863394915366E-2</v>
      </c>
      <c r="K64" s="3">
        <f t="shared" si="4"/>
        <v>-1.0100980378326558E-2</v>
      </c>
    </row>
    <row r="65" spans="2:11" x14ac:dyDescent="0.3">
      <c r="B65" s="38">
        <v>43528</v>
      </c>
      <c r="C65" s="3">
        <v>7818242</v>
      </c>
      <c r="D65" s="3">
        <v>5863681</v>
      </c>
      <c r="E65" s="3">
        <v>2388907</v>
      </c>
      <c r="F65" s="3">
        <v>5646508</v>
      </c>
      <c r="G65" s="3">
        <f t="shared" si="0"/>
        <v>21717338</v>
      </c>
      <c r="H65" s="3">
        <f t="shared" si="1"/>
        <v>3.0927799707134846E-2</v>
      </c>
      <c r="I65" s="3">
        <f t="shared" si="2"/>
        <v>3.0927757112584175E-2</v>
      </c>
      <c r="J65" s="3">
        <f t="shared" si="3"/>
        <v>3.0927741623655729E-2</v>
      </c>
      <c r="K65" s="3">
        <f t="shared" si="4"/>
        <v>3.0927789877623485E-2</v>
      </c>
    </row>
    <row r="66" spans="2:11" x14ac:dyDescent="0.3">
      <c r="B66" s="38">
        <v>43529</v>
      </c>
      <c r="C66" s="3">
        <v>7818242</v>
      </c>
      <c r="D66" s="3">
        <v>5863681</v>
      </c>
      <c r="E66" s="3">
        <v>2388907</v>
      </c>
      <c r="F66" s="3">
        <v>5646508</v>
      </c>
      <c r="G66" s="3">
        <f t="shared" si="0"/>
        <v>21717338</v>
      </c>
      <c r="H66" s="3">
        <f t="shared" si="1"/>
        <v>-2.9126182245679106E-2</v>
      </c>
      <c r="I66" s="3">
        <f t="shared" si="2"/>
        <v>-2.912630522061755E-2</v>
      </c>
      <c r="J66" s="3">
        <f t="shared" si="3"/>
        <v>-2.912613073209747E-2</v>
      </c>
      <c r="K66" s="3">
        <f t="shared" si="4"/>
        <v>-2.9126173527997287E-2</v>
      </c>
    </row>
    <row r="67" spans="2:11" x14ac:dyDescent="0.3">
      <c r="B67" s="38">
        <v>43530</v>
      </c>
      <c r="C67" s="3">
        <v>7583695</v>
      </c>
      <c r="D67" s="3">
        <v>5687771</v>
      </c>
      <c r="E67" s="3">
        <v>2317240</v>
      </c>
      <c r="F67" s="3">
        <v>5477113</v>
      </c>
      <c r="G67" s="3">
        <f t="shared" si="0"/>
        <v>21065819</v>
      </c>
      <c r="H67" s="3">
        <f t="shared" si="1"/>
        <v>-2.0202039777469424E-2</v>
      </c>
      <c r="I67" s="3">
        <f t="shared" si="2"/>
        <v>-2.0202082843457717E-2</v>
      </c>
      <c r="J67" s="3">
        <f t="shared" si="3"/>
        <v>-2.020196040791233E-2</v>
      </c>
      <c r="K67" s="3">
        <f t="shared" si="4"/>
        <v>-2.020199129058578E-2</v>
      </c>
    </row>
    <row r="68" spans="2:11" x14ac:dyDescent="0.3">
      <c r="B68" s="38">
        <v>43531</v>
      </c>
      <c r="C68" s="3">
        <v>7818242</v>
      </c>
      <c r="D68" s="3">
        <v>5863681</v>
      </c>
      <c r="E68" s="3">
        <v>2388907</v>
      </c>
      <c r="F68" s="3">
        <v>5646508</v>
      </c>
      <c r="G68" s="3">
        <f t="shared" ref="G68:G131" si="5">SUM(C68:F68)</f>
        <v>21717338</v>
      </c>
      <c r="H68" s="3">
        <f t="shared" si="1"/>
        <v>-3.8461576303546491E-2</v>
      </c>
      <c r="I68" s="3">
        <f t="shared" si="2"/>
        <v>-3.8461658294563883E-2</v>
      </c>
      <c r="J68" s="3">
        <f t="shared" si="3"/>
        <v>-3.8461430095759121E-2</v>
      </c>
      <c r="K68" s="3">
        <f t="shared" si="4"/>
        <v>-3.8461486064906014E-2</v>
      </c>
    </row>
    <row r="69" spans="2:11" x14ac:dyDescent="0.3">
      <c r="B69" s="38">
        <v>43532</v>
      </c>
      <c r="C69" s="3">
        <v>7818242</v>
      </c>
      <c r="D69" s="3">
        <v>5863681</v>
      </c>
      <c r="E69" s="3">
        <v>2388907</v>
      </c>
      <c r="F69" s="3">
        <v>5646508</v>
      </c>
      <c r="G69" s="3">
        <f t="shared" si="5"/>
        <v>21717338</v>
      </c>
      <c r="H69" s="3">
        <f t="shared" si="1"/>
        <v>-2.9126182245679106E-2</v>
      </c>
      <c r="I69" s="3">
        <f t="shared" si="2"/>
        <v>-2.912630522061755E-2</v>
      </c>
      <c r="J69" s="3">
        <f t="shared" si="3"/>
        <v>-2.912613073209747E-2</v>
      </c>
      <c r="K69" s="3">
        <f t="shared" si="4"/>
        <v>-2.9126173527997287E-2</v>
      </c>
    </row>
    <row r="70" spans="2:11" x14ac:dyDescent="0.3">
      <c r="B70" s="38">
        <v>43533</v>
      </c>
      <c r="C70" s="3">
        <v>16806722</v>
      </c>
      <c r="D70" s="3">
        <v>12605042</v>
      </c>
      <c r="E70" s="3">
        <v>5135387</v>
      </c>
      <c r="F70" s="3">
        <v>12138188</v>
      </c>
      <c r="G70" s="3">
        <f t="shared" si="5"/>
        <v>46685339</v>
      </c>
      <c r="H70" s="3">
        <f t="shared" si="1"/>
        <v>0</v>
      </c>
      <c r="I70" s="3">
        <f t="shared" si="2"/>
        <v>0</v>
      </c>
      <c r="J70" s="3">
        <f t="shared" si="3"/>
        <v>0</v>
      </c>
      <c r="K70" s="3">
        <f t="shared" si="4"/>
        <v>0</v>
      </c>
    </row>
    <row r="71" spans="2:11" x14ac:dyDescent="0.3">
      <c r="B71" s="38">
        <v>43534</v>
      </c>
      <c r="C71" s="3">
        <v>16645119</v>
      </c>
      <c r="D71" s="3">
        <v>12483839</v>
      </c>
      <c r="E71" s="3">
        <v>5086008</v>
      </c>
      <c r="F71" s="3">
        <v>12021475</v>
      </c>
      <c r="G71" s="3">
        <f t="shared" si="5"/>
        <v>46236441</v>
      </c>
      <c r="H71" s="3">
        <f t="shared" si="1"/>
        <v>5.1020375947521721E-2</v>
      </c>
      <c r="I71" s="3">
        <f t="shared" si="2"/>
        <v>5.1020354899902573E-2</v>
      </c>
      <c r="J71" s="3">
        <f t="shared" si="3"/>
        <v>5.1020279534584323E-2</v>
      </c>
      <c r="K71" s="3">
        <f t="shared" si="4"/>
        <v>5.1020431358601591E-2</v>
      </c>
    </row>
    <row r="72" spans="2:11" x14ac:dyDescent="0.3">
      <c r="B72" s="38">
        <v>43535</v>
      </c>
      <c r="C72" s="3">
        <v>7661877</v>
      </c>
      <c r="D72" s="3">
        <v>5746408</v>
      </c>
      <c r="E72" s="3">
        <v>2341129</v>
      </c>
      <c r="F72" s="3">
        <v>5533578</v>
      </c>
      <c r="G72" s="3">
        <f t="shared" si="5"/>
        <v>21282992</v>
      </c>
      <c r="H72" s="3">
        <f t="shared" si="1"/>
        <v>-2.0000020464958745E-2</v>
      </c>
      <c r="I72" s="3">
        <f t="shared" si="2"/>
        <v>-1.9999894264370793E-2</v>
      </c>
      <c r="J72" s="3">
        <f t="shared" si="3"/>
        <v>-1.9999941395793138E-2</v>
      </c>
      <c r="K72" s="3">
        <f t="shared" si="4"/>
        <v>-1.9999971663902716E-2</v>
      </c>
    </row>
    <row r="73" spans="2:11" x14ac:dyDescent="0.3">
      <c r="B73" s="38">
        <v>43536</v>
      </c>
      <c r="C73" s="3">
        <v>7740060</v>
      </c>
      <c r="D73" s="3">
        <v>5805045</v>
      </c>
      <c r="E73" s="3">
        <v>2365018</v>
      </c>
      <c r="F73" s="3">
        <v>5590043</v>
      </c>
      <c r="G73" s="3">
        <f t="shared" si="5"/>
        <v>21500166</v>
      </c>
      <c r="H73" s="3">
        <f t="shared" si="1"/>
        <v>-9.9999462794832898E-3</v>
      </c>
      <c r="I73" s="3">
        <f t="shared" si="2"/>
        <v>-9.9998618615166814E-3</v>
      </c>
      <c r="J73" s="3">
        <f t="shared" si="3"/>
        <v>-9.999970697896569E-3</v>
      </c>
      <c r="K73" s="3">
        <f t="shared" si="4"/>
        <v>-9.9999858319513579E-3</v>
      </c>
    </row>
    <row r="74" spans="2:11" x14ac:dyDescent="0.3">
      <c r="B74" s="38">
        <v>43537</v>
      </c>
      <c r="C74" s="3">
        <v>7818242</v>
      </c>
      <c r="D74" s="3">
        <v>5863681</v>
      </c>
      <c r="E74" s="3">
        <v>2388907</v>
      </c>
      <c r="F74" s="3">
        <v>5646508</v>
      </c>
      <c r="G74" s="3">
        <f t="shared" si="5"/>
        <v>21717338</v>
      </c>
      <c r="H74" s="3">
        <f t="shared" si="1"/>
        <v>3.0927799707134846E-2</v>
      </c>
      <c r="I74" s="3">
        <f t="shared" si="2"/>
        <v>3.0927757112584175E-2</v>
      </c>
      <c r="J74" s="3">
        <f t="shared" si="3"/>
        <v>3.0927741623655729E-2</v>
      </c>
      <c r="K74" s="3">
        <f t="shared" si="4"/>
        <v>3.0927789877623485E-2</v>
      </c>
    </row>
    <row r="75" spans="2:11" x14ac:dyDescent="0.3">
      <c r="B75" s="38">
        <v>43538</v>
      </c>
      <c r="C75" s="3">
        <v>8209154</v>
      </c>
      <c r="D75" s="3">
        <v>6156866</v>
      </c>
      <c r="E75" s="3">
        <v>2508352</v>
      </c>
      <c r="F75" s="3">
        <v>5928833</v>
      </c>
      <c r="G75" s="3">
        <f t="shared" si="5"/>
        <v>22803205</v>
      </c>
      <c r="H75" s="3">
        <f t="shared" ref="H75:H138" si="6">($C75-$C68)/$C68</f>
        <v>4.9999987209400784E-2</v>
      </c>
      <c r="I75" s="3">
        <f t="shared" ref="I75:I138" si="7">($D75-$D68)/D68</f>
        <v>5.0000162014270558E-2</v>
      </c>
      <c r="J75" s="3">
        <f t="shared" ref="J75:J138" si="8">(E75-E68)/E68</f>
        <v>4.9999853489482847E-2</v>
      </c>
      <c r="K75" s="3">
        <f t="shared" ref="K75:K138" si="9">(F75-F68)/F68</f>
        <v>4.999992915975679E-2</v>
      </c>
    </row>
    <row r="76" spans="2:11" x14ac:dyDescent="0.3">
      <c r="B76" s="38">
        <v>43539</v>
      </c>
      <c r="C76" s="3">
        <v>7740060</v>
      </c>
      <c r="D76" s="3">
        <v>5805045</v>
      </c>
      <c r="E76" s="3">
        <v>2365018</v>
      </c>
      <c r="F76" s="3">
        <v>5590043</v>
      </c>
      <c r="G76" s="3">
        <f t="shared" si="5"/>
        <v>21500166</v>
      </c>
      <c r="H76" s="3">
        <f t="shared" si="6"/>
        <v>-9.9999462794832898E-3</v>
      </c>
      <c r="I76" s="3">
        <f t="shared" si="7"/>
        <v>-9.9998618615166814E-3</v>
      </c>
      <c r="J76" s="3">
        <f t="shared" si="8"/>
        <v>-9.999970697896569E-3</v>
      </c>
      <c r="K76" s="3">
        <f t="shared" si="9"/>
        <v>-9.9999858319513579E-3</v>
      </c>
    </row>
    <row r="77" spans="2:11" x14ac:dyDescent="0.3">
      <c r="B77" s="38">
        <v>43540</v>
      </c>
      <c r="C77" s="3">
        <v>15352294</v>
      </c>
      <c r="D77" s="3">
        <v>11514221</v>
      </c>
      <c r="E77" s="3">
        <v>4690978</v>
      </c>
      <c r="F77" s="3">
        <v>11087768</v>
      </c>
      <c r="G77" s="3">
        <f t="shared" si="5"/>
        <v>42645261</v>
      </c>
      <c r="H77" s="3">
        <f t="shared" si="6"/>
        <v>-8.6538469548077257E-2</v>
      </c>
      <c r="I77" s="3">
        <f t="shared" si="7"/>
        <v>-8.6538466115384627E-2</v>
      </c>
      <c r="J77" s="3">
        <f t="shared" si="8"/>
        <v>-8.6538560774484963E-2</v>
      </c>
      <c r="K77" s="3">
        <f t="shared" si="9"/>
        <v>-8.65384520325439E-2</v>
      </c>
    </row>
    <row r="78" spans="2:11" x14ac:dyDescent="0.3">
      <c r="B78" s="38">
        <v>43541</v>
      </c>
      <c r="C78" s="3">
        <v>15352294</v>
      </c>
      <c r="D78" s="3">
        <v>11514221</v>
      </c>
      <c r="E78" s="3">
        <v>4690978</v>
      </c>
      <c r="F78" s="3">
        <v>11087768</v>
      </c>
      <c r="G78" s="3">
        <f t="shared" si="5"/>
        <v>42645261</v>
      </c>
      <c r="H78" s="3">
        <f t="shared" si="6"/>
        <v>-7.766991632802385E-2</v>
      </c>
      <c r="I78" s="3">
        <f t="shared" si="7"/>
        <v>-7.7669857805759912E-2</v>
      </c>
      <c r="J78" s="3">
        <f t="shared" si="8"/>
        <v>-7.7669952544313733E-2</v>
      </c>
      <c r="K78" s="3">
        <f t="shared" si="9"/>
        <v>-7.7669919872561402E-2</v>
      </c>
    </row>
    <row r="79" spans="2:11" x14ac:dyDescent="0.3">
      <c r="B79" s="38">
        <v>43542</v>
      </c>
      <c r="C79" s="3">
        <v>8052789</v>
      </c>
      <c r="D79" s="3">
        <v>6039592</v>
      </c>
      <c r="E79" s="3">
        <v>2460574</v>
      </c>
      <c r="F79" s="3">
        <v>5815903</v>
      </c>
      <c r="G79" s="3">
        <f t="shared" si="5"/>
        <v>22368858</v>
      </c>
      <c r="H79" s="3">
        <f t="shared" si="6"/>
        <v>5.102039617707254E-2</v>
      </c>
      <c r="I79" s="3">
        <f t="shared" si="7"/>
        <v>5.1020393957407831E-2</v>
      </c>
      <c r="J79" s="3">
        <f t="shared" si="8"/>
        <v>5.1020255611715547E-2</v>
      </c>
      <c r="K79" s="3">
        <f t="shared" si="9"/>
        <v>5.1020334402081258E-2</v>
      </c>
    </row>
    <row r="80" spans="2:11" x14ac:dyDescent="0.3">
      <c r="B80" s="38">
        <v>43543</v>
      </c>
      <c r="C80" s="3">
        <v>7896424</v>
      </c>
      <c r="D80" s="3">
        <v>5922318</v>
      </c>
      <c r="E80" s="3">
        <v>2412796</v>
      </c>
      <c r="F80" s="3">
        <v>5702973</v>
      </c>
      <c r="G80" s="3">
        <f t="shared" si="5"/>
        <v>21934511</v>
      </c>
      <c r="H80" s="3">
        <f t="shared" si="6"/>
        <v>2.0201910579504552E-2</v>
      </c>
      <c r="I80" s="3">
        <f t="shared" si="7"/>
        <v>2.0201910579504552E-2</v>
      </c>
      <c r="J80" s="3">
        <f t="shared" si="8"/>
        <v>2.020196040791233E-2</v>
      </c>
      <c r="K80" s="3">
        <f t="shared" si="9"/>
        <v>2.020199129058578E-2</v>
      </c>
    </row>
    <row r="81" spans="2:11" x14ac:dyDescent="0.3">
      <c r="B81" s="38">
        <v>43544</v>
      </c>
      <c r="C81" s="3">
        <v>7661877</v>
      </c>
      <c r="D81" s="3">
        <v>5746408</v>
      </c>
      <c r="E81" s="3">
        <v>2341129</v>
      </c>
      <c r="F81" s="3">
        <v>5533578</v>
      </c>
      <c r="G81" s="3">
        <f t="shared" si="5"/>
        <v>21282992</v>
      </c>
      <c r="H81" s="3">
        <f t="shared" si="6"/>
        <v>-2.0000020464958745E-2</v>
      </c>
      <c r="I81" s="3">
        <f t="shared" si="7"/>
        <v>-1.9999894264370793E-2</v>
      </c>
      <c r="J81" s="3">
        <f t="shared" si="8"/>
        <v>-1.9999941395793138E-2</v>
      </c>
      <c r="K81" s="3">
        <f t="shared" si="9"/>
        <v>-1.9999971663902716E-2</v>
      </c>
    </row>
    <row r="82" spans="2:11" x14ac:dyDescent="0.3">
      <c r="B82" s="38">
        <v>43545</v>
      </c>
      <c r="C82" s="3">
        <v>7818242</v>
      </c>
      <c r="D82" s="3">
        <v>5863681</v>
      </c>
      <c r="E82" s="3">
        <v>2388907</v>
      </c>
      <c r="F82" s="3">
        <v>5646508</v>
      </c>
      <c r="G82" s="3">
        <f t="shared" si="5"/>
        <v>21717338</v>
      </c>
      <c r="H82" s="3">
        <f t="shared" si="6"/>
        <v>-4.7619036017596941E-2</v>
      </c>
      <c r="I82" s="3">
        <f t="shared" si="7"/>
        <v>-4.7619194570744275E-2</v>
      </c>
      <c r="J82" s="3">
        <f t="shared" si="8"/>
        <v>-4.7618914729671113E-2</v>
      </c>
      <c r="K82" s="3">
        <f t="shared" si="9"/>
        <v>-4.7618983364854435E-2</v>
      </c>
    </row>
    <row r="83" spans="2:11" x14ac:dyDescent="0.3">
      <c r="B83" s="38">
        <v>43546</v>
      </c>
      <c r="C83" s="3">
        <v>7583695</v>
      </c>
      <c r="D83" s="3">
        <v>5687771</v>
      </c>
      <c r="E83" s="3">
        <v>2317240</v>
      </c>
      <c r="F83" s="3">
        <v>5477113</v>
      </c>
      <c r="G83" s="3">
        <f t="shared" si="5"/>
        <v>21065819</v>
      </c>
      <c r="H83" s="3">
        <f t="shared" si="6"/>
        <v>-2.0202039777469424E-2</v>
      </c>
      <c r="I83" s="3">
        <f t="shared" si="7"/>
        <v>-2.0202082843457717E-2</v>
      </c>
      <c r="J83" s="3">
        <f t="shared" si="8"/>
        <v>-2.020196040791233E-2</v>
      </c>
      <c r="K83" s="3">
        <f t="shared" si="9"/>
        <v>-2.020199129058578E-2</v>
      </c>
    </row>
    <row r="84" spans="2:11" x14ac:dyDescent="0.3">
      <c r="B84" s="38">
        <v>43547</v>
      </c>
      <c r="C84" s="3">
        <v>15998707</v>
      </c>
      <c r="D84" s="3">
        <v>11999030</v>
      </c>
      <c r="E84" s="3">
        <v>4888493</v>
      </c>
      <c r="F84" s="3">
        <v>11554621</v>
      </c>
      <c r="G84" s="3">
        <f t="shared" si="5"/>
        <v>44440851</v>
      </c>
      <c r="H84" s="3">
        <f t="shared" si="6"/>
        <v>4.2105303611303956E-2</v>
      </c>
      <c r="I84" s="3">
        <f t="shared" si="7"/>
        <v>4.210523664605708E-2</v>
      </c>
      <c r="J84" s="3">
        <f t="shared" si="8"/>
        <v>4.2105292329232838E-2</v>
      </c>
      <c r="K84" s="3">
        <f t="shared" si="9"/>
        <v>4.2105228031466747E-2</v>
      </c>
    </row>
    <row r="85" spans="2:11" x14ac:dyDescent="0.3">
      <c r="B85" s="38">
        <v>43548</v>
      </c>
      <c r="C85" s="3">
        <v>16321913</v>
      </c>
      <c r="D85" s="3">
        <v>12241435</v>
      </c>
      <c r="E85" s="3">
        <v>4987251</v>
      </c>
      <c r="F85" s="3">
        <v>11788048</v>
      </c>
      <c r="G85" s="3">
        <f t="shared" si="5"/>
        <v>45338647</v>
      </c>
      <c r="H85" s="3">
        <f t="shared" si="6"/>
        <v>6.3157922848533249E-2</v>
      </c>
      <c r="I85" s="3">
        <f t="shared" si="7"/>
        <v>6.3157898393647299E-2</v>
      </c>
      <c r="J85" s="3">
        <f t="shared" si="8"/>
        <v>6.3158045081430775E-2</v>
      </c>
      <c r="K85" s="3">
        <f t="shared" si="9"/>
        <v>6.3157887141938762E-2</v>
      </c>
    </row>
    <row r="86" spans="2:11" x14ac:dyDescent="0.3">
      <c r="B86" s="38">
        <v>43549</v>
      </c>
      <c r="C86" s="3">
        <v>8052789</v>
      </c>
      <c r="D86" s="3">
        <v>6039592</v>
      </c>
      <c r="E86" s="3">
        <v>2460574</v>
      </c>
      <c r="F86" s="3">
        <v>5815903</v>
      </c>
      <c r="G86" s="3">
        <f t="shared" si="5"/>
        <v>22368858</v>
      </c>
      <c r="H86" s="3">
        <f t="shared" si="6"/>
        <v>0</v>
      </c>
      <c r="I86" s="3">
        <f t="shared" si="7"/>
        <v>0</v>
      </c>
      <c r="J86" s="3">
        <f t="shared" si="8"/>
        <v>0</v>
      </c>
      <c r="K86" s="3">
        <f t="shared" si="9"/>
        <v>0</v>
      </c>
    </row>
    <row r="87" spans="2:11" x14ac:dyDescent="0.3">
      <c r="B87" s="38">
        <v>43550</v>
      </c>
      <c r="C87" s="3">
        <v>7505512</v>
      </c>
      <c r="D87" s="3">
        <v>5629134</v>
      </c>
      <c r="E87" s="3">
        <v>2293351</v>
      </c>
      <c r="F87" s="3">
        <v>5420648</v>
      </c>
      <c r="G87" s="3">
        <f t="shared" si="5"/>
        <v>20848645</v>
      </c>
      <c r="H87" s="3">
        <f t="shared" si="6"/>
        <v>-4.9504940464189864E-2</v>
      </c>
      <c r="I87" s="3">
        <f t="shared" si="7"/>
        <v>-4.9504940464189864E-2</v>
      </c>
      <c r="J87" s="3">
        <f t="shared" si="8"/>
        <v>-4.9504806871364174E-2</v>
      </c>
      <c r="K87" s="3">
        <f t="shared" si="9"/>
        <v>-4.9504881050637974E-2</v>
      </c>
    </row>
    <row r="88" spans="2:11" x14ac:dyDescent="0.3">
      <c r="B88" s="38">
        <v>43551</v>
      </c>
      <c r="C88" s="3">
        <v>7505512</v>
      </c>
      <c r="D88" s="3">
        <v>5629134</v>
      </c>
      <c r="E88" s="3">
        <v>2293351</v>
      </c>
      <c r="F88" s="3">
        <v>5420648</v>
      </c>
      <c r="G88" s="3">
        <f t="shared" si="5"/>
        <v>20848645</v>
      </c>
      <c r="H88" s="3">
        <f t="shared" si="6"/>
        <v>-2.0408184574093269E-2</v>
      </c>
      <c r="I88" s="3">
        <f t="shared" si="7"/>
        <v>-2.0408227191664775E-2</v>
      </c>
      <c r="J88" s="3">
        <f t="shared" si="8"/>
        <v>-2.0408102244686217E-2</v>
      </c>
      <c r="K88" s="3">
        <f t="shared" si="9"/>
        <v>-2.0408133760832503E-2</v>
      </c>
    </row>
    <row r="89" spans="2:11" x14ac:dyDescent="0.3">
      <c r="B89" s="38">
        <v>43552</v>
      </c>
      <c r="C89" s="3">
        <v>7740060</v>
      </c>
      <c r="D89" s="3">
        <v>5805045</v>
      </c>
      <c r="E89" s="3">
        <v>2365018</v>
      </c>
      <c r="F89" s="3">
        <v>5590043</v>
      </c>
      <c r="G89" s="3">
        <f t="shared" si="5"/>
        <v>21500166</v>
      </c>
      <c r="H89" s="3">
        <f t="shared" si="6"/>
        <v>-9.9999462794832898E-3</v>
      </c>
      <c r="I89" s="3">
        <f t="shared" si="7"/>
        <v>-9.9998618615166814E-3</v>
      </c>
      <c r="J89" s="3">
        <f t="shared" si="8"/>
        <v>-9.999970697896569E-3</v>
      </c>
      <c r="K89" s="3">
        <f t="shared" si="9"/>
        <v>-9.9999858319513579E-3</v>
      </c>
    </row>
    <row r="90" spans="2:11" x14ac:dyDescent="0.3">
      <c r="B90" s="38">
        <v>43553</v>
      </c>
      <c r="C90" s="3">
        <v>8209154</v>
      </c>
      <c r="D90" s="3">
        <v>6156866</v>
      </c>
      <c r="E90" s="3">
        <v>2508352</v>
      </c>
      <c r="F90" s="3">
        <v>5928833</v>
      </c>
      <c r="G90" s="3">
        <f t="shared" si="5"/>
        <v>22803205</v>
      </c>
      <c r="H90" s="3">
        <f t="shared" si="6"/>
        <v>8.2474176506307284E-2</v>
      </c>
      <c r="I90" s="3">
        <f t="shared" si="7"/>
        <v>8.2474311993221944E-2</v>
      </c>
      <c r="J90" s="3">
        <f t="shared" si="8"/>
        <v>8.247397766308194E-2</v>
      </c>
      <c r="K90" s="3">
        <f t="shared" si="9"/>
        <v>8.2474106340329298E-2</v>
      </c>
    </row>
    <row r="91" spans="2:11" x14ac:dyDescent="0.3">
      <c r="B91" s="38">
        <v>43554</v>
      </c>
      <c r="C91" s="3">
        <v>16160310</v>
      </c>
      <c r="D91" s="3">
        <v>12120232</v>
      </c>
      <c r="E91" s="3">
        <v>4937872</v>
      </c>
      <c r="F91" s="3">
        <v>11671335</v>
      </c>
      <c r="G91" s="3">
        <f t="shared" si="5"/>
        <v>44889749</v>
      </c>
      <c r="H91" s="3">
        <f t="shared" si="6"/>
        <v>1.0101003787368567E-2</v>
      </c>
      <c r="I91" s="3">
        <f t="shared" si="7"/>
        <v>1.010098316280566E-2</v>
      </c>
      <c r="J91" s="3">
        <f t="shared" si="8"/>
        <v>1.0101067956934785E-2</v>
      </c>
      <c r="K91" s="3">
        <f t="shared" si="9"/>
        <v>1.0101066923787462E-2</v>
      </c>
    </row>
    <row r="92" spans="2:11" x14ac:dyDescent="0.3">
      <c r="B92" s="38">
        <v>43555</v>
      </c>
      <c r="C92" s="3">
        <v>15352294</v>
      </c>
      <c r="D92" s="3">
        <v>11514221</v>
      </c>
      <c r="E92" s="3">
        <v>4690978</v>
      </c>
      <c r="F92" s="3">
        <v>11087768</v>
      </c>
      <c r="G92" s="3">
        <f t="shared" si="5"/>
        <v>42645261</v>
      </c>
      <c r="H92" s="3">
        <f t="shared" si="6"/>
        <v>-5.9405965464954996E-2</v>
      </c>
      <c r="I92" s="3">
        <f t="shared" si="7"/>
        <v>-5.9405943829297793E-2</v>
      </c>
      <c r="J92" s="3">
        <f t="shared" si="8"/>
        <v>-5.9406073606481806E-2</v>
      </c>
      <c r="K92" s="3">
        <f t="shared" si="9"/>
        <v>-5.9405933874717848E-2</v>
      </c>
    </row>
    <row r="93" spans="2:11" x14ac:dyDescent="0.3">
      <c r="B93" s="38">
        <v>43556</v>
      </c>
      <c r="C93" s="3">
        <v>7583695</v>
      </c>
      <c r="D93" s="3">
        <v>5687771</v>
      </c>
      <c r="E93" s="3">
        <v>2317240</v>
      </c>
      <c r="F93" s="3">
        <v>5477113</v>
      </c>
      <c r="G93" s="3">
        <f t="shared" si="5"/>
        <v>21065819</v>
      </c>
      <c r="H93" s="3">
        <f t="shared" si="6"/>
        <v>-5.8252364491358212E-2</v>
      </c>
      <c r="I93" s="3">
        <f t="shared" si="7"/>
        <v>-5.8252444867136717E-2</v>
      </c>
      <c r="J93" s="3">
        <f t="shared" si="8"/>
        <v>-5.8252261464194939E-2</v>
      </c>
      <c r="K93" s="3">
        <f t="shared" si="9"/>
        <v>-5.8252347055994573E-2</v>
      </c>
    </row>
    <row r="94" spans="2:11" x14ac:dyDescent="0.3">
      <c r="B94" s="38">
        <v>43557</v>
      </c>
      <c r="C94" s="3">
        <v>8209154</v>
      </c>
      <c r="D94" s="3">
        <v>6156866</v>
      </c>
      <c r="E94" s="3">
        <v>2508352</v>
      </c>
      <c r="F94" s="3">
        <v>5928833</v>
      </c>
      <c r="G94" s="3">
        <f t="shared" si="5"/>
        <v>22803205</v>
      </c>
      <c r="H94" s="3">
        <f t="shared" si="6"/>
        <v>9.375003330885355E-2</v>
      </c>
      <c r="I94" s="3">
        <f t="shared" si="7"/>
        <v>9.3750122132463004E-2</v>
      </c>
      <c r="J94" s="3">
        <f t="shared" si="8"/>
        <v>9.3749713846681126E-2</v>
      </c>
      <c r="K94" s="3">
        <f t="shared" si="9"/>
        <v>9.3749861640158152E-2</v>
      </c>
    </row>
    <row r="95" spans="2:11" x14ac:dyDescent="0.3">
      <c r="B95" s="38">
        <v>43558</v>
      </c>
      <c r="C95" s="3">
        <v>8052789</v>
      </c>
      <c r="D95" s="3">
        <v>6039592</v>
      </c>
      <c r="E95" s="3">
        <v>2460574</v>
      </c>
      <c r="F95" s="3">
        <v>5815903</v>
      </c>
      <c r="G95" s="3">
        <f t="shared" si="5"/>
        <v>22368858</v>
      </c>
      <c r="H95" s="3">
        <f t="shared" si="6"/>
        <v>7.2916677769617855E-2</v>
      </c>
      <c r="I95" s="3">
        <f t="shared" si="7"/>
        <v>7.2916722181422575E-2</v>
      </c>
      <c r="J95" s="3">
        <f t="shared" si="8"/>
        <v>7.2916444102974209E-2</v>
      </c>
      <c r="K95" s="3">
        <f t="shared" si="9"/>
        <v>7.2916559053456342E-2</v>
      </c>
    </row>
    <row r="96" spans="2:11" x14ac:dyDescent="0.3">
      <c r="B96" s="38">
        <v>43559</v>
      </c>
      <c r="C96" s="3">
        <v>7974607</v>
      </c>
      <c r="D96" s="3">
        <v>5980955</v>
      </c>
      <c r="E96" s="3">
        <v>2436685</v>
      </c>
      <c r="F96" s="3">
        <v>5759438</v>
      </c>
      <c r="G96" s="3">
        <f t="shared" si="5"/>
        <v>22151685</v>
      </c>
      <c r="H96" s="3">
        <f t="shared" si="6"/>
        <v>3.03029950672217E-2</v>
      </c>
      <c r="I96" s="3">
        <f t="shared" si="7"/>
        <v>3.030295200123341E-2</v>
      </c>
      <c r="J96" s="3">
        <f t="shared" si="8"/>
        <v>3.0302940611868494E-2</v>
      </c>
      <c r="K96" s="3">
        <f t="shared" si="9"/>
        <v>3.030298693587867E-2</v>
      </c>
    </row>
    <row r="97" spans="2:11" x14ac:dyDescent="0.3">
      <c r="B97" s="38">
        <v>43560</v>
      </c>
      <c r="C97" s="3">
        <v>8130972</v>
      </c>
      <c r="D97" s="3">
        <v>6098229</v>
      </c>
      <c r="E97" s="3">
        <v>2484463</v>
      </c>
      <c r="F97" s="3">
        <v>5872368</v>
      </c>
      <c r="G97" s="3">
        <f t="shared" si="5"/>
        <v>22586032</v>
      </c>
      <c r="H97" s="3">
        <f t="shared" si="6"/>
        <v>-9.5237584774265412E-3</v>
      </c>
      <c r="I97" s="3">
        <f t="shared" si="7"/>
        <v>-9.5238389141488536E-3</v>
      </c>
      <c r="J97" s="3">
        <f t="shared" si="8"/>
        <v>-9.523782945934223E-3</v>
      </c>
      <c r="K97" s="3">
        <f t="shared" si="9"/>
        <v>-9.5237966729708867E-3</v>
      </c>
    </row>
    <row r="98" spans="2:11" x14ac:dyDescent="0.3">
      <c r="B98" s="38">
        <v>43561</v>
      </c>
      <c r="C98" s="3">
        <v>16806722</v>
      </c>
      <c r="D98" s="3">
        <v>12605042</v>
      </c>
      <c r="E98" s="3">
        <v>5135387</v>
      </c>
      <c r="F98" s="3">
        <v>12138188</v>
      </c>
      <c r="G98" s="3">
        <f t="shared" si="5"/>
        <v>46685339</v>
      </c>
      <c r="H98" s="3">
        <f t="shared" si="6"/>
        <v>3.9999975247999572E-2</v>
      </c>
      <c r="I98" s="3">
        <f t="shared" si="7"/>
        <v>4.0000059404803473E-2</v>
      </c>
      <c r="J98" s="3">
        <f t="shared" si="8"/>
        <v>4.0000024301966516E-2</v>
      </c>
      <c r="K98" s="3">
        <f t="shared" si="9"/>
        <v>3.9999965727999409E-2</v>
      </c>
    </row>
    <row r="99" spans="2:11" x14ac:dyDescent="0.3">
      <c r="B99" s="38">
        <v>43562</v>
      </c>
      <c r="C99" s="3">
        <v>15513897</v>
      </c>
      <c r="D99" s="3">
        <v>11635423</v>
      </c>
      <c r="E99" s="3">
        <v>4740357</v>
      </c>
      <c r="F99" s="3">
        <v>11204481</v>
      </c>
      <c r="G99" s="3">
        <f t="shared" si="5"/>
        <v>43094158</v>
      </c>
      <c r="H99" s="3">
        <f t="shared" si="6"/>
        <v>1.0526309618614652E-2</v>
      </c>
      <c r="I99" s="3">
        <f t="shared" si="7"/>
        <v>1.052628744923343E-2</v>
      </c>
      <c r="J99" s="3">
        <f t="shared" si="8"/>
        <v>1.0526376376098972E-2</v>
      </c>
      <c r="K99" s="3">
        <f t="shared" si="9"/>
        <v>1.052628446049737E-2</v>
      </c>
    </row>
    <row r="100" spans="2:11" x14ac:dyDescent="0.3">
      <c r="B100" s="38">
        <v>43563</v>
      </c>
      <c r="C100" s="3">
        <v>7740060</v>
      </c>
      <c r="D100" s="3">
        <v>5805045</v>
      </c>
      <c r="E100" s="3">
        <v>2365018</v>
      </c>
      <c r="F100" s="3">
        <v>5590043</v>
      </c>
      <c r="G100" s="3">
        <f t="shared" si="5"/>
        <v>21500166</v>
      </c>
      <c r="H100" s="3">
        <f t="shared" si="6"/>
        <v>2.0618577092037588E-2</v>
      </c>
      <c r="I100" s="3">
        <f t="shared" si="7"/>
        <v>2.0618621952255112E-2</v>
      </c>
      <c r="J100" s="3">
        <f t="shared" si="8"/>
        <v>2.0618494415770485E-2</v>
      </c>
      <c r="K100" s="3">
        <f t="shared" si="9"/>
        <v>2.0618526585082324E-2</v>
      </c>
    </row>
    <row r="101" spans="2:11" x14ac:dyDescent="0.3">
      <c r="B101" s="38">
        <v>43564</v>
      </c>
      <c r="C101" s="3">
        <v>7818242</v>
      </c>
      <c r="D101" s="3">
        <v>5863681</v>
      </c>
      <c r="E101" s="3">
        <v>2388907</v>
      </c>
      <c r="F101" s="3">
        <v>5646508</v>
      </c>
      <c r="G101" s="3">
        <f t="shared" si="5"/>
        <v>21717338</v>
      </c>
      <c r="H101" s="3">
        <f t="shared" si="6"/>
        <v>-4.7619036017596941E-2</v>
      </c>
      <c r="I101" s="3">
        <f t="shared" si="7"/>
        <v>-4.7619194570744275E-2</v>
      </c>
      <c r="J101" s="3">
        <f t="shared" si="8"/>
        <v>-4.7618914729671113E-2</v>
      </c>
      <c r="K101" s="3">
        <f t="shared" si="9"/>
        <v>-4.7618983364854435E-2</v>
      </c>
    </row>
    <row r="102" spans="2:11" x14ac:dyDescent="0.3">
      <c r="B102" s="38">
        <v>43565</v>
      </c>
      <c r="C102" s="3">
        <v>7740060</v>
      </c>
      <c r="D102" s="3">
        <v>5805045</v>
      </c>
      <c r="E102" s="3">
        <v>2365018</v>
      </c>
      <c r="F102" s="3">
        <v>5590043</v>
      </c>
      <c r="G102" s="3">
        <f t="shared" si="5"/>
        <v>21500166</v>
      </c>
      <c r="H102" s="3">
        <f t="shared" si="6"/>
        <v>-3.8834868267379162E-2</v>
      </c>
      <c r="I102" s="3">
        <f t="shared" si="7"/>
        <v>-3.8834908053391688E-2</v>
      </c>
      <c r="J102" s="3">
        <f t="shared" si="8"/>
        <v>-3.8834840976129957E-2</v>
      </c>
      <c r="K102" s="3">
        <f t="shared" si="9"/>
        <v>-3.8834898037329715E-2</v>
      </c>
    </row>
    <row r="103" spans="2:11" x14ac:dyDescent="0.3">
      <c r="B103" s="38">
        <v>43566</v>
      </c>
      <c r="C103" s="3">
        <v>7427330</v>
      </c>
      <c r="D103" s="3">
        <v>5570497</v>
      </c>
      <c r="E103" s="3">
        <v>2269462</v>
      </c>
      <c r="F103" s="3">
        <v>5364183</v>
      </c>
      <c r="G103" s="3">
        <f t="shared" si="5"/>
        <v>20631472</v>
      </c>
      <c r="H103" s="3">
        <f t="shared" si="6"/>
        <v>-6.8627457127354366E-2</v>
      </c>
      <c r="I103" s="3">
        <f t="shared" si="7"/>
        <v>-6.8627501795281862E-2</v>
      </c>
      <c r="J103" s="3">
        <f t="shared" si="8"/>
        <v>-6.8627253830511534E-2</v>
      </c>
      <c r="K103" s="3">
        <f t="shared" si="9"/>
        <v>-6.8627355655187183E-2</v>
      </c>
    </row>
    <row r="104" spans="2:11" x14ac:dyDescent="0.3">
      <c r="B104" s="38">
        <v>43567</v>
      </c>
      <c r="C104" s="3">
        <v>7427330</v>
      </c>
      <c r="D104" s="3">
        <v>5570497</v>
      </c>
      <c r="E104" s="3">
        <v>2269462</v>
      </c>
      <c r="F104" s="3">
        <v>5364183</v>
      </c>
      <c r="G104" s="3">
        <f t="shared" si="5"/>
        <v>20631472</v>
      </c>
      <c r="H104" s="3">
        <f t="shared" si="6"/>
        <v>-8.653848518971656E-2</v>
      </c>
      <c r="I104" s="3">
        <f t="shared" si="7"/>
        <v>-8.6538567180733952E-2</v>
      </c>
      <c r="J104" s="3">
        <f t="shared" si="8"/>
        <v>-8.6538217715458027E-2</v>
      </c>
      <c r="K104" s="3">
        <f t="shared" si="9"/>
        <v>-8.6538343646038532E-2</v>
      </c>
    </row>
    <row r="105" spans="2:11" x14ac:dyDescent="0.3">
      <c r="B105" s="38">
        <v>43568</v>
      </c>
      <c r="C105" s="3">
        <v>15513897</v>
      </c>
      <c r="D105" s="3">
        <v>11635423</v>
      </c>
      <c r="E105" s="3">
        <v>4740357</v>
      </c>
      <c r="F105" s="3">
        <v>11204481</v>
      </c>
      <c r="G105" s="3">
        <f t="shared" si="5"/>
        <v>43094158</v>
      </c>
      <c r="H105" s="3">
        <f t="shared" si="6"/>
        <v>-7.6923090653846712E-2</v>
      </c>
      <c r="I105" s="3">
        <f t="shared" si="7"/>
        <v>-7.6923107435897475E-2</v>
      </c>
      <c r="J105" s="3">
        <f t="shared" si="8"/>
        <v>-7.6923121860144134E-2</v>
      </c>
      <c r="K105" s="3">
        <f t="shared" si="9"/>
        <v>-7.69230959349122E-2</v>
      </c>
    </row>
    <row r="106" spans="2:11" x14ac:dyDescent="0.3">
      <c r="B106" s="38">
        <v>43569</v>
      </c>
      <c r="C106" s="3">
        <v>16806722</v>
      </c>
      <c r="D106" s="3">
        <v>12605042</v>
      </c>
      <c r="E106" s="3">
        <v>5135387</v>
      </c>
      <c r="F106" s="3">
        <v>12138188</v>
      </c>
      <c r="G106" s="3">
        <f t="shared" si="5"/>
        <v>46685339</v>
      </c>
      <c r="H106" s="3">
        <f t="shared" si="6"/>
        <v>8.3333349447917565E-2</v>
      </c>
      <c r="I106" s="3">
        <f t="shared" si="7"/>
        <v>8.3333369143519756E-2</v>
      </c>
      <c r="J106" s="3">
        <f t="shared" si="8"/>
        <v>8.3333386071977281E-2</v>
      </c>
      <c r="K106" s="3">
        <f t="shared" si="9"/>
        <v>8.3333355645834911E-2</v>
      </c>
    </row>
    <row r="107" spans="2:11" x14ac:dyDescent="0.3">
      <c r="B107" s="38">
        <v>43570</v>
      </c>
      <c r="C107" s="3">
        <v>7583695</v>
      </c>
      <c r="D107" s="3">
        <v>5687771</v>
      </c>
      <c r="E107" s="3">
        <v>2317240</v>
      </c>
      <c r="F107" s="3">
        <v>5477113</v>
      </c>
      <c r="G107" s="3">
        <f t="shared" si="5"/>
        <v>21065819</v>
      </c>
      <c r="H107" s="3">
        <f t="shared" si="6"/>
        <v>-2.0202039777469424E-2</v>
      </c>
      <c r="I107" s="3">
        <f t="shared" si="7"/>
        <v>-2.0202082843457717E-2</v>
      </c>
      <c r="J107" s="3">
        <f t="shared" si="8"/>
        <v>-2.020196040791233E-2</v>
      </c>
      <c r="K107" s="3">
        <f t="shared" si="9"/>
        <v>-2.020199129058578E-2</v>
      </c>
    </row>
    <row r="108" spans="2:11" x14ac:dyDescent="0.3">
      <c r="B108" s="38">
        <v>43571</v>
      </c>
      <c r="C108" s="3">
        <v>8130972</v>
      </c>
      <c r="D108" s="3">
        <v>6098229</v>
      </c>
      <c r="E108" s="3">
        <v>2484463</v>
      </c>
      <c r="F108" s="3">
        <v>5872368</v>
      </c>
      <c r="G108" s="3">
        <f t="shared" si="5"/>
        <v>22586032</v>
      </c>
      <c r="H108" s="3">
        <f t="shared" si="6"/>
        <v>4.0000040929917491E-2</v>
      </c>
      <c r="I108" s="3">
        <f t="shared" si="7"/>
        <v>4.0000129611416448E-2</v>
      </c>
      <c r="J108" s="3">
        <f t="shared" si="8"/>
        <v>3.9999882791586276E-2</v>
      </c>
      <c r="K108" s="3">
        <f t="shared" si="9"/>
        <v>3.9999943327805432E-2</v>
      </c>
    </row>
    <row r="109" spans="2:11" x14ac:dyDescent="0.3">
      <c r="B109" s="38">
        <v>43572</v>
      </c>
      <c r="C109" s="3">
        <v>7896424</v>
      </c>
      <c r="D109" s="3">
        <v>5922318</v>
      </c>
      <c r="E109" s="3">
        <v>2412796</v>
      </c>
      <c r="F109" s="3">
        <v>5702973</v>
      </c>
      <c r="G109" s="3">
        <f t="shared" si="5"/>
        <v>21934511</v>
      </c>
      <c r="H109" s="3">
        <f t="shared" si="6"/>
        <v>2.0201910579504552E-2</v>
      </c>
      <c r="I109" s="3">
        <f t="shared" si="7"/>
        <v>2.0201910579504552E-2</v>
      </c>
      <c r="J109" s="3">
        <f t="shared" si="8"/>
        <v>2.020196040791233E-2</v>
      </c>
      <c r="K109" s="3">
        <f t="shared" si="9"/>
        <v>2.020199129058578E-2</v>
      </c>
    </row>
    <row r="110" spans="2:11" x14ac:dyDescent="0.3">
      <c r="B110" s="38">
        <v>43573</v>
      </c>
      <c r="C110" s="3">
        <v>8209154</v>
      </c>
      <c r="D110" s="3">
        <v>6156866</v>
      </c>
      <c r="E110" s="3">
        <v>2508352</v>
      </c>
      <c r="F110" s="3">
        <v>5928833</v>
      </c>
      <c r="G110" s="3">
        <f t="shared" si="5"/>
        <v>22803205</v>
      </c>
      <c r="H110" s="3">
        <f t="shared" si="6"/>
        <v>0.10526312954991901</v>
      </c>
      <c r="I110" s="3">
        <f t="shared" si="7"/>
        <v>0.10526331851538562</v>
      </c>
      <c r="J110" s="3">
        <f t="shared" si="8"/>
        <v>0.10526283321774059</v>
      </c>
      <c r="K110" s="3">
        <f t="shared" si="9"/>
        <v>0.10526300090806</v>
      </c>
    </row>
    <row r="111" spans="2:11" x14ac:dyDescent="0.3">
      <c r="B111" s="38">
        <v>43574</v>
      </c>
      <c r="C111" s="3">
        <v>7974607</v>
      </c>
      <c r="D111" s="3">
        <v>5980955</v>
      </c>
      <c r="E111" s="3">
        <v>2436685</v>
      </c>
      <c r="F111" s="3">
        <v>5759438</v>
      </c>
      <c r="G111" s="3">
        <f t="shared" si="5"/>
        <v>22151685</v>
      </c>
      <c r="H111" s="3">
        <f t="shared" si="6"/>
        <v>7.3684217612520253E-2</v>
      </c>
      <c r="I111" s="3">
        <f t="shared" si="7"/>
        <v>7.3684269105611225E-2</v>
      </c>
      <c r="J111" s="3">
        <f t="shared" si="8"/>
        <v>7.3683983252418414E-2</v>
      </c>
      <c r="K111" s="3">
        <f t="shared" si="9"/>
        <v>7.3684100635642E-2</v>
      </c>
    </row>
    <row r="112" spans="2:11" x14ac:dyDescent="0.3">
      <c r="B112" s="38">
        <v>43575</v>
      </c>
      <c r="C112" s="3">
        <v>15998707</v>
      </c>
      <c r="D112" s="3">
        <v>11999030</v>
      </c>
      <c r="E112" s="3">
        <v>4888493</v>
      </c>
      <c r="F112" s="3">
        <v>11554621</v>
      </c>
      <c r="G112" s="3">
        <f t="shared" si="5"/>
        <v>44440851</v>
      </c>
      <c r="H112" s="3">
        <f t="shared" si="6"/>
        <v>3.1250046329429675E-2</v>
      </c>
      <c r="I112" s="3">
        <f t="shared" si="7"/>
        <v>3.1250002685763979E-2</v>
      </c>
      <c r="J112" s="3">
        <f t="shared" si="8"/>
        <v>3.1249967038347534E-2</v>
      </c>
      <c r="K112" s="3">
        <f t="shared" si="9"/>
        <v>3.1249997210937304E-2</v>
      </c>
    </row>
    <row r="113" spans="2:11" x14ac:dyDescent="0.3">
      <c r="B113" s="38">
        <v>43576</v>
      </c>
      <c r="C113" s="3">
        <v>16806722</v>
      </c>
      <c r="D113" s="3">
        <v>12605042</v>
      </c>
      <c r="E113" s="3">
        <v>5135387</v>
      </c>
      <c r="F113" s="3">
        <v>12138188</v>
      </c>
      <c r="G113" s="3">
        <f t="shared" si="5"/>
        <v>46685339</v>
      </c>
      <c r="H113" s="3">
        <f t="shared" si="6"/>
        <v>0</v>
      </c>
      <c r="I113" s="3">
        <f t="shared" si="7"/>
        <v>0</v>
      </c>
      <c r="J113" s="3">
        <f t="shared" si="8"/>
        <v>0</v>
      </c>
      <c r="K113" s="3">
        <f t="shared" si="9"/>
        <v>0</v>
      </c>
    </row>
    <row r="114" spans="2:11" x14ac:dyDescent="0.3">
      <c r="B114" s="38">
        <v>43577</v>
      </c>
      <c r="C114" s="3">
        <v>7505512</v>
      </c>
      <c r="D114" s="3">
        <v>5629134</v>
      </c>
      <c r="E114" s="3">
        <v>2293351</v>
      </c>
      <c r="F114" s="3">
        <v>5420648</v>
      </c>
      <c r="G114" s="3">
        <f t="shared" si="5"/>
        <v>20848645</v>
      </c>
      <c r="H114" s="3">
        <f t="shared" si="6"/>
        <v>-1.0309354476940331E-2</v>
      </c>
      <c r="I114" s="3">
        <f t="shared" si="7"/>
        <v>-1.0309310976127556E-2</v>
      </c>
      <c r="J114" s="3">
        <f t="shared" si="8"/>
        <v>-1.0309247207885243E-2</v>
      </c>
      <c r="K114" s="3">
        <f t="shared" si="9"/>
        <v>-1.0309263292541162E-2</v>
      </c>
    </row>
    <row r="115" spans="2:11" x14ac:dyDescent="0.3">
      <c r="B115" s="38">
        <v>43578</v>
      </c>
      <c r="C115" s="3">
        <v>7427330</v>
      </c>
      <c r="D115" s="3">
        <v>5570497</v>
      </c>
      <c r="E115" s="3">
        <v>2269462</v>
      </c>
      <c r="F115" s="3">
        <v>5364183</v>
      </c>
      <c r="G115" s="3">
        <f t="shared" si="5"/>
        <v>20631472</v>
      </c>
      <c r="H115" s="3">
        <f t="shared" si="6"/>
        <v>-8.653848518971656E-2</v>
      </c>
      <c r="I115" s="3">
        <f t="shared" si="7"/>
        <v>-8.6538567180733952E-2</v>
      </c>
      <c r="J115" s="3">
        <f t="shared" si="8"/>
        <v>-8.6538217715458027E-2</v>
      </c>
      <c r="K115" s="3">
        <f t="shared" si="9"/>
        <v>-8.6538343646038532E-2</v>
      </c>
    </row>
    <row r="116" spans="2:11" x14ac:dyDescent="0.3">
      <c r="B116" s="38">
        <v>43579</v>
      </c>
      <c r="C116" s="3">
        <v>7818242</v>
      </c>
      <c r="D116" s="3">
        <v>5863681</v>
      </c>
      <c r="E116" s="3">
        <v>2388907</v>
      </c>
      <c r="F116" s="3">
        <v>5646508</v>
      </c>
      <c r="G116" s="3">
        <f t="shared" si="5"/>
        <v>21717338</v>
      </c>
      <c r="H116" s="3">
        <f t="shared" si="6"/>
        <v>-9.9009374369967984E-3</v>
      </c>
      <c r="I116" s="3">
        <f t="shared" si="7"/>
        <v>-9.9010218633987564E-3</v>
      </c>
      <c r="J116" s="3">
        <f t="shared" si="8"/>
        <v>-9.9009613742728347E-3</v>
      </c>
      <c r="K116" s="3">
        <f t="shared" si="9"/>
        <v>-9.9009762101275947E-3</v>
      </c>
    </row>
    <row r="117" spans="2:11" x14ac:dyDescent="0.3">
      <c r="B117" s="38">
        <v>43580</v>
      </c>
      <c r="C117" s="3">
        <v>8209154</v>
      </c>
      <c r="D117" s="3">
        <v>6156866</v>
      </c>
      <c r="E117" s="3">
        <v>2508352</v>
      </c>
      <c r="F117" s="3">
        <v>5928833</v>
      </c>
      <c r="G117" s="3">
        <f t="shared" si="5"/>
        <v>22803205</v>
      </c>
      <c r="H117" s="3">
        <f t="shared" si="6"/>
        <v>0</v>
      </c>
      <c r="I117" s="3">
        <f t="shared" si="7"/>
        <v>0</v>
      </c>
      <c r="J117" s="3">
        <f t="shared" si="8"/>
        <v>0</v>
      </c>
      <c r="K117" s="3">
        <f t="shared" si="9"/>
        <v>0</v>
      </c>
    </row>
    <row r="118" spans="2:11" x14ac:dyDescent="0.3">
      <c r="B118" s="38">
        <v>43581</v>
      </c>
      <c r="C118" s="3">
        <v>7974607</v>
      </c>
      <c r="D118" s="3">
        <v>5980955</v>
      </c>
      <c r="E118" s="3">
        <v>2436685</v>
      </c>
      <c r="F118" s="3">
        <v>5759438</v>
      </c>
      <c r="G118" s="3">
        <f t="shared" si="5"/>
        <v>22151685</v>
      </c>
      <c r="H118" s="3">
        <f t="shared" si="6"/>
        <v>0</v>
      </c>
      <c r="I118" s="3">
        <f t="shared" si="7"/>
        <v>0</v>
      </c>
      <c r="J118" s="3">
        <f t="shared" si="8"/>
        <v>0</v>
      </c>
      <c r="K118" s="3">
        <f t="shared" si="9"/>
        <v>0</v>
      </c>
    </row>
    <row r="119" spans="2:11" x14ac:dyDescent="0.3">
      <c r="B119" s="38">
        <v>43582</v>
      </c>
      <c r="C119" s="3">
        <v>16968325</v>
      </c>
      <c r="D119" s="3">
        <v>12726244</v>
      </c>
      <c r="E119" s="3">
        <v>5184766</v>
      </c>
      <c r="F119" s="3">
        <v>12254901</v>
      </c>
      <c r="G119" s="3">
        <f t="shared" si="5"/>
        <v>47134236</v>
      </c>
      <c r="H119" s="3">
        <f t="shared" si="6"/>
        <v>6.0606022724211402E-2</v>
      </c>
      <c r="I119" s="3">
        <f t="shared" si="7"/>
        <v>6.0606065656973941E-2</v>
      </c>
      <c r="J119" s="3">
        <f t="shared" si="8"/>
        <v>6.0606203179589292E-2</v>
      </c>
      <c r="K119" s="3">
        <f t="shared" si="9"/>
        <v>6.0606055360881157E-2</v>
      </c>
    </row>
    <row r="120" spans="2:11" x14ac:dyDescent="0.3">
      <c r="B120" s="38">
        <v>43583</v>
      </c>
      <c r="C120" s="3">
        <v>16645119</v>
      </c>
      <c r="D120" s="3">
        <v>12483839</v>
      </c>
      <c r="E120" s="3">
        <v>5086008</v>
      </c>
      <c r="F120" s="3">
        <v>12021475</v>
      </c>
      <c r="G120" s="3">
        <f t="shared" si="5"/>
        <v>46236441</v>
      </c>
      <c r="H120" s="3">
        <f t="shared" si="6"/>
        <v>-9.6153788942305342E-3</v>
      </c>
      <c r="I120" s="3">
        <f t="shared" si="7"/>
        <v>-9.6154380128205836E-3</v>
      </c>
      <c r="J120" s="3">
        <f t="shared" si="8"/>
        <v>-9.6154389143408275E-3</v>
      </c>
      <c r="K120" s="3">
        <f t="shared" si="9"/>
        <v>-9.6153560976317051E-3</v>
      </c>
    </row>
    <row r="121" spans="2:11" x14ac:dyDescent="0.3">
      <c r="B121" s="38">
        <v>43584</v>
      </c>
      <c r="C121" s="3">
        <v>7427330</v>
      </c>
      <c r="D121" s="3">
        <v>5570497</v>
      </c>
      <c r="E121" s="3">
        <v>2269462</v>
      </c>
      <c r="F121" s="3">
        <v>5364183</v>
      </c>
      <c r="G121" s="3">
        <f t="shared" si="5"/>
        <v>20631472</v>
      </c>
      <c r="H121" s="3">
        <f t="shared" si="6"/>
        <v>-1.0416611151910756E-2</v>
      </c>
      <c r="I121" s="3">
        <f t="shared" si="7"/>
        <v>-1.0416699975520213E-2</v>
      </c>
      <c r="J121" s="3">
        <f t="shared" si="8"/>
        <v>-1.0416634871853458E-2</v>
      </c>
      <c r="K121" s="3">
        <f t="shared" si="9"/>
        <v>-1.0416651293350905E-2</v>
      </c>
    </row>
    <row r="122" spans="2:11" x14ac:dyDescent="0.3">
      <c r="B122" s="38">
        <v>43585</v>
      </c>
      <c r="C122" s="3">
        <v>7583695</v>
      </c>
      <c r="D122" s="3">
        <v>5687771</v>
      </c>
      <c r="E122" s="3">
        <v>2317240</v>
      </c>
      <c r="F122" s="3">
        <v>5477113</v>
      </c>
      <c r="G122" s="3">
        <f t="shared" si="5"/>
        <v>21065819</v>
      </c>
      <c r="H122" s="3">
        <f t="shared" si="6"/>
        <v>2.1052652837560738E-2</v>
      </c>
      <c r="I122" s="3">
        <f t="shared" si="7"/>
        <v>2.1052699606516258E-2</v>
      </c>
      <c r="J122" s="3">
        <f t="shared" si="8"/>
        <v>2.1052566643548119E-2</v>
      </c>
      <c r="K122" s="3">
        <f t="shared" si="9"/>
        <v>2.1052600181612001E-2</v>
      </c>
    </row>
    <row r="123" spans="2:11" x14ac:dyDescent="0.3">
      <c r="B123" s="38">
        <v>43586</v>
      </c>
      <c r="C123" s="3">
        <v>8209154</v>
      </c>
      <c r="D123" s="3">
        <v>6156866</v>
      </c>
      <c r="E123" s="3">
        <v>2508352</v>
      </c>
      <c r="F123" s="3">
        <v>5928833</v>
      </c>
      <c r="G123" s="3">
        <f t="shared" si="5"/>
        <v>22803205</v>
      </c>
      <c r="H123" s="3">
        <f t="shared" si="6"/>
        <v>4.9999987209400784E-2</v>
      </c>
      <c r="I123" s="3">
        <f t="shared" si="7"/>
        <v>5.0000162014270558E-2</v>
      </c>
      <c r="J123" s="3">
        <f t="shared" si="8"/>
        <v>4.9999853489482847E-2</v>
      </c>
      <c r="K123" s="3">
        <f t="shared" si="9"/>
        <v>4.999992915975679E-2</v>
      </c>
    </row>
    <row r="124" spans="2:11" x14ac:dyDescent="0.3">
      <c r="B124" s="38">
        <v>43587</v>
      </c>
      <c r="C124" s="3">
        <v>7661877</v>
      </c>
      <c r="D124" s="3">
        <v>5746408</v>
      </c>
      <c r="E124" s="3">
        <v>2341129</v>
      </c>
      <c r="F124" s="3">
        <v>5533578</v>
      </c>
      <c r="G124" s="3">
        <f t="shared" si="5"/>
        <v>21282992</v>
      </c>
      <c r="H124" s="3">
        <f t="shared" si="6"/>
        <v>-6.6666674787682137E-2</v>
      </c>
      <c r="I124" s="3">
        <f t="shared" si="7"/>
        <v>-6.6666709978745686E-2</v>
      </c>
      <c r="J124" s="3">
        <f t="shared" si="8"/>
        <v>-6.6666480621539556E-2</v>
      </c>
      <c r="K124" s="3">
        <f t="shared" si="9"/>
        <v>-6.6666576710796205E-2</v>
      </c>
    </row>
    <row r="125" spans="2:11" x14ac:dyDescent="0.3">
      <c r="B125" s="38">
        <v>43588</v>
      </c>
      <c r="C125" s="3">
        <v>7505512</v>
      </c>
      <c r="D125" s="3">
        <v>5629134</v>
      </c>
      <c r="E125" s="3">
        <v>2293351</v>
      </c>
      <c r="F125" s="3">
        <v>5420648</v>
      </c>
      <c r="G125" s="3">
        <f t="shared" si="5"/>
        <v>20848645</v>
      </c>
      <c r="H125" s="3">
        <f t="shared" si="6"/>
        <v>-5.8823588422601894E-2</v>
      </c>
      <c r="I125" s="3">
        <f t="shared" si="7"/>
        <v>-5.8823549082044589E-2</v>
      </c>
      <c r="J125" s="3">
        <f t="shared" si="8"/>
        <v>-5.8823360426152743E-2</v>
      </c>
      <c r="K125" s="3">
        <f t="shared" si="9"/>
        <v>-5.8823447704446162E-2</v>
      </c>
    </row>
    <row r="126" spans="2:11" x14ac:dyDescent="0.3">
      <c r="B126" s="38">
        <v>43589</v>
      </c>
      <c r="C126" s="3">
        <v>15513897</v>
      </c>
      <c r="D126" s="3">
        <v>11635423</v>
      </c>
      <c r="E126" s="3">
        <v>4740357</v>
      </c>
      <c r="F126" s="3">
        <v>11204481</v>
      </c>
      <c r="G126" s="3">
        <f t="shared" si="5"/>
        <v>43094158</v>
      </c>
      <c r="H126" s="3">
        <f t="shared" si="6"/>
        <v>-8.5714294133333729E-2</v>
      </c>
      <c r="I126" s="3">
        <f t="shared" si="7"/>
        <v>-8.5714292449523985E-2</v>
      </c>
      <c r="J126" s="3">
        <f t="shared" si="8"/>
        <v>-8.5714379395328541E-2</v>
      </c>
      <c r="K126" s="3">
        <f t="shared" si="9"/>
        <v>-8.5714278719999454E-2</v>
      </c>
    </row>
    <row r="127" spans="2:11" x14ac:dyDescent="0.3">
      <c r="B127" s="38">
        <v>43590</v>
      </c>
      <c r="C127" s="3">
        <v>15837104</v>
      </c>
      <c r="D127" s="3">
        <v>11877828</v>
      </c>
      <c r="E127" s="3">
        <v>4839115</v>
      </c>
      <c r="F127" s="3">
        <v>11437908</v>
      </c>
      <c r="G127" s="3">
        <f t="shared" si="5"/>
        <v>43991955</v>
      </c>
      <c r="H127" s="3">
        <f t="shared" si="6"/>
        <v>-4.8543660156469895E-2</v>
      </c>
      <c r="I127" s="3">
        <f t="shared" si="7"/>
        <v>-4.8543641102708868E-2</v>
      </c>
      <c r="J127" s="3">
        <f t="shared" si="8"/>
        <v>-4.8543572876802395E-2</v>
      </c>
      <c r="K127" s="3">
        <f t="shared" si="9"/>
        <v>-4.8543710318409344E-2</v>
      </c>
    </row>
    <row r="128" spans="2:11" x14ac:dyDescent="0.3">
      <c r="B128" s="38">
        <v>43591</v>
      </c>
      <c r="C128" s="3">
        <v>7818242</v>
      </c>
      <c r="D128" s="3">
        <v>5863681</v>
      </c>
      <c r="E128" s="3">
        <v>2388907</v>
      </c>
      <c r="F128" s="3">
        <v>5646508</v>
      </c>
      <c r="G128" s="3">
        <f t="shared" si="5"/>
        <v>21717338</v>
      </c>
      <c r="H128" s="3">
        <f t="shared" si="6"/>
        <v>5.2631564774959505E-2</v>
      </c>
      <c r="I128" s="3">
        <f t="shared" si="7"/>
        <v>5.2631569499094963E-2</v>
      </c>
      <c r="J128" s="3">
        <f t="shared" si="8"/>
        <v>5.2631416608870295E-2</v>
      </c>
      <c r="K128" s="3">
        <f t="shared" si="9"/>
        <v>5.2631500454029999E-2</v>
      </c>
    </row>
    <row r="129" spans="2:11" x14ac:dyDescent="0.3">
      <c r="B129" s="38">
        <v>43592</v>
      </c>
      <c r="C129" s="3">
        <v>7974607</v>
      </c>
      <c r="D129" s="3">
        <v>5980955</v>
      </c>
      <c r="E129" s="3">
        <v>2436685</v>
      </c>
      <c r="F129" s="3">
        <v>5759438</v>
      </c>
      <c r="G129" s="3">
        <f t="shared" si="5"/>
        <v>22151685</v>
      </c>
      <c r="H129" s="3">
        <f t="shared" si="6"/>
        <v>5.1546376799172434E-2</v>
      </c>
      <c r="I129" s="3">
        <f t="shared" si="7"/>
        <v>5.1546379064839283E-2</v>
      </c>
      <c r="J129" s="3">
        <f t="shared" si="8"/>
        <v>5.1546236039426215E-2</v>
      </c>
      <c r="K129" s="3">
        <f t="shared" si="9"/>
        <v>5.1546316462705806E-2</v>
      </c>
    </row>
    <row r="130" spans="2:11" x14ac:dyDescent="0.3">
      <c r="B130" s="38">
        <v>43593</v>
      </c>
      <c r="C130" s="3">
        <v>8209154</v>
      </c>
      <c r="D130" s="3">
        <v>6156866</v>
      </c>
      <c r="E130" s="3">
        <v>2508352</v>
      </c>
      <c r="F130" s="3">
        <v>5928833</v>
      </c>
      <c r="G130" s="3">
        <f t="shared" si="5"/>
        <v>22803205</v>
      </c>
      <c r="H130" s="3">
        <f t="shared" si="6"/>
        <v>0</v>
      </c>
      <c r="I130" s="3">
        <f t="shared" si="7"/>
        <v>0</v>
      </c>
      <c r="J130" s="3">
        <f t="shared" si="8"/>
        <v>0</v>
      </c>
      <c r="K130" s="3">
        <f t="shared" si="9"/>
        <v>0</v>
      </c>
    </row>
    <row r="131" spans="2:11" x14ac:dyDescent="0.3">
      <c r="B131" s="38">
        <v>43594</v>
      </c>
      <c r="C131" s="3">
        <v>7583695</v>
      </c>
      <c r="D131" s="3">
        <v>5687771</v>
      </c>
      <c r="E131" s="3">
        <v>2317240</v>
      </c>
      <c r="F131" s="3">
        <v>5477113</v>
      </c>
      <c r="G131" s="3">
        <f t="shared" si="5"/>
        <v>21065819</v>
      </c>
      <c r="H131" s="3">
        <f t="shared" si="6"/>
        <v>-1.0204027028886002E-2</v>
      </c>
      <c r="I131" s="3">
        <f t="shared" si="7"/>
        <v>-1.0204113595832388E-2</v>
      </c>
      <c r="J131" s="3">
        <f t="shared" si="8"/>
        <v>-1.0204051122343108E-2</v>
      </c>
      <c r="K131" s="3">
        <f t="shared" si="9"/>
        <v>-1.0204066880416252E-2</v>
      </c>
    </row>
    <row r="132" spans="2:11" x14ac:dyDescent="0.3">
      <c r="B132" s="38">
        <v>43595</v>
      </c>
      <c r="C132" s="3">
        <v>7583695</v>
      </c>
      <c r="D132" s="3">
        <v>5687771</v>
      </c>
      <c r="E132" s="3">
        <v>2317240</v>
      </c>
      <c r="F132" s="3">
        <v>5477113</v>
      </c>
      <c r="G132" s="3">
        <f t="shared" ref="G132:G195" si="10">SUM(C132:F132)</f>
        <v>21065819</v>
      </c>
      <c r="H132" s="3">
        <f t="shared" si="6"/>
        <v>1.0416744387324942E-2</v>
      </c>
      <c r="I132" s="3">
        <f t="shared" si="7"/>
        <v>1.0416699975520213E-2</v>
      </c>
      <c r="J132" s="3">
        <f t="shared" si="8"/>
        <v>1.0416634871853458E-2</v>
      </c>
      <c r="K132" s="3">
        <f t="shared" si="9"/>
        <v>1.0416651293350905E-2</v>
      </c>
    </row>
    <row r="133" spans="2:11" x14ac:dyDescent="0.3">
      <c r="B133" s="38">
        <v>43596</v>
      </c>
      <c r="C133" s="3">
        <v>16483516</v>
      </c>
      <c r="D133" s="3">
        <v>12362637</v>
      </c>
      <c r="E133" s="3">
        <v>5036630</v>
      </c>
      <c r="F133" s="3">
        <v>11904761</v>
      </c>
      <c r="G133" s="3">
        <f t="shared" si="10"/>
        <v>45787544</v>
      </c>
      <c r="H133" s="3">
        <f t="shared" si="6"/>
        <v>6.2500028200522403E-2</v>
      </c>
      <c r="I133" s="3">
        <f t="shared" si="7"/>
        <v>6.2500005371527959E-2</v>
      </c>
      <c r="J133" s="3">
        <f t="shared" si="8"/>
        <v>6.2500145031270854E-2</v>
      </c>
      <c r="K133" s="3">
        <f t="shared" si="9"/>
        <v>6.2499994421874608E-2</v>
      </c>
    </row>
    <row r="134" spans="2:11" x14ac:dyDescent="0.3">
      <c r="B134" s="38">
        <v>43597</v>
      </c>
      <c r="C134" s="3">
        <v>15352294</v>
      </c>
      <c r="D134" s="3">
        <v>11514221</v>
      </c>
      <c r="E134" s="3">
        <v>4690978</v>
      </c>
      <c r="F134" s="3">
        <v>11087768</v>
      </c>
      <c r="G134" s="3">
        <f t="shared" si="10"/>
        <v>42645261</v>
      </c>
      <c r="H134" s="3">
        <f t="shared" si="6"/>
        <v>-3.0612288711370464E-2</v>
      </c>
      <c r="I134" s="3">
        <f t="shared" si="7"/>
        <v>-3.0612246616132176E-2</v>
      </c>
      <c r="J134" s="3">
        <f t="shared" si="8"/>
        <v>-3.0612415699978197E-2</v>
      </c>
      <c r="K134" s="3">
        <f t="shared" si="9"/>
        <v>-3.061224132944591E-2</v>
      </c>
    </row>
    <row r="135" spans="2:11" x14ac:dyDescent="0.3">
      <c r="B135" s="38">
        <v>43598</v>
      </c>
      <c r="C135" s="3">
        <v>7505512</v>
      </c>
      <c r="D135" s="3">
        <v>5629134</v>
      </c>
      <c r="E135" s="3">
        <v>2293351</v>
      </c>
      <c r="F135" s="3">
        <v>5420648</v>
      </c>
      <c r="G135" s="3">
        <f t="shared" si="10"/>
        <v>20848645</v>
      </c>
      <c r="H135" s="3">
        <f t="shared" si="6"/>
        <v>-4.0000040929917491E-2</v>
      </c>
      <c r="I135" s="3">
        <f t="shared" si="7"/>
        <v>-3.9999959070079014E-2</v>
      </c>
      <c r="J135" s="3">
        <f t="shared" si="8"/>
        <v>-3.9999882791586276E-2</v>
      </c>
      <c r="K135" s="3">
        <f t="shared" si="9"/>
        <v>-3.9999943327805432E-2</v>
      </c>
    </row>
    <row r="136" spans="2:11" x14ac:dyDescent="0.3">
      <c r="B136" s="38">
        <v>43599</v>
      </c>
      <c r="C136" s="3">
        <v>8209154</v>
      </c>
      <c r="D136" s="3">
        <v>6156866</v>
      </c>
      <c r="E136" s="3">
        <v>2508352</v>
      </c>
      <c r="F136" s="3">
        <v>5928833</v>
      </c>
      <c r="G136" s="3">
        <f t="shared" si="10"/>
        <v>22803205</v>
      </c>
      <c r="H136" s="3">
        <f t="shared" si="6"/>
        <v>2.9411731512286435E-2</v>
      </c>
      <c r="I136" s="3">
        <f t="shared" si="7"/>
        <v>2.94118581397118E-2</v>
      </c>
      <c r="J136" s="3">
        <f t="shared" si="8"/>
        <v>2.9411680213076372E-2</v>
      </c>
      <c r="K136" s="3">
        <f t="shared" si="9"/>
        <v>2.9411723852223081E-2</v>
      </c>
    </row>
    <row r="137" spans="2:11" x14ac:dyDescent="0.3">
      <c r="B137" s="38">
        <v>43600</v>
      </c>
      <c r="C137" s="3">
        <v>7896424</v>
      </c>
      <c r="D137" s="3">
        <v>5922318</v>
      </c>
      <c r="E137" s="3">
        <v>2412796</v>
      </c>
      <c r="F137" s="3">
        <v>5702973</v>
      </c>
      <c r="G137" s="3">
        <f t="shared" si="10"/>
        <v>21934511</v>
      </c>
      <c r="H137" s="3">
        <f t="shared" si="6"/>
        <v>-3.8095277540170398E-2</v>
      </c>
      <c r="I137" s="3">
        <f t="shared" si="7"/>
        <v>-3.8095355656595414E-2</v>
      </c>
      <c r="J137" s="3">
        <f t="shared" si="8"/>
        <v>-3.8095131783736892E-2</v>
      </c>
      <c r="K137" s="3">
        <f t="shared" si="9"/>
        <v>-3.8095186691883547E-2</v>
      </c>
    </row>
    <row r="138" spans="2:11" x14ac:dyDescent="0.3">
      <c r="B138" s="38">
        <v>43601</v>
      </c>
      <c r="C138" s="3">
        <v>7583695</v>
      </c>
      <c r="D138" s="3">
        <v>5687771</v>
      </c>
      <c r="E138" s="3">
        <v>2317240</v>
      </c>
      <c r="F138" s="3">
        <v>5477113</v>
      </c>
      <c r="G138" s="3">
        <f t="shared" si="10"/>
        <v>21065819</v>
      </c>
      <c r="H138" s="3">
        <f t="shared" si="6"/>
        <v>0</v>
      </c>
      <c r="I138" s="3">
        <f t="shared" si="7"/>
        <v>0</v>
      </c>
      <c r="J138" s="3">
        <f t="shared" si="8"/>
        <v>0</v>
      </c>
      <c r="K138" s="3">
        <f t="shared" si="9"/>
        <v>0</v>
      </c>
    </row>
    <row r="139" spans="2:11" x14ac:dyDescent="0.3">
      <c r="B139" s="38">
        <v>43602</v>
      </c>
      <c r="C139" s="3">
        <v>7427330</v>
      </c>
      <c r="D139" s="3">
        <v>5570497</v>
      </c>
      <c r="E139" s="3">
        <v>2269462</v>
      </c>
      <c r="F139" s="3">
        <v>5364183</v>
      </c>
      <c r="G139" s="3">
        <f t="shared" si="10"/>
        <v>20631472</v>
      </c>
      <c r="H139" s="3">
        <f t="shared" ref="H139:H202" si="11">($C139-$C132)/$C132</f>
        <v>-2.0618577092037588E-2</v>
      </c>
      <c r="I139" s="3">
        <f t="shared" ref="I139:I202" si="12">($D139-$D132)/D132</f>
        <v>-2.0618621952255112E-2</v>
      </c>
      <c r="J139" s="3">
        <f t="shared" ref="J139:J202" si="13">(E139-E132)/E132</f>
        <v>-2.0618494415770485E-2</v>
      </c>
      <c r="K139" s="3">
        <f t="shared" ref="K139:K202" si="14">(F139-F132)/F132</f>
        <v>-2.0618526585082324E-2</v>
      </c>
    </row>
    <row r="140" spans="2:11" x14ac:dyDescent="0.3">
      <c r="B140" s="38">
        <v>43603</v>
      </c>
      <c r="C140" s="3">
        <v>16160310</v>
      </c>
      <c r="D140" s="3">
        <v>12120232</v>
      </c>
      <c r="E140" s="3">
        <v>4937872</v>
      </c>
      <c r="F140" s="3">
        <v>11671335</v>
      </c>
      <c r="G140" s="3">
        <f t="shared" si="10"/>
        <v>44889749</v>
      </c>
      <c r="H140" s="3">
        <f t="shared" si="11"/>
        <v>-1.9607831241829715E-2</v>
      </c>
      <c r="I140" s="3">
        <f t="shared" si="12"/>
        <v>-1.9607871686275348E-2</v>
      </c>
      <c r="J140" s="3">
        <f t="shared" si="13"/>
        <v>-1.9607952142603288E-2</v>
      </c>
      <c r="K140" s="3">
        <f t="shared" si="14"/>
        <v>-1.9607785490191699E-2</v>
      </c>
    </row>
    <row r="141" spans="2:11" x14ac:dyDescent="0.3">
      <c r="B141" s="38">
        <v>43604</v>
      </c>
      <c r="C141" s="3">
        <v>16968325</v>
      </c>
      <c r="D141" s="3">
        <v>12726244</v>
      </c>
      <c r="E141" s="3">
        <v>5184766</v>
      </c>
      <c r="F141" s="3">
        <v>12254901</v>
      </c>
      <c r="G141" s="3">
        <f t="shared" si="10"/>
        <v>47134236</v>
      </c>
      <c r="H141" s="3">
        <f t="shared" si="11"/>
        <v>0.10526316132299186</v>
      </c>
      <c r="I141" s="3">
        <f t="shared" si="12"/>
        <v>0.10526313503970439</v>
      </c>
      <c r="J141" s="3">
        <f t="shared" si="13"/>
        <v>0.10526333741066361</v>
      </c>
      <c r="K141" s="3">
        <f t="shared" si="14"/>
        <v>0.1052631151734055</v>
      </c>
    </row>
    <row r="142" spans="2:11" x14ac:dyDescent="0.3">
      <c r="B142" s="38">
        <v>43605</v>
      </c>
      <c r="C142" s="3">
        <v>8052789</v>
      </c>
      <c r="D142" s="3">
        <v>6039592</v>
      </c>
      <c r="E142" s="3">
        <v>2460574</v>
      </c>
      <c r="F142" s="3">
        <v>5815903</v>
      </c>
      <c r="G142" s="3">
        <f t="shared" si="10"/>
        <v>22368858</v>
      </c>
      <c r="H142" s="3">
        <f t="shared" si="11"/>
        <v>7.2916677769617855E-2</v>
      </c>
      <c r="I142" s="3">
        <f t="shared" si="12"/>
        <v>7.2916722181422575E-2</v>
      </c>
      <c r="J142" s="3">
        <f t="shared" si="13"/>
        <v>7.2916444102974209E-2</v>
      </c>
      <c r="K142" s="3">
        <f t="shared" si="14"/>
        <v>7.2916559053456342E-2</v>
      </c>
    </row>
    <row r="143" spans="2:11" x14ac:dyDescent="0.3">
      <c r="B143" s="38">
        <v>43606</v>
      </c>
      <c r="C143" s="3">
        <v>8052789</v>
      </c>
      <c r="D143" s="3">
        <v>6039592</v>
      </c>
      <c r="E143" s="3">
        <v>2460574</v>
      </c>
      <c r="F143" s="3">
        <v>5815903</v>
      </c>
      <c r="G143" s="3">
        <f t="shared" si="10"/>
        <v>22368858</v>
      </c>
      <c r="H143" s="3">
        <f t="shared" si="11"/>
        <v>-1.9047638770085199E-2</v>
      </c>
      <c r="I143" s="3">
        <f t="shared" si="12"/>
        <v>-1.9047677828297707E-2</v>
      </c>
      <c r="J143" s="3">
        <f t="shared" si="13"/>
        <v>-1.9047565891868446E-2</v>
      </c>
      <c r="K143" s="3">
        <f t="shared" si="14"/>
        <v>-1.9047593345941773E-2</v>
      </c>
    </row>
    <row r="144" spans="2:11" x14ac:dyDescent="0.3">
      <c r="B144" s="38">
        <v>43607</v>
      </c>
      <c r="C144" s="3">
        <v>7896424</v>
      </c>
      <c r="D144" s="3">
        <v>5922318</v>
      </c>
      <c r="E144" s="3">
        <v>2412796</v>
      </c>
      <c r="F144" s="3">
        <v>5702973</v>
      </c>
      <c r="G144" s="3">
        <f t="shared" si="10"/>
        <v>21934511</v>
      </c>
      <c r="H144" s="3">
        <f t="shared" si="11"/>
        <v>0</v>
      </c>
      <c r="I144" s="3">
        <f t="shared" si="12"/>
        <v>0</v>
      </c>
      <c r="J144" s="3">
        <f t="shared" si="13"/>
        <v>0</v>
      </c>
      <c r="K144" s="3">
        <f t="shared" si="14"/>
        <v>0</v>
      </c>
    </row>
    <row r="145" spans="2:11" x14ac:dyDescent="0.3">
      <c r="B145" s="38">
        <v>43608</v>
      </c>
      <c r="C145" s="3">
        <v>7583695</v>
      </c>
      <c r="D145" s="3">
        <v>5687771</v>
      </c>
      <c r="E145" s="3">
        <v>2317240</v>
      </c>
      <c r="F145" s="3">
        <v>5477113</v>
      </c>
      <c r="G145" s="3">
        <f t="shared" si="10"/>
        <v>21065819</v>
      </c>
      <c r="H145" s="3">
        <f t="shared" si="11"/>
        <v>0</v>
      </c>
      <c r="I145" s="3">
        <f t="shared" si="12"/>
        <v>0</v>
      </c>
      <c r="J145" s="3">
        <f t="shared" si="13"/>
        <v>0</v>
      </c>
      <c r="K145" s="3">
        <f t="shared" si="14"/>
        <v>0</v>
      </c>
    </row>
    <row r="146" spans="2:11" x14ac:dyDescent="0.3">
      <c r="B146" s="38">
        <v>43609</v>
      </c>
      <c r="C146" s="3">
        <v>8052789</v>
      </c>
      <c r="D146" s="3">
        <v>6039592</v>
      </c>
      <c r="E146" s="3">
        <v>2460574</v>
      </c>
      <c r="F146" s="3">
        <v>5815903</v>
      </c>
      <c r="G146" s="3">
        <f t="shared" si="10"/>
        <v>22368858</v>
      </c>
      <c r="H146" s="3">
        <f t="shared" si="11"/>
        <v>8.4210476712358276E-2</v>
      </c>
      <c r="I146" s="3">
        <f t="shared" si="12"/>
        <v>8.4210618908869356E-2</v>
      </c>
      <c r="J146" s="3">
        <f t="shared" si="13"/>
        <v>8.4210266574192477E-2</v>
      </c>
      <c r="K146" s="3">
        <f t="shared" si="14"/>
        <v>8.4210400726448004E-2</v>
      </c>
    </row>
    <row r="147" spans="2:11" x14ac:dyDescent="0.3">
      <c r="B147" s="38">
        <v>43610</v>
      </c>
      <c r="C147" s="3">
        <v>16968325</v>
      </c>
      <c r="D147" s="3">
        <v>12726244</v>
      </c>
      <c r="E147" s="3">
        <v>5184766</v>
      </c>
      <c r="F147" s="3">
        <v>12254901</v>
      </c>
      <c r="G147" s="3">
        <f t="shared" si="10"/>
        <v>47134236</v>
      </c>
      <c r="H147" s="3">
        <f t="shared" si="11"/>
        <v>4.9999969059999469E-2</v>
      </c>
      <c r="I147" s="3">
        <f t="shared" si="12"/>
        <v>5.0000033002668594E-2</v>
      </c>
      <c r="J147" s="3">
        <f t="shared" si="13"/>
        <v>5.000008100655505E-2</v>
      </c>
      <c r="K147" s="3">
        <f t="shared" si="14"/>
        <v>4.9999935739998898E-2</v>
      </c>
    </row>
    <row r="148" spans="2:11" x14ac:dyDescent="0.3">
      <c r="B148" s="38">
        <v>43611</v>
      </c>
      <c r="C148" s="3">
        <v>16968325</v>
      </c>
      <c r="D148" s="3">
        <v>12726244</v>
      </c>
      <c r="E148" s="3">
        <v>5184766</v>
      </c>
      <c r="F148" s="3">
        <v>12254901</v>
      </c>
      <c r="G148" s="3">
        <f t="shared" si="10"/>
        <v>47134236</v>
      </c>
      <c r="H148" s="3">
        <f t="shared" si="11"/>
        <v>0</v>
      </c>
      <c r="I148" s="3">
        <f t="shared" si="12"/>
        <v>0</v>
      </c>
      <c r="J148" s="3">
        <f t="shared" si="13"/>
        <v>0</v>
      </c>
      <c r="K148" s="3">
        <f t="shared" si="14"/>
        <v>0</v>
      </c>
    </row>
    <row r="149" spans="2:11" x14ac:dyDescent="0.3">
      <c r="B149" s="38">
        <v>43612</v>
      </c>
      <c r="C149" s="3">
        <v>7583695</v>
      </c>
      <c r="D149" s="3">
        <v>5687771</v>
      </c>
      <c r="E149" s="3">
        <v>2317240</v>
      </c>
      <c r="F149" s="3">
        <v>5477113</v>
      </c>
      <c r="G149" s="3">
        <f t="shared" si="10"/>
        <v>21065819</v>
      </c>
      <c r="H149" s="3">
        <f t="shared" si="11"/>
        <v>-5.8252364491358212E-2</v>
      </c>
      <c r="I149" s="3">
        <f t="shared" si="12"/>
        <v>-5.8252444867136717E-2</v>
      </c>
      <c r="J149" s="3">
        <f t="shared" si="13"/>
        <v>-5.8252261464194939E-2</v>
      </c>
      <c r="K149" s="3">
        <f t="shared" si="14"/>
        <v>-5.8252347055994573E-2</v>
      </c>
    </row>
    <row r="150" spans="2:11" x14ac:dyDescent="0.3">
      <c r="B150" s="38">
        <v>43613</v>
      </c>
      <c r="C150" s="3">
        <v>8130972</v>
      </c>
      <c r="D150" s="3">
        <v>6098229</v>
      </c>
      <c r="E150" s="3">
        <v>2484463</v>
      </c>
      <c r="F150" s="3">
        <v>5872368</v>
      </c>
      <c r="G150" s="3">
        <f t="shared" si="10"/>
        <v>22586032</v>
      </c>
      <c r="H150" s="3">
        <f t="shared" si="11"/>
        <v>9.708810202278987E-3</v>
      </c>
      <c r="I150" s="3">
        <f t="shared" si="12"/>
        <v>9.7087684068725179E-3</v>
      </c>
      <c r="J150" s="3">
        <f t="shared" si="13"/>
        <v>9.7087102440324893E-3</v>
      </c>
      <c r="K150" s="3">
        <f t="shared" si="14"/>
        <v>9.7087245093324288E-3</v>
      </c>
    </row>
    <row r="151" spans="2:11" x14ac:dyDescent="0.3">
      <c r="B151" s="38">
        <v>43614</v>
      </c>
      <c r="C151" s="3">
        <v>7427330</v>
      </c>
      <c r="D151" s="3">
        <v>5570497</v>
      </c>
      <c r="E151" s="3">
        <v>2269462</v>
      </c>
      <c r="F151" s="3">
        <v>5364183</v>
      </c>
      <c r="G151" s="3">
        <f t="shared" si="10"/>
        <v>20631472</v>
      </c>
      <c r="H151" s="3">
        <f t="shared" si="11"/>
        <v>-5.9405877901186663E-2</v>
      </c>
      <c r="I151" s="3">
        <f t="shared" si="12"/>
        <v>-5.9405962327588623E-2</v>
      </c>
      <c r="J151" s="3">
        <f t="shared" si="13"/>
        <v>-5.9405768245637015E-2</v>
      </c>
      <c r="K151" s="3">
        <f t="shared" si="14"/>
        <v>-5.9405857260765568E-2</v>
      </c>
    </row>
    <row r="152" spans="2:11" x14ac:dyDescent="0.3">
      <c r="B152" s="38">
        <v>43615</v>
      </c>
      <c r="C152" s="3">
        <v>7740060</v>
      </c>
      <c r="D152" s="3">
        <v>5805045</v>
      </c>
      <c r="E152" s="3">
        <v>2365018</v>
      </c>
      <c r="F152" s="3">
        <v>5590043</v>
      </c>
      <c r="G152" s="3">
        <f t="shared" si="10"/>
        <v>21500166</v>
      </c>
      <c r="H152" s="3">
        <f t="shared" si="11"/>
        <v>2.0618577092037588E-2</v>
      </c>
      <c r="I152" s="3">
        <f t="shared" si="12"/>
        <v>2.0618621952255112E-2</v>
      </c>
      <c r="J152" s="3">
        <f t="shared" si="13"/>
        <v>2.0618494415770485E-2</v>
      </c>
      <c r="K152" s="3">
        <f t="shared" si="14"/>
        <v>2.0618526585082324E-2</v>
      </c>
    </row>
    <row r="153" spans="2:11" x14ac:dyDescent="0.3">
      <c r="B153" s="38">
        <v>43616</v>
      </c>
      <c r="C153" s="3">
        <v>8052789</v>
      </c>
      <c r="D153" s="3">
        <v>6039592</v>
      </c>
      <c r="E153" s="3">
        <v>2460574</v>
      </c>
      <c r="F153" s="3">
        <v>5815903</v>
      </c>
      <c r="G153" s="3">
        <f t="shared" si="10"/>
        <v>22368858</v>
      </c>
      <c r="H153" s="3">
        <f t="shared" si="11"/>
        <v>0</v>
      </c>
      <c r="I153" s="3">
        <f t="shared" si="12"/>
        <v>0</v>
      </c>
      <c r="J153" s="3">
        <f t="shared" si="13"/>
        <v>0</v>
      </c>
      <c r="K153" s="3">
        <f t="shared" si="14"/>
        <v>0</v>
      </c>
    </row>
    <row r="154" spans="2:11" x14ac:dyDescent="0.3">
      <c r="B154" s="38">
        <v>43617</v>
      </c>
      <c r="C154" s="3">
        <v>16806722</v>
      </c>
      <c r="D154" s="3">
        <v>12605042</v>
      </c>
      <c r="E154" s="3">
        <v>5135387</v>
      </c>
      <c r="F154" s="3">
        <v>12138188</v>
      </c>
      <c r="G154" s="3">
        <f t="shared" si="10"/>
        <v>46685339</v>
      </c>
      <c r="H154" s="3">
        <f t="shared" si="11"/>
        <v>-9.523803911110849E-3</v>
      </c>
      <c r="I154" s="3">
        <f t="shared" si="12"/>
        <v>-9.5237840795760319E-3</v>
      </c>
      <c r="J154" s="3">
        <f t="shared" si="13"/>
        <v>-9.5238627934221137E-3</v>
      </c>
      <c r="K154" s="3">
        <f t="shared" si="14"/>
        <v>-9.5237815466644726E-3</v>
      </c>
    </row>
    <row r="155" spans="2:11" x14ac:dyDescent="0.3">
      <c r="B155" s="38">
        <v>43618</v>
      </c>
      <c r="C155" s="3">
        <v>15675500</v>
      </c>
      <c r="D155" s="3">
        <v>11756625</v>
      </c>
      <c r="E155" s="3">
        <v>4789736</v>
      </c>
      <c r="F155" s="3">
        <v>11321195</v>
      </c>
      <c r="G155" s="3">
        <f t="shared" si="10"/>
        <v>43543056</v>
      </c>
      <c r="H155" s="3">
        <f t="shared" si="11"/>
        <v>-7.6190490222222879E-2</v>
      </c>
      <c r="I155" s="3">
        <f t="shared" si="12"/>
        <v>-7.6190508369947965E-2</v>
      </c>
      <c r="J155" s="3">
        <f t="shared" si="13"/>
        <v>-7.6190516601906427E-2</v>
      </c>
      <c r="K155" s="3">
        <f t="shared" si="14"/>
        <v>-7.6190415573328577E-2</v>
      </c>
    </row>
    <row r="156" spans="2:11" x14ac:dyDescent="0.3">
      <c r="B156" s="38">
        <v>43619</v>
      </c>
      <c r="C156" s="3">
        <v>7740060</v>
      </c>
      <c r="D156" s="3">
        <v>5805045</v>
      </c>
      <c r="E156" s="3">
        <v>2365018</v>
      </c>
      <c r="F156" s="3">
        <v>5590043</v>
      </c>
      <c r="G156" s="3">
        <f t="shared" si="10"/>
        <v>21500166</v>
      </c>
      <c r="H156" s="3">
        <f t="shared" si="11"/>
        <v>2.0618577092037588E-2</v>
      </c>
      <c r="I156" s="3">
        <f t="shared" si="12"/>
        <v>2.0618621952255112E-2</v>
      </c>
      <c r="J156" s="3">
        <f t="shared" si="13"/>
        <v>2.0618494415770485E-2</v>
      </c>
      <c r="K156" s="3">
        <f t="shared" si="14"/>
        <v>2.0618526585082324E-2</v>
      </c>
    </row>
    <row r="157" spans="2:11" x14ac:dyDescent="0.3">
      <c r="B157" s="38">
        <v>43620</v>
      </c>
      <c r="C157" s="3">
        <v>8052789</v>
      </c>
      <c r="D157" s="3">
        <v>6039592</v>
      </c>
      <c r="E157" s="3">
        <v>2460574</v>
      </c>
      <c r="F157" s="3">
        <v>5815903</v>
      </c>
      <c r="G157" s="3">
        <f t="shared" si="10"/>
        <v>22368858</v>
      </c>
      <c r="H157" s="3">
        <f t="shared" si="11"/>
        <v>-9.6154555691496668E-3</v>
      </c>
      <c r="I157" s="3">
        <f t="shared" si="12"/>
        <v>-9.6154145736409707E-3</v>
      </c>
      <c r="J157" s="3">
        <f t="shared" si="13"/>
        <v>-9.6153575239397802E-3</v>
      </c>
      <c r="K157" s="3">
        <f t="shared" si="14"/>
        <v>-9.6153715162265035E-3</v>
      </c>
    </row>
    <row r="158" spans="2:11" x14ac:dyDescent="0.3">
      <c r="B158" s="38">
        <v>43621</v>
      </c>
      <c r="C158" s="3">
        <v>8052789</v>
      </c>
      <c r="D158" s="3">
        <v>6039592</v>
      </c>
      <c r="E158" s="3">
        <v>2460574</v>
      </c>
      <c r="F158" s="3">
        <v>5815903</v>
      </c>
      <c r="G158" s="3">
        <f t="shared" si="10"/>
        <v>22368858</v>
      </c>
      <c r="H158" s="3">
        <f t="shared" si="11"/>
        <v>8.4210476712358276E-2</v>
      </c>
      <c r="I158" s="3">
        <f t="shared" si="12"/>
        <v>8.4210618908869356E-2</v>
      </c>
      <c r="J158" s="3">
        <f t="shared" si="13"/>
        <v>8.4210266574192477E-2</v>
      </c>
      <c r="K158" s="3">
        <f t="shared" si="14"/>
        <v>8.4210400726448004E-2</v>
      </c>
    </row>
    <row r="159" spans="2:11" x14ac:dyDescent="0.3">
      <c r="B159" s="38">
        <v>43622</v>
      </c>
      <c r="C159" s="3">
        <v>8052789</v>
      </c>
      <c r="D159" s="3">
        <v>6039592</v>
      </c>
      <c r="E159" s="3">
        <v>2460574</v>
      </c>
      <c r="F159" s="3">
        <v>5815903</v>
      </c>
      <c r="G159" s="3">
        <f t="shared" si="10"/>
        <v>22368858</v>
      </c>
      <c r="H159" s="3">
        <f t="shared" si="11"/>
        <v>4.0403950356973979E-2</v>
      </c>
      <c r="I159" s="3">
        <f t="shared" si="12"/>
        <v>4.0403993422962269E-2</v>
      </c>
      <c r="J159" s="3">
        <f t="shared" si="13"/>
        <v>4.0403920815824661E-2</v>
      </c>
      <c r="K159" s="3">
        <f t="shared" si="14"/>
        <v>4.040398258117156E-2</v>
      </c>
    </row>
    <row r="160" spans="2:11" x14ac:dyDescent="0.3">
      <c r="B160" s="38">
        <v>43623</v>
      </c>
      <c r="C160" s="3">
        <v>7583695</v>
      </c>
      <c r="D160" s="3">
        <v>5687771</v>
      </c>
      <c r="E160" s="3">
        <v>2317240</v>
      </c>
      <c r="F160" s="3">
        <v>5477113</v>
      </c>
      <c r="G160" s="3">
        <f t="shared" si="10"/>
        <v>21065819</v>
      </c>
      <c r="H160" s="3">
        <f t="shared" si="11"/>
        <v>-5.8252364491358212E-2</v>
      </c>
      <c r="I160" s="3">
        <f t="shared" si="12"/>
        <v>-5.8252444867136717E-2</v>
      </c>
      <c r="J160" s="3">
        <f t="shared" si="13"/>
        <v>-5.8252261464194939E-2</v>
      </c>
      <c r="K160" s="3">
        <f t="shared" si="14"/>
        <v>-5.8252347055994573E-2</v>
      </c>
    </row>
    <row r="161" spans="2:11" x14ac:dyDescent="0.3">
      <c r="B161" s="38">
        <v>43624</v>
      </c>
      <c r="C161" s="3">
        <v>15352294</v>
      </c>
      <c r="D161" s="3">
        <v>11514221</v>
      </c>
      <c r="E161" s="3">
        <v>4690978</v>
      </c>
      <c r="F161" s="3">
        <v>11087768</v>
      </c>
      <c r="G161" s="3">
        <f t="shared" si="10"/>
        <v>42645261</v>
      </c>
      <c r="H161" s="3">
        <f t="shared" si="11"/>
        <v>-8.6538469548077257E-2</v>
      </c>
      <c r="I161" s="3">
        <f t="shared" si="12"/>
        <v>-8.6538466115384627E-2</v>
      </c>
      <c r="J161" s="3">
        <f t="shared" si="13"/>
        <v>-8.6538560774484963E-2</v>
      </c>
      <c r="K161" s="3">
        <f t="shared" si="14"/>
        <v>-8.65384520325439E-2</v>
      </c>
    </row>
    <row r="162" spans="2:11" x14ac:dyDescent="0.3">
      <c r="B162" s="38">
        <v>43625</v>
      </c>
      <c r="C162" s="3">
        <v>16160310</v>
      </c>
      <c r="D162" s="3">
        <v>12120232</v>
      </c>
      <c r="E162" s="3">
        <v>4937872</v>
      </c>
      <c r="F162" s="3">
        <v>11671335</v>
      </c>
      <c r="G162" s="3">
        <f t="shared" si="10"/>
        <v>44889749</v>
      </c>
      <c r="H162" s="3">
        <f t="shared" si="11"/>
        <v>3.0927881088322541E-2</v>
      </c>
      <c r="I162" s="3">
        <f t="shared" si="12"/>
        <v>3.0927838559110288E-2</v>
      </c>
      <c r="J162" s="3">
        <f t="shared" si="13"/>
        <v>3.0927800613645511E-2</v>
      </c>
      <c r="K162" s="3">
        <f t="shared" si="14"/>
        <v>3.0927830498458864E-2</v>
      </c>
    </row>
    <row r="163" spans="2:11" x14ac:dyDescent="0.3">
      <c r="B163" s="38">
        <v>43626</v>
      </c>
      <c r="C163" s="3">
        <v>7896424</v>
      </c>
      <c r="D163" s="3">
        <v>5922318</v>
      </c>
      <c r="E163" s="3">
        <v>2412796</v>
      </c>
      <c r="F163" s="3">
        <v>5702973</v>
      </c>
      <c r="G163" s="3">
        <f t="shared" si="10"/>
        <v>21934511</v>
      </c>
      <c r="H163" s="3">
        <f t="shared" si="11"/>
        <v>2.0201910579504552E-2</v>
      </c>
      <c r="I163" s="3">
        <f t="shared" si="12"/>
        <v>2.0201910579504552E-2</v>
      </c>
      <c r="J163" s="3">
        <f t="shared" si="13"/>
        <v>2.020196040791233E-2</v>
      </c>
      <c r="K163" s="3">
        <f t="shared" si="14"/>
        <v>2.020199129058578E-2</v>
      </c>
    </row>
    <row r="164" spans="2:11" x14ac:dyDescent="0.3">
      <c r="B164" s="38">
        <v>43627</v>
      </c>
      <c r="C164" s="3">
        <v>8052789</v>
      </c>
      <c r="D164" s="3">
        <v>6039592</v>
      </c>
      <c r="E164" s="3">
        <v>2460574</v>
      </c>
      <c r="F164" s="3">
        <v>5815903</v>
      </c>
      <c r="G164" s="3">
        <f t="shared" si="10"/>
        <v>22368858</v>
      </c>
      <c r="H164" s="3">
        <f t="shared" si="11"/>
        <v>0</v>
      </c>
      <c r="I164" s="3">
        <f t="shared" si="12"/>
        <v>0</v>
      </c>
      <c r="J164" s="3">
        <f t="shared" si="13"/>
        <v>0</v>
      </c>
      <c r="K164" s="3">
        <f t="shared" si="14"/>
        <v>0</v>
      </c>
    </row>
    <row r="165" spans="2:11" x14ac:dyDescent="0.3">
      <c r="B165" s="38">
        <v>43628</v>
      </c>
      <c r="C165" s="3">
        <v>7896424</v>
      </c>
      <c r="D165" s="3">
        <v>5922318</v>
      </c>
      <c r="E165" s="3">
        <v>2412796</v>
      </c>
      <c r="F165" s="3">
        <v>5702973</v>
      </c>
      <c r="G165" s="3">
        <f t="shared" si="10"/>
        <v>21934511</v>
      </c>
      <c r="H165" s="3">
        <f t="shared" si="11"/>
        <v>-1.9417496223979046E-2</v>
      </c>
      <c r="I165" s="3">
        <f t="shared" si="12"/>
        <v>-1.9417536813745036E-2</v>
      </c>
      <c r="J165" s="3">
        <f t="shared" si="13"/>
        <v>-1.9417420488064979E-2</v>
      </c>
      <c r="K165" s="3">
        <f t="shared" si="14"/>
        <v>-1.9417449018664858E-2</v>
      </c>
    </row>
    <row r="166" spans="2:11" x14ac:dyDescent="0.3">
      <c r="B166" s="38">
        <v>43629</v>
      </c>
      <c r="C166" s="3">
        <v>7818242</v>
      </c>
      <c r="D166" s="3">
        <v>5863681</v>
      </c>
      <c r="E166" s="3">
        <v>2388907</v>
      </c>
      <c r="F166" s="3">
        <v>5646508</v>
      </c>
      <c r="G166" s="3">
        <f t="shared" si="10"/>
        <v>21717338</v>
      </c>
      <c r="H166" s="3">
        <f t="shared" si="11"/>
        <v>-2.9126182245679106E-2</v>
      </c>
      <c r="I166" s="3">
        <f t="shared" si="12"/>
        <v>-2.912630522061755E-2</v>
      </c>
      <c r="J166" s="3">
        <f t="shared" si="13"/>
        <v>-2.912613073209747E-2</v>
      </c>
      <c r="K166" s="3">
        <f t="shared" si="14"/>
        <v>-2.9126173527997287E-2</v>
      </c>
    </row>
    <row r="167" spans="2:11" x14ac:dyDescent="0.3">
      <c r="B167" s="38">
        <v>43630</v>
      </c>
      <c r="C167" s="3">
        <v>8052789</v>
      </c>
      <c r="D167" s="3">
        <v>6039592</v>
      </c>
      <c r="E167" s="3">
        <v>2460574</v>
      </c>
      <c r="F167" s="3">
        <v>5815903</v>
      </c>
      <c r="G167" s="3">
        <f t="shared" si="10"/>
        <v>22368858</v>
      </c>
      <c r="H167" s="3">
        <f t="shared" si="11"/>
        <v>6.1855599414269692E-2</v>
      </c>
      <c r="I167" s="3">
        <f t="shared" si="12"/>
        <v>6.1855690040966839E-2</v>
      </c>
      <c r="J167" s="3">
        <f t="shared" si="13"/>
        <v>6.1855483247311459E-2</v>
      </c>
      <c r="K167" s="3">
        <f t="shared" si="14"/>
        <v>6.185557975524697E-2</v>
      </c>
    </row>
    <row r="168" spans="2:11" x14ac:dyDescent="0.3">
      <c r="B168" s="38">
        <v>43631</v>
      </c>
      <c r="C168" s="3">
        <v>15998707</v>
      </c>
      <c r="D168" s="3">
        <v>11999030</v>
      </c>
      <c r="E168" s="3">
        <v>4888493</v>
      </c>
      <c r="F168" s="3">
        <v>11554621</v>
      </c>
      <c r="G168" s="3">
        <f t="shared" si="10"/>
        <v>44440851</v>
      </c>
      <c r="H168" s="3">
        <f t="shared" si="11"/>
        <v>4.2105303611303956E-2</v>
      </c>
      <c r="I168" s="3">
        <f t="shared" si="12"/>
        <v>4.210523664605708E-2</v>
      </c>
      <c r="J168" s="3">
        <f t="shared" si="13"/>
        <v>4.2105292329232838E-2</v>
      </c>
      <c r="K168" s="3">
        <f t="shared" si="14"/>
        <v>4.2105228031466747E-2</v>
      </c>
    </row>
    <row r="169" spans="2:11" x14ac:dyDescent="0.3">
      <c r="B169" s="38">
        <v>43632</v>
      </c>
      <c r="C169" s="3">
        <v>16483516</v>
      </c>
      <c r="D169" s="3">
        <v>12362637</v>
      </c>
      <c r="E169" s="3">
        <v>5036630</v>
      </c>
      <c r="F169" s="3">
        <v>11904761</v>
      </c>
      <c r="G169" s="3">
        <f t="shared" si="10"/>
        <v>45787544</v>
      </c>
      <c r="H169" s="3">
        <f t="shared" si="11"/>
        <v>1.9999987623999786E-2</v>
      </c>
      <c r="I169" s="3">
        <f t="shared" si="12"/>
        <v>2.0000029702401736E-2</v>
      </c>
      <c r="J169" s="3">
        <f t="shared" si="13"/>
        <v>2.0000113409177071E-2</v>
      </c>
      <c r="K169" s="3">
        <f t="shared" si="14"/>
        <v>1.9999940023998967E-2</v>
      </c>
    </row>
    <row r="170" spans="2:11" x14ac:dyDescent="0.3">
      <c r="B170" s="38">
        <v>43633</v>
      </c>
      <c r="C170" s="3">
        <v>8130972</v>
      </c>
      <c r="D170" s="3">
        <v>6098229</v>
      </c>
      <c r="E170" s="3">
        <v>2484463</v>
      </c>
      <c r="F170" s="3">
        <v>5872368</v>
      </c>
      <c r="G170" s="3">
        <f t="shared" si="10"/>
        <v>22586032</v>
      </c>
      <c r="H170" s="3">
        <f t="shared" si="11"/>
        <v>2.9703065590196271E-2</v>
      </c>
      <c r="I170" s="3">
        <f t="shared" si="12"/>
        <v>2.9703065590196271E-2</v>
      </c>
      <c r="J170" s="3">
        <f t="shared" si="13"/>
        <v>2.9702884122818508E-2</v>
      </c>
      <c r="K170" s="3">
        <f t="shared" si="14"/>
        <v>2.9702928630382784E-2</v>
      </c>
    </row>
    <row r="171" spans="2:11" x14ac:dyDescent="0.3">
      <c r="B171" s="38">
        <v>43634</v>
      </c>
      <c r="C171" s="3">
        <v>7583695</v>
      </c>
      <c r="D171" s="3">
        <v>5687771</v>
      </c>
      <c r="E171" s="3">
        <v>2317240</v>
      </c>
      <c r="F171" s="3">
        <v>5477113</v>
      </c>
      <c r="G171" s="3">
        <f t="shared" si="10"/>
        <v>21065819</v>
      </c>
      <c r="H171" s="3">
        <f t="shared" si="11"/>
        <v>-5.8252364491358212E-2</v>
      </c>
      <c r="I171" s="3">
        <f t="shared" si="12"/>
        <v>-5.8252444867136717E-2</v>
      </c>
      <c r="J171" s="3">
        <f t="shared" si="13"/>
        <v>-5.8252261464194939E-2</v>
      </c>
      <c r="K171" s="3">
        <f t="shared" si="14"/>
        <v>-5.8252347055994573E-2</v>
      </c>
    </row>
    <row r="172" spans="2:11" x14ac:dyDescent="0.3">
      <c r="B172" s="38">
        <v>43635</v>
      </c>
      <c r="C172" s="3">
        <v>7974607</v>
      </c>
      <c r="D172" s="3">
        <v>5980955</v>
      </c>
      <c r="E172" s="3">
        <v>2436685</v>
      </c>
      <c r="F172" s="3">
        <v>5759438</v>
      </c>
      <c r="G172" s="3">
        <f t="shared" si="10"/>
        <v>22151685</v>
      </c>
      <c r="H172" s="3">
        <f t="shared" si="11"/>
        <v>9.9010640765997363E-3</v>
      </c>
      <c r="I172" s="3">
        <f t="shared" si="12"/>
        <v>9.9010218633987564E-3</v>
      </c>
      <c r="J172" s="3">
        <f t="shared" si="13"/>
        <v>9.9009613742728347E-3</v>
      </c>
      <c r="K172" s="3">
        <f t="shared" si="14"/>
        <v>9.9009762101275947E-3</v>
      </c>
    </row>
    <row r="173" spans="2:11" x14ac:dyDescent="0.3">
      <c r="B173" s="38">
        <v>43636</v>
      </c>
      <c r="C173" s="3">
        <v>3674574</v>
      </c>
      <c r="D173" s="3">
        <v>2755930</v>
      </c>
      <c r="E173" s="3">
        <v>1122786</v>
      </c>
      <c r="F173" s="3">
        <v>2653859</v>
      </c>
      <c r="G173" s="3">
        <f t="shared" si="10"/>
        <v>10207149</v>
      </c>
      <c r="H173" s="3">
        <f t="shared" si="11"/>
        <v>-0.52999996674444205</v>
      </c>
      <c r="I173" s="3">
        <f t="shared" si="12"/>
        <v>-0.53000001193789359</v>
      </c>
      <c r="J173" s="3">
        <f t="shared" si="13"/>
        <v>-0.53000012139442854</v>
      </c>
      <c r="K173" s="3">
        <f t="shared" si="14"/>
        <v>-0.52999995749585405</v>
      </c>
    </row>
    <row r="174" spans="2:11" x14ac:dyDescent="0.3">
      <c r="B174" s="38">
        <v>43637</v>
      </c>
      <c r="C174" s="3">
        <v>7583695</v>
      </c>
      <c r="D174" s="3">
        <v>5687771</v>
      </c>
      <c r="E174" s="3">
        <v>2317240</v>
      </c>
      <c r="F174" s="3">
        <v>5477113</v>
      </c>
      <c r="G174" s="3">
        <f t="shared" si="10"/>
        <v>21065819</v>
      </c>
      <c r="H174" s="3">
        <f t="shared" si="11"/>
        <v>-5.8252364491358212E-2</v>
      </c>
      <c r="I174" s="3">
        <f t="shared" si="12"/>
        <v>-5.8252444867136717E-2</v>
      </c>
      <c r="J174" s="3">
        <f t="shared" si="13"/>
        <v>-5.8252261464194939E-2</v>
      </c>
      <c r="K174" s="3">
        <f t="shared" si="14"/>
        <v>-5.8252347055994573E-2</v>
      </c>
    </row>
    <row r="175" spans="2:11" x14ac:dyDescent="0.3">
      <c r="B175" s="38">
        <v>43638</v>
      </c>
      <c r="C175" s="3">
        <v>16160310</v>
      </c>
      <c r="D175" s="3">
        <v>12120232</v>
      </c>
      <c r="E175" s="3">
        <v>4937872</v>
      </c>
      <c r="F175" s="3">
        <v>11671335</v>
      </c>
      <c r="G175" s="3">
        <f t="shared" si="10"/>
        <v>44889749</v>
      </c>
      <c r="H175" s="3">
        <f t="shared" si="11"/>
        <v>1.0101003787368567E-2</v>
      </c>
      <c r="I175" s="3">
        <f t="shared" si="12"/>
        <v>1.010098316280566E-2</v>
      </c>
      <c r="J175" s="3">
        <f t="shared" si="13"/>
        <v>1.0101067956934785E-2</v>
      </c>
      <c r="K175" s="3">
        <f t="shared" si="14"/>
        <v>1.0101066923787462E-2</v>
      </c>
    </row>
    <row r="176" spans="2:11" x14ac:dyDescent="0.3">
      <c r="B176" s="38">
        <v>43639</v>
      </c>
      <c r="C176" s="3">
        <v>15675500</v>
      </c>
      <c r="D176" s="3">
        <v>11756625</v>
      </c>
      <c r="E176" s="3">
        <v>4789736</v>
      </c>
      <c r="F176" s="3">
        <v>11321195</v>
      </c>
      <c r="G176" s="3">
        <f t="shared" si="10"/>
        <v>43543056</v>
      </c>
      <c r="H176" s="3">
        <f t="shared" si="11"/>
        <v>-4.9019638771242741E-2</v>
      </c>
      <c r="I176" s="3">
        <f t="shared" si="12"/>
        <v>-4.9019638771242741E-2</v>
      </c>
      <c r="J176" s="3">
        <f t="shared" si="13"/>
        <v>-4.9019681811052235E-2</v>
      </c>
      <c r="K176" s="3">
        <f t="shared" si="14"/>
        <v>-4.9019547725485627E-2</v>
      </c>
    </row>
    <row r="177" spans="2:11" x14ac:dyDescent="0.3">
      <c r="B177" s="38">
        <v>43640</v>
      </c>
      <c r="C177" s="3">
        <v>7661877</v>
      </c>
      <c r="D177" s="3">
        <v>5746408</v>
      </c>
      <c r="E177" s="3">
        <v>2341129</v>
      </c>
      <c r="F177" s="3">
        <v>5533578</v>
      </c>
      <c r="G177" s="3">
        <f t="shared" si="10"/>
        <v>21282992</v>
      </c>
      <c r="H177" s="3">
        <f t="shared" si="11"/>
        <v>-5.7692364455319736E-2</v>
      </c>
      <c r="I177" s="3">
        <f t="shared" si="12"/>
        <v>-5.769232345981104E-2</v>
      </c>
      <c r="J177" s="3">
        <f t="shared" si="13"/>
        <v>-5.7692145143638685E-2</v>
      </c>
      <c r="K177" s="3">
        <f t="shared" si="14"/>
        <v>-5.7692229097359021E-2</v>
      </c>
    </row>
    <row r="178" spans="2:11" x14ac:dyDescent="0.3">
      <c r="B178" s="38">
        <v>43641</v>
      </c>
      <c r="C178" s="3">
        <v>8130972</v>
      </c>
      <c r="D178" s="3">
        <v>6098229</v>
      </c>
      <c r="E178" s="3">
        <v>2484463</v>
      </c>
      <c r="F178" s="3">
        <v>5872368</v>
      </c>
      <c r="G178" s="3">
        <f t="shared" si="10"/>
        <v>22586032</v>
      </c>
      <c r="H178" s="3">
        <f t="shared" si="11"/>
        <v>7.2164953891210026E-2</v>
      </c>
      <c r="I178" s="3">
        <f t="shared" si="12"/>
        <v>7.2165001017094388E-2</v>
      </c>
      <c r="J178" s="3">
        <f t="shared" si="13"/>
        <v>7.2164730455196696E-2</v>
      </c>
      <c r="K178" s="3">
        <f t="shared" si="14"/>
        <v>7.2164843047788127E-2</v>
      </c>
    </row>
    <row r="179" spans="2:11" x14ac:dyDescent="0.3">
      <c r="B179" s="38">
        <v>43642</v>
      </c>
      <c r="C179" s="3">
        <v>8052789</v>
      </c>
      <c r="D179" s="3">
        <v>6039592</v>
      </c>
      <c r="E179" s="3">
        <v>2460574</v>
      </c>
      <c r="F179" s="3">
        <v>5815903</v>
      </c>
      <c r="G179" s="3">
        <f t="shared" si="10"/>
        <v>22368858</v>
      </c>
      <c r="H179" s="3">
        <f t="shared" si="11"/>
        <v>9.803868704752472E-3</v>
      </c>
      <c r="I179" s="3">
        <f t="shared" si="12"/>
        <v>9.8039527132372673E-3</v>
      </c>
      <c r="J179" s="3">
        <f t="shared" si="13"/>
        <v>9.8038934043587905E-3</v>
      </c>
      <c r="K179" s="3">
        <f t="shared" si="14"/>
        <v>9.8039079507410264E-3</v>
      </c>
    </row>
    <row r="180" spans="2:11" x14ac:dyDescent="0.3">
      <c r="B180" s="38">
        <v>43643</v>
      </c>
      <c r="C180" s="3">
        <v>8052789</v>
      </c>
      <c r="D180" s="3">
        <v>6039592</v>
      </c>
      <c r="E180" s="3">
        <v>2460574</v>
      </c>
      <c r="F180" s="3">
        <v>5815903</v>
      </c>
      <c r="G180" s="3">
        <f t="shared" si="10"/>
        <v>22368858</v>
      </c>
      <c r="H180" s="3">
        <f t="shared" si="11"/>
        <v>1.1914891358835065</v>
      </c>
      <c r="I180" s="3">
        <f t="shared" si="12"/>
        <v>1.1914896241921964</v>
      </c>
      <c r="J180" s="3">
        <f t="shared" si="13"/>
        <v>1.1914897406985836</v>
      </c>
      <c r="K180" s="3">
        <f t="shared" si="14"/>
        <v>1.1914890730818781</v>
      </c>
    </row>
    <row r="181" spans="2:11" x14ac:dyDescent="0.3">
      <c r="B181" s="38">
        <v>43644</v>
      </c>
      <c r="C181" s="3">
        <v>7661877</v>
      </c>
      <c r="D181" s="3">
        <v>5746408</v>
      </c>
      <c r="E181" s="3">
        <v>2341129</v>
      </c>
      <c r="F181" s="3">
        <v>5533578</v>
      </c>
      <c r="G181" s="3">
        <f t="shared" si="10"/>
        <v>21282992</v>
      </c>
      <c r="H181" s="3">
        <f t="shared" si="11"/>
        <v>1.0309222615097258E-2</v>
      </c>
      <c r="I181" s="3">
        <f t="shared" si="12"/>
        <v>1.0309310976127556E-2</v>
      </c>
      <c r="J181" s="3">
        <f t="shared" si="13"/>
        <v>1.0309247207885243E-2</v>
      </c>
      <c r="K181" s="3">
        <f t="shared" si="14"/>
        <v>1.0309263292541162E-2</v>
      </c>
    </row>
    <row r="182" spans="2:11" x14ac:dyDescent="0.3">
      <c r="B182" s="38">
        <v>43645</v>
      </c>
      <c r="C182" s="3">
        <v>16806722</v>
      </c>
      <c r="D182" s="3">
        <v>12605042</v>
      </c>
      <c r="E182" s="3">
        <v>5135387</v>
      </c>
      <c r="F182" s="3">
        <v>12138188</v>
      </c>
      <c r="G182" s="3">
        <f t="shared" si="10"/>
        <v>46685339</v>
      </c>
      <c r="H182" s="3">
        <f t="shared" si="11"/>
        <v>3.9999975247999572E-2</v>
      </c>
      <c r="I182" s="3">
        <f t="shared" si="12"/>
        <v>4.0000059404803473E-2</v>
      </c>
      <c r="J182" s="3">
        <f t="shared" si="13"/>
        <v>4.0000024301966516E-2</v>
      </c>
      <c r="K182" s="3">
        <f t="shared" si="14"/>
        <v>3.9999965727999409E-2</v>
      </c>
    </row>
    <row r="183" spans="2:11" x14ac:dyDescent="0.3">
      <c r="B183" s="38">
        <v>43646</v>
      </c>
      <c r="C183" s="3">
        <v>15837104</v>
      </c>
      <c r="D183" s="3">
        <v>11877828</v>
      </c>
      <c r="E183" s="3">
        <v>4839115</v>
      </c>
      <c r="F183" s="3">
        <v>11437908</v>
      </c>
      <c r="G183" s="3">
        <f t="shared" si="10"/>
        <v>43991955</v>
      </c>
      <c r="H183" s="3">
        <f t="shared" si="11"/>
        <v>1.0309336225319767E-2</v>
      </c>
      <c r="I183" s="3">
        <f t="shared" si="12"/>
        <v>1.0309336225319767E-2</v>
      </c>
      <c r="J183" s="3">
        <f t="shared" si="13"/>
        <v>1.0309336464473198E-2</v>
      </c>
      <c r="K183" s="3">
        <f t="shared" si="14"/>
        <v>1.0309247389520276E-2</v>
      </c>
    </row>
    <row r="184" spans="2:11" x14ac:dyDescent="0.3">
      <c r="B184" s="38">
        <v>43647</v>
      </c>
      <c r="C184" s="3">
        <v>7740060</v>
      </c>
      <c r="D184" s="3">
        <v>5805045</v>
      </c>
      <c r="E184" s="3">
        <v>2365018</v>
      </c>
      <c r="F184" s="3">
        <v>5590043</v>
      </c>
      <c r="G184" s="3">
        <f t="shared" si="10"/>
        <v>21500166</v>
      </c>
      <c r="H184" s="3">
        <f t="shared" si="11"/>
        <v>1.0204157545207265E-2</v>
      </c>
      <c r="I184" s="3">
        <f t="shared" si="12"/>
        <v>1.0204113595832388E-2</v>
      </c>
      <c r="J184" s="3">
        <f t="shared" si="13"/>
        <v>1.0204051122343108E-2</v>
      </c>
      <c r="K184" s="3">
        <f t="shared" si="14"/>
        <v>1.0204066880416252E-2</v>
      </c>
    </row>
    <row r="185" spans="2:11" x14ac:dyDescent="0.3">
      <c r="B185" s="38">
        <v>43648</v>
      </c>
      <c r="C185" s="3">
        <v>7896424</v>
      </c>
      <c r="D185" s="3">
        <v>5922318</v>
      </c>
      <c r="E185" s="3">
        <v>2412796</v>
      </c>
      <c r="F185" s="3">
        <v>5702973</v>
      </c>
      <c r="G185" s="3">
        <f t="shared" si="10"/>
        <v>21934511</v>
      </c>
      <c r="H185" s="3">
        <f t="shared" si="11"/>
        <v>-2.8846243720922912E-2</v>
      </c>
      <c r="I185" s="3">
        <f t="shared" si="12"/>
        <v>-2.8846243720922912E-2</v>
      </c>
      <c r="J185" s="3">
        <f t="shared" si="13"/>
        <v>-2.8846072571819342E-2</v>
      </c>
      <c r="K185" s="3">
        <f t="shared" si="14"/>
        <v>-2.8846114548679511E-2</v>
      </c>
    </row>
    <row r="186" spans="2:11" x14ac:dyDescent="0.3">
      <c r="B186" s="38">
        <v>43649</v>
      </c>
      <c r="C186" s="3">
        <v>7974607</v>
      </c>
      <c r="D186" s="3">
        <v>5980955</v>
      </c>
      <c r="E186" s="3">
        <v>2436685</v>
      </c>
      <c r="F186" s="3">
        <v>5759438</v>
      </c>
      <c r="G186" s="3">
        <f t="shared" si="10"/>
        <v>22151685</v>
      </c>
      <c r="H186" s="3">
        <f t="shared" si="11"/>
        <v>-9.7086860217000595E-3</v>
      </c>
      <c r="I186" s="3">
        <f t="shared" si="12"/>
        <v>-9.7087684068725179E-3</v>
      </c>
      <c r="J186" s="3">
        <f t="shared" si="13"/>
        <v>-9.7087102440324893E-3</v>
      </c>
      <c r="K186" s="3">
        <f t="shared" si="14"/>
        <v>-9.7087245093324288E-3</v>
      </c>
    </row>
    <row r="187" spans="2:11" x14ac:dyDescent="0.3">
      <c r="B187" s="38">
        <v>43650</v>
      </c>
      <c r="C187" s="3">
        <v>8052789</v>
      </c>
      <c r="D187" s="3">
        <v>6039592</v>
      </c>
      <c r="E187" s="3">
        <v>2460574</v>
      </c>
      <c r="F187" s="3">
        <v>5815903</v>
      </c>
      <c r="G187" s="3">
        <f t="shared" si="10"/>
        <v>22368858</v>
      </c>
      <c r="H187" s="3">
        <f t="shared" si="11"/>
        <v>0</v>
      </c>
      <c r="I187" s="3">
        <f t="shared" si="12"/>
        <v>0</v>
      </c>
      <c r="J187" s="3">
        <f t="shared" si="13"/>
        <v>0</v>
      </c>
      <c r="K187" s="3">
        <f t="shared" si="14"/>
        <v>0</v>
      </c>
    </row>
    <row r="188" spans="2:11" x14ac:dyDescent="0.3">
      <c r="B188" s="38">
        <v>43651</v>
      </c>
      <c r="C188" s="3">
        <v>7427330</v>
      </c>
      <c r="D188" s="3">
        <v>5570497</v>
      </c>
      <c r="E188" s="3">
        <v>2269462</v>
      </c>
      <c r="F188" s="3">
        <v>5364183</v>
      </c>
      <c r="G188" s="3">
        <f t="shared" si="10"/>
        <v>20631472</v>
      </c>
      <c r="H188" s="3">
        <f t="shared" si="11"/>
        <v>-3.0612211602979271E-2</v>
      </c>
      <c r="I188" s="3">
        <f t="shared" si="12"/>
        <v>-3.0612340787497163E-2</v>
      </c>
      <c r="J188" s="3">
        <f t="shared" si="13"/>
        <v>-3.0612153367029327E-2</v>
      </c>
      <c r="K188" s="3">
        <f t="shared" si="14"/>
        <v>-3.0612200641248755E-2</v>
      </c>
    </row>
    <row r="189" spans="2:11" x14ac:dyDescent="0.3">
      <c r="B189" s="38">
        <v>43652</v>
      </c>
      <c r="C189" s="3">
        <v>16160310</v>
      </c>
      <c r="D189" s="3">
        <v>12120232</v>
      </c>
      <c r="E189" s="3">
        <v>4937872</v>
      </c>
      <c r="F189" s="3">
        <v>11671335</v>
      </c>
      <c r="G189" s="3">
        <f t="shared" si="10"/>
        <v>44889749</v>
      </c>
      <c r="H189" s="3">
        <f t="shared" si="11"/>
        <v>-3.8461515576922137E-2</v>
      </c>
      <c r="I189" s="3">
        <f t="shared" si="12"/>
        <v>-3.846159338461546E-2</v>
      </c>
      <c r="J189" s="3">
        <f t="shared" si="13"/>
        <v>-3.8461560930072067E-2</v>
      </c>
      <c r="K189" s="3">
        <f t="shared" si="14"/>
        <v>-3.8461506775146342E-2</v>
      </c>
    </row>
    <row r="190" spans="2:11" x14ac:dyDescent="0.3">
      <c r="B190" s="38">
        <v>43653</v>
      </c>
      <c r="C190" s="3">
        <v>15675500</v>
      </c>
      <c r="D190" s="3">
        <v>11756625</v>
      </c>
      <c r="E190" s="3">
        <v>4789736</v>
      </c>
      <c r="F190" s="3">
        <v>11321195</v>
      </c>
      <c r="G190" s="3">
        <f t="shared" si="10"/>
        <v>43543056</v>
      </c>
      <c r="H190" s="3">
        <f t="shared" si="11"/>
        <v>-1.0204138332361775E-2</v>
      </c>
      <c r="I190" s="3">
        <f t="shared" si="12"/>
        <v>-1.0204138332361775E-2</v>
      </c>
      <c r="J190" s="3">
        <f t="shared" si="13"/>
        <v>-1.02041385666594E-2</v>
      </c>
      <c r="K190" s="3">
        <f t="shared" si="14"/>
        <v>-1.0204051300290227E-2</v>
      </c>
    </row>
    <row r="191" spans="2:11" x14ac:dyDescent="0.3">
      <c r="B191" s="38">
        <v>43654</v>
      </c>
      <c r="C191" s="3">
        <v>7661877</v>
      </c>
      <c r="D191" s="3">
        <v>5746408</v>
      </c>
      <c r="E191" s="3">
        <v>2341129</v>
      </c>
      <c r="F191" s="3">
        <v>5533578</v>
      </c>
      <c r="G191" s="3">
        <f t="shared" si="10"/>
        <v>21282992</v>
      </c>
      <c r="H191" s="3">
        <f t="shared" si="11"/>
        <v>-1.0101084487717149E-2</v>
      </c>
      <c r="I191" s="3">
        <f t="shared" si="12"/>
        <v>-1.0101041421728858E-2</v>
      </c>
      <c r="J191" s="3">
        <f t="shared" si="13"/>
        <v>-1.0100980203956165E-2</v>
      </c>
      <c r="K191" s="3">
        <f t="shared" si="14"/>
        <v>-1.010099564529289E-2</v>
      </c>
    </row>
    <row r="192" spans="2:11" x14ac:dyDescent="0.3">
      <c r="B192" s="38">
        <v>43655</v>
      </c>
      <c r="C192" s="3">
        <v>8209154</v>
      </c>
      <c r="D192" s="3">
        <v>6156866</v>
      </c>
      <c r="E192" s="3">
        <v>2508352</v>
      </c>
      <c r="F192" s="3">
        <v>5928833</v>
      </c>
      <c r="G192" s="3">
        <f t="shared" si="10"/>
        <v>22803205</v>
      </c>
      <c r="H192" s="3">
        <f t="shared" si="11"/>
        <v>3.9604003027193066E-2</v>
      </c>
      <c r="I192" s="3">
        <f t="shared" si="12"/>
        <v>3.9604087453595026E-2</v>
      </c>
      <c r="J192" s="3">
        <f t="shared" si="13"/>
        <v>3.9603845497091339E-2</v>
      </c>
      <c r="K192" s="3">
        <f t="shared" si="14"/>
        <v>3.9603904840510379E-2</v>
      </c>
    </row>
    <row r="193" spans="2:11" x14ac:dyDescent="0.3">
      <c r="B193" s="38">
        <v>43656</v>
      </c>
      <c r="C193" s="3">
        <v>8209154</v>
      </c>
      <c r="D193" s="3">
        <v>6156866</v>
      </c>
      <c r="E193" s="3">
        <v>2508352</v>
      </c>
      <c r="F193" s="3">
        <v>5928833</v>
      </c>
      <c r="G193" s="3">
        <f t="shared" si="10"/>
        <v>22803205</v>
      </c>
      <c r="H193" s="3">
        <f t="shared" si="11"/>
        <v>2.9411731512286435E-2</v>
      </c>
      <c r="I193" s="3">
        <f t="shared" si="12"/>
        <v>2.94118581397118E-2</v>
      </c>
      <c r="J193" s="3">
        <f t="shared" si="13"/>
        <v>2.9411680213076372E-2</v>
      </c>
      <c r="K193" s="3">
        <f t="shared" si="14"/>
        <v>2.9411723852223081E-2</v>
      </c>
    </row>
    <row r="194" spans="2:11" x14ac:dyDescent="0.3">
      <c r="B194" s="38">
        <v>43657</v>
      </c>
      <c r="C194" s="3">
        <v>7740060</v>
      </c>
      <c r="D194" s="3">
        <v>5805045</v>
      </c>
      <c r="E194" s="3">
        <v>2365018</v>
      </c>
      <c r="F194" s="3">
        <v>5590043</v>
      </c>
      <c r="G194" s="3">
        <f t="shared" si="10"/>
        <v>21500166</v>
      </c>
      <c r="H194" s="3">
        <f t="shared" si="11"/>
        <v>-3.8834868267379162E-2</v>
      </c>
      <c r="I194" s="3">
        <f t="shared" si="12"/>
        <v>-3.8834908053391688E-2</v>
      </c>
      <c r="J194" s="3">
        <f t="shared" si="13"/>
        <v>-3.8834840976129957E-2</v>
      </c>
      <c r="K194" s="3">
        <f t="shared" si="14"/>
        <v>-3.8834898037329715E-2</v>
      </c>
    </row>
    <row r="195" spans="2:11" x14ac:dyDescent="0.3">
      <c r="B195" s="38">
        <v>43658</v>
      </c>
      <c r="C195" s="3">
        <v>7505512</v>
      </c>
      <c r="D195" s="3">
        <v>5629134</v>
      </c>
      <c r="E195" s="3">
        <v>2293351</v>
      </c>
      <c r="F195" s="3">
        <v>5420648</v>
      </c>
      <c r="G195" s="3">
        <f t="shared" si="10"/>
        <v>20848645</v>
      </c>
      <c r="H195" s="3">
        <f t="shared" si="11"/>
        <v>1.052625909983803E-2</v>
      </c>
      <c r="I195" s="3">
        <f t="shared" si="12"/>
        <v>1.0526349803258129E-2</v>
      </c>
      <c r="J195" s="3">
        <f t="shared" si="13"/>
        <v>1.052628332177406E-2</v>
      </c>
      <c r="K195" s="3">
        <f t="shared" si="14"/>
        <v>1.0526300090806E-2</v>
      </c>
    </row>
    <row r="196" spans="2:11" x14ac:dyDescent="0.3">
      <c r="B196" s="38">
        <v>43659</v>
      </c>
      <c r="C196" s="3">
        <v>16160310</v>
      </c>
      <c r="D196" s="3">
        <v>12120232</v>
      </c>
      <c r="E196" s="3">
        <v>4937872</v>
      </c>
      <c r="F196" s="3">
        <v>11671335</v>
      </c>
      <c r="G196" s="3">
        <f t="shared" ref="G196:G259" si="15">SUM(C196:F196)</f>
        <v>44889749</v>
      </c>
      <c r="H196" s="3">
        <f t="shared" si="11"/>
        <v>0</v>
      </c>
      <c r="I196" s="3">
        <f t="shared" si="12"/>
        <v>0</v>
      </c>
      <c r="J196" s="3">
        <f t="shared" si="13"/>
        <v>0</v>
      </c>
      <c r="K196" s="3">
        <f t="shared" si="14"/>
        <v>0</v>
      </c>
    </row>
    <row r="197" spans="2:11" x14ac:dyDescent="0.3">
      <c r="B197" s="38">
        <v>43660</v>
      </c>
      <c r="C197" s="3">
        <v>15513897</v>
      </c>
      <c r="D197" s="3">
        <v>11635423</v>
      </c>
      <c r="E197" s="3">
        <v>4740357</v>
      </c>
      <c r="F197" s="3">
        <v>11204481</v>
      </c>
      <c r="G197" s="3">
        <f t="shared" si="15"/>
        <v>43094158</v>
      </c>
      <c r="H197" s="3">
        <f t="shared" si="11"/>
        <v>-1.0309272431501388E-2</v>
      </c>
      <c r="I197" s="3">
        <f t="shared" si="12"/>
        <v>-1.0309251166895262E-2</v>
      </c>
      <c r="J197" s="3">
        <f t="shared" si="13"/>
        <v>-1.0309336464473198E-2</v>
      </c>
      <c r="K197" s="3">
        <f t="shared" si="14"/>
        <v>-1.0309335719418312E-2</v>
      </c>
    </row>
    <row r="198" spans="2:11" x14ac:dyDescent="0.3">
      <c r="B198" s="38">
        <v>43661</v>
      </c>
      <c r="C198" s="3">
        <v>7740060</v>
      </c>
      <c r="D198" s="3">
        <v>5805045</v>
      </c>
      <c r="E198" s="3">
        <v>2365018</v>
      </c>
      <c r="F198" s="3">
        <v>5590043</v>
      </c>
      <c r="G198" s="3">
        <f t="shared" si="15"/>
        <v>21500166</v>
      </c>
      <c r="H198" s="3">
        <f t="shared" si="11"/>
        <v>1.0204157545207265E-2</v>
      </c>
      <c r="I198" s="3">
        <f t="shared" si="12"/>
        <v>1.0204113595832388E-2</v>
      </c>
      <c r="J198" s="3">
        <f t="shared" si="13"/>
        <v>1.0204051122343108E-2</v>
      </c>
      <c r="K198" s="3">
        <f t="shared" si="14"/>
        <v>1.0204066880416252E-2</v>
      </c>
    </row>
    <row r="199" spans="2:11" x14ac:dyDescent="0.3">
      <c r="B199" s="38">
        <v>43662</v>
      </c>
      <c r="C199" s="3">
        <v>7427330</v>
      </c>
      <c r="D199" s="3">
        <v>5570497</v>
      </c>
      <c r="E199" s="3">
        <v>2269462</v>
      </c>
      <c r="F199" s="3">
        <v>5364183</v>
      </c>
      <c r="G199" s="3">
        <f t="shared" si="15"/>
        <v>20631472</v>
      </c>
      <c r="H199" s="3">
        <f t="shared" si="11"/>
        <v>-9.5238072035193883E-2</v>
      </c>
      <c r="I199" s="3">
        <f t="shared" si="12"/>
        <v>-9.523822672119224E-2</v>
      </c>
      <c r="J199" s="3">
        <f t="shared" si="13"/>
        <v>-9.5237829459342227E-2</v>
      </c>
      <c r="K199" s="3">
        <f t="shared" si="14"/>
        <v>-9.523796672970887E-2</v>
      </c>
    </row>
    <row r="200" spans="2:11" x14ac:dyDescent="0.3">
      <c r="B200" s="38">
        <v>43663</v>
      </c>
      <c r="C200" s="3">
        <v>7740060</v>
      </c>
      <c r="D200" s="3">
        <v>5805045</v>
      </c>
      <c r="E200" s="3">
        <v>2365018</v>
      </c>
      <c r="F200" s="3">
        <v>5590043</v>
      </c>
      <c r="G200" s="3">
        <f t="shared" si="15"/>
        <v>21500166</v>
      </c>
      <c r="H200" s="3">
        <f t="shared" si="11"/>
        <v>-5.7142794495023484E-2</v>
      </c>
      <c r="I200" s="3">
        <f t="shared" si="12"/>
        <v>-5.7142871064596826E-2</v>
      </c>
      <c r="J200" s="3">
        <f t="shared" si="13"/>
        <v>-5.7142697675605335E-2</v>
      </c>
      <c r="K200" s="3">
        <f t="shared" si="14"/>
        <v>-5.7142780037825316E-2</v>
      </c>
    </row>
    <row r="201" spans="2:11" x14ac:dyDescent="0.3">
      <c r="B201" s="38">
        <v>43664</v>
      </c>
      <c r="C201" s="3">
        <v>7974607</v>
      </c>
      <c r="D201" s="3">
        <v>5980955</v>
      </c>
      <c r="E201" s="3">
        <v>2436685</v>
      </c>
      <c r="F201" s="3">
        <v>5759438</v>
      </c>
      <c r="G201" s="3">
        <f t="shared" si="15"/>
        <v>22151685</v>
      </c>
      <c r="H201" s="3">
        <f t="shared" si="11"/>
        <v>3.03029950672217E-2</v>
      </c>
      <c r="I201" s="3">
        <f t="shared" si="12"/>
        <v>3.030295200123341E-2</v>
      </c>
      <c r="J201" s="3">
        <f t="shared" si="13"/>
        <v>3.0302940611868494E-2</v>
      </c>
      <c r="K201" s="3">
        <f t="shared" si="14"/>
        <v>3.030298693587867E-2</v>
      </c>
    </row>
    <row r="202" spans="2:11" x14ac:dyDescent="0.3">
      <c r="B202" s="38">
        <v>43665</v>
      </c>
      <c r="C202" s="3">
        <v>8130972</v>
      </c>
      <c r="D202" s="3">
        <v>6098229</v>
      </c>
      <c r="E202" s="3">
        <v>2484463</v>
      </c>
      <c r="F202" s="3">
        <v>5872368</v>
      </c>
      <c r="G202" s="3">
        <f t="shared" si="15"/>
        <v>22586032</v>
      </c>
      <c r="H202" s="3">
        <f t="shared" si="11"/>
        <v>8.3333422156942796E-2</v>
      </c>
      <c r="I202" s="3">
        <f t="shared" si="12"/>
        <v>8.3333422156942796E-2</v>
      </c>
      <c r="J202" s="3">
        <f t="shared" si="13"/>
        <v>8.3333078974827668E-2</v>
      </c>
      <c r="K202" s="3">
        <f t="shared" si="14"/>
        <v>8.333321034680724E-2</v>
      </c>
    </row>
    <row r="203" spans="2:11" x14ac:dyDescent="0.3">
      <c r="B203" s="38">
        <v>43666</v>
      </c>
      <c r="C203" s="3">
        <v>15998707</v>
      </c>
      <c r="D203" s="3">
        <v>11999030</v>
      </c>
      <c r="E203" s="3">
        <v>4888493</v>
      </c>
      <c r="F203" s="3">
        <v>11554621</v>
      </c>
      <c r="G203" s="3">
        <f t="shared" si="15"/>
        <v>44440851</v>
      </c>
      <c r="H203" s="3">
        <f t="shared" ref="H203:H266" si="16">($C203-$C196)/$C196</f>
        <v>-9.9999938119998931E-3</v>
      </c>
      <c r="I203" s="3">
        <f t="shared" ref="I203:I266" si="17">($D203-$D196)/D196</f>
        <v>-9.9999735978651225E-3</v>
      </c>
      <c r="J203" s="3">
        <f t="shared" ref="J203:J266" si="18">(E203-E196)/E196</f>
        <v>-1.0000056704588535E-2</v>
      </c>
      <c r="K203" s="3">
        <f t="shared" ref="K203:K266" si="19">(F203-F196)/F196</f>
        <v>-1.0000055692000957E-2</v>
      </c>
    </row>
    <row r="204" spans="2:11" x14ac:dyDescent="0.3">
      <c r="B204" s="38">
        <v>43667</v>
      </c>
      <c r="C204" s="3">
        <v>15352294</v>
      </c>
      <c r="D204" s="3">
        <v>11514221</v>
      </c>
      <c r="E204" s="3">
        <v>4690978</v>
      </c>
      <c r="F204" s="3">
        <v>11087768</v>
      </c>
      <c r="G204" s="3">
        <f t="shared" si="15"/>
        <v>42645261</v>
      </c>
      <c r="H204" s="3">
        <f t="shared" si="16"/>
        <v>-1.0416660623697579E-2</v>
      </c>
      <c r="I204" s="3">
        <f t="shared" si="17"/>
        <v>-1.0416638913772194E-2</v>
      </c>
      <c r="J204" s="3">
        <f t="shared" si="18"/>
        <v>-1.0416725997641105E-2</v>
      </c>
      <c r="K204" s="3">
        <f t="shared" si="19"/>
        <v>-1.0416635986976995E-2</v>
      </c>
    </row>
    <row r="205" spans="2:11" x14ac:dyDescent="0.3">
      <c r="B205" s="38">
        <v>43668</v>
      </c>
      <c r="C205" s="3">
        <v>7740060</v>
      </c>
      <c r="D205" s="3">
        <v>5805045</v>
      </c>
      <c r="E205" s="3">
        <v>2365018</v>
      </c>
      <c r="F205" s="3">
        <v>5590043</v>
      </c>
      <c r="G205" s="3">
        <f t="shared" si="15"/>
        <v>21500166</v>
      </c>
      <c r="H205" s="3">
        <f t="shared" si="16"/>
        <v>0</v>
      </c>
      <c r="I205" s="3">
        <f t="shared" si="17"/>
        <v>0</v>
      </c>
      <c r="J205" s="3">
        <f t="shared" si="18"/>
        <v>0</v>
      </c>
      <c r="K205" s="3">
        <f t="shared" si="19"/>
        <v>0</v>
      </c>
    </row>
    <row r="206" spans="2:11" x14ac:dyDescent="0.3">
      <c r="B206" s="38">
        <v>43669</v>
      </c>
      <c r="C206" s="3">
        <v>7661877</v>
      </c>
      <c r="D206" s="3">
        <v>5746408</v>
      </c>
      <c r="E206" s="3">
        <v>2341129</v>
      </c>
      <c r="F206" s="3">
        <v>5533578</v>
      </c>
      <c r="G206" s="3">
        <f t="shared" si="15"/>
        <v>21282992</v>
      </c>
      <c r="H206" s="3">
        <f t="shared" si="16"/>
        <v>3.1578911937398771E-2</v>
      </c>
      <c r="I206" s="3">
        <f t="shared" si="17"/>
        <v>3.1579049409774386E-2</v>
      </c>
      <c r="J206" s="3">
        <f t="shared" si="18"/>
        <v>3.1578849965322175E-2</v>
      </c>
      <c r="K206" s="3">
        <f t="shared" si="19"/>
        <v>3.1578900272417998E-2</v>
      </c>
    </row>
    <row r="207" spans="2:11" x14ac:dyDescent="0.3">
      <c r="B207" s="38">
        <v>43670</v>
      </c>
      <c r="C207" s="3">
        <v>7896424</v>
      </c>
      <c r="D207" s="3">
        <v>5922318</v>
      </c>
      <c r="E207" s="3">
        <v>2412796</v>
      </c>
      <c r="F207" s="3">
        <v>5702973</v>
      </c>
      <c r="G207" s="3">
        <f t="shared" si="15"/>
        <v>21934511</v>
      </c>
      <c r="H207" s="3">
        <f t="shared" si="16"/>
        <v>2.0201910579504552E-2</v>
      </c>
      <c r="I207" s="3">
        <f t="shared" si="17"/>
        <v>2.0201910579504552E-2</v>
      </c>
      <c r="J207" s="3">
        <f t="shared" si="18"/>
        <v>2.020196040791233E-2</v>
      </c>
      <c r="K207" s="3">
        <f t="shared" si="19"/>
        <v>2.020199129058578E-2</v>
      </c>
    </row>
    <row r="208" spans="2:11" x14ac:dyDescent="0.3">
      <c r="B208" s="38">
        <v>43671</v>
      </c>
      <c r="C208" s="3">
        <v>7427330</v>
      </c>
      <c r="D208" s="3">
        <v>5570497</v>
      </c>
      <c r="E208" s="3">
        <v>2269462</v>
      </c>
      <c r="F208" s="3">
        <v>5364183</v>
      </c>
      <c r="G208" s="3">
        <f t="shared" si="15"/>
        <v>20631472</v>
      </c>
      <c r="H208" s="3">
        <f t="shared" si="16"/>
        <v>-6.8627457127354366E-2</v>
      </c>
      <c r="I208" s="3">
        <f t="shared" si="17"/>
        <v>-6.8627501795281862E-2</v>
      </c>
      <c r="J208" s="3">
        <f t="shared" si="18"/>
        <v>-6.8627253830511534E-2</v>
      </c>
      <c r="K208" s="3">
        <f t="shared" si="19"/>
        <v>-6.8627355655187183E-2</v>
      </c>
    </row>
    <row r="209" spans="2:11" x14ac:dyDescent="0.3">
      <c r="B209" s="38">
        <v>43672</v>
      </c>
      <c r="C209" s="3">
        <v>7583695</v>
      </c>
      <c r="D209" s="3">
        <v>5687771</v>
      </c>
      <c r="E209" s="3">
        <v>2317240</v>
      </c>
      <c r="F209" s="3">
        <v>5477113</v>
      </c>
      <c r="G209" s="3">
        <f t="shared" si="15"/>
        <v>21065819</v>
      </c>
      <c r="H209" s="3">
        <f t="shared" si="16"/>
        <v>-6.7307697037943315E-2</v>
      </c>
      <c r="I209" s="3">
        <f t="shared" si="17"/>
        <v>-6.7307738033452011E-2</v>
      </c>
      <c r="J209" s="3">
        <f t="shared" si="18"/>
        <v>-6.730750266757847E-2</v>
      </c>
      <c r="K209" s="3">
        <f t="shared" si="19"/>
        <v>-6.7307600613585525E-2</v>
      </c>
    </row>
    <row r="210" spans="2:11" x14ac:dyDescent="0.3">
      <c r="B210" s="38">
        <v>43673</v>
      </c>
      <c r="C210" s="3">
        <v>16160310</v>
      </c>
      <c r="D210" s="3">
        <v>12120232</v>
      </c>
      <c r="E210" s="3">
        <v>4937872</v>
      </c>
      <c r="F210" s="3">
        <v>11671335</v>
      </c>
      <c r="G210" s="3">
        <f t="shared" si="15"/>
        <v>44889749</v>
      </c>
      <c r="H210" s="3">
        <f t="shared" si="16"/>
        <v>1.0101003787368567E-2</v>
      </c>
      <c r="I210" s="3">
        <f t="shared" si="17"/>
        <v>1.010098316280566E-2</v>
      </c>
      <c r="J210" s="3">
        <f t="shared" si="18"/>
        <v>1.0101067956934785E-2</v>
      </c>
      <c r="K210" s="3">
        <f t="shared" si="19"/>
        <v>1.0101066923787462E-2</v>
      </c>
    </row>
    <row r="211" spans="2:11" x14ac:dyDescent="0.3">
      <c r="B211" s="38">
        <v>43674</v>
      </c>
      <c r="C211" s="3">
        <v>15675500</v>
      </c>
      <c r="D211" s="3">
        <v>11756625</v>
      </c>
      <c r="E211" s="3">
        <v>4789736</v>
      </c>
      <c r="F211" s="3">
        <v>11321195</v>
      </c>
      <c r="G211" s="3">
        <f t="shared" si="15"/>
        <v>43543056</v>
      </c>
      <c r="H211" s="3">
        <f t="shared" si="16"/>
        <v>2.1052619237229304E-2</v>
      </c>
      <c r="I211" s="3">
        <f t="shared" si="17"/>
        <v>2.1052574898466861E-2</v>
      </c>
      <c r="J211" s="3">
        <f t="shared" si="18"/>
        <v>2.1052752752197944E-2</v>
      </c>
      <c r="K211" s="3">
        <f t="shared" si="19"/>
        <v>2.1052659110472008E-2</v>
      </c>
    </row>
    <row r="212" spans="2:11" x14ac:dyDescent="0.3">
      <c r="B212" s="38">
        <v>43675</v>
      </c>
      <c r="C212" s="3">
        <v>7740060</v>
      </c>
      <c r="D212" s="3">
        <v>5805045</v>
      </c>
      <c r="E212" s="3">
        <v>2365018</v>
      </c>
      <c r="F212" s="3">
        <v>5590043</v>
      </c>
      <c r="G212" s="3">
        <f t="shared" si="15"/>
        <v>21500166</v>
      </c>
      <c r="H212" s="3">
        <f t="shared" si="16"/>
        <v>0</v>
      </c>
      <c r="I212" s="3">
        <f t="shared" si="17"/>
        <v>0</v>
      </c>
      <c r="J212" s="3">
        <f t="shared" si="18"/>
        <v>0</v>
      </c>
      <c r="K212" s="3">
        <f t="shared" si="19"/>
        <v>0</v>
      </c>
    </row>
    <row r="213" spans="2:11" x14ac:dyDescent="0.3">
      <c r="B213" s="38">
        <v>43676</v>
      </c>
      <c r="C213" s="3">
        <v>7505512</v>
      </c>
      <c r="D213" s="3">
        <v>5629134</v>
      </c>
      <c r="E213" s="3">
        <v>2293351</v>
      </c>
      <c r="F213" s="3">
        <v>5420648</v>
      </c>
      <c r="G213" s="3">
        <f t="shared" si="15"/>
        <v>20848645</v>
      </c>
      <c r="H213" s="3">
        <f t="shared" si="16"/>
        <v>-2.0408184574093269E-2</v>
      </c>
      <c r="I213" s="3">
        <f t="shared" si="17"/>
        <v>-2.0408227191664775E-2</v>
      </c>
      <c r="J213" s="3">
        <f t="shared" si="18"/>
        <v>-2.0408102244686217E-2</v>
      </c>
      <c r="K213" s="3">
        <f t="shared" si="19"/>
        <v>-2.0408133760832503E-2</v>
      </c>
    </row>
    <row r="214" spans="2:11" x14ac:dyDescent="0.3">
      <c r="B214" s="38">
        <v>43677</v>
      </c>
      <c r="C214" s="3">
        <v>8052789</v>
      </c>
      <c r="D214" s="3">
        <v>6039592</v>
      </c>
      <c r="E214" s="3">
        <v>2460574</v>
      </c>
      <c r="F214" s="3">
        <v>5815903</v>
      </c>
      <c r="G214" s="3">
        <f t="shared" si="15"/>
        <v>22368858</v>
      </c>
      <c r="H214" s="3">
        <f t="shared" si="16"/>
        <v>1.9802001513596533E-2</v>
      </c>
      <c r="I214" s="3">
        <f t="shared" si="17"/>
        <v>1.9802043726797513E-2</v>
      </c>
      <c r="J214" s="3">
        <f t="shared" si="18"/>
        <v>1.9801922748545669E-2</v>
      </c>
      <c r="K214" s="3">
        <f t="shared" si="19"/>
        <v>1.9801952420255189E-2</v>
      </c>
    </row>
    <row r="215" spans="2:11" x14ac:dyDescent="0.3">
      <c r="B215" s="38">
        <v>43678</v>
      </c>
      <c r="C215" s="3">
        <v>7974607</v>
      </c>
      <c r="D215" s="3">
        <v>5980955</v>
      </c>
      <c r="E215" s="3">
        <v>2436685</v>
      </c>
      <c r="F215" s="3">
        <v>5759438</v>
      </c>
      <c r="G215" s="3">
        <f t="shared" si="15"/>
        <v>22151685</v>
      </c>
      <c r="H215" s="3">
        <f t="shared" si="16"/>
        <v>7.3684217612520253E-2</v>
      </c>
      <c r="I215" s="3">
        <f t="shared" si="17"/>
        <v>7.3684269105611225E-2</v>
      </c>
      <c r="J215" s="3">
        <f t="shared" si="18"/>
        <v>7.3683983252418414E-2</v>
      </c>
      <c r="K215" s="3">
        <f t="shared" si="19"/>
        <v>7.3684100635642E-2</v>
      </c>
    </row>
    <row r="216" spans="2:11" x14ac:dyDescent="0.3">
      <c r="B216" s="38">
        <v>43679</v>
      </c>
      <c r="C216" s="3">
        <v>8209154</v>
      </c>
      <c r="D216" s="3">
        <v>6156866</v>
      </c>
      <c r="E216" s="3">
        <v>2508352</v>
      </c>
      <c r="F216" s="3">
        <v>5928833</v>
      </c>
      <c r="G216" s="3">
        <f t="shared" si="15"/>
        <v>22803205</v>
      </c>
      <c r="H216" s="3">
        <f t="shared" si="16"/>
        <v>8.2474176506307284E-2</v>
      </c>
      <c r="I216" s="3">
        <f t="shared" si="17"/>
        <v>8.2474311993221944E-2</v>
      </c>
      <c r="J216" s="3">
        <f t="shared" si="18"/>
        <v>8.247397766308194E-2</v>
      </c>
      <c r="K216" s="3">
        <f t="shared" si="19"/>
        <v>8.2474106340329298E-2</v>
      </c>
    </row>
    <row r="217" spans="2:11" x14ac:dyDescent="0.3">
      <c r="B217" s="38">
        <v>43680</v>
      </c>
      <c r="C217" s="3">
        <v>16321913</v>
      </c>
      <c r="D217" s="3">
        <v>12241435</v>
      </c>
      <c r="E217" s="3">
        <v>4987251</v>
      </c>
      <c r="F217" s="3">
        <v>11788048</v>
      </c>
      <c r="G217" s="3">
        <f t="shared" si="15"/>
        <v>45338647</v>
      </c>
      <c r="H217" s="3">
        <f t="shared" si="16"/>
        <v>9.9999938119998931E-3</v>
      </c>
      <c r="I217" s="3">
        <f t="shared" si="17"/>
        <v>1.0000056104536612E-2</v>
      </c>
      <c r="J217" s="3">
        <f t="shared" si="18"/>
        <v>1.0000056704588535E-2</v>
      </c>
      <c r="K217" s="3">
        <f t="shared" si="19"/>
        <v>9.9999700119994834E-3</v>
      </c>
    </row>
    <row r="218" spans="2:11" x14ac:dyDescent="0.3">
      <c r="B218" s="38">
        <v>43681</v>
      </c>
      <c r="C218" s="3">
        <v>15837104</v>
      </c>
      <c r="D218" s="3">
        <v>11877828</v>
      </c>
      <c r="E218" s="3">
        <v>4839115</v>
      </c>
      <c r="F218" s="3">
        <v>11437908</v>
      </c>
      <c r="G218" s="3">
        <f t="shared" si="15"/>
        <v>43991955</v>
      </c>
      <c r="H218" s="3">
        <f t="shared" si="16"/>
        <v>1.0309336225319767E-2</v>
      </c>
      <c r="I218" s="3">
        <f t="shared" si="17"/>
        <v>1.0309336225319767E-2</v>
      </c>
      <c r="J218" s="3">
        <f t="shared" si="18"/>
        <v>1.0309336464473198E-2</v>
      </c>
      <c r="K218" s="3">
        <f t="shared" si="19"/>
        <v>1.0309247389520276E-2</v>
      </c>
    </row>
    <row r="219" spans="2:11" x14ac:dyDescent="0.3">
      <c r="B219" s="38">
        <v>43682</v>
      </c>
      <c r="C219" s="3">
        <v>8052789</v>
      </c>
      <c r="D219" s="3">
        <v>6039592</v>
      </c>
      <c r="E219" s="3">
        <v>2460574</v>
      </c>
      <c r="F219" s="3">
        <v>5815903</v>
      </c>
      <c r="G219" s="3">
        <f t="shared" si="15"/>
        <v>22368858</v>
      </c>
      <c r="H219" s="3">
        <f t="shared" si="16"/>
        <v>4.0403950356973979E-2</v>
      </c>
      <c r="I219" s="3">
        <f t="shared" si="17"/>
        <v>4.0403993422962269E-2</v>
      </c>
      <c r="J219" s="3">
        <f t="shared" si="18"/>
        <v>4.0403920815824661E-2</v>
      </c>
      <c r="K219" s="3">
        <f t="shared" si="19"/>
        <v>4.040398258117156E-2</v>
      </c>
    </row>
    <row r="220" spans="2:11" x14ac:dyDescent="0.3">
      <c r="B220" s="38">
        <v>43683</v>
      </c>
      <c r="C220" s="3">
        <v>8130972</v>
      </c>
      <c r="D220" s="3">
        <v>6098229</v>
      </c>
      <c r="E220" s="3">
        <v>2484463</v>
      </c>
      <c r="F220" s="3">
        <v>5872368</v>
      </c>
      <c r="G220" s="3">
        <f t="shared" si="15"/>
        <v>22586032</v>
      </c>
      <c r="H220" s="3">
        <f t="shared" si="16"/>
        <v>8.3333422156942796E-2</v>
      </c>
      <c r="I220" s="3">
        <f t="shared" si="17"/>
        <v>8.3333422156942796E-2</v>
      </c>
      <c r="J220" s="3">
        <f t="shared" si="18"/>
        <v>8.3333078974827668E-2</v>
      </c>
      <c r="K220" s="3">
        <f t="shared" si="19"/>
        <v>8.333321034680724E-2</v>
      </c>
    </row>
    <row r="221" spans="2:11" x14ac:dyDescent="0.3">
      <c r="B221" s="38">
        <v>43684</v>
      </c>
      <c r="C221" s="3">
        <v>8130972</v>
      </c>
      <c r="D221" s="3">
        <v>6098229</v>
      </c>
      <c r="E221" s="3">
        <v>2484463</v>
      </c>
      <c r="F221" s="3">
        <v>5872368</v>
      </c>
      <c r="G221" s="3">
        <f t="shared" si="15"/>
        <v>22586032</v>
      </c>
      <c r="H221" s="3">
        <f t="shared" si="16"/>
        <v>9.708810202278987E-3</v>
      </c>
      <c r="I221" s="3">
        <f t="shared" si="17"/>
        <v>9.7087684068725179E-3</v>
      </c>
      <c r="J221" s="3">
        <f t="shared" si="18"/>
        <v>9.7087102440324893E-3</v>
      </c>
      <c r="K221" s="3">
        <f t="shared" si="19"/>
        <v>9.7087245093324288E-3</v>
      </c>
    </row>
    <row r="222" spans="2:11" x14ac:dyDescent="0.3">
      <c r="B222" s="38">
        <v>43685</v>
      </c>
      <c r="C222" s="3">
        <v>7505512</v>
      </c>
      <c r="D222" s="3">
        <v>5629134</v>
      </c>
      <c r="E222" s="3">
        <v>2293351</v>
      </c>
      <c r="F222" s="3">
        <v>5420648</v>
      </c>
      <c r="G222" s="3">
        <f t="shared" si="15"/>
        <v>20848645</v>
      </c>
      <c r="H222" s="3">
        <f t="shared" si="16"/>
        <v>-5.8823588422601894E-2</v>
      </c>
      <c r="I222" s="3">
        <f t="shared" si="17"/>
        <v>-5.8823549082044589E-2</v>
      </c>
      <c r="J222" s="3">
        <f t="shared" si="18"/>
        <v>-5.8823360426152743E-2</v>
      </c>
      <c r="K222" s="3">
        <f t="shared" si="19"/>
        <v>-5.8823447704446162E-2</v>
      </c>
    </row>
    <row r="223" spans="2:11" x14ac:dyDescent="0.3">
      <c r="B223" s="38">
        <v>43686</v>
      </c>
      <c r="C223" s="3">
        <v>8130972</v>
      </c>
      <c r="D223" s="3">
        <v>6098229</v>
      </c>
      <c r="E223" s="3">
        <v>2484463</v>
      </c>
      <c r="F223" s="3">
        <v>5872368</v>
      </c>
      <c r="G223" s="3">
        <f t="shared" si="15"/>
        <v>22586032</v>
      </c>
      <c r="H223" s="3">
        <f t="shared" si="16"/>
        <v>-9.5237584774265412E-3</v>
      </c>
      <c r="I223" s="3">
        <f t="shared" si="17"/>
        <v>-9.5238389141488536E-3</v>
      </c>
      <c r="J223" s="3">
        <f t="shared" si="18"/>
        <v>-9.523782945934223E-3</v>
      </c>
      <c r="K223" s="3">
        <f t="shared" si="19"/>
        <v>-9.5237966729708867E-3</v>
      </c>
    </row>
    <row r="224" spans="2:11" x14ac:dyDescent="0.3">
      <c r="B224" s="38">
        <v>43687</v>
      </c>
      <c r="C224" s="3">
        <v>16806722</v>
      </c>
      <c r="D224" s="3">
        <v>12605042</v>
      </c>
      <c r="E224" s="3">
        <v>5135387</v>
      </c>
      <c r="F224" s="3">
        <v>12138188</v>
      </c>
      <c r="G224" s="3">
        <f t="shared" si="15"/>
        <v>46685339</v>
      </c>
      <c r="H224" s="3">
        <f t="shared" si="16"/>
        <v>2.9702952098813417E-2</v>
      </c>
      <c r="I224" s="3">
        <f t="shared" si="17"/>
        <v>2.9702971914648896E-2</v>
      </c>
      <c r="J224" s="3">
        <f t="shared" si="18"/>
        <v>2.9702936547609093E-2</v>
      </c>
      <c r="K224" s="3">
        <f t="shared" si="19"/>
        <v>2.9702966937358924E-2</v>
      </c>
    </row>
    <row r="225" spans="2:11" x14ac:dyDescent="0.3">
      <c r="B225" s="38">
        <v>43688</v>
      </c>
      <c r="C225" s="3">
        <v>15837104</v>
      </c>
      <c r="D225" s="3">
        <v>11877828</v>
      </c>
      <c r="E225" s="3">
        <v>4839115</v>
      </c>
      <c r="F225" s="3">
        <v>11437908</v>
      </c>
      <c r="G225" s="3">
        <f t="shared" si="15"/>
        <v>43991955</v>
      </c>
      <c r="H225" s="3">
        <f t="shared" si="16"/>
        <v>0</v>
      </c>
      <c r="I225" s="3">
        <f t="shared" si="17"/>
        <v>0</v>
      </c>
      <c r="J225" s="3">
        <f t="shared" si="18"/>
        <v>0</v>
      </c>
      <c r="K225" s="3">
        <f t="shared" si="19"/>
        <v>0</v>
      </c>
    </row>
    <row r="226" spans="2:11" x14ac:dyDescent="0.3">
      <c r="B226" s="38">
        <v>43689</v>
      </c>
      <c r="C226" s="3">
        <v>7427330</v>
      </c>
      <c r="D226" s="3">
        <v>5570497</v>
      </c>
      <c r="E226" s="3">
        <v>2269462</v>
      </c>
      <c r="F226" s="3">
        <v>5364183</v>
      </c>
      <c r="G226" s="3">
        <f t="shared" si="15"/>
        <v>20631472</v>
      </c>
      <c r="H226" s="3">
        <f t="shared" si="16"/>
        <v>-7.7669860715337255E-2</v>
      </c>
      <c r="I226" s="3">
        <f t="shared" si="17"/>
        <v>-7.7669981680881753E-2</v>
      </c>
      <c r="J226" s="3">
        <f t="shared" si="18"/>
        <v>-7.7669681952259914E-2</v>
      </c>
      <c r="K226" s="3">
        <f t="shared" si="19"/>
        <v>-7.7669796074659431E-2</v>
      </c>
    </row>
    <row r="227" spans="2:11" x14ac:dyDescent="0.3">
      <c r="B227" s="38">
        <v>43690</v>
      </c>
      <c r="C227" s="3">
        <v>7505512</v>
      </c>
      <c r="D227" s="3">
        <v>5629134</v>
      </c>
      <c r="E227" s="3">
        <v>2293351</v>
      </c>
      <c r="F227" s="3">
        <v>5420648</v>
      </c>
      <c r="G227" s="3">
        <f t="shared" si="15"/>
        <v>20848645</v>
      </c>
      <c r="H227" s="3">
        <f t="shared" si="16"/>
        <v>-7.6923152607092982E-2</v>
      </c>
      <c r="I227" s="3">
        <f t="shared" si="17"/>
        <v>-7.6923152607092982E-2</v>
      </c>
      <c r="J227" s="3">
        <f t="shared" si="18"/>
        <v>-7.6922860191518241E-2</v>
      </c>
      <c r="K227" s="3">
        <f t="shared" si="19"/>
        <v>-7.6922972129812028E-2</v>
      </c>
    </row>
    <row r="228" spans="2:11" x14ac:dyDescent="0.3">
      <c r="B228" s="38">
        <v>43691</v>
      </c>
      <c r="C228" s="3">
        <v>8130972</v>
      </c>
      <c r="D228" s="3">
        <v>6098229</v>
      </c>
      <c r="E228" s="3">
        <v>2484463</v>
      </c>
      <c r="F228" s="3">
        <v>5872368</v>
      </c>
      <c r="G228" s="3">
        <f t="shared" si="15"/>
        <v>22586032</v>
      </c>
      <c r="H228" s="3">
        <f t="shared" si="16"/>
        <v>0</v>
      </c>
      <c r="I228" s="3">
        <f t="shared" si="17"/>
        <v>0</v>
      </c>
      <c r="J228" s="3">
        <f t="shared" si="18"/>
        <v>0</v>
      </c>
      <c r="K228" s="3">
        <f t="shared" si="19"/>
        <v>0</v>
      </c>
    </row>
    <row r="229" spans="2:11" x14ac:dyDescent="0.3">
      <c r="B229" s="38">
        <v>43692</v>
      </c>
      <c r="C229" s="3">
        <v>7896424</v>
      </c>
      <c r="D229" s="3">
        <v>5922318</v>
      </c>
      <c r="E229" s="3">
        <v>2412796</v>
      </c>
      <c r="F229" s="3">
        <v>5702973</v>
      </c>
      <c r="G229" s="3">
        <f t="shared" si="15"/>
        <v>21934511</v>
      </c>
      <c r="H229" s="3">
        <f t="shared" si="16"/>
        <v>5.2083322230382152E-2</v>
      </c>
      <c r="I229" s="3">
        <f t="shared" si="17"/>
        <v>5.2083322230382152E-2</v>
      </c>
      <c r="J229" s="3">
        <f t="shared" si="18"/>
        <v>5.2083174359267292E-2</v>
      </c>
      <c r="K229" s="3">
        <f t="shared" si="19"/>
        <v>5.2083256466754525E-2</v>
      </c>
    </row>
    <row r="230" spans="2:11" x14ac:dyDescent="0.3">
      <c r="B230" s="38">
        <v>43693</v>
      </c>
      <c r="C230" s="3">
        <v>7661877</v>
      </c>
      <c r="D230" s="3">
        <v>5746408</v>
      </c>
      <c r="E230" s="3">
        <v>2341129</v>
      </c>
      <c r="F230" s="3">
        <v>5533578</v>
      </c>
      <c r="G230" s="3">
        <f t="shared" si="15"/>
        <v>21282992</v>
      </c>
      <c r="H230" s="3">
        <f t="shared" si="16"/>
        <v>-5.7692364455319736E-2</v>
      </c>
      <c r="I230" s="3">
        <f t="shared" si="17"/>
        <v>-5.769232345981104E-2</v>
      </c>
      <c r="J230" s="3">
        <f t="shared" si="18"/>
        <v>-5.7692145143638685E-2</v>
      </c>
      <c r="K230" s="3">
        <f t="shared" si="19"/>
        <v>-5.7692229097359021E-2</v>
      </c>
    </row>
    <row r="231" spans="2:11" x14ac:dyDescent="0.3">
      <c r="B231" s="38">
        <v>43694</v>
      </c>
      <c r="C231" s="3">
        <v>16806722</v>
      </c>
      <c r="D231" s="3">
        <v>12605042</v>
      </c>
      <c r="E231" s="3">
        <v>5135387</v>
      </c>
      <c r="F231" s="3">
        <v>12138188</v>
      </c>
      <c r="G231" s="3">
        <f t="shared" si="15"/>
        <v>46685339</v>
      </c>
      <c r="H231" s="3">
        <f t="shared" si="16"/>
        <v>0</v>
      </c>
      <c r="I231" s="3">
        <f t="shared" si="17"/>
        <v>0</v>
      </c>
      <c r="J231" s="3">
        <f t="shared" si="18"/>
        <v>0</v>
      </c>
      <c r="K231" s="3">
        <f t="shared" si="19"/>
        <v>0</v>
      </c>
    </row>
    <row r="232" spans="2:11" x14ac:dyDescent="0.3">
      <c r="B232" s="38">
        <v>43695</v>
      </c>
      <c r="C232" s="3">
        <v>16321913</v>
      </c>
      <c r="D232" s="3">
        <v>12241435</v>
      </c>
      <c r="E232" s="3">
        <v>4987251</v>
      </c>
      <c r="F232" s="3">
        <v>11788048</v>
      </c>
      <c r="G232" s="3">
        <f t="shared" si="15"/>
        <v>45338647</v>
      </c>
      <c r="H232" s="3">
        <f t="shared" si="16"/>
        <v>3.0612225568513032E-2</v>
      </c>
      <c r="I232" s="3">
        <f t="shared" si="17"/>
        <v>3.0612246616132176E-2</v>
      </c>
      <c r="J232" s="3">
        <f t="shared" si="18"/>
        <v>3.0612209050621859E-2</v>
      </c>
      <c r="K232" s="3">
        <f t="shared" si="19"/>
        <v>3.061224132944591E-2</v>
      </c>
    </row>
    <row r="233" spans="2:11" x14ac:dyDescent="0.3">
      <c r="B233" s="38">
        <v>43696</v>
      </c>
      <c r="C233" s="3">
        <v>7583695</v>
      </c>
      <c r="D233" s="3">
        <v>5687771</v>
      </c>
      <c r="E233" s="3">
        <v>2317240</v>
      </c>
      <c r="F233" s="3">
        <v>5477113</v>
      </c>
      <c r="G233" s="3">
        <f t="shared" si="15"/>
        <v>21065819</v>
      </c>
      <c r="H233" s="3">
        <f t="shared" si="16"/>
        <v>2.1052652837560738E-2</v>
      </c>
      <c r="I233" s="3">
        <f t="shared" si="17"/>
        <v>2.1052699606516258E-2</v>
      </c>
      <c r="J233" s="3">
        <f t="shared" si="18"/>
        <v>2.1052566643548119E-2</v>
      </c>
      <c r="K233" s="3">
        <f t="shared" si="19"/>
        <v>2.1052600181612001E-2</v>
      </c>
    </row>
    <row r="234" spans="2:11" x14ac:dyDescent="0.3">
      <c r="B234" s="38">
        <v>43697</v>
      </c>
      <c r="C234" s="3">
        <v>7896424</v>
      </c>
      <c r="D234" s="3">
        <v>5922318</v>
      </c>
      <c r="E234" s="3">
        <v>2412796</v>
      </c>
      <c r="F234" s="3">
        <v>5702973</v>
      </c>
      <c r="G234" s="3">
        <f t="shared" si="15"/>
        <v>21934511</v>
      </c>
      <c r="H234" s="3">
        <f t="shared" si="16"/>
        <v>5.2083322230382152E-2</v>
      </c>
      <c r="I234" s="3">
        <f t="shared" si="17"/>
        <v>5.2083322230382152E-2</v>
      </c>
      <c r="J234" s="3">
        <f t="shared" si="18"/>
        <v>5.2083174359267292E-2</v>
      </c>
      <c r="K234" s="3">
        <f t="shared" si="19"/>
        <v>5.2083256466754525E-2</v>
      </c>
    </row>
    <row r="235" spans="2:11" x14ac:dyDescent="0.3">
      <c r="B235" s="38">
        <v>43698</v>
      </c>
      <c r="C235" s="3">
        <v>8052789</v>
      </c>
      <c r="D235" s="3">
        <v>6039592</v>
      </c>
      <c r="E235" s="3">
        <v>2460574</v>
      </c>
      <c r="F235" s="3">
        <v>5815903</v>
      </c>
      <c r="G235" s="3">
        <f t="shared" si="15"/>
        <v>22368858</v>
      </c>
      <c r="H235" s="3">
        <f t="shared" si="16"/>
        <v>-9.6154555691496668E-3</v>
      </c>
      <c r="I235" s="3">
        <f t="shared" si="17"/>
        <v>-9.6154145736409707E-3</v>
      </c>
      <c r="J235" s="3">
        <f t="shared" si="18"/>
        <v>-9.6153575239397802E-3</v>
      </c>
      <c r="K235" s="3">
        <f t="shared" si="19"/>
        <v>-9.6153715162265035E-3</v>
      </c>
    </row>
    <row r="236" spans="2:11" x14ac:dyDescent="0.3">
      <c r="B236" s="38">
        <v>43699</v>
      </c>
      <c r="C236" s="3">
        <v>7896424</v>
      </c>
      <c r="D236" s="3">
        <v>5922318</v>
      </c>
      <c r="E236" s="3">
        <v>2412796</v>
      </c>
      <c r="F236" s="3">
        <v>5702973</v>
      </c>
      <c r="G236" s="3">
        <f t="shared" si="15"/>
        <v>21934511</v>
      </c>
      <c r="H236" s="3">
        <f t="shared" si="16"/>
        <v>0</v>
      </c>
      <c r="I236" s="3">
        <f t="shared" si="17"/>
        <v>0</v>
      </c>
      <c r="J236" s="3">
        <f t="shared" si="18"/>
        <v>0</v>
      </c>
      <c r="K236" s="3">
        <f t="shared" si="19"/>
        <v>0</v>
      </c>
    </row>
    <row r="237" spans="2:11" x14ac:dyDescent="0.3">
      <c r="B237" s="38">
        <v>43700</v>
      </c>
      <c r="C237" s="3">
        <v>7505512</v>
      </c>
      <c r="D237" s="3">
        <v>5629134</v>
      </c>
      <c r="E237" s="3">
        <v>2293351</v>
      </c>
      <c r="F237" s="3">
        <v>5420648</v>
      </c>
      <c r="G237" s="3">
        <f t="shared" si="15"/>
        <v>20848645</v>
      </c>
      <c r="H237" s="3">
        <f t="shared" si="16"/>
        <v>-2.0408184574093269E-2</v>
      </c>
      <c r="I237" s="3">
        <f t="shared" si="17"/>
        <v>-2.0408227191664775E-2</v>
      </c>
      <c r="J237" s="3">
        <f t="shared" si="18"/>
        <v>-2.0408102244686217E-2</v>
      </c>
      <c r="K237" s="3">
        <f t="shared" si="19"/>
        <v>-2.0408133760832503E-2</v>
      </c>
    </row>
    <row r="238" spans="2:11" x14ac:dyDescent="0.3">
      <c r="B238" s="38">
        <v>43701</v>
      </c>
      <c r="C238" s="3">
        <v>15513897</v>
      </c>
      <c r="D238" s="3">
        <v>11635423</v>
      </c>
      <c r="E238" s="3">
        <v>4740357</v>
      </c>
      <c r="F238" s="3">
        <v>11204481</v>
      </c>
      <c r="G238" s="3">
        <f t="shared" si="15"/>
        <v>43094158</v>
      </c>
      <c r="H238" s="3">
        <f t="shared" si="16"/>
        <v>-7.6923090653846712E-2</v>
      </c>
      <c r="I238" s="3">
        <f t="shared" si="17"/>
        <v>-7.6923107435897475E-2</v>
      </c>
      <c r="J238" s="3">
        <f t="shared" si="18"/>
        <v>-7.6923121860144134E-2</v>
      </c>
      <c r="K238" s="3">
        <f t="shared" si="19"/>
        <v>-7.69230959349122E-2</v>
      </c>
    </row>
    <row r="239" spans="2:11" x14ac:dyDescent="0.3">
      <c r="B239" s="38">
        <v>43702</v>
      </c>
      <c r="C239" s="3">
        <v>15998707</v>
      </c>
      <c r="D239" s="3">
        <v>11999030</v>
      </c>
      <c r="E239" s="3">
        <v>4888493</v>
      </c>
      <c r="F239" s="3">
        <v>11554621</v>
      </c>
      <c r="G239" s="3">
        <f t="shared" si="15"/>
        <v>44440851</v>
      </c>
      <c r="H239" s="3">
        <f t="shared" si="16"/>
        <v>-1.980196806587561E-2</v>
      </c>
      <c r="I239" s="3">
        <f t="shared" si="17"/>
        <v>-1.9802008506355669E-2</v>
      </c>
      <c r="J239" s="3">
        <f t="shared" si="18"/>
        <v>-1.980209137258181E-2</v>
      </c>
      <c r="K239" s="3">
        <f t="shared" si="19"/>
        <v>-1.9802006235468333E-2</v>
      </c>
    </row>
    <row r="240" spans="2:11" x14ac:dyDescent="0.3">
      <c r="B240" s="38">
        <v>43703</v>
      </c>
      <c r="C240" s="3">
        <v>8052789</v>
      </c>
      <c r="D240" s="3">
        <v>6039592</v>
      </c>
      <c r="E240" s="3">
        <v>2460574</v>
      </c>
      <c r="F240" s="3">
        <v>5815903</v>
      </c>
      <c r="G240" s="3">
        <f t="shared" si="15"/>
        <v>22368858</v>
      </c>
      <c r="H240" s="3">
        <f t="shared" si="16"/>
        <v>6.1855599414269692E-2</v>
      </c>
      <c r="I240" s="3">
        <f t="shared" si="17"/>
        <v>6.1855690040966839E-2</v>
      </c>
      <c r="J240" s="3">
        <f t="shared" si="18"/>
        <v>6.1855483247311459E-2</v>
      </c>
      <c r="K240" s="3">
        <f t="shared" si="19"/>
        <v>6.185557975524697E-2</v>
      </c>
    </row>
    <row r="241" spans="2:11" x14ac:dyDescent="0.3">
      <c r="B241" s="38">
        <v>43704</v>
      </c>
      <c r="C241" s="3">
        <v>7505512</v>
      </c>
      <c r="D241" s="3">
        <v>5629134</v>
      </c>
      <c r="E241" s="3">
        <v>2293351</v>
      </c>
      <c r="F241" s="3">
        <v>5420648</v>
      </c>
      <c r="G241" s="3">
        <f t="shared" si="15"/>
        <v>20848645</v>
      </c>
      <c r="H241" s="3">
        <f t="shared" si="16"/>
        <v>-4.9504940464189864E-2</v>
      </c>
      <c r="I241" s="3">
        <f t="shared" si="17"/>
        <v>-4.9504940464189864E-2</v>
      </c>
      <c r="J241" s="3">
        <f t="shared" si="18"/>
        <v>-4.9504806871364174E-2</v>
      </c>
      <c r="K241" s="3">
        <f t="shared" si="19"/>
        <v>-4.9504881050637974E-2</v>
      </c>
    </row>
    <row r="242" spans="2:11" x14ac:dyDescent="0.3">
      <c r="B242" s="38">
        <v>43705</v>
      </c>
      <c r="C242" s="3">
        <v>7896424</v>
      </c>
      <c r="D242" s="3">
        <v>5922318</v>
      </c>
      <c r="E242" s="3">
        <v>2412796</v>
      </c>
      <c r="F242" s="3">
        <v>5702973</v>
      </c>
      <c r="G242" s="3">
        <f t="shared" si="15"/>
        <v>21934511</v>
      </c>
      <c r="H242" s="3">
        <f t="shared" si="16"/>
        <v>-1.9417496223979046E-2</v>
      </c>
      <c r="I242" s="3">
        <f t="shared" si="17"/>
        <v>-1.9417536813745036E-2</v>
      </c>
      <c r="J242" s="3">
        <f t="shared" si="18"/>
        <v>-1.9417420488064979E-2</v>
      </c>
      <c r="K242" s="3">
        <f t="shared" si="19"/>
        <v>-1.9417449018664858E-2</v>
      </c>
    </row>
    <row r="243" spans="2:11" x14ac:dyDescent="0.3">
      <c r="B243" s="38">
        <v>43706</v>
      </c>
      <c r="C243" s="3">
        <v>7661877</v>
      </c>
      <c r="D243" s="3">
        <v>5746408</v>
      </c>
      <c r="E243" s="3">
        <v>2341129</v>
      </c>
      <c r="F243" s="3">
        <v>5533578</v>
      </c>
      <c r="G243" s="3">
        <f t="shared" si="15"/>
        <v>21282992</v>
      </c>
      <c r="H243" s="3">
        <f t="shared" si="16"/>
        <v>-2.9702938950593331E-2</v>
      </c>
      <c r="I243" s="3">
        <f t="shared" si="17"/>
        <v>-2.9702896737392352E-2</v>
      </c>
      <c r="J243" s="3">
        <f t="shared" si="18"/>
        <v>-2.9702884122818508E-2</v>
      </c>
      <c r="K243" s="3">
        <f t="shared" si="19"/>
        <v>-2.9702928630382784E-2</v>
      </c>
    </row>
    <row r="244" spans="2:11" x14ac:dyDescent="0.3">
      <c r="B244" s="38">
        <v>43707</v>
      </c>
      <c r="C244" s="3">
        <v>7896424</v>
      </c>
      <c r="D244" s="3">
        <v>5922318</v>
      </c>
      <c r="E244" s="3">
        <v>2412796</v>
      </c>
      <c r="F244" s="3">
        <v>5702973</v>
      </c>
      <c r="G244" s="3">
        <f t="shared" si="15"/>
        <v>21934511</v>
      </c>
      <c r="H244" s="3">
        <f t="shared" si="16"/>
        <v>5.2083322230382152E-2</v>
      </c>
      <c r="I244" s="3">
        <f t="shared" si="17"/>
        <v>5.2083322230382152E-2</v>
      </c>
      <c r="J244" s="3">
        <f t="shared" si="18"/>
        <v>5.2083174359267292E-2</v>
      </c>
      <c r="K244" s="3">
        <f t="shared" si="19"/>
        <v>5.2083256466754525E-2</v>
      </c>
    </row>
    <row r="245" spans="2:11" x14ac:dyDescent="0.3">
      <c r="B245" s="38">
        <v>43708</v>
      </c>
      <c r="C245" s="3">
        <v>16321913</v>
      </c>
      <c r="D245" s="3">
        <v>12241435</v>
      </c>
      <c r="E245" s="3">
        <v>4987251</v>
      </c>
      <c r="F245" s="3">
        <v>11788048</v>
      </c>
      <c r="G245" s="3">
        <f t="shared" si="15"/>
        <v>45338647</v>
      </c>
      <c r="H245" s="3">
        <f t="shared" si="16"/>
        <v>5.2083367576824829E-2</v>
      </c>
      <c r="I245" s="3">
        <f t="shared" si="17"/>
        <v>5.208336645775577E-2</v>
      </c>
      <c r="J245" s="3">
        <f t="shared" si="18"/>
        <v>5.2083419033629744E-2</v>
      </c>
      <c r="K245" s="3">
        <f t="shared" si="19"/>
        <v>5.2083358434897607E-2</v>
      </c>
    </row>
    <row r="246" spans="2:11" x14ac:dyDescent="0.3">
      <c r="B246" s="38">
        <v>43709</v>
      </c>
      <c r="C246" s="3">
        <v>15352294</v>
      </c>
      <c r="D246" s="3">
        <v>11514221</v>
      </c>
      <c r="E246" s="3">
        <v>4690978</v>
      </c>
      <c r="F246" s="3">
        <v>11087768</v>
      </c>
      <c r="G246" s="3">
        <f t="shared" si="15"/>
        <v>42645261</v>
      </c>
      <c r="H246" s="3">
        <f t="shared" si="16"/>
        <v>-4.0404077654525458E-2</v>
      </c>
      <c r="I246" s="3">
        <f t="shared" si="17"/>
        <v>-4.0404015991292633E-2</v>
      </c>
      <c r="J246" s="3">
        <f t="shared" si="18"/>
        <v>-4.0404067265719719E-2</v>
      </c>
      <c r="K246" s="3">
        <f t="shared" si="19"/>
        <v>-4.0404008058767135E-2</v>
      </c>
    </row>
    <row r="247" spans="2:11" x14ac:dyDescent="0.3">
      <c r="B247" s="38">
        <v>43710</v>
      </c>
      <c r="C247" s="3">
        <v>8209154</v>
      </c>
      <c r="D247" s="3">
        <v>6156866</v>
      </c>
      <c r="E247" s="3">
        <v>2508352</v>
      </c>
      <c r="F247" s="3">
        <v>5928833</v>
      </c>
      <c r="G247" s="3">
        <f t="shared" si="15"/>
        <v>22803205</v>
      </c>
      <c r="H247" s="3">
        <f t="shared" si="16"/>
        <v>1.9417496223979046E-2</v>
      </c>
      <c r="I247" s="3">
        <f t="shared" si="17"/>
        <v>1.9417536813745036E-2</v>
      </c>
      <c r="J247" s="3">
        <f t="shared" si="18"/>
        <v>1.9417420488064979E-2</v>
      </c>
      <c r="K247" s="3">
        <f t="shared" si="19"/>
        <v>1.9417449018664858E-2</v>
      </c>
    </row>
    <row r="248" spans="2:11" x14ac:dyDescent="0.3">
      <c r="B248" s="38">
        <v>43711</v>
      </c>
      <c r="C248" s="3">
        <v>8130972</v>
      </c>
      <c r="D248" s="3">
        <v>6098229</v>
      </c>
      <c r="E248" s="3">
        <v>2484463</v>
      </c>
      <c r="F248" s="3">
        <v>5872368</v>
      </c>
      <c r="G248" s="3">
        <f t="shared" si="15"/>
        <v>22586032</v>
      </c>
      <c r="H248" s="3">
        <f t="shared" si="16"/>
        <v>8.3333422156942796E-2</v>
      </c>
      <c r="I248" s="3">
        <f t="shared" si="17"/>
        <v>8.3333422156942796E-2</v>
      </c>
      <c r="J248" s="3">
        <f t="shared" si="18"/>
        <v>8.3333078974827668E-2</v>
      </c>
      <c r="K248" s="3">
        <f t="shared" si="19"/>
        <v>8.333321034680724E-2</v>
      </c>
    </row>
    <row r="249" spans="2:11" x14ac:dyDescent="0.3">
      <c r="B249" s="38">
        <v>43712</v>
      </c>
      <c r="C249" s="3">
        <v>8052789</v>
      </c>
      <c r="D249" s="3">
        <v>6039592</v>
      </c>
      <c r="E249" s="3">
        <v>2460574</v>
      </c>
      <c r="F249" s="3">
        <v>5815903</v>
      </c>
      <c r="G249" s="3">
        <f t="shared" si="15"/>
        <v>22368858</v>
      </c>
      <c r="H249" s="3">
        <f t="shared" si="16"/>
        <v>1.9802001513596533E-2</v>
      </c>
      <c r="I249" s="3">
        <f t="shared" si="17"/>
        <v>1.9802043726797513E-2</v>
      </c>
      <c r="J249" s="3">
        <f t="shared" si="18"/>
        <v>1.9801922748545669E-2</v>
      </c>
      <c r="K249" s="3">
        <f t="shared" si="19"/>
        <v>1.9801952420255189E-2</v>
      </c>
    </row>
    <row r="250" spans="2:11" x14ac:dyDescent="0.3">
      <c r="B250" s="38">
        <v>43713</v>
      </c>
      <c r="C250" s="3">
        <v>7427330</v>
      </c>
      <c r="D250" s="3">
        <v>5570497</v>
      </c>
      <c r="E250" s="3">
        <v>2269462</v>
      </c>
      <c r="F250" s="3">
        <v>5364183</v>
      </c>
      <c r="G250" s="3">
        <f t="shared" si="15"/>
        <v>20631472</v>
      </c>
      <c r="H250" s="3">
        <f t="shared" si="16"/>
        <v>-3.0612211602979271E-2</v>
      </c>
      <c r="I250" s="3">
        <f t="shared" si="17"/>
        <v>-3.0612340787497163E-2</v>
      </c>
      <c r="J250" s="3">
        <f t="shared" si="18"/>
        <v>-3.0612153367029327E-2</v>
      </c>
      <c r="K250" s="3">
        <f t="shared" si="19"/>
        <v>-3.0612200641248755E-2</v>
      </c>
    </row>
    <row r="251" spans="2:11" x14ac:dyDescent="0.3">
      <c r="B251" s="38">
        <v>43714</v>
      </c>
      <c r="C251" s="3">
        <v>7505512</v>
      </c>
      <c r="D251" s="3">
        <v>5629134</v>
      </c>
      <c r="E251" s="3">
        <v>2293351</v>
      </c>
      <c r="F251" s="3">
        <v>5420648</v>
      </c>
      <c r="G251" s="3">
        <f t="shared" si="15"/>
        <v>20848645</v>
      </c>
      <c r="H251" s="3">
        <f t="shared" si="16"/>
        <v>-4.9504940464189864E-2</v>
      </c>
      <c r="I251" s="3">
        <f t="shared" si="17"/>
        <v>-4.9504940464189864E-2</v>
      </c>
      <c r="J251" s="3">
        <f t="shared" si="18"/>
        <v>-4.9504806871364174E-2</v>
      </c>
      <c r="K251" s="3">
        <f t="shared" si="19"/>
        <v>-4.9504881050637974E-2</v>
      </c>
    </row>
    <row r="252" spans="2:11" x14ac:dyDescent="0.3">
      <c r="B252" s="38">
        <v>43715</v>
      </c>
      <c r="C252" s="3">
        <v>16806722</v>
      </c>
      <c r="D252" s="3">
        <v>12605042</v>
      </c>
      <c r="E252" s="3">
        <v>5135387</v>
      </c>
      <c r="F252" s="3">
        <v>12138188</v>
      </c>
      <c r="G252" s="3">
        <f t="shared" si="15"/>
        <v>46685339</v>
      </c>
      <c r="H252" s="3">
        <f t="shared" si="16"/>
        <v>2.9702952098813417E-2</v>
      </c>
      <c r="I252" s="3">
        <f t="shared" si="17"/>
        <v>2.9702971914648896E-2</v>
      </c>
      <c r="J252" s="3">
        <f t="shared" si="18"/>
        <v>2.9702936547609093E-2</v>
      </c>
      <c r="K252" s="3">
        <f t="shared" si="19"/>
        <v>2.9702966937358924E-2</v>
      </c>
    </row>
    <row r="253" spans="2:11" x14ac:dyDescent="0.3">
      <c r="B253" s="38">
        <v>43716</v>
      </c>
      <c r="C253" s="3">
        <v>15513897</v>
      </c>
      <c r="D253" s="3">
        <v>11635423</v>
      </c>
      <c r="E253" s="3">
        <v>4740357</v>
      </c>
      <c r="F253" s="3">
        <v>11204481</v>
      </c>
      <c r="G253" s="3">
        <f t="shared" si="15"/>
        <v>43094158</v>
      </c>
      <c r="H253" s="3">
        <f t="shared" si="16"/>
        <v>1.0526309618614652E-2</v>
      </c>
      <c r="I253" s="3">
        <f t="shared" si="17"/>
        <v>1.052628744923343E-2</v>
      </c>
      <c r="J253" s="3">
        <f t="shared" si="18"/>
        <v>1.0526376376098972E-2</v>
      </c>
      <c r="K253" s="3">
        <f t="shared" si="19"/>
        <v>1.052628446049737E-2</v>
      </c>
    </row>
    <row r="254" spans="2:11" x14ac:dyDescent="0.3">
      <c r="B254" s="38">
        <v>43717</v>
      </c>
      <c r="C254" s="3">
        <v>7818242</v>
      </c>
      <c r="D254" s="3">
        <v>5863681</v>
      </c>
      <c r="E254" s="3">
        <v>2388907</v>
      </c>
      <c r="F254" s="3">
        <v>5646508</v>
      </c>
      <c r="G254" s="3">
        <f t="shared" si="15"/>
        <v>21717338</v>
      </c>
      <c r="H254" s="3">
        <f t="shared" si="16"/>
        <v>-4.7619036017596941E-2</v>
      </c>
      <c r="I254" s="3">
        <f t="shared" si="17"/>
        <v>-4.7619194570744275E-2</v>
      </c>
      <c r="J254" s="3">
        <f t="shared" si="18"/>
        <v>-4.7618914729671113E-2</v>
      </c>
      <c r="K254" s="3">
        <f t="shared" si="19"/>
        <v>-4.7618983364854435E-2</v>
      </c>
    </row>
    <row r="255" spans="2:11" x14ac:dyDescent="0.3">
      <c r="B255" s="38">
        <v>43718</v>
      </c>
      <c r="C255" s="3">
        <v>8052789</v>
      </c>
      <c r="D255" s="3">
        <v>6039592</v>
      </c>
      <c r="E255" s="3">
        <v>2460574</v>
      </c>
      <c r="F255" s="3">
        <v>5815903</v>
      </c>
      <c r="G255" s="3">
        <f t="shared" si="15"/>
        <v>22368858</v>
      </c>
      <c r="H255" s="3">
        <f t="shared" si="16"/>
        <v>-9.6154555691496668E-3</v>
      </c>
      <c r="I255" s="3">
        <f t="shared" si="17"/>
        <v>-9.6154145736409707E-3</v>
      </c>
      <c r="J255" s="3">
        <f t="shared" si="18"/>
        <v>-9.6153575239397802E-3</v>
      </c>
      <c r="K255" s="3">
        <f t="shared" si="19"/>
        <v>-9.6153715162265035E-3</v>
      </c>
    </row>
    <row r="256" spans="2:11" x14ac:dyDescent="0.3">
      <c r="B256" s="38">
        <v>43719</v>
      </c>
      <c r="C256" s="3">
        <v>7583695</v>
      </c>
      <c r="D256" s="3">
        <v>5687771</v>
      </c>
      <c r="E256" s="3">
        <v>2317240</v>
      </c>
      <c r="F256" s="3">
        <v>5477113</v>
      </c>
      <c r="G256" s="3">
        <f t="shared" si="15"/>
        <v>21065819</v>
      </c>
      <c r="H256" s="3">
        <f t="shared" si="16"/>
        <v>-5.8252364491358212E-2</v>
      </c>
      <c r="I256" s="3">
        <f t="shared" si="17"/>
        <v>-5.8252444867136717E-2</v>
      </c>
      <c r="J256" s="3">
        <f t="shared" si="18"/>
        <v>-5.8252261464194939E-2</v>
      </c>
      <c r="K256" s="3">
        <f t="shared" si="19"/>
        <v>-5.8252347055994573E-2</v>
      </c>
    </row>
    <row r="257" spans="2:11" x14ac:dyDescent="0.3">
      <c r="B257" s="38">
        <v>43720</v>
      </c>
      <c r="C257" s="3">
        <v>7505512</v>
      </c>
      <c r="D257" s="3">
        <v>5629134</v>
      </c>
      <c r="E257" s="3">
        <v>2293351</v>
      </c>
      <c r="F257" s="3">
        <v>5420648</v>
      </c>
      <c r="G257" s="3">
        <f t="shared" si="15"/>
        <v>20848645</v>
      </c>
      <c r="H257" s="3">
        <f t="shared" si="16"/>
        <v>1.052625909983803E-2</v>
      </c>
      <c r="I257" s="3">
        <f t="shared" si="17"/>
        <v>1.0526349803258129E-2</v>
      </c>
      <c r="J257" s="3">
        <f t="shared" si="18"/>
        <v>1.052628332177406E-2</v>
      </c>
      <c r="K257" s="3">
        <f t="shared" si="19"/>
        <v>1.0526300090806E-2</v>
      </c>
    </row>
    <row r="258" spans="2:11" x14ac:dyDescent="0.3">
      <c r="B258" s="38">
        <v>43721</v>
      </c>
      <c r="C258" s="3">
        <v>8209154</v>
      </c>
      <c r="D258" s="3">
        <v>6156866</v>
      </c>
      <c r="E258" s="3">
        <v>2508352</v>
      </c>
      <c r="F258" s="3">
        <v>5928833</v>
      </c>
      <c r="G258" s="3">
        <f t="shared" si="15"/>
        <v>22803205</v>
      </c>
      <c r="H258" s="3">
        <f t="shared" si="16"/>
        <v>9.375003330885355E-2</v>
      </c>
      <c r="I258" s="3">
        <f t="shared" si="17"/>
        <v>9.3750122132463004E-2</v>
      </c>
      <c r="J258" s="3">
        <f t="shared" si="18"/>
        <v>9.3749713846681126E-2</v>
      </c>
      <c r="K258" s="3">
        <f t="shared" si="19"/>
        <v>9.3749861640158152E-2</v>
      </c>
    </row>
    <row r="259" spans="2:11" x14ac:dyDescent="0.3">
      <c r="B259" s="38">
        <v>43722</v>
      </c>
      <c r="C259" s="3">
        <v>15998707</v>
      </c>
      <c r="D259" s="3">
        <v>11999030</v>
      </c>
      <c r="E259" s="3">
        <v>4888493</v>
      </c>
      <c r="F259" s="3">
        <v>11554621</v>
      </c>
      <c r="G259" s="3">
        <f t="shared" si="15"/>
        <v>44440851</v>
      </c>
      <c r="H259" s="3">
        <f t="shared" si="16"/>
        <v>-4.8076894471152674E-2</v>
      </c>
      <c r="I259" s="3">
        <f t="shared" si="17"/>
        <v>-4.8076952064102604E-2</v>
      </c>
      <c r="J259" s="3">
        <f t="shared" si="18"/>
        <v>-4.8076999844412896E-2</v>
      </c>
      <c r="K259" s="3">
        <f t="shared" si="19"/>
        <v>-4.8076945257397564E-2</v>
      </c>
    </row>
    <row r="260" spans="2:11" x14ac:dyDescent="0.3">
      <c r="B260" s="38">
        <v>43723</v>
      </c>
      <c r="C260" s="3">
        <v>16645119</v>
      </c>
      <c r="D260" s="3">
        <v>12483839</v>
      </c>
      <c r="E260" s="3">
        <v>5086008</v>
      </c>
      <c r="F260" s="3">
        <v>12021475</v>
      </c>
      <c r="G260" s="3">
        <f t="shared" ref="G260:G323" si="20">SUM(C260:F260)</f>
        <v>46236441</v>
      </c>
      <c r="H260" s="3">
        <f t="shared" si="16"/>
        <v>7.2916688824219991E-2</v>
      </c>
      <c r="I260" s="3">
        <f t="shared" si="17"/>
        <v>7.2916644285300161E-2</v>
      </c>
      <c r="J260" s="3">
        <f t="shared" si="18"/>
        <v>7.291666007433617E-2</v>
      </c>
      <c r="K260" s="3">
        <f t="shared" si="19"/>
        <v>7.2916719658857918E-2</v>
      </c>
    </row>
    <row r="261" spans="2:11" x14ac:dyDescent="0.3">
      <c r="B261" s="38">
        <v>43724</v>
      </c>
      <c r="C261" s="3">
        <v>7427330</v>
      </c>
      <c r="D261" s="3">
        <v>5570497</v>
      </c>
      <c r="E261" s="3">
        <v>2269462</v>
      </c>
      <c r="F261" s="3">
        <v>5364183</v>
      </c>
      <c r="G261" s="3">
        <f t="shared" si="20"/>
        <v>20631472</v>
      </c>
      <c r="H261" s="3">
        <f t="shared" si="16"/>
        <v>-4.9999987209400784E-2</v>
      </c>
      <c r="I261" s="3">
        <f t="shared" si="17"/>
        <v>-4.9999991472933131E-2</v>
      </c>
      <c r="J261" s="3">
        <f t="shared" si="18"/>
        <v>-4.9999853489482847E-2</v>
      </c>
      <c r="K261" s="3">
        <f t="shared" si="19"/>
        <v>-4.999992915975679E-2</v>
      </c>
    </row>
    <row r="262" spans="2:11" x14ac:dyDescent="0.3">
      <c r="B262" s="38">
        <v>43725</v>
      </c>
      <c r="C262" s="3">
        <v>8052789</v>
      </c>
      <c r="D262" s="3">
        <v>6039592</v>
      </c>
      <c r="E262" s="3">
        <v>2460574</v>
      </c>
      <c r="F262" s="3">
        <v>5815903</v>
      </c>
      <c r="G262" s="3">
        <f t="shared" si="20"/>
        <v>22368858</v>
      </c>
      <c r="H262" s="3">
        <f t="shared" si="16"/>
        <v>0</v>
      </c>
      <c r="I262" s="3">
        <f t="shared" si="17"/>
        <v>0</v>
      </c>
      <c r="J262" s="3">
        <f t="shared" si="18"/>
        <v>0</v>
      </c>
      <c r="K262" s="3">
        <f t="shared" si="19"/>
        <v>0</v>
      </c>
    </row>
    <row r="263" spans="2:11" x14ac:dyDescent="0.3">
      <c r="B263" s="38">
        <v>43726</v>
      </c>
      <c r="C263" s="3">
        <v>7740060</v>
      </c>
      <c r="D263" s="3">
        <v>5805045</v>
      </c>
      <c r="E263" s="3">
        <v>2365018</v>
      </c>
      <c r="F263" s="3">
        <v>5590043</v>
      </c>
      <c r="G263" s="3">
        <f t="shared" si="20"/>
        <v>21500166</v>
      </c>
      <c r="H263" s="3">
        <f t="shared" si="16"/>
        <v>2.0618577092037588E-2</v>
      </c>
      <c r="I263" s="3">
        <f t="shared" si="17"/>
        <v>2.0618621952255112E-2</v>
      </c>
      <c r="J263" s="3">
        <f t="shared" si="18"/>
        <v>2.0618494415770485E-2</v>
      </c>
      <c r="K263" s="3">
        <f t="shared" si="19"/>
        <v>2.0618526585082324E-2</v>
      </c>
    </row>
    <row r="264" spans="2:11" x14ac:dyDescent="0.3">
      <c r="B264" s="38">
        <v>43727</v>
      </c>
      <c r="C264" s="3">
        <v>7661877</v>
      </c>
      <c r="D264" s="3">
        <v>5746408</v>
      </c>
      <c r="E264" s="3">
        <v>2341129</v>
      </c>
      <c r="F264" s="3">
        <v>5533578</v>
      </c>
      <c r="G264" s="3">
        <f t="shared" si="20"/>
        <v>21282992</v>
      </c>
      <c r="H264" s="3">
        <f t="shared" si="16"/>
        <v>2.0833355539235699E-2</v>
      </c>
      <c r="I264" s="3">
        <f t="shared" si="17"/>
        <v>2.0833399951040426E-2</v>
      </c>
      <c r="J264" s="3">
        <f t="shared" si="18"/>
        <v>2.0833269743706917E-2</v>
      </c>
      <c r="K264" s="3">
        <f t="shared" si="19"/>
        <v>2.083330258670181E-2</v>
      </c>
    </row>
    <row r="265" spans="2:11" x14ac:dyDescent="0.3">
      <c r="B265" s="38">
        <v>43728</v>
      </c>
      <c r="C265" s="3">
        <v>7661877</v>
      </c>
      <c r="D265" s="3">
        <v>5746408</v>
      </c>
      <c r="E265" s="3">
        <v>2341129</v>
      </c>
      <c r="F265" s="3">
        <v>5533578</v>
      </c>
      <c r="G265" s="3">
        <f t="shared" si="20"/>
        <v>21282992</v>
      </c>
      <c r="H265" s="3">
        <f t="shared" si="16"/>
        <v>-6.6666674787682137E-2</v>
      </c>
      <c r="I265" s="3">
        <f t="shared" si="17"/>
        <v>-6.6666709978745686E-2</v>
      </c>
      <c r="J265" s="3">
        <f t="shared" si="18"/>
        <v>-6.6666480621539556E-2</v>
      </c>
      <c r="K265" s="3">
        <f t="shared" si="19"/>
        <v>-6.6666576710796205E-2</v>
      </c>
    </row>
    <row r="266" spans="2:11" x14ac:dyDescent="0.3">
      <c r="B266" s="38">
        <v>43729</v>
      </c>
      <c r="C266" s="3">
        <v>15837104</v>
      </c>
      <c r="D266" s="3">
        <v>11877828</v>
      </c>
      <c r="E266" s="3">
        <v>4839115</v>
      </c>
      <c r="F266" s="3">
        <v>11437908</v>
      </c>
      <c r="G266" s="3">
        <f t="shared" si="20"/>
        <v>43991955</v>
      </c>
      <c r="H266" s="3">
        <f t="shared" si="16"/>
        <v>-1.0101003787368567E-2</v>
      </c>
      <c r="I266" s="3">
        <f t="shared" si="17"/>
        <v>-1.010098316280566E-2</v>
      </c>
      <c r="J266" s="3">
        <f t="shared" si="18"/>
        <v>-1.0100863394915366E-2</v>
      </c>
      <c r="K266" s="3">
        <f t="shared" si="19"/>
        <v>-1.0100980378326558E-2</v>
      </c>
    </row>
    <row r="267" spans="2:11" x14ac:dyDescent="0.3">
      <c r="B267" s="38">
        <v>43730</v>
      </c>
      <c r="C267" s="3">
        <v>16483516</v>
      </c>
      <c r="D267" s="3">
        <v>12362637</v>
      </c>
      <c r="E267" s="3">
        <v>5036630</v>
      </c>
      <c r="F267" s="3">
        <v>11904761</v>
      </c>
      <c r="G267" s="3">
        <f t="shared" si="20"/>
        <v>45787544</v>
      </c>
      <c r="H267" s="3">
        <f t="shared" ref="H267:H330" si="21">($C267-$C260)/$C260</f>
        <v>-9.708732031293979E-3</v>
      </c>
      <c r="I267" s="3">
        <f t="shared" ref="I267:I330" si="22">($D267-$D260)/D260</f>
        <v>-9.7087121998289151E-3</v>
      </c>
      <c r="J267" s="3">
        <f t="shared" ref="J267:J330" si="23">(E267-E260)/E260</f>
        <v>-9.7085966046455297E-3</v>
      </c>
      <c r="K267" s="3">
        <f t="shared" ref="K267:K330" si="24">(F267-F260)/F260</f>
        <v>-9.7087919743625468E-3</v>
      </c>
    </row>
    <row r="268" spans="2:11" x14ac:dyDescent="0.3">
      <c r="B268" s="38">
        <v>43731</v>
      </c>
      <c r="C268" s="3">
        <v>7505512</v>
      </c>
      <c r="D268" s="3">
        <v>5629134</v>
      </c>
      <c r="E268" s="3">
        <v>2293351</v>
      </c>
      <c r="F268" s="3">
        <v>5420648</v>
      </c>
      <c r="G268" s="3">
        <f t="shared" si="20"/>
        <v>20848645</v>
      </c>
      <c r="H268" s="3">
        <f t="shared" si="21"/>
        <v>1.052625909983803E-2</v>
      </c>
      <c r="I268" s="3">
        <f t="shared" si="22"/>
        <v>1.0526349803258129E-2</v>
      </c>
      <c r="J268" s="3">
        <f t="shared" si="23"/>
        <v>1.052628332177406E-2</v>
      </c>
      <c r="K268" s="3">
        <f t="shared" si="24"/>
        <v>1.0526300090806E-2</v>
      </c>
    </row>
    <row r="269" spans="2:11" x14ac:dyDescent="0.3">
      <c r="B269" s="38">
        <v>43732</v>
      </c>
      <c r="C269" s="3">
        <v>7896424</v>
      </c>
      <c r="D269" s="3">
        <v>5922318</v>
      </c>
      <c r="E269" s="3">
        <v>2412796</v>
      </c>
      <c r="F269" s="3">
        <v>5702973</v>
      </c>
      <c r="G269" s="3">
        <f t="shared" si="20"/>
        <v>21934511</v>
      </c>
      <c r="H269" s="3">
        <f t="shared" si="21"/>
        <v>-1.9417496223979046E-2</v>
      </c>
      <c r="I269" s="3">
        <f t="shared" si="22"/>
        <v>-1.9417536813745036E-2</v>
      </c>
      <c r="J269" s="3">
        <f t="shared" si="23"/>
        <v>-1.9417420488064979E-2</v>
      </c>
      <c r="K269" s="3">
        <f t="shared" si="24"/>
        <v>-1.9417449018664858E-2</v>
      </c>
    </row>
    <row r="270" spans="2:11" x14ac:dyDescent="0.3">
      <c r="B270" s="38">
        <v>43733</v>
      </c>
      <c r="C270" s="3">
        <v>7661877</v>
      </c>
      <c r="D270" s="3">
        <v>5746408</v>
      </c>
      <c r="E270" s="3">
        <v>2341129</v>
      </c>
      <c r="F270" s="3">
        <v>5533578</v>
      </c>
      <c r="G270" s="3">
        <f t="shared" si="20"/>
        <v>21282992</v>
      </c>
      <c r="H270" s="3">
        <f t="shared" si="21"/>
        <v>-1.0101084487717149E-2</v>
      </c>
      <c r="I270" s="3">
        <f t="shared" si="22"/>
        <v>-1.0101041421728858E-2</v>
      </c>
      <c r="J270" s="3">
        <f t="shared" si="23"/>
        <v>-1.0100980203956165E-2</v>
      </c>
      <c r="K270" s="3">
        <f t="shared" si="24"/>
        <v>-1.010099564529289E-2</v>
      </c>
    </row>
    <row r="271" spans="2:11" x14ac:dyDescent="0.3">
      <c r="B271" s="38">
        <v>43734</v>
      </c>
      <c r="C271" s="3">
        <v>8052789</v>
      </c>
      <c r="D271" s="3">
        <v>6039592</v>
      </c>
      <c r="E271" s="3">
        <v>2460574</v>
      </c>
      <c r="F271" s="3">
        <v>5815903</v>
      </c>
      <c r="G271" s="3">
        <f t="shared" si="20"/>
        <v>22368858</v>
      </c>
      <c r="H271" s="3">
        <f t="shared" si="21"/>
        <v>5.102039617707254E-2</v>
      </c>
      <c r="I271" s="3">
        <f t="shared" si="22"/>
        <v>5.1020393957407831E-2</v>
      </c>
      <c r="J271" s="3">
        <f t="shared" si="23"/>
        <v>5.1020255611715547E-2</v>
      </c>
      <c r="K271" s="3">
        <f t="shared" si="24"/>
        <v>5.1020334402081258E-2</v>
      </c>
    </row>
    <row r="272" spans="2:11" x14ac:dyDescent="0.3">
      <c r="B272" s="38">
        <v>43735</v>
      </c>
      <c r="C272" s="3">
        <v>7505512</v>
      </c>
      <c r="D272" s="3">
        <v>5629134</v>
      </c>
      <c r="E272" s="3">
        <v>2293351</v>
      </c>
      <c r="F272" s="3">
        <v>5420648</v>
      </c>
      <c r="G272" s="3">
        <f t="shared" si="20"/>
        <v>20848645</v>
      </c>
      <c r="H272" s="3">
        <f t="shared" si="21"/>
        <v>-2.0408184574093269E-2</v>
      </c>
      <c r="I272" s="3">
        <f t="shared" si="22"/>
        <v>-2.0408227191664775E-2</v>
      </c>
      <c r="J272" s="3">
        <f t="shared" si="23"/>
        <v>-2.0408102244686217E-2</v>
      </c>
      <c r="K272" s="3">
        <f t="shared" si="24"/>
        <v>-2.0408133760832503E-2</v>
      </c>
    </row>
    <row r="273" spans="2:11" x14ac:dyDescent="0.3">
      <c r="B273" s="38">
        <v>43736</v>
      </c>
      <c r="C273" s="3">
        <v>15837104</v>
      </c>
      <c r="D273" s="3">
        <v>11877828</v>
      </c>
      <c r="E273" s="3">
        <v>4839115</v>
      </c>
      <c r="F273" s="3">
        <v>11437908</v>
      </c>
      <c r="G273" s="3">
        <f t="shared" si="20"/>
        <v>43991955</v>
      </c>
      <c r="H273" s="3">
        <f t="shared" si="21"/>
        <v>0</v>
      </c>
      <c r="I273" s="3">
        <f t="shared" si="22"/>
        <v>0</v>
      </c>
      <c r="J273" s="3">
        <f t="shared" si="23"/>
        <v>0</v>
      </c>
      <c r="K273" s="3">
        <f t="shared" si="24"/>
        <v>0</v>
      </c>
    </row>
    <row r="274" spans="2:11" x14ac:dyDescent="0.3">
      <c r="B274" s="38">
        <v>43737</v>
      </c>
      <c r="C274" s="3">
        <v>15352294</v>
      </c>
      <c r="D274" s="3">
        <v>11514221</v>
      </c>
      <c r="E274" s="3">
        <v>4690978</v>
      </c>
      <c r="F274" s="3">
        <v>11087768</v>
      </c>
      <c r="G274" s="3">
        <f t="shared" si="20"/>
        <v>42645261</v>
      </c>
      <c r="H274" s="3">
        <f t="shared" si="21"/>
        <v>-6.8627470013072456E-2</v>
      </c>
      <c r="I274" s="3">
        <f t="shared" si="22"/>
        <v>-6.8627429568626816E-2</v>
      </c>
      <c r="J274" s="3">
        <f t="shared" si="23"/>
        <v>-6.8627633953655523E-2</v>
      </c>
      <c r="K274" s="3">
        <f t="shared" si="24"/>
        <v>-6.8627417215683703E-2</v>
      </c>
    </row>
    <row r="275" spans="2:11" x14ac:dyDescent="0.3">
      <c r="B275" s="38">
        <v>43738</v>
      </c>
      <c r="C275" s="3">
        <v>7818242</v>
      </c>
      <c r="D275" s="3">
        <v>5863681</v>
      </c>
      <c r="E275" s="3">
        <v>2388907</v>
      </c>
      <c r="F275" s="3">
        <v>5646508</v>
      </c>
      <c r="G275" s="3">
        <f t="shared" si="20"/>
        <v>21717338</v>
      </c>
      <c r="H275" s="3">
        <f t="shared" si="21"/>
        <v>4.1666711078471398E-2</v>
      </c>
      <c r="I275" s="3">
        <f t="shared" si="22"/>
        <v>4.1666622254861937E-2</v>
      </c>
      <c r="J275" s="3">
        <f t="shared" si="23"/>
        <v>4.1666539487413834E-2</v>
      </c>
      <c r="K275" s="3">
        <f t="shared" si="24"/>
        <v>4.166660517340362E-2</v>
      </c>
    </row>
    <row r="276" spans="2:11" x14ac:dyDescent="0.3">
      <c r="B276" s="38">
        <v>43739</v>
      </c>
      <c r="C276" s="3">
        <v>7896424</v>
      </c>
      <c r="D276" s="3">
        <v>5922318</v>
      </c>
      <c r="E276" s="3">
        <v>2412796</v>
      </c>
      <c r="F276" s="3">
        <v>5702973</v>
      </c>
      <c r="G276" s="3">
        <f t="shared" si="20"/>
        <v>21934511</v>
      </c>
      <c r="H276" s="3">
        <f t="shared" si="21"/>
        <v>0</v>
      </c>
      <c r="I276" s="3">
        <f t="shared" si="22"/>
        <v>0</v>
      </c>
      <c r="J276" s="3">
        <f t="shared" si="23"/>
        <v>0</v>
      </c>
      <c r="K276" s="3">
        <f t="shared" si="24"/>
        <v>0</v>
      </c>
    </row>
    <row r="277" spans="2:11" x14ac:dyDescent="0.3">
      <c r="B277" s="38">
        <v>43740</v>
      </c>
      <c r="C277" s="3">
        <v>7740060</v>
      </c>
      <c r="D277" s="3">
        <v>5805045</v>
      </c>
      <c r="E277" s="3">
        <v>2365018</v>
      </c>
      <c r="F277" s="3">
        <v>5590043</v>
      </c>
      <c r="G277" s="3">
        <f t="shared" si="20"/>
        <v>21500166</v>
      </c>
      <c r="H277" s="3">
        <f t="shared" si="21"/>
        <v>1.0204157545207265E-2</v>
      </c>
      <c r="I277" s="3">
        <f t="shared" si="22"/>
        <v>1.0204113595832388E-2</v>
      </c>
      <c r="J277" s="3">
        <f t="shared" si="23"/>
        <v>1.0204051122343108E-2</v>
      </c>
      <c r="K277" s="3">
        <f t="shared" si="24"/>
        <v>1.0204066880416252E-2</v>
      </c>
    </row>
    <row r="278" spans="2:11" x14ac:dyDescent="0.3">
      <c r="B278" s="38">
        <v>43741</v>
      </c>
      <c r="C278" s="3">
        <v>7661877</v>
      </c>
      <c r="D278" s="3">
        <v>5746408</v>
      </c>
      <c r="E278" s="3">
        <v>2341129</v>
      </c>
      <c r="F278" s="3">
        <v>5533578</v>
      </c>
      <c r="G278" s="3">
        <f t="shared" si="20"/>
        <v>21282992</v>
      </c>
      <c r="H278" s="3">
        <f t="shared" si="21"/>
        <v>-4.8543678469658152E-2</v>
      </c>
      <c r="I278" s="3">
        <f t="shared" si="22"/>
        <v>-4.8543676460264203E-2</v>
      </c>
      <c r="J278" s="3">
        <f t="shared" si="23"/>
        <v>-4.8543551220162448E-2</v>
      </c>
      <c r="K278" s="3">
        <f t="shared" si="24"/>
        <v>-4.8543622546662141E-2</v>
      </c>
    </row>
    <row r="279" spans="2:11" x14ac:dyDescent="0.3">
      <c r="B279" s="38">
        <v>43742</v>
      </c>
      <c r="C279" s="3">
        <v>7583695</v>
      </c>
      <c r="D279" s="3">
        <v>5687771</v>
      </c>
      <c r="E279" s="3">
        <v>2317240</v>
      </c>
      <c r="F279" s="3">
        <v>5477113</v>
      </c>
      <c r="G279" s="3">
        <f t="shared" si="20"/>
        <v>21065819</v>
      </c>
      <c r="H279" s="3">
        <f t="shared" si="21"/>
        <v>1.0416744387324942E-2</v>
      </c>
      <c r="I279" s="3">
        <f t="shared" si="22"/>
        <v>1.0416699975520213E-2</v>
      </c>
      <c r="J279" s="3">
        <f t="shared" si="23"/>
        <v>1.0416634871853458E-2</v>
      </c>
      <c r="K279" s="3">
        <f t="shared" si="24"/>
        <v>1.0416651293350905E-2</v>
      </c>
    </row>
    <row r="280" spans="2:11" x14ac:dyDescent="0.3">
      <c r="B280" s="38">
        <v>43743</v>
      </c>
      <c r="C280" s="3">
        <v>16645119</v>
      </c>
      <c r="D280" s="3">
        <v>12483839</v>
      </c>
      <c r="E280" s="3">
        <v>5086008</v>
      </c>
      <c r="F280" s="3">
        <v>12021475</v>
      </c>
      <c r="G280" s="3">
        <f t="shared" si="20"/>
        <v>46236441</v>
      </c>
      <c r="H280" s="3">
        <f t="shared" si="21"/>
        <v>5.1020375947521721E-2</v>
      </c>
      <c r="I280" s="3">
        <f t="shared" si="22"/>
        <v>5.1020354899902573E-2</v>
      </c>
      <c r="J280" s="3">
        <f t="shared" si="23"/>
        <v>5.1020279534584323E-2</v>
      </c>
      <c r="K280" s="3">
        <f t="shared" si="24"/>
        <v>5.1020431358601591E-2</v>
      </c>
    </row>
    <row r="281" spans="2:11" x14ac:dyDescent="0.3">
      <c r="B281" s="38">
        <v>43744</v>
      </c>
      <c r="C281" s="3">
        <v>15675500</v>
      </c>
      <c r="D281" s="3">
        <v>11756625</v>
      </c>
      <c r="E281" s="3">
        <v>4789736</v>
      </c>
      <c r="F281" s="3">
        <v>11321195</v>
      </c>
      <c r="G281" s="3">
        <f t="shared" si="20"/>
        <v>43543056</v>
      </c>
      <c r="H281" s="3">
        <f t="shared" si="21"/>
        <v>2.1052619237229304E-2</v>
      </c>
      <c r="I281" s="3">
        <f t="shared" si="22"/>
        <v>2.1052574898466861E-2</v>
      </c>
      <c r="J281" s="3">
        <f t="shared" si="23"/>
        <v>2.1052752752197944E-2</v>
      </c>
      <c r="K281" s="3">
        <f t="shared" si="24"/>
        <v>2.1052659110472008E-2</v>
      </c>
    </row>
    <row r="282" spans="2:11" x14ac:dyDescent="0.3">
      <c r="B282" s="38">
        <v>43745</v>
      </c>
      <c r="C282" s="3">
        <v>7740060</v>
      </c>
      <c r="D282" s="3">
        <v>5805045</v>
      </c>
      <c r="E282" s="3">
        <v>2365018</v>
      </c>
      <c r="F282" s="3">
        <v>5590043</v>
      </c>
      <c r="G282" s="3">
        <f t="shared" si="20"/>
        <v>21500166</v>
      </c>
      <c r="H282" s="3">
        <f t="shared" si="21"/>
        <v>-9.9999462794832898E-3</v>
      </c>
      <c r="I282" s="3">
        <f t="shared" si="22"/>
        <v>-9.9998618615166814E-3</v>
      </c>
      <c r="J282" s="3">
        <f t="shared" si="23"/>
        <v>-9.999970697896569E-3</v>
      </c>
      <c r="K282" s="3">
        <f t="shared" si="24"/>
        <v>-9.9999858319513579E-3</v>
      </c>
    </row>
    <row r="283" spans="2:11" x14ac:dyDescent="0.3">
      <c r="B283" s="38">
        <v>43746</v>
      </c>
      <c r="C283" s="3">
        <v>8052789</v>
      </c>
      <c r="D283" s="3">
        <v>6039592</v>
      </c>
      <c r="E283" s="3">
        <v>2460574</v>
      </c>
      <c r="F283" s="3">
        <v>5815903</v>
      </c>
      <c r="G283" s="3">
        <f t="shared" si="20"/>
        <v>22368858</v>
      </c>
      <c r="H283" s="3">
        <f t="shared" si="21"/>
        <v>1.9802001513596533E-2</v>
      </c>
      <c r="I283" s="3">
        <f t="shared" si="22"/>
        <v>1.9802043726797513E-2</v>
      </c>
      <c r="J283" s="3">
        <f t="shared" si="23"/>
        <v>1.9801922748545669E-2</v>
      </c>
      <c r="K283" s="3">
        <f t="shared" si="24"/>
        <v>1.9801952420255189E-2</v>
      </c>
    </row>
    <row r="284" spans="2:11" x14ac:dyDescent="0.3">
      <c r="B284" s="38">
        <v>43747</v>
      </c>
      <c r="C284" s="3">
        <v>7427330</v>
      </c>
      <c r="D284" s="3">
        <v>5570497</v>
      </c>
      <c r="E284" s="3">
        <v>2269462</v>
      </c>
      <c r="F284" s="3">
        <v>5364183</v>
      </c>
      <c r="G284" s="3">
        <f t="shared" si="20"/>
        <v>20631472</v>
      </c>
      <c r="H284" s="3">
        <f t="shared" si="21"/>
        <v>-4.0404079554938847E-2</v>
      </c>
      <c r="I284" s="3">
        <f t="shared" si="22"/>
        <v>-4.0404165686915433E-2</v>
      </c>
      <c r="J284" s="3">
        <f t="shared" si="23"/>
        <v>-4.0403920815824661E-2</v>
      </c>
      <c r="K284" s="3">
        <f t="shared" si="24"/>
        <v>-4.040398258117156E-2</v>
      </c>
    </row>
    <row r="285" spans="2:11" x14ac:dyDescent="0.3">
      <c r="B285" s="38">
        <v>43748</v>
      </c>
      <c r="C285" s="3">
        <v>7661877</v>
      </c>
      <c r="D285" s="3">
        <v>5746408</v>
      </c>
      <c r="E285" s="3">
        <v>2341129</v>
      </c>
      <c r="F285" s="3">
        <v>5533578</v>
      </c>
      <c r="G285" s="3">
        <f t="shared" si="20"/>
        <v>21282992</v>
      </c>
      <c r="H285" s="3">
        <f t="shared" si="21"/>
        <v>0</v>
      </c>
      <c r="I285" s="3">
        <f t="shared" si="22"/>
        <v>0</v>
      </c>
      <c r="J285" s="3">
        <f t="shared" si="23"/>
        <v>0</v>
      </c>
      <c r="K285" s="3">
        <f t="shared" si="24"/>
        <v>0</v>
      </c>
    </row>
    <row r="286" spans="2:11" x14ac:dyDescent="0.3">
      <c r="B286" s="38">
        <v>43749</v>
      </c>
      <c r="C286" s="3">
        <v>7661877</v>
      </c>
      <c r="D286" s="3">
        <v>5746408</v>
      </c>
      <c r="E286" s="3">
        <v>2341129</v>
      </c>
      <c r="F286" s="3">
        <v>5533578</v>
      </c>
      <c r="G286" s="3">
        <f t="shared" si="20"/>
        <v>21282992</v>
      </c>
      <c r="H286" s="3">
        <f t="shared" si="21"/>
        <v>1.0309222615097258E-2</v>
      </c>
      <c r="I286" s="3">
        <f t="shared" si="22"/>
        <v>1.0309310976127556E-2</v>
      </c>
      <c r="J286" s="3">
        <f t="shared" si="23"/>
        <v>1.0309247207885243E-2</v>
      </c>
      <c r="K286" s="3">
        <f t="shared" si="24"/>
        <v>1.0309263292541162E-2</v>
      </c>
    </row>
    <row r="287" spans="2:11" x14ac:dyDescent="0.3">
      <c r="B287" s="38">
        <v>43750</v>
      </c>
      <c r="C287" s="3">
        <v>16321913</v>
      </c>
      <c r="D287" s="3">
        <v>12241435</v>
      </c>
      <c r="E287" s="3">
        <v>4987251</v>
      </c>
      <c r="F287" s="3">
        <v>11788048</v>
      </c>
      <c r="G287" s="3">
        <f t="shared" si="20"/>
        <v>45338647</v>
      </c>
      <c r="H287" s="3">
        <f t="shared" si="21"/>
        <v>-1.9417464062587958E-2</v>
      </c>
      <c r="I287" s="3">
        <f t="shared" si="22"/>
        <v>-1.941742439965783E-2</v>
      </c>
      <c r="J287" s="3">
        <f t="shared" si="23"/>
        <v>-1.9417389827149308E-2</v>
      </c>
      <c r="K287" s="3">
        <f t="shared" si="24"/>
        <v>-1.9417500764257297E-2</v>
      </c>
    </row>
    <row r="288" spans="2:11" x14ac:dyDescent="0.3">
      <c r="B288" s="38">
        <v>43751</v>
      </c>
      <c r="C288" s="3">
        <v>15675500</v>
      </c>
      <c r="D288" s="3">
        <v>11756625</v>
      </c>
      <c r="E288" s="3">
        <v>4789736</v>
      </c>
      <c r="F288" s="3">
        <v>11321195</v>
      </c>
      <c r="G288" s="3">
        <f t="shared" si="20"/>
        <v>43543056</v>
      </c>
      <c r="H288" s="3">
        <f t="shared" si="21"/>
        <v>0</v>
      </c>
      <c r="I288" s="3">
        <f t="shared" si="22"/>
        <v>0</v>
      </c>
      <c r="J288" s="3">
        <f t="shared" si="23"/>
        <v>0</v>
      </c>
      <c r="K288" s="3">
        <f t="shared" si="24"/>
        <v>0</v>
      </c>
    </row>
    <row r="289" spans="2:11" x14ac:dyDescent="0.3">
      <c r="B289" s="38">
        <v>43752</v>
      </c>
      <c r="C289" s="3">
        <v>7505512</v>
      </c>
      <c r="D289" s="3">
        <v>5629134</v>
      </c>
      <c r="E289" s="3">
        <v>2293351</v>
      </c>
      <c r="F289" s="3">
        <v>5420648</v>
      </c>
      <c r="G289" s="3">
        <f t="shared" si="20"/>
        <v>20848645</v>
      </c>
      <c r="H289" s="3">
        <f t="shared" si="21"/>
        <v>-3.0303124265186575E-2</v>
      </c>
      <c r="I289" s="3">
        <f t="shared" si="22"/>
        <v>-3.0303124265186575E-2</v>
      </c>
      <c r="J289" s="3">
        <f t="shared" si="23"/>
        <v>-3.0302940611868494E-2</v>
      </c>
      <c r="K289" s="3">
        <f t="shared" si="24"/>
        <v>-3.030298693587867E-2</v>
      </c>
    </row>
    <row r="290" spans="2:11" x14ac:dyDescent="0.3">
      <c r="B290" s="38">
        <v>43753</v>
      </c>
      <c r="C290" s="3">
        <v>7896424</v>
      </c>
      <c r="D290" s="3">
        <v>5922318</v>
      </c>
      <c r="E290" s="3">
        <v>2412796</v>
      </c>
      <c r="F290" s="3">
        <v>5702973</v>
      </c>
      <c r="G290" s="3">
        <f t="shared" si="20"/>
        <v>21934511</v>
      </c>
      <c r="H290" s="3">
        <f t="shared" si="21"/>
        <v>-1.9417496223979046E-2</v>
      </c>
      <c r="I290" s="3">
        <f t="shared" si="22"/>
        <v>-1.9417536813745036E-2</v>
      </c>
      <c r="J290" s="3">
        <f t="shared" si="23"/>
        <v>-1.9417420488064979E-2</v>
      </c>
      <c r="K290" s="3">
        <f t="shared" si="24"/>
        <v>-1.9417449018664858E-2</v>
      </c>
    </row>
    <row r="291" spans="2:11" x14ac:dyDescent="0.3">
      <c r="B291" s="38">
        <v>43754</v>
      </c>
      <c r="C291" s="3">
        <v>7427330</v>
      </c>
      <c r="D291" s="3">
        <v>5570497</v>
      </c>
      <c r="E291" s="3">
        <v>2269462</v>
      </c>
      <c r="F291" s="3">
        <v>5364183</v>
      </c>
      <c r="G291" s="3">
        <f t="shared" si="20"/>
        <v>20631472</v>
      </c>
      <c r="H291" s="3">
        <f t="shared" si="21"/>
        <v>0</v>
      </c>
      <c r="I291" s="3">
        <f t="shared" si="22"/>
        <v>0</v>
      </c>
      <c r="J291" s="3">
        <f t="shared" si="23"/>
        <v>0</v>
      </c>
      <c r="K291" s="3">
        <f t="shared" si="24"/>
        <v>0</v>
      </c>
    </row>
    <row r="292" spans="2:11" x14ac:dyDescent="0.3">
      <c r="B292" s="38">
        <v>43755</v>
      </c>
      <c r="C292" s="3">
        <v>7974607</v>
      </c>
      <c r="D292" s="3">
        <v>5980955</v>
      </c>
      <c r="E292" s="3">
        <v>2436685</v>
      </c>
      <c r="F292" s="3">
        <v>5759438</v>
      </c>
      <c r="G292" s="3">
        <f t="shared" si="20"/>
        <v>22151685</v>
      </c>
      <c r="H292" s="3">
        <f t="shared" si="21"/>
        <v>4.0816369148186538E-2</v>
      </c>
      <c r="I292" s="3">
        <f t="shared" si="22"/>
        <v>4.081628036157544E-2</v>
      </c>
      <c r="J292" s="3">
        <f t="shared" si="23"/>
        <v>4.0816204489372433E-2</v>
      </c>
      <c r="K292" s="3">
        <f t="shared" si="24"/>
        <v>4.0816267521665006E-2</v>
      </c>
    </row>
    <row r="293" spans="2:11" x14ac:dyDescent="0.3">
      <c r="B293" s="38">
        <v>43756</v>
      </c>
      <c r="C293" s="3">
        <v>7505512</v>
      </c>
      <c r="D293" s="3">
        <v>5629134</v>
      </c>
      <c r="E293" s="3">
        <v>2293351</v>
      </c>
      <c r="F293" s="3">
        <v>5420648</v>
      </c>
      <c r="G293" s="3">
        <f t="shared" si="20"/>
        <v>20848645</v>
      </c>
      <c r="H293" s="3">
        <f t="shared" si="21"/>
        <v>-2.0408184574093269E-2</v>
      </c>
      <c r="I293" s="3">
        <f t="shared" si="22"/>
        <v>-2.0408227191664775E-2</v>
      </c>
      <c r="J293" s="3">
        <f t="shared" si="23"/>
        <v>-2.0408102244686217E-2</v>
      </c>
      <c r="K293" s="3">
        <f t="shared" si="24"/>
        <v>-2.0408133760832503E-2</v>
      </c>
    </row>
    <row r="294" spans="2:11" x14ac:dyDescent="0.3">
      <c r="B294" s="38">
        <v>43757</v>
      </c>
      <c r="C294" s="3">
        <v>16645119</v>
      </c>
      <c r="D294" s="3">
        <v>12483839</v>
      </c>
      <c r="E294" s="3">
        <v>5086008</v>
      </c>
      <c r="F294" s="3">
        <v>12021475</v>
      </c>
      <c r="G294" s="3">
        <f t="shared" si="20"/>
        <v>46236441</v>
      </c>
      <c r="H294" s="3">
        <f t="shared" si="21"/>
        <v>1.980196806587561E-2</v>
      </c>
      <c r="I294" s="3">
        <f t="shared" si="22"/>
        <v>1.9801926816586456E-2</v>
      </c>
      <c r="J294" s="3">
        <f t="shared" si="23"/>
        <v>1.9801890861318189E-2</v>
      </c>
      <c r="K294" s="3">
        <f t="shared" si="24"/>
        <v>1.9802006235468333E-2</v>
      </c>
    </row>
    <row r="295" spans="2:11" x14ac:dyDescent="0.3">
      <c r="B295" s="38">
        <v>43758</v>
      </c>
      <c r="C295" s="3">
        <v>15513897</v>
      </c>
      <c r="D295" s="3">
        <v>11635423</v>
      </c>
      <c r="E295" s="3">
        <v>4740357</v>
      </c>
      <c r="F295" s="3">
        <v>11204481</v>
      </c>
      <c r="G295" s="3">
        <f t="shared" si="20"/>
        <v>43094158</v>
      </c>
      <c r="H295" s="3">
        <f t="shared" si="21"/>
        <v>-1.0309272431501388E-2</v>
      </c>
      <c r="I295" s="3">
        <f t="shared" si="22"/>
        <v>-1.0309251166895262E-2</v>
      </c>
      <c r="J295" s="3">
        <f t="shared" si="23"/>
        <v>-1.0309336464473198E-2</v>
      </c>
      <c r="K295" s="3">
        <f t="shared" si="24"/>
        <v>-1.0309335719418312E-2</v>
      </c>
    </row>
    <row r="296" spans="2:11" x14ac:dyDescent="0.3">
      <c r="B296" s="38">
        <v>43759</v>
      </c>
      <c r="C296" s="3">
        <v>8209154</v>
      </c>
      <c r="D296" s="3">
        <v>6156866</v>
      </c>
      <c r="E296" s="3">
        <v>2508352</v>
      </c>
      <c r="F296" s="3">
        <v>5928833</v>
      </c>
      <c r="G296" s="3">
        <f t="shared" si="20"/>
        <v>22803205</v>
      </c>
      <c r="H296" s="3">
        <f t="shared" si="21"/>
        <v>9.375003330885355E-2</v>
      </c>
      <c r="I296" s="3">
        <f t="shared" si="22"/>
        <v>9.3750122132463004E-2</v>
      </c>
      <c r="J296" s="3">
        <f t="shared" si="23"/>
        <v>9.3749713846681126E-2</v>
      </c>
      <c r="K296" s="3">
        <f t="shared" si="24"/>
        <v>9.3749861640158152E-2</v>
      </c>
    </row>
    <row r="297" spans="2:11" x14ac:dyDescent="0.3">
      <c r="B297" s="38">
        <v>43760</v>
      </c>
      <c r="C297" s="3">
        <v>7818242</v>
      </c>
      <c r="D297" s="3">
        <v>5863681</v>
      </c>
      <c r="E297" s="3">
        <v>2388907</v>
      </c>
      <c r="F297" s="3">
        <v>5646508</v>
      </c>
      <c r="G297" s="3">
        <f t="shared" si="20"/>
        <v>21717338</v>
      </c>
      <c r="H297" s="3">
        <f t="shared" si="21"/>
        <v>-9.9009374369967984E-3</v>
      </c>
      <c r="I297" s="3">
        <f t="shared" si="22"/>
        <v>-9.9010218633987564E-3</v>
      </c>
      <c r="J297" s="3">
        <f t="shared" si="23"/>
        <v>-9.9009613742728347E-3</v>
      </c>
      <c r="K297" s="3">
        <f t="shared" si="24"/>
        <v>-9.9009762101275947E-3</v>
      </c>
    </row>
    <row r="298" spans="2:11" x14ac:dyDescent="0.3">
      <c r="B298" s="38">
        <v>43761</v>
      </c>
      <c r="C298" s="3">
        <v>7818242</v>
      </c>
      <c r="D298" s="3">
        <v>5863681</v>
      </c>
      <c r="E298" s="3">
        <v>2388907</v>
      </c>
      <c r="F298" s="3">
        <v>5646508</v>
      </c>
      <c r="G298" s="3">
        <f t="shared" si="20"/>
        <v>21717338</v>
      </c>
      <c r="H298" s="3">
        <f t="shared" si="21"/>
        <v>5.2631564774959505E-2</v>
      </c>
      <c r="I298" s="3">
        <f t="shared" si="22"/>
        <v>5.2631569499094963E-2</v>
      </c>
      <c r="J298" s="3">
        <f t="shared" si="23"/>
        <v>5.2631416608870295E-2</v>
      </c>
      <c r="K298" s="3">
        <f t="shared" si="24"/>
        <v>5.2631500454029999E-2</v>
      </c>
    </row>
    <row r="299" spans="2:11" x14ac:dyDescent="0.3">
      <c r="B299" s="38">
        <v>43762</v>
      </c>
      <c r="C299" s="3">
        <v>7583695</v>
      </c>
      <c r="D299" s="3">
        <v>5687771</v>
      </c>
      <c r="E299" s="3">
        <v>2317240</v>
      </c>
      <c r="F299" s="3">
        <v>5477113</v>
      </c>
      <c r="G299" s="3">
        <f t="shared" si="20"/>
        <v>21065819</v>
      </c>
      <c r="H299" s="3">
        <f t="shared" si="21"/>
        <v>-4.9019594319820399E-2</v>
      </c>
      <c r="I299" s="3">
        <f t="shared" si="22"/>
        <v>-4.9019596368807324E-2</v>
      </c>
      <c r="J299" s="3">
        <f t="shared" si="23"/>
        <v>-4.9019467021793953E-2</v>
      </c>
      <c r="K299" s="3">
        <f t="shared" si="24"/>
        <v>-4.9019539753705134E-2</v>
      </c>
    </row>
    <row r="300" spans="2:11" x14ac:dyDescent="0.3">
      <c r="B300" s="38">
        <v>43763</v>
      </c>
      <c r="C300" s="3">
        <v>7740060</v>
      </c>
      <c r="D300" s="3">
        <v>5805045</v>
      </c>
      <c r="E300" s="3">
        <v>2365018</v>
      </c>
      <c r="F300" s="3">
        <v>5590043</v>
      </c>
      <c r="G300" s="3">
        <f t="shared" si="20"/>
        <v>21500166</v>
      </c>
      <c r="H300" s="3">
        <f t="shared" si="21"/>
        <v>3.1250099926560637E-2</v>
      </c>
      <c r="I300" s="3">
        <f t="shared" si="22"/>
        <v>3.1250099926560637E-2</v>
      </c>
      <c r="J300" s="3">
        <f t="shared" si="23"/>
        <v>3.1249904615560375E-2</v>
      </c>
      <c r="K300" s="3">
        <f t="shared" si="24"/>
        <v>3.1249953880052719E-2</v>
      </c>
    </row>
    <row r="301" spans="2:11" x14ac:dyDescent="0.3">
      <c r="B301" s="38">
        <v>43764</v>
      </c>
      <c r="C301" s="3">
        <v>15837104</v>
      </c>
      <c r="D301" s="3">
        <v>11877828</v>
      </c>
      <c r="E301" s="3">
        <v>4839115</v>
      </c>
      <c r="F301" s="3">
        <v>11437908</v>
      </c>
      <c r="G301" s="3">
        <f t="shared" si="20"/>
        <v>43991955</v>
      </c>
      <c r="H301" s="3">
        <f t="shared" si="21"/>
        <v>-4.8543660156469895E-2</v>
      </c>
      <c r="I301" s="3">
        <f t="shared" si="22"/>
        <v>-4.8543641102708868E-2</v>
      </c>
      <c r="J301" s="3">
        <f t="shared" si="23"/>
        <v>-4.8543572876802395E-2</v>
      </c>
      <c r="K301" s="3">
        <f t="shared" si="24"/>
        <v>-4.8543710318409344E-2</v>
      </c>
    </row>
    <row r="302" spans="2:11" x14ac:dyDescent="0.3">
      <c r="B302" s="38">
        <v>43765</v>
      </c>
      <c r="C302" s="3">
        <v>15513897</v>
      </c>
      <c r="D302" s="3">
        <v>11635423</v>
      </c>
      <c r="E302" s="3">
        <v>4740357</v>
      </c>
      <c r="F302" s="3">
        <v>11204481</v>
      </c>
      <c r="G302" s="3">
        <f t="shared" si="20"/>
        <v>43094158</v>
      </c>
      <c r="H302" s="3">
        <f t="shared" si="21"/>
        <v>0</v>
      </c>
      <c r="I302" s="3">
        <f t="shared" si="22"/>
        <v>0</v>
      </c>
      <c r="J302" s="3">
        <f t="shared" si="23"/>
        <v>0</v>
      </c>
      <c r="K302" s="3">
        <f t="shared" si="24"/>
        <v>0</v>
      </c>
    </row>
    <row r="303" spans="2:11" x14ac:dyDescent="0.3">
      <c r="B303" s="38">
        <v>43766</v>
      </c>
      <c r="C303" s="3">
        <v>7583695</v>
      </c>
      <c r="D303" s="3">
        <v>5687771</v>
      </c>
      <c r="E303" s="3">
        <v>2317240</v>
      </c>
      <c r="F303" s="3">
        <v>5477113</v>
      </c>
      <c r="G303" s="3">
        <f t="shared" si="20"/>
        <v>21065819</v>
      </c>
      <c r="H303" s="3">
        <f t="shared" si="21"/>
        <v>-7.6190433265108687E-2</v>
      </c>
      <c r="I303" s="3">
        <f t="shared" si="22"/>
        <v>-7.6190548892894533E-2</v>
      </c>
      <c r="J303" s="3">
        <f t="shared" si="23"/>
        <v>-7.6190263567473784E-2</v>
      </c>
      <c r="K303" s="3">
        <f t="shared" si="24"/>
        <v>-7.6190373383767093E-2</v>
      </c>
    </row>
    <row r="304" spans="2:11" x14ac:dyDescent="0.3">
      <c r="B304" s="38">
        <v>43767</v>
      </c>
      <c r="C304" s="3">
        <v>7974607</v>
      </c>
      <c r="D304" s="3">
        <v>5980955</v>
      </c>
      <c r="E304" s="3">
        <v>2436685</v>
      </c>
      <c r="F304" s="3">
        <v>5759438</v>
      </c>
      <c r="G304" s="3">
        <f t="shared" si="20"/>
        <v>22151685</v>
      </c>
      <c r="H304" s="3">
        <f t="shared" si="21"/>
        <v>2.0000020464958745E-2</v>
      </c>
      <c r="I304" s="3">
        <f t="shared" si="22"/>
        <v>2.0000064805708224E-2</v>
      </c>
      <c r="J304" s="3">
        <f t="shared" si="23"/>
        <v>1.9999941395793138E-2</v>
      </c>
      <c r="K304" s="3">
        <f t="shared" si="24"/>
        <v>1.9999971663902716E-2</v>
      </c>
    </row>
    <row r="305" spans="2:11" x14ac:dyDescent="0.3">
      <c r="B305" s="38">
        <v>43768</v>
      </c>
      <c r="C305" s="3">
        <v>7740060</v>
      </c>
      <c r="D305" s="3">
        <v>5805045</v>
      </c>
      <c r="E305" s="3">
        <v>2365018</v>
      </c>
      <c r="F305" s="3">
        <v>5590043</v>
      </c>
      <c r="G305" s="3">
        <f t="shared" si="20"/>
        <v>21500166</v>
      </c>
      <c r="H305" s="3">
        <f t="shared" si="21"/>
        <v>-9.9999462794832898E-3</v>
      </c>
      <c r="I305" s="3">
        <f t="shared" si="22"/>
        <v>-9.9998618615166814E-3</v>
      </c>
      <c r="J305" s="3">
        <f t="shared" si="23"/>
        <v>-9.999970697896569E-3</v>
      </c>
      <c r="K305" s="3">
        <f t="shared" si="24"/>
        <v>-9.9999858319513579E-3</v>
      </c>
    </row>
    <row r="306" spans="2:11" x14ac:dyDescent="0.3">
      <c r="B306" s="38">
        <v>43769</v>
      </c>
      <c r="C306" s="3">
        <v>7427330</v>
      </c>
      <c r="D306" s="3">
        <v>5570497</v>
      </c>
      <c r="E306" s="3">
        <v>2269462</v>
      </c>
      <c r="F306" s="3">
        <v>5364183</v>
      </c>
      <c r="G306" s="3">
        <f t="shared" si="20"/>
        <v>20631472</v>
      </c>
      <c r="H306" s="3">
        <f t="shared" si="21"/>
        <v>-2.0618577092037588E-2</v>
      </c>
      <c r="I306" s="3">
        <f t="shared" si="22"/>
        <v>-2.0618621952255112E-2</v>
      </c>
      <c r="J306" s="3">
        <f t="shared" si="23"/>
        <v>-2.0618494415770485E-2</v>
      </c>
      <c r="K306" s="3">
        <f t="shared" si="24"/>
        <v>-2.0618526585082324E-2</v>
      </c>
    </row>
    <row r="307" spans="2:11" x14ac:dyDescent="0.3">
      <c r="B307" s="38">
        <v>43770</v>
      </c>
      <c r="C307" s="3">
        <v>7583695</v>
      </c>
      <c r="D307" s="3">
        <v>5687771</v>
      </c>
      <c r="E307" s="3">
        <v>2317240</v>
      </c>
      <c r="F307" s="3">
        <v>5477113</v>
      </c>
      <c r="G307" s="3">
        <f t="shared" si="20"/>
        <v>21065819</v>
      </c>
      <c r="H307" s="3">
        <f t="shared" si="21"/>
        <v>-2.0202039777469424E-2</v>
      </c>
      <c r="I307" s="3">
        <f t="shared" si="22"/>
        <v>-2.0202082843457717E-2</v>
      </c>
      <c r="J307" s="3">
        <f t="shared" si="23"/>
        <v>-2.020196040791233E-2</v>
      </c>
      <c r="K307" s="3">
        <f t="shared" si="24"/>
        <v>-2.020199129058578E-2</v>
      </c>
    </row>
    <row r="308" spans="2:11" x14ac:dyDescent="0.3">
      <c r="B308" s="38">
        <v>43771</v>
      </c>
      <c r="C308" s="3">
        <v>15352294</v>
      </c>
      <c r="D308" s="3">
        <v>11514221</v>
      </c>
      <c r="E308" s="3">
        <v>4690978</v>
      </c>
      <c r="F308" s="3">
        <v>11087768</v>
      </c>
      <c r="G308" s="3">
        <f t="shared" si="20"/>
        <v>42645261</v>
      </c>
      <c r="H308" s="3">
        <f t="shared" si="21"/>
        <v>-3.0612288711370464E-2</v>
      </c>
      <c r="I308" s="3">
        <f t="shared" si="22"/>
        <v>-3.0612246616132176E-2</v>
      </c>
      <c r="J308" s="3">
        <f t="shared" si="23"/>
        <v>-3.0612415699978197E-2</v>
      </c>
      <c r="K308" s="3">
        <f t="shared" si="24"/>
        <v>-3.061224132944591E-2</v>
      </c>
    </row>
    <row r="309" spans="2:11" x14ac:dyDescent="0.3">
      <c r="B309" s="38">
        <v>43772</v>
      </c>
      <c r="C309" s="3">
        <v>16483516</v>
      </c>
      <c r="D309" s="3">
        <v>12362637</v>
      </c>
      <c r="E309" s="3">
        <v>5036630</v>
      </c>
      <c r="F309" s="3">
        <v>11904761</v>
      </c>
      <c r="G309" s="3">
        <f t="shared" si="20"/>
        <v>45787544</v>
      </c>
      <c r="H309" s="3">
        <f t="shared" si="21"/>
        <v>6.2500028200522403E-2</v>
      </c>
      <c r="I309" s="3">
        <f t="shared" si="22"/>
        <v>6.2500005371527959E-2</v>
      </c>
      <c r="J309" s="3">
        <f t="shared" si="23"/>
        <v>6.2500145031270854E-2</v>
      </c>
      <c r="K309" s="3">
        <f t="shared" si="24"/>
        <v>6.2499994421874608E-2</v>
      </c>
    </row>
    <row r="310" spans="2:11" x14ac:dyDescent="0.3">
      <c r="B310" s="38">
        <v>43773</v>
      </c>
      <c r="C310" s="3">
        <v>7661877</v>
      </c>
      <c r="D310" s="3">
        <v>5746408</v>
      </c>
      <c r="E310" s="3">
        <v>2341129</v>
      </c>
      <c r="F310" s="3">
        <v>5533578</v>
      </c>
      <c r="G310" s="3">
        <f t="shared" si="20"/>
        <v>21282992</v>
      </c>
      <c r="H310" s="3">
        <f t="shared" si="21"/>
        <v>1.0309222615097258E-2</v>
      </c>
      <c r="I310" s="3">
        <f t="shared" si="22"/>
        <v>1.0309310976127556E-2</v>
      </c>
      <c r="J310" s="3">
        <f t="shared" si="23"/>
        <v>1.0309247207885243E-2</v>
      </c>
      <c r="K310" s="3">
        <f t="shared" si="24"/>
        <v>1.0309263292541162E-2</v>
      </c>
    </row>
    <row r="311" spans="2:11" x14ac:dyDescent="0.3">
      <c r="B311" s="38">
        <v>43774</v>
      </c>
      <c r="C311" s="3">
        <v>7505512</v>
      </c>
      <c r="D311" s="3">
        <v>5629134</v>
      </c>
      <c r="E311" s="3">
        <v>2293351</v>
      </c>
      <c r="F311" s="3">
        <v>5420648</v>
      </c>
      <c r="G311" s="3">
        <f t="shared" si="20"/>
        <v>20848645</v>
      </c>
      <c r="H311" s="3">
        <f t="shared" si="21"/>
        <v>-5.8823588422601894E-2</v>
      </c>
      <c r="I311" s="3">
        <f t="shared" si="22"/>
        <v>-5.8823549082044589E-2</v>
      </c>
      <c r="J311" s="3">
        <f t="shared" si="23"/>
        <v>-5.8823360426152743E-2</v>
      </c>
      <c r="K311" s="3">
        <f t="shared" si="24"/>
        <v>-5.8823447704446162E-2</v>
      </c>
    </row>
    <row r="312" spans="2:11" x14ac:dyDescent="0.3">
      <c r="B312" s="38">
        <v>43775</v>
      </c>
      <c r="C312" s="3">
        <v>7740060</v>
      </c>
      <c r="D312" s="3">
        <v>5805045</v>
      </c>
      <c r="E312" s="3">
        <v>2365018</v>
      </c>
      <c r="F312" s="3">
        <v>5590043</v>
      </c>
      <c r="G312" s="3">
        <f t="shared" si="20"/>
        <v>21500166</v>
      </c>
      <c r="H312" s="3">
        <f t="shared" si="21"/>
        <v>0</v>
      </c>
      <c r="I312" s="3">
        <f t="shared" si="22"/>
        <v>0</v>
      </c>
      <c r="J312" s="3">
        <f t="shared" si="23"/>
        <v>0</v>
      </c>
      <c r="K312" s="3">
        <f t="shared" si="24"/>
        <v>0</v>
      </c>
    </row>
    <row r="313" spans="2:11" x14ac:dyDescent="0.3">
      <c r="B313" s="38">
        <v>43776</v>
      </c>
      <c r="C313" s="3">
        <v>7505512</v>
      </c>
      <c r="D313" s="3">
        <v>5629134</v>
      </c>
      <c r="E313" s="3">
        <v>2293351</v>
      </c>
      <c r="F313" s="3">
        <v>5420648</v>
      </c>
      <c r="G313" s="3">
        <f t="shared" si="20"/>
        <v>20848645</v>
      </c>
      <c r="H313" s="3">
        <f t="shared" si="21"/>
        <v>1.052625909983803E-2</v>
      </c>
      <c r="I313" s="3">
        <f t="shared" si="22"/>
        <v>1.0526349803258129E-2</v>
      </c>
      <c r="J313" s="3">
        <f t="shared" si="23"/>
        <v>1.052628332177406E-2</v>
      </c>
      <c r="K313" s="3">
        <f t="shared" si="24"/>
        <v>1.0526300090806E-2</v>
      </c>
    </row>
    <row r="314" spans="2:11" x14ac:dyDescent="0.3">
      <c r="B314" s="38">
        <v>43777</v>
      </c>
      <c r="C314" s="3">
        <v>7583695</v>
      </c>
      <c r="D314" s="3">
        <v>5687771</v>
      </c>
      <c r="E314" s="3">
        <v>2317240</v>
      </c>
      <c r="F314" s="3">
        <v>5477113</v>
      </c>
      <c r="G314" s="3">
        <f t="shared" si="20"/>
        <v>21065819</v>
      </c>
      <c r="H314" s="3">
        <f t="shared" si="21"/>
        <v>0</v>
      </c>
      <c r="I314" s="3">
        <f t="shared" si="22"/>
        <v>0</v>
      </c>
      <c r="J314" s="3">
        <f t="shared" si="23"/>
        <v>0</v>
      </c>
      <c r="K314" s="3">
        <f t="shared" si="24"/>
        <v>0</v>
      </c>
    </row>
    <row r="315" spans="2:11" x14ac:dyDescent="0.3">
      <c r="B315" s="38">
        <v>43778</v>
      </c>
      <c r="C315" s="3">
        <v>16483516</v>
      </c>
      <c r="D315" s="3">
        <v>12362637</v>
      </c>
      <c r="E315" s="3">
        <v>5036630</v>
      </c>
      <c r="F315" s="3">
        <v>11904761</v>
      </c>
      <c r="G315" s="3">
        <f t="shared" si="20"/>
        <v>45787544</v>
      </c>
      <c r="H315" s="3">
        <f t="shared" si="21"/>
        <v>7.3684232467147906E-2</v>
      </c>
      <c r="I315" s="3">
        <f t="shared" si="22"/>
        <v>7.3684185842880737E-2</v>
      </c>
      <c r="J315" s="3">
        <f t="shared" si="23"/>
        <v>7.368442145752975E-2</v>
      </c>
      <c r="K315" s="3">
        <f t="shared" si="24"/>
        <v>7.3684171602436122E-2</v>
      </c>
    </row>
    <row r="316" spans="2:11" x14ac:dyDescent="0.3">
      <c r="B316" s="38">
        <v>43779</v>
      </c>
      <c r="C316" s="3">
        <v>16968325</v>
      </c>
      <c r="D316" s="3">
        <v>12726244</v>
      </c>
      <c r="E316" s="3">
        <v>5184766</v>
      </c>
      <c r="F316" s="3">
        <v>12254901</v>
      </c>
      <c r="G316" s="3">
        <f t="shared" si="20"/>
        <v>47134236</v>
      </c>
      <c r="H316" s="3">
        <f t="shared" si="21"/>
        <v>2.9411746862744576E-2</v>
      </c>
      <c r="I316" s="3">
        <f t="shared" si="22"/>
        <v>2.9411767084967389E-2</v>
      </c>
      <c r="J316" s="3">
        <f t="shared" si="23"/>
        <v>2.9411729668448943E-2</v>
      </c>
      <c r="K316" s="3">
        <f t="shared" si="24"/>
        <v>2.9411762235293931E-2</v>
      </c>
    </row>
    <row r="317" spans="2:11" x14ac:dyDescent="0.3">
      <c r="B317" s="38">
        <v>43780</v>
      </c>
      <c r="C317" s="3">
        <v>7740060</v>
      </c>
      <c r="D317" s="3">
        <v>5805045</v>
      </c>
      <c r="E317" s="3">
        <v>2365018</v>
      </c>
      <c r="F317" s="3">
        <v>5590043</v>
      </c>
      <c r="G317" s="3">
        <f t="shared" si="20"/>
        <v>21500166</v>
      </c>
      <c r="H317" s="3">
        <f t="shared" si="21"/>
        <v>1.0204157545207265E-2</v>
      </c>
      <c r="I317" s="3">
        <f t="shared" si="22"/>
        <v>1.0204113595832388E-2</v>
      </c>
      <c r="J317" s="3">
        <f t="shared" si="23"/>
        <v>1.0204051122343108E-2</v>
      </c>
      <c r="K317" s="3">
        <f t="shared" si="24"/>
        <v>1.0204066880416252E-2</v>
      </c>
    </row>
    <row r="318" spans="2:11" x14ac:dyDescent="0.3">
      <c r="B318" s="38">
        <v>43781</v>
      </c>
      <c r="C318" s="3">
        <v>7427330</v>
      </c>
      <c r="D318" s="3">
        <v>5570497</v>
      </c>
      <c r="E318" s="3">
        <v>2269462</v>
      </c>
      <c r="F318" s="3">
        <v>5364183</v>
      </c>
      <c r="G318" s="3">
        <f t="shared" si="20"/>
        <v>20631472</v>
      </c>
      <c r="H318" s="3">
        <f t="shared" si="21"/>
        <v>-1.0416611151910756E-2</v>
      </c>
      <c r="I318" s="3">
        <f t="shared" si="22"/>
        <v>-1.0416699975520213E-2</v>
      </c>
      <c r="J318" s="3">
        <f t="shared" si="23"/>
        <v>-1.0416634871853458E-2</v>
      </c>
      <c r="K318" s="3">
        <f t="shared" si="24"/>
        <v>-1.0416651293350905E-2</v>
      </c>
    </row>
    <row r="319" spans="2:11" x14ac:dyDescent="0.3">
      <c r="B319" s="38">
        <v>43782</v>
      </c>
      <c r="C319" s="3">
        <v>7740060</v>
      </c>
      <c r="D319" s="3">
        <v>5805045</v>
      </c>
      <c r="E319" s="3">
        <v>2365018</v>
      </c>
      <c r="F319" s="3">
        <v>5590043</v>
      </c>
      <c r="G319" s="3">
        <f t="shared" si="20"/>
        <v>21500166</v>
      </c>
      <c r="H319" s="3">
        <f t="shared" si="21"/>
        <v>0</v>
      </c>
      <c r="I319" s="3">
        <f t="shared" si="22"/>
        <v>0</v>
      </c>
      <c r="J319" s="3">
        <f t="shared" si="23"/>
        <v>0</v>
      </c>
      <c r="K319" s="3">
        <f t="shared" si="24"/>
        <v>0</v>
      </c>
    </row>
    <row r="320" spans="2:11" x14ac:dyDescent="0.3">
      <c r="B320" s="38">
        <v>43783</v>
      </c>
      <c r="C320" s="3">
        <v>7505512</v>
      </c>
      <c r="D320" s="3">
        <v>5629134</v>
      </c>
      <c r="E320" s="3">
        <v>2293351</v>
      </c>
      <c r="F320" s="3">
        <v>5420648</v>
      </c>
      <c r="G320" s="3">
        <f t="shared" si="20"/>
        <v>20848645</v>
      </c>
      <c r="H320" s="3">
        <f t="shared" si="21"/>
        <v>0</v>
      </c>
      <c r="I320" s="3">
        <f t="shared" si="22"/>
        <v>0</v>
      </c>
      <c r="J320" s="3">
        <f t="shared" si="23"/>
        <v>0</v>
      </c>
      <c r="K320" s="3">
        <f t="shared" si="24"/>
        <v>0</v>
      </c>
    </row>
    <row r="321" spans="2:11" x14ac:dyDescent="0.3">
      <c r="B321" s="38">
        <v>43784</v>
      </c>
      <c r="C321" s="3">
        <v>7818242</v>
      </c>
      <c r="D321" s="3">
        <v>5863681</v>
      </c>
      <c r="E321" s="3">
        <v>2388907</v>
      </c>
      <c r="F321" s="3">
        <v>5646508</v>
      </c>
      <c r="G321" s="3">
        <f t="shared" si="20"/>
        <v>21717338</v>
      </c>
      <c r="H321" s="3">
        <f t="shared" si="21"/>
        <v>3.0927799707134846E-2</v>
      </c>
      <c r="I321" s="3">
        <f t="shared" si="22"/>
        <v>3.0927757112584175E-2</v>
      </c>
      <c r="J321" s="3">
        <f t="shared" si="23"/>
        <v>3.0927741623655729E-2</v>
      </c>
      <c r="K321" s="3">
        <f t="shared" si="24"/>
        <v>3.0927789877623485E-2</v>
      </c>
    </row>
    <row r="322" spans="2:11" x14ac:dyDescent="0.3">
      <c r="B322" s="38">
        <v>43785</v>
      </c>
      <c r="C322" s="3">
        <v>16968325</v>
      </c>
      <c r="D322" s="3">
        <v>12726244</v>
      </c>
      <c r="E322" s="3">
        <v>5184766</v>
      </c>
      <c r="F322" s="3">
        <v>12254901</v>
      </c>
      <c r="G322" s="3">
        <f t="shared" si="20"/>
        <v>47134236</v>
      </c>
      <c r="H322" s="3">
        <f t="shared" si="21"/>
        <v>2.9411746862744576E-2</v>
      </c>
      <c r="I322" s="3">
        <f t="shared" si="22"/>
        <v>2.9411767084967389E-2</v>
      </c>
      <c r="J322" s="3">
        <f t="shared" si="23"/>
        <v>2.9411729668448943E-2</v>
      </c>
      <c r="K322" s="3">
        <f t="shared" si="24"/>
        <v>2.9411762235293931E-2</v>
      </c>
    </row>
    <row r="323" spans="2:11" x14ac:dyDescent="0.3">
      <c r="B323" s="38">
        <v>43786</v>
      </c>
      <c r="C323" s="3">
        <v>15837104</v>
      </c>
      <c r="D323" s="3">
        <v>11877828</v>
      </c>
      <c r="E323" s="3">
        <v>4839115</v>
      </c>
      <c r="F323" s="3">
        <v>11437908</v>
      </c>
      <c r="G323" s="3">
        <f t="shared" si="20"/>
        <v>43991955</v>
      </c>
      <c r="H323" s="3">
        <f t="shared" si="21"/>
        <v>-6.6666627377775942E-2</v>
      </c>
      <c r="I323" s="3">
        <f t="shared" si="22"/>
        <v>-6.6666645712592024E-2</v>
      </c>
      <c r="J323" s="3">
        <f t="shared" si="23"/>
        <v>-6.6666653808484314E-2</v>
      </c>
      <c r="K323" s="3">
        <f t="shared" si="24"/>
        <v>-6.6666634026664104E-2</v>
      </c>
    </row>
    <row r="324" spans="2:11" x14ac:dyDescent="0.3">
      <c r="B324" s="38">
        <v>43787</v>
      </c>
      <c r="C324" s="3">
        <v>8209154</v>
      </c>
      <c r="D324" s="3">
        <v>6156866</v>
      </c>
      <c r="E324" s="3">
        <v>2508352</v>
      </c>
      <c r="F324" s="3">
        <v>5928833</v>
      </c>
      <c r="G324" s="3">
        <f t="shared" ref="G324:G368" si="25">SUM(C324:F324)</f>
        <v>22803205</v>
      </c>
      <c r="H324" s="3">
        <f t="shared" si="21"/>
        <v>6.0605990134443399E-2</v>
      </c>
      <c r="I324" s="3">
        <f t="shared" si="22"/>
        <v>6.0606076266419985E-2</v>
      </c>
      <c r="J324" s="3">
        <f t="shared" si="23"/>
        <v>6.0605881223736988E-2</v>
      </c>
      <c r="K324" s="3">
        <f t="shared" si="24"/>
        <v>6.060597387175734E-2</v>
      </c>
    </row>
    <row r="325" spans="2:11" x14ac:dyDescent="0.3">
      <c r="B325" s="38">
        <v>43788</v>
      </c>
      <c r="C325" s="3">
        <v>7661877</v>
      </c>
      <c r="D325" s="3">
        <v>5746408</v>
      </c>
      <c r="E325" s="3">
        <v>2341129</v>
      </c>
      <c r="F325" s="3">
        <v>5533578</v>
      </c>
      <c r="G325" s="3">
        <f t="shared" si="25"/>
        <v>21282992</v>
      </c>
      <c r="H325" s="3">
        <f t="shared" si="21"/>
        <v>3.1578911937398771E-2</v>
      </c>
      <c r="I325" s="3">
        <f t="shared" si="22"/>
        <v>3.1579049409774386E-2</v>
      </c>
      <c r="J325" s="3">
        <f t="shared" si="23"/>
        <v>3.1578849965322175E-2</v>
      </c>
      <c r="K325" s="3">
        <f t="shared" si="24"/>
        <v>3.1578900272417998E-2</v>
      </c>
    </row>
    <row r="326" spans="2:11" x14ac:dyDescent="0.3">
      <c r="B326" s="38">
        <v>43789</v>
      </c>
      <c r="C326" s="3">
        <v>8052789</v>
      </c>
      <c r="D326" s="3">
        <v>6039592</v>
      </c>
      <c r="E326" s="3">
        <v>2460574</v>
      </c>
      <c r="F326" s="3">
        <v>5815903</v>
      </c>
      <c r="G326" s="3">
        <f t="shared" si="25"/>
        <v>22368858</v>
      </c>
      <c r="H326" s="3">
        <f t="shared" si="21"/>
        <v>4.0403950356973979E-2</v>
      </c>
      <c r="I326" s="3">
        <f t="shared" si="22"/>
        <v>4.0403993422962269E-2</v>
      </c>
      <c r="J326" s="3">
        <f t="shared" si="23"/>
        <v>4.0403920815824661E-2</v>
      </c>
      <c r="K326" s="3">
        <f t="shared" si="24"/>
        <v>4.040398258117156E-2</v>
      </c>
    </row>
    <row r="327" spans="2:11" x14ac:dyDescent="0.3">
      <c r="B327" s="38">
        <v>43790</v>
      </c>
      <c r="C327" s="3">
        <v>7661877</v>
      </c>
      <c r="D327" s="3">
        <v>5746408</v>
      </c>
      <c r="E327" s="3">
        <v>2341129</v>
      </c>
      <c r="F327" s="3">
        <v>5533578</v>
      </c>
      <c r="G327" s="3">
        <f t="shared" si="25"/>
        <v>21282992</v>
      </c>
      <c r="H327" s="3">
        <f t="shared" si="21"/>
        <v>2.0833355539235699E-2</v>
      </c>
      <c r="I327" s="3">
        <f t="shared" si="22"/>
        <v>2.0833399951040426E-2</v>
      </c>
      <c r="J327" s="3">
        <f t="shared" si="23"/>
        <v>2.0833269743706917E-2</v>
      </c>
      <c r="K327" s="3">
        <f t="shared" si="24"/>
        <v>2.083330258670181E-2</v>
      </c>
    </row>
    <row r="328" spans="2:11" x14ac:dyDescent="0.3">
      <c r="B328" s="38">
        <v>43791</v>
      </c>
      <c r="C328" s="3">
        <v>8209154</v>
      </c>
      <c r="D328" s="3">
        <v>6156866</v>
      </c>
      <c r="E328" s="3">
        <v>2508352</v>
      </c>
      <c r="F328" s="3">
        <v>5928833</v>
      </c>
      <c r="G328" s="3">
        <f t="shared" si="25"/>
        <v>22803205</v>
      </c>
      <c r="H328" s="3">
        <f t="shared" si="21"/>
        <v>4.9999987209400784E-2</v>
      </c>
      <c r="I328" s="3">
        <f t="shared" si="22"/>
        <v>5.0000162014270558E-2</v>
      </c>
      <c r="J328" s="3">
        <f t="shared" si="23"/>
        <v>4.9999853489482847E-2</v>
      </c>
      <c r="K328" s="3">
        <f t="shared" si="24"/>
        <v>4.999992915975679E-2</v>
      </c>
    </row>
    <row r="329" spans="2:11" x14ac:dyDescent="0.3">
      <c r="B329" s="38">
        <v>43792</v>
      </c>
      <c r="C329" s="3">
        <v>16483516</v>
      </c>
      <c r="D329" s="3">
        <v>12362637</v>
      </c>
      <c r="E329" s="3">
        <v>5036630</v>
      </c>
      <c r="F329" s="3">
        <v>11904761</v>
      </c>
      <c r="G329" s="3">
        <f t="shared" si="25"/>
        <v>45787544</v>
      </c>
      <c r="H329" s="3">
        <f t="shared" si="21"/>
        <v>-2.8571411733332549E-2</v>
      </c>
      <c r="I329" s="3">
        <f t="shared" si="22"/>
        <v>-2.8571430816507998E-2</v>
      </c>
      <c r="J329" s="3">
        <f t="shared" si="23"/>
        <v>-2.8571395507531103E-2</v>
      </c>
      <c r="K329" s="3">
        <f t="shared" si="24"/>
        <v>-2.8571426239999816E-2</v>
      </c>
    </row>
    <row r="330" spans="2:11" x14ac:dyDescent="0.3">
      <c r="B330" s="38">
        <v>43793</v>
      </c>
      <c r="C330" s="3">
        <v>16645119</v>
      </c>
      <c r="D330" s="3">
        <v>12483839</v>
      </c>
      <c r="E330" s="3">
        <v>5086008</v>
      </c>
      <c r="F330" s="3">
        <v>12021475</v>
      </c>
      <c r="G330" s="3">
        <f t="shared" si="25"/>
        <v>46236441</v>
      </c>
      <c r="H330" s="3">
        <f t="shared" si="21"/>
        <v>5.1020375947521721E-2</v>
      </c>
      <c r="I330" s="3">
        <f t="shared" si="22"/>
        <v>5.1020354899902573E-2</v>
      </c>
      <c r="J330" s="3">
        <f t="shared" si="23"/>
        <v>5.1020279534584323E-2</v>
      </c>
      <c r="K330" s="3">
        <f t="shared" si="24"/>
        <v>5.1020431358601591E-2</v>
      </c>
    </row>
    <row r="331" spans="2:11" x14ac:dyDescent="0.3">
      <c r="B331" s="38">
        <v>43794</v>
      </c>
      <c r="C331" s="3">
        <v>7974607</v>
      </c>
      <c r="D331" s="3">
        <v>5980955</v>
      </c>
      <c r="E331" s="3">
        <v>2436685</v>
      </c>
      <c r="F331" s="3">
        <v>5759438</v>
      </c>
      <c r="G331" s="3">
        <f t="shared" si="25"/>
        <v>22151685</v>
      </c>
      <c r="H331" s="3">
        <f t="shared" ref="H331:H368" si="26">($C331-$C324)/$C324</f>
        <v>-2.8571397247511742E-2</v>
      </c>
      <c r="I331" s="3">
        <f t="shared" ref="I331:I368" si="27">($D331-$D324)/D324</f>
        <v>-2.8571516742446564E-2</v>
      </c>
      <c r="J331" s="3">
        <f t="shared" ref="J331:J368" si="28">(E331-E324)/E324</f>
        <v>-2.8571348837802667E-2</v>
      </c>
      <c r="K331" s="3">
        <f t="shared" ref="K331:K368" si="29">(F331-F324)/F324</f>
        <v>-2.8571390018912658E-2</v>
      </c>
    </row>
    <row r="332" spans="2:11" x14ac:dyDescent="0.3">
      <c r="B332" s="38">
        <v>43795</v>
      </c>
      <c r="C332" s="3">
        <v>7583695</v>
      </c>
      <c r="D332" s="3">
        <v>5687771</v>
      </c>
      <c r="E332" s="3">
        <v>2317240</v>
      </c>
      <c r="F332" s="3">
        <v>5477113</v>
      </c>
      <c r="G332" s="3">
        <f t="shared" si="25"/>
        <v>21065819</v>
      </c>
      <c r="H332" s="3">
        <f t="shared" si="26"/>
        <v>-1.0204027028886002E-2</v>
      </c>
      <c r="I332" s="3">
        <f t="shared" si="27"/>
        <v>-1.0204113595832388E-2</v>
      </c>
      <c r="J332" s="3">
        <f t="shared" si="28"/>
        <v>-1.0204051122343108E-2</v>
      </c>
      <c r="K332" s="3">
        <f t="shared" si="29"/>
        <v>-1.0204066880416252E-2</v>
      </c>
    </row>
    <row r="333" spans="2:11" x14ac:dyDescent="0.3">
      <c r="B333" s="38">
        <v>43796</v>
      </c>
      <c r="C333" s="3">
        <v>8209154</v>
      </c>
      <c r="D333" s="3">
        <v>6156866</v>
      </c>
      <c r="E333" s="3">
        <v>2508352</v>
      </c>
      <c r="F333" s="3">
        <v>5928833</v>
      </c>
      <c r="G333" s="3">
        <f t="shared" si="25"/>
        <v>22803205</v>
      </c>
      <c r="H333" s="3">
        <f t="shared" si="26"/>
        <v>1.9417496223979046E-2</v>
      </c>
      <c r="I333" s="3">
        <f t="shared" si="27"/>
        <v>1.9417536813745036E-2</v>
      </c>
      <c r="J333" s="3">
        <f t="shared" si="28"/>
        <v>1.9417420488064979E-2</v>
      </c>
      <c r="K333" s="3">
        <f t="shared" si="29"/>
        <v>1.9417449018664858E-2</v>
      </c>
    </row>
    <row r="334" spans="2:11" x14ac:dyDescent="0.3">
      <c r="B334" s="38">
        <v>43797</v>
      </c>
      <c r="C334" s="3">
        <v>8209154</v>
      </c>
      <c r="D334" s="3">
        <v>6156866</v>
      </c>
      <c r="E334" s="3">
        <v>2508352</v>
      </c>
      <c r="F334" s="3">
        <v>5928833</v>
      </c>
      <c r="G334" s="3">
        <f t="shared" si="25"/>
        <v>22803205</v>
      </c>
      <c r="H334" s="3">
        <f t="shared" si="26"/>
        <v>7.1428580751165802E-2</v>
      </c>
      <c r="I334" s="3">
        <f t="shared" si="27"/>
        <v>7.1428621149072599E-2</v>
      </c>
      <c r="J334" s="3">
        <f t="shared" si="28"/>
        <v>7.1428357856401767E-2</v>
      </c>
      <c r="K334" s="3">
        <f t="shared" si="29"/>
        <v>7.1428468162913761E-2</v>
      </c>
    </row>
    <row r="335" spans="2:11" x14ac:dyDescent="0.3">
      <c r="B335" s="38">
        <v>43798</v>
      </c>
      <c r="C335" s="3">
        <v>7818242</v>
      </c>
      <c r="D335" s="3">
        <v>5863681</v>
      </c>
      <c r="E335" s="3">
        <v>2388907</v>
      </c>
      <c r="F335" s="3">
        <v>5646508</v>
      </c>
      <c r="G335" s="3">
        <f t="shared" si="25"/>
        <v>21717338</v>
      </c>
      <c r="H335" s="3">
        <f t="shared" si="26"/>
        <v>-4.7619036017596941E-2</v>
      </c>
      <c r="I335" s="3">
        <f t="shared" si="27"/>
        <v>-4.7619194570744275E-2</v>
      </c>
      <c r="J335" s="3">
        <f t="shared" si="28"/>
        <v>-4.7618914729671113E-2</v>
      </c>
      <c r="K335" s="3">
        <f t="shared" si="29"/>
        <v>-4.7618983364854435E-2</v>
      </c>
    </row>
    <row r="336" spans="2:11" x14ac:dyDescent="0.3">
      <c r="B336" s="38">
        <v>43799</v>
      </c>
      <c r="C336" s="3">
        <v>16968325</v>
      </c>
      <c r="D336" s="3">
        <v>12726244</v>
      </c>
      <c r="E336" s="3">
        <v>5184766</v>
      </c>
      <c r="F336" s="3">
        <v>12254901</v>
      </c>
      <c r="G336" s="3">
        <f t="shared" si="25"/>
        <v>47134236</v>
      </c>
      <c r="H336" s="3">
        <f t="shared" si="26"/>
        <v>2.9411746862744576E-2</v>
      </c>
      <c r="I336" s="3">
        <f t="shared" si="27"/>
        <v>2.9411767084967389E-2</v>
      </c>
      <c r="J336" s="3">
        <f t="shared" si="28"/>
        <v>2.9411729668448943E-2</v>
      </c>
      <c r="K336" s="3">
        <f t="shared" si="29"/>
        <v>2.9411762235293931E-2</v>
      </c>
    </row>
    <row r="337" spans="2:11" x14ac:dyDescent="0.3">
      <c r="B337" s="38">
        <v>43800</v>
      </c>
      <c r="C337" s="3">
        <v>16806722</v>
      </c>
      <c r="D337" s="3">
        <v>12605042</v>
      </c>
      <c r="E337" s="3">
        <v>5135387</v>
      </c>
      <c r="F337" s="3">
        <v>12138188</v>
      </c>
      <c r="G337" s="3">
        <f t="shared" si="25"/>
        <v>46685339</v>
      </c>
      <c r="H337" s="3">
        <f t="shared" si="26"/>
        <v>9.708732031293979E-3</v>
      </c>
      <c r="I337" s="3">
        <f t="shared" si="27"/>
        <v>9.7087923033932107E-3</v>
      </c>
      <c r="J337" s="3">
        <f t="shared" si="28"/>
        <v>9.7087932225037796E-3</v>
      </c>
      <c r="K337" s="3">
        <f t="shared" si="29"/>
        <v>9.7087087898947502E-3</v>
      </c>
    </row>
    <row r="338" spans="2:11" x14ac:dyDescent="0.3">
      <c r="B338" s="38">
        <v>43801</v>
      </c>
      <c r="C338" s="3">
        <v>7740060</v>
      </c>
      <c r="D338" s="3">
        <v>5805045</v>
      </c>
      <c r="E338" s="3">
        <v>2365018</v>
      </c>
      <c r="F338" s="3">
        <v>5590043</v>
      </c>
      <c r="G338" s="3">
        <f t="shared" si="25"/>
        <v>21500166</v>
      </c>
      <c r="H338" s="3">
        <f t="shared" si="26"/>
        <v>-2.9411731512286435E-2</v>
      </c>
      <c r="I338" s="3">
        <f t="shared" si="27"/>
        <v>-2.9411690942332789E-2</v>
      </c>
      <c r="J338" s="3">
        <f t="shared" si="28"/>
        <v>-2.9411680213076372E-2</v>
      </c>
      <c r="K338" s="3">
        <f t="shared" si="29"/>
        <v>-2.9411723852223081E-2</v>
      </c>
    </row>
    <row r="339" spans="2:11" x14ac:dyDescent="0.3">
      <c r="B339" s="38">
        <v>43802</v>
      </c>
      <c r="C339" s="3">
        <v>7505512</v>
      </c>
      <c r="D339" s="3">
        <v>5629134</v>
      </c>
      <c r="E339" s="3">
        <v>2293351</v>
      </c>
      <c r="F339" s="3">
        <v>5420648</v>
      </c>
      <c r="G339" s="3">
        <f t="shared" si="25"/>
        <v>20848645</v>
      </c>
      <c r="H339" s="3">
        <f t="shared" si="26"/>
        <v>-1.0309354476940331E-2</v>
      </c>
      <c r="I339" s="3">
        <f t="shared" si="27"/>
        <v>-1.0309310976127556E-2</v>
      </c>
      <c r="J339" s="3">
        <f t="shared" si="28"/>
        <v>-1.0309247207885243E-2</v>
      </c>
      <c r="K339" s="3">
        <f t="shared" si="29"/>
        <v>-1.0309263292541162E-2</v>
      </c>
    </row>
    <row r="340" spans="2:11" x14ac:dyDescent="0.3">
      <c r="B340" s="38">
        <v>43803</v>
      </c>
      <c r="C340" s="3">
        <v>8052789</v>
      </c>
      <c r="D340" s="3">
        <v>6039592</v>
      </c>
      <c r="E340" s="3">
        <v>2460574</v>
      </c>
      <c r="F340" s="3">
        <v>5815903</v>
      </c>
      <c r="G340" s="3">
        <f t="shared" si="25"/>
        <v>22368858</v>
      </c>
      <c r="H340" s="3">
        <f t="shared" si="26"/>
        <v>-1.9047638770085199E-2</v>
      </c>
      <c r="I340" s="3">
        <f t="shared" si="27"/>
        <v>-1.9047677828297707E-2</v>
      </c>
      <c r="J340" s="3">
        <f t="shared" si="28"/>
        <v>-1.9047565891868446E-2</v>
      </c>
      <c r="K340" s="3">
        <f t="shared" si="29"/>
        <v>-1.9047593345941773E-2</v>
      </c>
    </row>
    <row r="341" spans="2:11" x14ac:dyDescent="0.3">
      <c r="B341" s="38">
        <v>43804</v>
      </c>
      <c r="C341" s="3">
        <v>8130972</v>
      </c>
      <c r="D341" s="3">
        <v>6098229</v>
      </c>
      <c r="E341" s="3">
        <v>2484463</v>
      </c>
      <c r="F341" s="3">
        <v>5872368</v>
      </c>
      <c r="G341" s="3">
        <f t="shared" si="25"/>
        <v>22586032</v>
      </c>
      <c r="H341" s="3">
        <f t="shared" si="26"/>
        <v>-9.5237584774265412E-3</v>
      </c>
      <c r="I341" s="3">
        <f t="shared" si="27"/>
        <v>-9.5238389141488536E-3</v>
      </c>
      <c r="J341" s="3">
        <f t="shared" si="28"/>
        <v>-9.523782945934223E-3</v>
      </c>
      <c r="K341" s="3">
        <f t="shared" si="29"/>
        <v>-9.5237966729708867E-3</v>
      </c>
    </row>
    <row r="342" spans="2:11" x14ac:dyDescent="0.3">
      <c r="B342" s="38">
        <v>43805</v>
      </c>
      <c r="C342" s="3">
        <v>7583695</v>
      </c>
      <c r="D342" s="3">
        <v>5687771</v>
      </c>
      <c r="E342" s="3">
        <v>2317240</v>
      </c>
      <c r="F342" s="3">
        <v>5477113</v>
      </c>
      <c r="G342" s="3">
        <f t="shared" si="25"/>
        <v>21065819</v>
      </c>
      <c r="H342" s="3">
        <f t="shared" si="26"/>
        <v>-2.9999966744442039E-2</v>
      </c>
      <c r="I342" s="3">
        <f t="shared" si="27"/>
        <v>-2.9999926667224907E-2</v>
      </c>
      <c r="J342" s="3">
        <f t="shared" si="28"/>
        <v>-2.9999912093689709E-2</v>
      </c>
      <c r="K342" s="3">
        <f t="shared" si="29"/>
        <v>-2.9999957495854074E-2</v>
      </c>
    </row>
    <row r="343" spans="2:11" x14ac:dyDescent="0.3">
      <c r="B343" s="38">
        <v>43806</v>
      </c>
      <c r="C343" s="3">
        <v>15837104</v>
      </c>
      <c r="D343" s="3">
        <v>11877828</v>
      </c>
      <c r="E343" s="3">
        <v>4839115</v>
      </c>
      <c r="F343" s="3">
        <v>11437908</v>
      </c>
      <c r="G343" s="3">
        <f t="shared" si="25"/>
        <v>43991955</v>
      </c>
      <c r="H343" s="3">
        <f t="shared" si="26"/>
        <v>-6.6666627377775942E-2</v>
      </c>
      <c r="I343" s="3">
        <f t="shared" si="27"/>
        <v>-6.6666645712592024E-2</v>
      </c>
      <c r="J343" s="3">
        <f t="shared" si="28"/>
        <v>-6.6666653808484314E-2</v>
      </c>
      <c r="K343" s="3">
        <f t="shared" si="29"/>
        <v>-6.6666634026664104E-2</v>
      </c>
    </row>
    <row r="344" spans="2:11" x14ac:dyDescent="0.3">
      <c r="B344" s="38">
        <v>43807</v>
      </c>
      <c r="C344" s="3">
        <v>15837104</v>
      </c>
      <c r="D344" s="3">
        <v>11877828</v>
      </c>
      <c r="E344" s="3">
        <v>4839115</v>
      </c>
      <c r="F344" s="3">
        <v>11437908</v>
      </c>
      <c r="G344" s="3">
        <f t="shared" si="25"/>
        <v>43991955</v>
      </c>
      <c r="H344" s="3">
        <f t="shared" si="26"/>
        <v>-5.7692273365383205E-2</v>
      </c>
      <c r="I344" s="3">
        <f t="shared" si="27"/>
        <v>-5.7692310743589749E-2</v>
      </c>
      <c r="J344" s="3">
        <f t="shared" si="28"/>
        <v>-5.7692244031462475E-2</v>
      </c>
      <c r="K344" s="3">
        <f t="shared" si="29"/>
        <v>-5.7692301355029271E-2</v>
      </c>
    </row>
    <row r="345" spans="2:11" x14ac:dyDescent="0.3">
      <c r="B345" s="38">
        <v>43808</v>
      </c>
      <c r="C345" s="3">
        <v>8130972</v>
      </c>
      <c r="D345" s="3">
        <v>6098229</v>
      </c>
      <c r="E345" s="3">
        <v>2484463</v>
      </c>
      <c r="F345" s="3">
        <v>5872368</v>
      </c>
      <c r="G345" s="3">
        <f t="shared" si="25"/>
        <v>22586032</v>
      </c>
      <c r="H345" s="3">
        <f t="shared" si="26"/>
        <v>5.0505034844691127E-2</v>
      </c>
      <c r="I345" s="3">
        <f t="shared" si="27"/>
        <v>5.0505034844691127E-2</v>
      </c>
      <c r="J345" s="3">
        <f t="shared" si="28"/>
        <v>5.0504901019780821E-2</v>
      </c>
      <c r="K345" s="3">
        <f t="shared" si="29"/>
        <v>5.050497822646445E-2</v>
      </c>
    </row>
    <row r="346" spans="2:11" x14ac:dyDescent="0.3">
      <c r="B346" s="38">
        <v>43809</v>
      </c>
      <c r="C346" s="3">
        <v>7740060</v>
      </c>
      <c r="D346" s="3">
        <v>5805045</v>
      </c>
      <c r="E346" s="3">
        <v>2365018</v>
      </c>
      <c r="F346" s="3">
        <v>5590043</v>
      </c>
      <c r="G346" s="3">
        <f t="shared" si="25"/>
        <v>21500166</v>
      </c>
      <c r="H346" s="3">
        <f t="shared" si="26"/>
        <v>3.1250099926560637E-2</v>
      </c>
      <c r="I346" s="3">
        <f t="shared" si="27"/>
        <v>3.1250099926560637E-2</v>
      </c>
      <c r="J346" s="3">
        <f t="shared" si="28"/>
        <v>3.1249904615560375E-2</v>
      </c>
      <c r="K346" s="3">
        <f t="shared" si="29"/>
        <v>3.1249953880052719E-2</v>
      </c>
    </row>
    <row r="347" spans="2:11" x14ac:dyDescent="0.3">
      <c r="B347" s="38">
        <v>43810</v>
      </c>
      <c r="C347" s="3">
        <v>8130972</v>
      </c>
      <c r="D347" s="3">
        <v>6098229</v>
      </c>
      <c r="E347" s="3">
        <v>2484463</v>
      </c>
      <c r="F347" s="3">
        <v>5872368</v>
      </c>
      <c r="G347" s="3">
        <f t="shared" si="25"/>
        <v>22586032</v>
      </c>
      <c r="H347" s="3">
        <f t="shared" si="26"/>
        <v>9.708810202278987E-3</v>
      </c>
      <c r="I347" s="3">
        <f t="shared" si="27"/>
        <v>9.7087684068725179E-3</v>
      </c>
      <c r="J347" s="3">
        <f t="shared" si="28"/>
        <v>9.7087102440324893E-3</v>
      </c>
      <c r="K347" s="3">
        <f t="shared" si="29"/>
        <v>9.7087245093324288E-3</v>
      </c>
    </row>
    <row r="348" spans="2:11" x14ac:dyDescent="0.3">
      <c r="B348" s="38">
        <v>43811</v>
      </c>
      <c r="C348" s="3">
        <v>7896424</v>
      </c>
      <c r="D348" s="3">
        <v>5922318</v>
      </c>
      <c r="E348" s="3">
        <v>2412796</v>
      </c>
      <c r="F348" s="3">
        <v>5702973</v>
      </c>
      <c r="G348" s="3">
        <f t="shared" si="25"/>
        <v>21934511</v>
      </c>
      <c r="H348" s="3">
        <f t="shared" si="26"/>
        <v>-2.8846243720922912E-2</v>
      </c>
      <c r="I348" s="3">
        <f t="shared" si="27"/>
        <v>-2.8846243720922912E-2</v>
      </c>
      <c r="J348" s="3">
        <f t="shared" si="28"/>
        <v>-2.8846072571819342E-2</v>
      </c>
      <c r="K348" s="3">
        <f t="shared" si="29"/>
        <v>-2.8846114548679511E-2</v>
      </c>
    </row>
    <row r="349" spans="2:11" x14ac:dyDescent="0.3">
      <c r="B349" s="38">
        <v>43812</v>
      </c>
      <c r="C349" s="3">
        <v>8209154</v>
      </c>
      <c r="D349" s="3">
        <v>6156866</v>
      </c>
      <c r="E349" s="3">
        <v>2508352</v>
      </c>
      <c r="F349" s="3">
        <v>5928833</v>
      </c>
      <c r="G349" s="3">
        <f t="shared" si="25"/>
        <v>22803205</v>
      </c>
      <c r="H349" s="3">
        <f t="shared" si="26"/>
        <v>8.2474176506307284E-2</v>
      </c>
      <c r="I349" s="3">
        <f t="shared" si="27"/>
        <v>8.2474311993221944E-2</v>
      </c>
      <c r="J349" s="3">
        <f t="shared" si="28"/>
        <v>8.247397766308194E-2</v>
      </c>
      <c r="K349" s="3">
        <f t="shared" si="29"/>
        <v>8.2474106340329298E-2</v>
      </c>
    </row>
    <row r="350" spans="2:11" x14ac:dyDescent="0.3">
      <c r="B350" s="38">
        <v>43813</v>
      </c>
      <c r="C350" s="3">
        <v>16483516</v>
      </c>
      <c r="D350" s="3">
        <v>12362637</v>
      </c>
      <c r="E350" s="3">
        <v>5036630</v>
      </c>
      <c r="F350" s="3">
        <v>11904761</v>
      </c>
      <c r="G350" s="3">
        <f t="shared" si="25"/>
        <v>45787544</v>
      </c>
      <c r="H350" s="3">
        <f t="shared" si="26"/>
        <v>4.0816300758017378E-2</v>
      </c>
      <c r="I350" s="3">
        <f t="shared" si="27"/>
        <v>4.0816300758017378E-2</v>
      </c>
      <c r="J350" s="3">
        <f t="shared" si="28"/>
        <v>4.0816347617281257E-2</v>
      </c>
      <c r="K350" s="3">
        <f t="shared" si="29"/>
        <v>4.0816292629736135E-2</v>
      </c>
    </row>
    <row r="351" spans="2:11" x14ac:dyDescent="0.3">
      <c r="B351" s="38">
        <v>43814</v>
      </c>
      <c r="C351" s="3">
        <v>15513897</v>
      </c>
      <c r="D351" s="3">
        <v>11635423</v>
      </c>
      <c r="E351" s="3">
        <v>4740357</v>
      </c>
      <c r="F351" s="3">
        <v>11204481</v>
      </c>
      <c r="G351" s="3">
        <f t="shared" si="25"/>
        <v>43094158</v>
      </c>
      <c r="H351" s="3">
        <f t="shared" si="26"/>
        <v>-2.0408213521866118E-2</v>
      </c>
      <c r="I351" s="3">
        <f t="shared" si="27"/>
        <v>-2.0408192474246974E-2</v>
      </c>
      <c r="J351" s="3">
        <f t="shared" si="28"/>
        <v>-2.0408277133318799E-2</v>
      </c>
      <c r="K351" s="3">
        <f t="shared" si="29"/>
        <v>-2.0408190029155681E-2</v>
      </c>
    </row>
    <row r="352" spans="2:11" x14ac:dyDescent="0.3">
      <c r="B352" s="38">
        <v>43815</v>
      </c>
      <c r="C352" s="3">
        <v>7661877</v>
      </c>
      <c r="D352" s="3">
        <v>5746408</v>
      </c>
      <c r="E352" s="3">
        <v>2341129</v>
      </c>
      <c r="F352" s="3">
        <v>5533578</v>
      </c>
      <c r="G352" s="3">
        <f t="shared" si="25"/>
        <v>21282992</v>
      </c>
      <c r="H352" s="3">
        <f t="shared" si="26"/>
        <v>-5.7692364455319736E-2</v>
      </c>
      <c r="I352" s="3">
        <f t="shared" si="27"/>
        <v>-5.769232345981104E-2</v>
      </c>
      <c r="J352" s="3">
        <f t="shared" si="28"/>
        <v>-5.7692145143638685E-2</v>
      </c>
      <c r="K352" s="3">
        <f t="shared" si="29"/>
        <v>-5.7692229097359021E-2</v>
      </c>
    </row>
    <row r="353" spans="2:11" x14ac:dyDescent="0.3">
      <c r="B353" s="38">
        <v>43816</v>
      </c>
      <c r="C353" s="3">
        <v>7583695</v>
      </c>
      <c r="D353" s="3">
        <v>5687771</v>
      </c>
      <c r="E353" s="3">
        <v>2317240</v>
      </c>
      <c r="F353" s="3">
        <v>5477113</v>
      </c>
      <c r="G353" s="3">
        <f t="shared" si="25"/>
        <v>21065819</v>
      </c>
      <c r="H353" s="3">
        <f t="shared" si="26"/>
        <v>-2.0202039777469424E-2</v>
      </c>
      <c r="I353" s="3">
        <f t="shared" si="27"/>
        <v>-2.0202082843457717E-2</v>
      </c>
      <c r="J353" s="3">
        <f t="shared" si="28"/>
        <v>-2.020196040791233E-2</v>
      </c>
      <c r="K353" s="3">
        <f t="shared" si="29"/>
        <v>-2.020199129058578E-2</v>
      </c>
    </row>
    <row r="354" spans="2:11" x14ac:dyDescent="0.3">
      <c r="B354" s="38">
        <v>43817</v>
      </c>
      <c r="C354" s="3">
        <v>8052789</v>
      </c>
      <c r="D354" s="3">
        <v>6039592</v>
      </c>
      <c r="E354" s="3">
        <v>2460574</v>
      </c>
      <c r="F354" s="3">
        <v>5815903</v>
      </c>
      <c r="G354" s="3">
        <f t="shared" si="25"/>
        <v>22368858</v>
      </c>
      <c r="H354" s="3">
        <f t="shared" si="26"/>
        <v>-9.6154555691496668E-3</v>
      </c>
      <c r="I354" s="3">
        <f t="shared" si="27"/>
        <v>-9.6154145736409707E-3</v>
      </c>
      <c r="J354" s="3">
        <f t="shared" si="28"/>
        <v>-9.6153575239397802E-3</v>
      </c>
      <c r="K354" s="3">
        <f t="shared" si="29"/>
        <v>-9.6153715162265035E-3</v>
      </c>
    </row>
    <row r="355" spans="2:11" x14ac:dyDescent="0.3">
      <c r="B355" s="38">
        <v>43818</v>
      </c>
      <c r="C355" s="3">
        <v>7583695</v>
      </c>
      <c r="D355" s="3">
        <v>5687771</v>
      </c>
      <c r="E355" s="3">
        <v>2317240</v>
      </c>
      <c r="F355" s="3">
        <v>5477113</v>
      </c>
      <c r="G355" s="3">
        <f t="shared" si="25"/>
        <v>21065819</v>
      </c>
      <c r="H355" s="3">
        <f t="shared" si="26"/>
        <v>-3.960387638759013E-2</v>
      </c>
      <c r="I355" s="3">
        <f t="shared" si="27"/>
        <v>-3.9603918600791106E-2</v>
      </c>
      <c r="J355" s="3">
        <f t="shared" si="28"/>
        <v>-3.9603845497091339E-2</v>
      </c>
      <c r="K355" s="3">
        <f t="shared" si="29"/>
        <v>-3.9603904840510379E-2</v>
      </c>
    </row>
    <row r="356" spans="2:11" x14ac:dyDescent="0.3">
      <c r="B356" s="38">
        <v>43819</v>
      </c>
      <c r="C356" s="3">
        <v>7974607</v>
      </c>
      <c r="D356" s="3">
        <v>5980955</v>
      </c>
      <c r="E356" s="3">
        <v>2436685</v>
      </c>
      <c r="F356" s="3">
        <v>5759438</v>
      </c>
      <c r="G356" s="3">
        <f t="shared" si="25"/>
        <v>22151685</v>
      </c>
      <c r="H356" s="3">
        <f t="shared" si="26"/>
        <v>-2.8571397247511742E-2</v>
      </c>
      <c r="I356" s="3">
        <f t="shared" si="27"/>
        <v>-2.8571516742446564E-2</v>
      </c>
      <c r="J356" s="3">
        <f t="shared" si="28"/>
        <v>-2.8571348837802667E-2</v>
      </c>
      <c r="K356" s="3">
        <f t="shared" si="29"/>
        <v>-2.8571390018912658E-2</v>
      </c>
    </row>
    <row r="357" spans="2:11" x14ac:dyDescent="0.3">
      <c r="B357" s="38">
        <v>43820</v>
      </c>
      <c r="C357" s="3">
        <v>16645119</v>
      </c>
      <c r="D357" s="3">
        <v>12483839</v>
      </c>
      <c r="E357" s="3">
        <v>5086008</v>
      </c>
      <c r="F357" s="3">
        <v>12021475</v>
      </c>
      <c r="G357" s="3">
        <f t="shared" si="25"/>
        <v>46236441</v>
      </c>
      <c r="H357" s="3">
        <f t="shared" si="26"/>
        <v>9.8039156209148576E-3</v>
      </c>
      <c r="I357" s="3">
        <f t="shared" si="27"/>
        <v>9.8038953986920429E-3</v>
      </c>
      <c r="J357" s="3">
        <f t="shared" si="28"/>
        <v>9.8037775258456548E-3</v>
      </c>
      <c r="K357" s="3">
        <f t="shared" si="29"/>
        <v>9.8039767451022324E-3</v>
      </c>
    </row>
    <row r="358" spans="2:11" x14ac:dyDescent="0.3">
      <c r="B358" s="38">
        <v>43821</v>
      </c>
      <c r="C358" s="3">
        <v>15513897</v>
      </c>
      <c r="D358" s="3">
        <v>11635423</v>
      </c>
      <c r="E358" s="3">
        <v>4740357</v>
      </c>
      <c r="F358" s="3">
        <v>11204481</v>
      </c>
      <c r="G358" s="3">
        <f t="shared" si="25"/>
        <v>43094158</v>
      </c>
      <c r="H358" s="3">
        <f t="shared" si="26"/>
        <v>0</v>
      </c>
      <c r="I358" s="3">
        <f t="shared" si="27"/>
        <v>0</v>
      </c>
      <c r="J358" s="3">
        <f t="shared" si="28"/>
        <v>0</v>
      </c>
      <c r="K358" s="3">
        <f t="shared" si="29"/>
        <v>0</v>
      </c>
    </row>
    <row r="359" spans="2:11" x14ac:dyDescent="0.3">
      <c r="B359" s="38">
        <v>43822</v>
      </c>
      <c r="C359" s="3">
        <v>7740060</v>
      </c>
      <c r="D359" s="3">
        <v>5805045</v>
      </c>
      <c r="E359" s="3">
        <v>2365018</v>
      </c>
      <c r="F359" s="3">
        <v>5590043</v>
      </c>
      <c r="G359" s="3">
        <f t="shared" si="25"/>
        <v>21500166</v>
      </c>
      <c r="H359" s="3">
        <f t="shared" si="26"/>
        <v>1.0204157545207265E-2</v>
      </c>
      <c r="I359" s="3">
        <f t="shared" si="27"/>
        <v>1.0204113595832388E-2</v>
      </c>
      <c r="J359" s="3">
        <f t="shared" si="28"/>
        <v>1.0204051122343108E-2</v>
      </c>
      <c r="K359" s="3">
        <f t="shared" si="29"/>
        <v>1.0204066880416252E-2</v>
      </c>
    </row>
    <row r="360" spans="2:11" x14ac:dyDescent="0.3">
      <c r="B360" s="38">
        <v>43823</v>
      </c>
      <c r="C360" s="3">
        <v>7661877</v>
      </c>
      <c r="D360" s="3">
        <v>5746408</v>
      </c>
      <c r="E360" s="3">
        <v>2341129</v>
      </c>
      <c r="F360" s="3">
        <v>5533578</v>
      </c>
      <c r="G360" s="3">
        <f t="shared" si="25"/>
        <v>21282992</v>
      </c>
      <c r="H360" s="3">
        <f t="shared" si="26"/>
        <v>1.0309222615097258E-2</v>
      </c>
      <c r="I360" s="3">
        <f t="shared" si="27"/>
        <v>1.0309310976127556E-2</v>
      </c>
      <c r="J360" s="3">
        <f t="shared" si="28"/>
        <v>1.0309247207885243E-2</v>
      </c>
      <c r="K360" s="3">
        <f t="shared" si="29"/>
        <v>1.0309263292541162E-2</v>
      </c>
    </row>
    <row r="361" spans="2:11" x14ac:dyDescent="0.3">
      <c r="B361" s="38">
        <v>43824</v>
      </c>
      <c r="C361" s="3">
        <v>7427330</v>
      </c>
      <c r="D361" s="3">
        <v>5570497</v>
      </c>
      <c r="E361" s="3">
        <v>2269462</v>
      </c>
      <c r="F361" s="3">
        <v>5364183</v>
      </c>
      <c r="G361" s="3">
        <f t="shared" si="25"/>
        <v>20631472</v>
      </c>
      <c r="H361" s="3">
        <f t="shared" si="26"/>
        <v>-7.7669860715337255E-2</v>
      </c>
      <c r="I361" s="3">
        <f t="shared" si="27"/>
        <v>-7.7669981680881753E-2</v>
      </c>
      <c r="J361" s="3">
        <f t="shared" si="28"/>
        <v>-7.7669681952259914E-2</v>
      </c>
      <c r="K361" s="3">
        <f t="shared" si="29"/>
        <v>-7.7669796074659431E-2</v>
      </c>
    </row>
    <row r="362" spans="2:11" x14ac:dyDescent="0.3">
      <c r="B362" s="38">
        <v>43825</v>
      </c>
      <c r="C362" s="3">
        <v>7427330</v>
      </c>
      <c r="D362" s="3">
        <v>5570497</v>
      </c>
      <c r="E362" s="3">
        <v>2269462</v>
      </c>
      <c r="F362" s="3">
        <v>5364183</v>
      </c>
      <c r="G362" s="3">
        <f t="shared" si="25"/>
        <v>20631472</v>
      </c>
      <c r="H362" s="3">
        <f t="shared" si="26"/>
        <v>-2.0618577092037588E-2</v>
      </c>
      <c r="I362" s="3">
        <f t="shared" si="27"/>
        <v>-2.0618621952255112E-2</v>
      </c>
      <c r="J362" s="3">
        <f t="shared" si="28"/>
        <v>-2.0618494415770485E-2</v>
      </c>
      <c r="K362" s="3">
        <f t="shared" si="29"/>
        <v>-2.0618526585082324E-2</v>
      </c>
    </row>
    <row r="363" spans="2:11" x14ac:dyDescent="0.3">
      <c r="B363" s="38">
        <v>43826</v>
      </c>
      <c r="C363" s="3">
        <v>8052789</v>
      </c>
      <c r="D363" s="3">
        <v>6039592</v>
      </c>
      <c r="E363" s="3">
        <v>2460574</v>
      </c>
      <c r="F363" s="3">
        <v>5815903</v>
      </c>
      <c r="G363" s="3">
        <f t="shared" si="25"/>
        <v>22368858</v>
      </c>
      <c r="H363" s="3">
        <f t="shared" si="26"/>
        <v>9.803868704752472E-3</v>
      </c>
      <c r="I363" s="3">
        <f t="shared" si="27"/>
        <v>9.8039527132372673E-3</v>
      </c>
      <c r="J363" s="3">
        <f t="shared" si="28"/>
        <v>9.8038934043587905E-3</v>
      </c>
      <c r="K363" s="3">
        <f t="shared" si="29"/>
        <v>9.8039079507410264E-3</v>
      </c>
    </row>
    <row r="364" spans="2:11" x14ac:dyDescent="0.3">
      <c r="B364" s="38">
        <v>43827</v>
      </c>
      <c r="C364" s="3">
        <v>16321913</v>
      </c>
      <c r="D364" s="3">
        <v>12241435</v>
      </c>
      <c r="E364" s="3">
        <v>4987251</v>
      </c>
      <c r="F364" s="3">
        <v>11788048</v>
      </c>
      <c r="G364" s="3">
        <f t="shared" si="25"/>
        <v>45338647</v>
      </c>
      <c r="H364" s="3">
        <f t="shared" si="26"/>
        <v>-1.9417464062587958E-2</v>
      </c>
      <c r="I364" s="3">
        <f t="shared" si="27"/>
        <v>-1.941742439965783E-2</v>
      </c>
      <c r="J364" s="3">
        <f t="shared" si="28"/>
        <v>-1.9417389827149308E-2</v>
      </c>
      <c r="K364" s="3">
        <f t="shared" si="29"/>
        <v>-1.9417500764257297E-2</v>
      </c>
    </row>
    <row r="365" spans="2:11" x14ac:dyDescent="0.3">
      <c r="B365" s="38">
        <v>43828</v>
      </c>
      <c r="C365" s="3">
        <v>15675500</v>
      </c>
      <c r="D365" s="3">
        <v>11756625</v>
      </c>
      <c r="E365" s="3">
        <v>4789736</v>
      </c>
      <c r="F365" s="3">
        <v>11321195</v>
      </c>
      <c r="G365" s="3">
        <f t="shared" si="25"/>
        <v>43543056</v>
      </c>
      <c r="H365" s="3">
        <f t="shared" si="26"/>
        <v>1.0416660623697579E-2</v>
      </c>
      <c r="I365" s="3">
        <f t="shared" si="27"/>
        <v>1.0416638913772194E-2</v>
      </c>
      <c r="J365" s="3">
        <f t="shared" si="28"/>
        <v>1.0416725997641105E-2</v>
      </c>
      <c r="K365" s="3">
        <f t="shared" si="29"/>
        <v>1.041672523698331E-2</v>
      </c>
    </row>
    <row r="366" spans="2:11" x14ac:dyDescent="0.3">
      <c r="B366" s="38">
        <v>43829</v>
      </c>
      <c r="C366" s="3">
        <v>7974607</v>
      </c>
      <c r="D366" s="3">
        <v>5980955</v>
      </c>
      <c r="E366" s="3">
        <v>2436685</v>
      </c>
      <c r="F366" s="3">
        <v>5759438</v>
      </c>
      <c r="G366" s="3">
        <f t="shared" si="25"/>
        <v>22151685</v>
      </c>
      <c r="H366" s="3">
        <f t="shared" si="26"/>
        <v>3.03029950672217E-2</v>
      </c>
      <c r="I366" s="3">
        <f t="shared" si="27"/>
        <v>3.030295200123341E-2</v>
      </c>
      <c r="J366" s="3">
        <f t="shared" si="28"/>
        <v>3.0302940611868494E-2</v>
      </c>
      <c r="K366" s="3">
        <f t="shared" si="29"/>
        <v>3.030298693587867E-2</v>
      </c>
    </row>
    <row r="367" spans="2:11" x14ac:dyDescent="0.3">
      <c r="B367" s="38">
        <v>43830</v>
      </c>
      <c r="C367" s="3">
        <v>7896424</v>
      </c>
      <c r="D367" s="3">
        <v>5922318</v>
      </c>
      <c r="E367" s="3">
        <v>2412796</v>
      </c>
      <c r="F367" s="3">
        <v>5702973</v>
      </c>
      <c r="G367" s="3">
        <f t="shared" si="25"/>
        <v>21934511</v>
      </c>
      <c r="H367" s="3">
        <f t="shared" si="26"/>
        <v>3.0612211602979271E-2</v>
      </c>
      <c r="I367" s="3">
        <f t="shared" si="27"/>
        <v>3.0612166765743052E-2</v>
      </c>
      <c r="J367" s="3">
        <f t="shared" si="28"/>
        <v>3.0612153367029327E-2</v>
      </c>
      <c r="K367" s="3">
        <f t="shared" si="29"/>
        <v>3.0612200641248755E-2</v>
      </c>
    </row>
    <row r="368" spans="2:11" x14ac:dyDescent="0.3">
      <c r="B368" s="38">
        <v>43831</v>
      </c>
      <c r="C368" s="3">
        <v>7818242</v>
      </c>
      <c r="D368" s="3">
        <v>5863681</v>
      </c>
      <c r="E368" s="3">
        <v>2388907</v>
      </c>
      <c r="F368" s="3">
        <v>5646508</v>
      </c>
      <c r="G368" s="3">
        <f t="shared" si="25"/>
        <v>21717338</v>
      </c>
      <c r="H368" s="3">
        <f t="shared" si="26"/>
        <v>5.2631564774959505E-2</v>
      </c>
      <c r="I368" s="3">
        <f t="shared" si="27"/>
        <v>5.2631569499094963E-2</v>
      </c>
      <c r="J368" s="3">
        <f t="shared" si="28"/>
        <v>5.2631416608870295E-2</v>
      </c>
      <c r="K368" s="3">
        <f t="shared" si="29"/>
        <v>5.2631500454029999E-2</v>
      </c>
    </row>
    <row r="369" spans="2:11" x14ac:dyDescent="0.3">
      <c r="B369" s="41">
        <f>SUBTOTAL(103,Table18[Date])</f>
        <v>366</v>
      </c>
      <c r="C369" s="25">
        <f>SUBTOTAL(109,Table18[Facebook])</f>
        <v>3715375627</v>
      </c>
      <c r="D369" s="25">
        <f>SUBTOTAL(109,Table18[Youtube])</f>
        <v>2780999222</v>
      </c>
      <c r="E369" s="25">
        <f>SUBTOTAL(109,Table18[Twitter])</f>
        <v>1152000384</v>
      </c>
      <c r="F369" s="25">
        <f>SUBTOTAL(109,Table18[Others])</f>
        <v>2681678540</v>
      </c>
      <c r="G369" s="25">
        <f>SUBTOTAL(109,Table18[Total])</f>
        <v>10330053773</v>
      </c>
      <c r="H369" s="94">
        <f>SUBTOTAL(109,Table18[Facebook % Change])</f>
        <v>20.140161892747184</v>
      </c>
      <c r="I369" s="7">
        <f>SUBTOTAL(109,Table18[Youtube% ])</f>
        <v>2.8704400903835099</v>
      </c>
      <c r="J369" s="7">
        <f>SUBTOTAL(109,Table18[Twitter %])</f>
        <v>8.1337461775344195</v>
      </c>
      <c r="K369" s="7">
        <f>SUBTOTAL(109,Table18[Others %])</f>
        <v>2.0624333738412233</v>
      </c>
    </row>
  </sheetData>
  <mergeCells count="1">
    <mergeCell ref="H1:K1"/>
  </mergeCells>
  <pageMargins left="0.7" right="0.7" top="0.75" bottom="0.75" header="0.3" footer="0.3"/>
  <ignoredErrors>
    <ignoredError sqref="G3 G4:G34 G35:G200 G201:G368" formulaRange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81EC-A059-4CE0-80BB-697614876026}">
  <dimension ref="A1:EM170"/>
  <sheetViews>
    <sheetView workbookViewId="0">
      <selection activeCell="A3" sqref="A3"/>
    </sheetView>
  </sheetViews>
  <sheetFormatPr defaultColWidth="3.5" defaultRowHeight="15.6" x14ac:dyDescent="0.3"/>
  <cols>
    <col min="1" max="1" width="12.3984375" style="64" customWidth="1"/>
    <col min="2" max="15" width="12.3984375" customWidth="1"/>
    <col min="16" max="16" width="12.3984375" style="70" customWidth="1"/>
    <col min="17" max="21" width="12.3984375" customWidth="1"/>
    <col min="22" max="22" width="12.3984375" style="14" customWidth="1"/>
    <col min="23" max="23" width="12.3984375" customWidth="1"/>
    <col min="29" max="29" width="5.59765625" bestFit="1" customWidth="1"/>
  </cols>
  <sheetData>
    <row r="1" spans="1:143" x14ac:dyDescent="0.3">
      <c r="D1" t="s">
        <v>26</v>
      </c>
      <c r="E1" t="s">
        <v>27</v>
      </c>
      <c r="F1" s="180" t="s">
        <v>56</v>
      </c>
      <c r="G1" s="180"/>
      <c r="H1" s="180"/>
      <c r="I1" s="180"/>
      <c r="J1" s="181" t="s">
        <v>56</v>
      </c>
      <c r="K1" s="181"/>
      <c r="L1" s="181"/>
      <c r="M1" s="181"/>
      <c r="O1" t="s">
        <v>28</v>
      </c>
      <c r="U1" t="s">
        <v>25</v>
      </c>
    </row>
    <row r="2" spans="1:143" x14ac:dyDescent="0.3">
      <c r="A2" s="138" t="s">
        <v>0</v>
      </c>
      <c r="B2" s="68" t="s">
        <v>1</v>
      </c>
      <c r="C2" s="68" t="s">
        <v>5</v>
      </c>
      <c r="D2" s="8" t="s">
        <v>22</v>
      </c>
      <c r="E2" s="60" t="s">
        <v>23</v>
      </c>
      <c r="F2" s="1" t="s">
        <v>6</v>
      </c>
      <c r="G2" s="1" t="s">
        <v>7</v>
      </c>
      <c r="H2" s="1" t="s">
        <v>8</v>
      </c>
      <c r="I2" s="1" t="s">
        <v>9</v>
      </c>
      <c r="J2" s="8" t="s">
        <v>43</v>
      </c>
      <c r="K2" s="8" t="s">
        <v>44</v>
      </c>
      <c r="L2" s="8" t="s">
        <v>45</v>
      </c>
      <c r="M2" s="8" t="s">
        <v>46</v>
      </c>
      <c r="N2" s="1" t="s">
        <v>52</v>
      </c>
      <c r="O2" s="8" t="s">
        <v>24</v>
      </c>
      <c r="P2" s="71" t="s">
        <v>18</v>
      </c>
      <c r="Q2" s="8" t="s">
        <v>19</v>
      </c>
      <c r="R2" s="8" t="s">
        <v>20</v>
      </c>
      <c r="S2" s="8" t="s">
        <v>21</v>
      </c>
      <c r="T2" s="8" t="s">
        <v>59</v>
      </c>
      <c r="U2" s="8" t="s">
        <v>17</v>
      </c>
      <c r="V2" s="107" t="s">
        <v>55</v>
      </c>
    </row>
    <row r="3" spans="1:143" s="35" customFormat="1" x14ac:dyDescent="0.3">
      <c r="A3" s="95">
        <v>43475</v>
      </c>
      <c r="B3" s="24">
        <v>10641496</v>
      </c>
      <c r="C3" s="26">
        <v>623698</v>
      </c>
      <c r="D3" s="7">
        <f>VLOOKUP(Table2[[#This Row],[Date]],'Session Details'!$A$2:$N$368,8,FALSE)</f>
        <v>-0.4522502426107996</v>
      </c>
      <c r="E3" s="7">
        <f>VLOOKUP(Table2[[#This Row],[Date]],'Session Details'!$A$2:$N$368,9,FALSE)</f>
        <v>-0.48958335231937844</v>
      </c>
      <c r="F3" s="39">
        <f>VLOOKUP($A3,'Channel wise traffic'!$B$2:$K$368,7,FALSE)</f>
        <v>-7118356</v>
      </c>
      <c r="G3" s="26">
        <f>VLOOKUP($A3,'Channel wise traffic'!$B$2:$K$368,8,FALSE)</f>
        <v>-2755930</v>
      </c>
      <c r="H3" s="26">
        <f>VLOOKUP($A3,'Channel wise traffic'!$B$2:$K$368,9,FALSE)</f>
        <v>-1122787</v>
      </c>
      <c r="I3" s="40">
        <f>VLOOKUP($A3,'Channel wise traffic'!$B$2:$K$368,10,FALSE)</f>
        <v>0</v>
      </c>
      <c r="J3" s="48">
        <f>VLOOKUP($A3,'Channel wise traffic'!$B$2:$P$368,11,FALSE)</f>
        <v>0</v>
      </c>
      <c r="K3" s="24">
        <f>VLOOKUP($A3,'Channel wise traffic'!$B$2:$P$368,12,FALSE)</f>
        <v>0</v>
      </c>
      <c r="L3" s="24">
        <f>VLOOKUP($A3,'Channel wise traffic'!$B$2:$P$368,13,FALSE)</f>
        <v>0</v>
      </c>
      <c r="M3" s="51">
        <f>VLOOKUP($A3,'Channel wise traffic'!$B$2:$P$368,14,FALSE)</f>
        <v>789924</v>
      </c>
      <c r="N3">
        <f>VLOOKUP($A3,'Channel wise traffic'!$B$2:$P$368,15,FALSE)</f>
        <v>-10207149</v>
      </c>
      <c r="O3" s="7">
        <f>VLOOKUP(Table2[[#This Row],[Date]],'Session Details'!$A$2:$N$368,10,FALSE)</f>
        <v>7.3142421741578811E-2</v>
      </c>
      <c r="P3" s="70">
        <f>VLOOKUP(Table2[[#This Row],[Date]],'Session Details'!$A$2:$N$368,11,FALSE)</f>
        <v>0.25749997932621504</v>
      </c>
      <c r="Q3" s="70">
        <f>VLOOKUP(Table2[[#This Row],[Date]],'Session Details'!$A$2:$N$368,12,FALSE)</f>
        <v>0.3879997153476864</v>
      </c>
      <c r="R3" s="70">
        <f>VLOOKUP(Table2[[#This Row],[Date]],'Session Details'!$A$2:$N$368,13,FALSE)</f>
        <v>0.71540014917357275</v>
      </c>
      <c r="S3" s="70">
        <f>VLOOKUP(Table2[[#This Row],[Date]],'Session Details'!$A$2:$N$368,14,FALSE)</f>
        <v>0.82000034183224713</v>
      </c>
      <c r="T3" s="7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0.82000034183224713</v>
      </c>
      <c r="U3" s="63">
        <f>VLOOKUP(Table2[[#This Row],[Date]],'Session Details'!$A$2:$N$368,7,FALSE)</f>
        <v>5.8609992429635833E-2</v>
      </c>
      <c r="V3" s="22" t="s">
        <v>35</v>
      </c>
      <c r="W3" s="14"/>
      <c r="X3" s="14"/>
      <c r="Y3" s="14"/>
      <c r="Z3" s="14"/>
      <c r="AA3" s="72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</row>
    <row r="4" spans="1:143" s="35" customFormat="1" x14ac:dyDescent="0.3">
      <c r="A4" s="95">
        <v>43482</v>
      </c>
      <c r="B4" s="61">
        <v>22368860</v>
      </c>
      <c r="C4" s="61">
        <v>1284532</v>
      </c>
      <c r="D4" s="7">
        <f>VLOOKUP(Table2[[#This Row],[Date]],'Session Details'!$A$2:$N$368,8,FALSE)</f>
        <v>1.0595416371384867</v>
      </c>
      <c r="E4" s="7">
        <f>VLOOKUP(Table2[[#This Row],[Date]],'Session Details'!$A$2:$N$368,9,FALSE)</f>
        <v>1.1020409160516529</v>
      </c>
      <c r="F4" s="39">
        <f>VLOOKUP($A4,'Channel wise traffic'!$B$2:$K$368,7,FALSE)</f>
        <v>0</v>
      </c>
      <c r="G4" s="26">
        <f>VLOOKUP($A4,'Channel wise traffic'!$B$2:$K$368,8,FALSE)</f>
        <v>0</v>
      </c>
      <c r="H4" s="26">
        <f>VLOOKUP($A4,'Channel wise traffic'!$B$2:$K$368,9,FALSE)</f>
        <v>0</v>
      </c>
      <c r="I4" s="40">
        <f>VLOOKUP($A4,'Channel wise traffic'!$B$2:$K$368,10,FALSE)</f>
        <v>-394669</v>
      </c>
      <c r="J4" s="48">
        <f>VLOOKUP($A4,'Channel wise traffic'!$B$2:$P$368,11,FALSE)</f>
        <v>7665633</v>
      </c>
      <c r="K4" s="24">
        <f>VLOOKUP($A4,'Channel wise traffic'!$B$2:$P$368,12,FALSE)</f>
        <v>3166388</v>
      </c>
      <c r="L4" s="24">
        <f>VLOOKUP($A4,'Channel wise traffic'!$B$2:$P$368,13,FALSE)</f>
        <v>1290010</v>
      </c>
      <c r="M4" s="51">
        <f>VLOOKUP($A4,'Channel wise traffic'!$B$2:$P$368,14,FALSE)</f>
        <v>0</v>
      </c>
      <c r="N4">
        <f>VLOOKUP($A4,'Channel wise traffic'!$B$2:$P$368,15,FALSE)</f>
        <v>11727362</v>
      </c>
      <c r="O4" s="7">
        <f>VLOOKUP(Table2[[#This Row],[Date]],'Session Details'!$A$2:$N$368,10,FALSE)</f>
        <v>-2.0218102601444077E-2</v>
      </c>
      <c r="P4" s="70">
        <f>VLOOKUP(Table2[[#This Row],[Date]],'Session Details'!$A$2:$N$368,11,FALSE)</f>
        <v>0.25249999329424921</v>
      </c>
      <c r="Q4" s="70">
        <f>VLOOKUP(Table2[[#This Row],[Date]],'Session Details'!$A$2:$N$368,12,FALSE)</f>
        <v>0.38399989235388587</v>
      </c>
      <c r="R4" s="70">
        <f>VLOOKUP(Table2[[#This Row],[Date]],'Session Details'!$A$2:$N$368,13,FALSE)</f>
        <v>0.70810011047156052</v>
      </c>
      <c r="S4" s="70">
        <f>VLOOKUP(Table2[[#This Row],[Date]],'Session Details'!$A$2:$N$368,14,FALSE)</f>
        <v>0.83639983930063222</v>
      </c>
      <c r="T4" s="7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0.25249999329424921</v>
      </c>
      <c r="U4" s="63">
        <f>VLOOKUP(Table2[[#This Row],[Date]],'Session Details'!$A$2:$N$368,7,FALSE)</f>
        <v>5.7425009589223593E-2</v>
      </c>
      <c r="V4" s="96" t="s">
        <v>57</v>
      </c>
      <c r="W4" s="14"/>
      <c r="X4" s="14"/>
      <c r="Y4" s="14"/>
      <c r="Z4" s="14"/>
      <c r="AA4" s="72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</row>
    <row r="5" spans="1:143" s="35" customFormat="1" x14ac:dyDescent="0.3">
      <c r="A5" s="95">
        <v>43486</v>
      </c>
      <c r="B5" s="61">
        <v>22151687</v>
      </c>
      <c r="C5" s="61">
        <v>1476653</v>
      </c>
      <c r="D5" s="7">
        <f>VLOOKUP(Table2[[#This Row],[Date]],'Session Details'!$A$2:$N$368,8,FALSE)</f>
        <v>0.23352106416819263</v>
      </c>
      <c r="E5" s="7">
        <f>VLOOKUP(Table2[[#This Row],[Date]],'Session Details'!$A$2:$N$368,9,FALSE)</f>
        <v>5.154639126319327E-2</v>
      </c>
      <c r="F5" s="39">
        <f>VLOOKUP($A5,'Channel wise traffic'!$B$2:$K$368,7,FALSE)</f>
        <v>0</v>
      </c>
      <c r="G5" s="26">
        <f>VLOOKUP($A5,'Channel wise traffic'!$B$2:$K$368,8,FALSE)</f>
        <v>0</v>
      </c>
      <c r="H5" s="26">
        <f>VLOOKUP($A5,'Channel wise traffic'!$B$2:$K$368,9,FALSE)</f>
        <v>0</v>
      </c>
      <c r="I5" s="40">
        <f>VLOOKUP($A5,'Channel wise traffic'!$B$2:$K$368,10,FALSE)</f>
        <v>0</v>
      </c>
      <c r="J5" s="48">
        <f>VLOOKUP($A5,'Channel wise traffic'!$B$2:$P$368,11,FALSE)</f>
        <v>390912</v>
      </c>
      <c r="K5" s="24">
        <f>VLOOKUP($A5,'Channel wise traffic'!$B$2:$P$368,12,FALSE)</f>
        <v>293184</v>
      </c>
      <c r="L5" s="24">
        <f>VLOOKUP($A5,'Channel wise traffic'!$B$2:$P$368,13,FALSE)</f>
        <v>119445</v>
      </c>
      <c r="M5" s="51">
        <f>VLOOKUP($A5,'Channel wise traffic'!$B$2:$P$368,14,FALSE)</f>
        <v>282325</v>
      </c>
      <c r="N5">
        <f>VLOOKUP($A5,'Channel wise traffic'!$B$2:$P$368,15,FALSE)</f>
        <v>1085866</v>
      </c>
      <c r="O5" s="7">
        <f>VLOOKUP(Table2[[#This Row],[Date]],'Session Details'!$A$2:$N$368,10,FALSE)</f>
        <v>0.17305434588235169</v>
      </c>
      <c r="P5" s="70">
        <f>VLOOKUP(Table2[[#This Row],[Date]],'Session Details'!$A$2:$N$368,11,FALSE)</f>
        <v>0.25999997201116104</v>
      </c>
      <c r="Q5" s="70">
        <f>VLOOKUP(Table2[[#This Row],[Date]],'Session Details'!$A$2:$N$368,12,FALSE)</f>
        <v>0.4159999638853652</v>
      </c>
      <c r="R5" s="70">
        <f>VLOOKUP(Table2[[#This Row],[Date]],'Session Details'!$A$2:$N$368,13,FALSE)</f>
        <v>0.75919999198639687</v>
      </c>
      <c r="S5" s="70">
        <f>VLOOKUP(Table2[[#This Row],[Date]],'Session Details'!$A$2:$N$368,14,FALSE)</f>
        <v>0.81179964452742104</v>
      </c>
      <c r="T5" s="7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0.81179964452742104</v>
      </c>
      <c r="U5" s="63">
        <f>VLOOKUP(Table2[[#This Row],[Date]],'Session Details'!$A$2:$N$368,7,FALSE)</f>
        <v>6.6660972593193465E-2</v>
      </c>
      <c r="V5" s="96" t="s">
        <v>54</v>
      </c>
      <c r="W5" s="14"/>
      <c r="X5" s="14"/>
      <c r="Y5" s="14"/>
      <c r="Z5" s="14"/>
      <c r="AA5" s="72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</row>
    <row r="6" spans="1:143" s="35" customFormat="1" x14ac:dyDescent="0.3">
      <c r="A6" s="95">
        <v>43487</v>
      </c>
      <c r="B6" s="61">
        <v>37570998</v>
      </c>
      <c r="C6" s="61">
        <v>2221600</v>
      </c>
      <c r="D6" s="7">
        <f>VLOOKUP(Table2[[#This Row],[Date]],'Session Details'!$A$2:$N$368,8,FALSE)</f>
        <v>0.85430485686646174</v>
      </c>
      <c r="E6" s="7">
        <f>VLOOKUP(Table2[[#This Row],[Date]],'Session Details'!$A$2:$N$368,9,FALSE)</f>
        <v>0.76530612964069489</v>
      </c>
      <c r="F6" s="39">
        <f>VLOOKUP($A6,'Channel wise traffic'!$B$2:$K$368,7,FALSE)</f>
        <v>0</v>
      </c>
      <c r="G6" s="26">
        <f>VLOOKUP($A6,'Channel wise traffic'!$B$2:$K$368,8,FALSE)</f>
        <v>-3717575</v>
      </c>
      <c r="H6" s="26">
        <f>VLOOKUP($A6,'Channel wise traffic'!$B$2:$K$368,9,FALSE)</f>
        <v>0</v>
      </c>
      <c r="I6" s="40">
        <f>VLOOKUP($A6,'Channel wise traffic'!$B$2:$K$368,10,FALSE)</f>
        <v>-3344340</v>
      </c>
      <c r="J6" s="48">
        <f>VLOOKUP($A6,'Channel wise traffic'!$B$2:$P$368,11,FALSE)</f>
        <v>5863682</v>
      </c>
      <c r="K6" s="24">
        <f>VLOOKUP($A6,'Channel wise traffic'!$B$2:$P$368,12,FALSE)</f>
        <v>0</v>
      </c>
      <c r="L6" s="24">
        <f>VLOOKUP($A6,'Channel wise traffic'!$B$2:$P$368,13,FALSE)</f>
        <v>17486238</v>
      </c>
      <c r="M6" s="51">
        <f>VLOOKUP($A6,'Channel wise traffic'!$B$2:$P$368,14,FALSE)</f>
        <v>0</v>
      </c>
      <c r="N6">
        <f>VLOOKUP($A6,'Channel wise traffic'!$B$2:$P$368,15,FALSE)</f>
        <v>16288005</v>
      </c>
      <c r="O6" s="7">
        <f>VLOOKUP(Table2[[#This Row],[Date]],'Session Details'!$A$2:$N$368,10,FALSE)</f>
        <v>5.041546377221362E-2</v>
      </c>
      <c r="P6" s="70">
        <f>VLOOKUP(Table2[[#This Row],[Date]],'Session Details'!$A$2:$N$368,11,FALSE)</f>
        <v>0.25999998722418821</v>
      </c>
      <c r="Q6" s="70">
        <f>VLOOKUP(Table2[[#This Row],[Date]],'Session Details'!$A$2:$N$368,12,FALSE)</f>
        <v>0.38399997379320527</v>
      </c>
      <c r="R6" s="70">
        <f>VLOOKUP(Table2[[#This Row],[Date]],'Session Details'!$A$2:$N$368,13,FALSE)</f>
        <v>0.70809988995192863</v>
      </c>
      <c r="S6" s="70">
        <f>VLOOKUP(Table2[[#This Row],[Date]],'Session Details'!$A$2:$N$368,14,FALSE)</f>
        <v>0.83640012122832152</v>
      </c>
      <c r="T6" s="7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0.83640012122832152</v>
      </c>
      <c r="U6" s="63">
        <f>VLOOKUP(Table2[[#This Row],[Date]],'Session Details'!$A$2:$N$368,7,FALSE)</f>
        <v>5.9130715665311848E-2</v>
      </c>
      <c r="V6" s="96" t="s">
        <v>57</v>
      </c>
      <c r="W6" s="14"/>
      <c r="X6" s="14"/>
      <c r="Y6" s="14"/>
      <c r="Z6" s="14"/>
      <c r="AA6" s="72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</row>
    <row r="7" spans="1:143" s="35" customFormat="1" x14ac:dyDescent="0.3">
      <c r="A7" s="104">
        <v>43494</v>
      </c>
      <c r="B7" s="61">
        <v>22368860</v>
      </c>
      <c r="C7" s="26">
        <v>628519</v>
      </c>
      <c r="D7" s="7">
        <f>VLOOKUP(Table2[[#This Row],[Date]],'Session Details'!$A$2:$N$368,8,FALSE)</f>
        <v>-0.71708723442563915</v>
      </c>
      <c r="E7" s="7">
        <f>VLOOKUP(Table2[[#This Row],[Date]],'Session Details'!$A$2:$N$368,9,FALSE)</f>
        <v>-0.40462427961056557</v>
      </c>
      <c r="F7" s="39">
        <f>VLOOKUP($A7,'Channel wise traffic'!$B$2:$K$368,7,FALSE)</f>
        <v>-5472770</v>
      </c>
      <c r="G7" s="26">
        <f>VLOOKUP($A7,'Channel wise traffic'!$B$2:$K$368,8,FALSE)</f>
        <v>0</v>
      </c>
      <c r="H7" s="26">
        <f>VLOOKUP($A7,'Channel wise traffic'!$B$2:$K$368,9,FALSE)</f>
        <v>-17366793</v>
      </c>
      <c r="I7" s="40">
        <f>VLOOKUP($A7,'Channel wise traffic'!$B$2:$K$368,10,FALSE)</f>
        <v>0</v>
      </c>
      <c r="J7" s="48">
        <f>VLOOKUP($A7,'Channel wise traffic'!$B$2:$P$368,11,FALSE)</f>
        <v>0</v>
      </c>
      <c r="K7" s="24">
        <f>VLOOKUP($A7,'Channel wise traffic'!$B$2:$P$368,12,FALSE)</f>
        <v>4010759</v>
      </c>
      <c r="L7" s="24">
        <f>VLOOKUP($A7,'Channel wise traffic'!$B$2:$P$368,13,FALSE)</f>
        <v>0</v>
      </c>
      <c r="M7" s="51">
        <f>VLOOKUP($A7,'Channel wise traffic'!$B$2:$P$368,14,FALSE)</f>
        <v>3626665</v>
      </c>
      <c r="N7">
        <f>VLOOKUP($A7,'Channel wise traffic'!$B$2:$P$368,15,FALSE)</f>
        <v>-15202139</v>
      </c>
      <c r="O7" s="7">
        <f>VLOOKUP(Table2[[#This Row],[Date]],'Session Details'!$A$2:$N$368,10,FALSE)</f>
        <v>-0.52481642115115479</v>
      </c>
      <c r="P7" s="70">
        <f>VLOOKUP(Table2[[#This Row],[Date]],'Session Details'!$A$2:$N$368,11,FALSE)</f>
        <v>0.11749999776474974</v>
      </c>
      <c r="Q7" s="10">
        <f>VLOOKUP(Table2[[#This Row],[Date]],'Session Details'!$A$2:$N$368,12,FALSE)</f>
        <v>0.41599967431927592</v>
      </c>
      <c r="R7" s="10">
        <f>VLOOKUP(Table2[[#This Row],[Date]],'Session Details'!$A$2:$N$368,13,FALSE)</f>
        <v>0.72269978937048018</v>
      </c>
      <c r="S7" s="10">
        <f>VLOOKUP(Table2[[#This Row],[Date]],'Session Details'!$A$2:$N$368,14,FALSE)</f>
        <v>0.79540035839390932</v>
      </c>
      <c r="T7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0.11749999776474974</v>
      </c>
      <c r="U7" s="63">
        <f>VLOOKUP(Table2[[#This Row],[Date]],'Session Details'!$A$2:$N$368,7,FALSE)</f>
        <v>2.8097945089736356E-2</v>
      </c>
      <c r="V7" s="97" t="s">
        <v>39</v>
      </c>
      <c r="W7" s="14"/>
      <c r="X7" s="14"/>
      <c r="Y7" s="14"/>
      <c r="Z7" s="14"/>
      <c r="AA7" s="72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</row>
    <row r="8" spans="1:143" x14ac:dyDescent="0.3">
      <c r="A8" s="104">
        <v>43501</v>
      </c>
      <c r="B8" s="61">
        <v>22368860</v>
      </c>
      <c r="C8" s="26">
        <v>1349861</v>
      </c>
      <c r="D8" s="7">
        <f>VLOOKUP(Table2[[#This Row],[Date]],'Session Details'!$A$2:$N$368,8,FALSE)</f>
        <v>1.1476852728398028</v>
      </c>
      <c r="E8" s="7">
        <f>VLOOKUP(Table2[[#This Row],[Date]],'Session Details'!$A$2:$N$368,9,FALSE)</f>
        <v>0</v>
      </c>
      <c r="F8" s="39">
        <f>VLOOKUP($A8,'Channel wise traffic'!$B$2:$K$368,7,FALSE)</f>
        <v>0</v>
      </c>
      <c r="G8" s="26">
        <f>VLOOKUP($A8,'Channel wise traffic'!$B$2:$K$368,8,FALSE)</f>
        <v>0</v>
      </c>
      <c r="H8" s="26">
        <f>VLOOKUP($A8,'Channel wise traffic'!$B$2:$K$368,9,FALSE)</f>
        <v>0</v>
      </c>
      <c r="I8" s="40">
        <f>VLOOKUP($A8,'Channel wise traffic'!$B$2:$K$368,10,FALSE)</f>
        <v>0</v>
      </c>
      <c r="J8" s="48">
        <f>VLOOKUP($A8,'Channel wise traffic'!$B$2:$P$368,11,FALSE)</f>
        <v>0</v>
      </c>
      <c r="K8" s="24">
        <f>VLOOKUP($A8,'Channel wise traffic'!$B$2:$P$368,12,FALSE)</f>
        <v>0</v>
      </c>
      <c r="L8" s="24">
        <f>VLOOKUP($A8,'Channel wise traffic'!$B$2:$P$368,13,FALSE)</f>
        <v>0</v>
      </c>
      <c r="M8" s="51">
        <f>VLOOKUP($A8,'Channel wise traffic'!$B$2:$P$368,14,FALSE)</f>
        <v>0</v>
      </c>
      <c r="N8">
        <f>VLOOKUP($A8,'Channel wise traffic'!$B$2:$P$368,15,FALSE)</f>
        <v>0</v>
      </c>
      <c r="O8" s="7">
        <f>VLOOKUP(Table2[[#This Row],[Date]],'Session Details'!$A$2:$N$368,10,FALSE)</f>
        <v>1.1476852728398028</v>
      </c>
      <c r="P8" s="70">
        <f>VLOOKUP(Table2[[#This Row],[Date]],'Session Details'!$A$2:$N$368,11,FALSE)</f>
        <v>0.26249996647124618</v>
      </c>
      <c r="Q8" s="10">
        <f>VLOOKUP(Table2[[#This Row],[Date]],'Session Details'!$A$2:$N$368,12,FALSE)</f>
        <v>0.40399994890855911</v>
      </c>
      <c r="R8" s="10">
        <f>VLOOKUP(Table2[[#This Row],[Date]],'Session Details'!$A$2:$N$368,13,FALSE)</f>
        <v>0.7081000599860805</v>
      </c>
      <c r="S8" s="10">
        <f>VLOOKUP(Table2[[#This Row],[Date]],'Session Details'!$A$2:$N$368,14,FALSE)</f>
        <v>0.80360014216257369</v>
      </c>
      <c r="T8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0.80360014216257369</v>
      </c>
      <c r="U8" s="63">
        <f>VLOOKUP(Table2[[#This Row],[Date]],'Session Details'!$A$2:$N$368,7,FALSE)</f>
        <v>6.0345542866288224E-2</v>
      </c>
      <c r="V8" s="97" t="s">
        <v>54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</row>
    <row r="9" spans="1:143" s="35" customFormat="1" x14ac:dyDescent="0.3">
      <c r="A9" s="104">
        <v>43515</v>
      </c>
      <c r="B9" s="61">
        <v>21934513</v>
      </c>
      <c r="C9" s="26">
        <v>620260</v>
      </c>
      <c r="D9" s="7">
        <f>VLOOKUP(Table2[[#This Row],[Date]],'Session Details'!$A$2:$N$368,8,FALSE)</f>
        <v>-0.55839299648571217</v>
      </c>
      <c r="E9" s="7">
        <f>VLOOKUP(Table2[[#This Row],[Date]],'Session Details'!$A$2:$N$368,9,FALSE)</f>
        <v>-3.809525563663041E-2</v>
      </c>
      <c r="F9" s="39">
        <f>VLOOKUP($A9,'Channel wise traffic'!$B$2:$K$368,7,FALSE)</f>
        <v>-312730</v>
      </c>
      <c r="G9" s="26">
        <f>VLOOKUP($A9,'Channel wise traffic'!$B$2:$K$368,8,FALSE)</f>
        <v>-234548</v>
      </c>
      <c r="H9" s="26">
        <f>VLOOKUP($A9,'Channel wise traffic'!$B$2:$K$368,9,FALSE)</f>
        <v>-95556</v>
      </c>
      <c r="I9" s="40">
        <f>VLOOKUP($A9,'Channel wise traffic'!$B$2:$K$368,10,FALSE)</f>
        <v>-225860</v>
      </c>
      <c r="J9" s="48">
        <f>VLOOKUP($A9,'Channel wise traffic'!$B$2:$P$368,11,FALSE)</f>
        <v>0</v>
      </c>
      <c r="K9" s="24">
        <f>VLOOKUP($A9,'Channel wise traffic'!$B$2:$P$368,12,FALSE)</f>
        <v>0</v>
      </c>
      <c r="L9" s="24">
        <f>VLOOKUP($A9,'Channel wise traffic'!$B$2:$P$368,13,FALSE)</f>
        <v>0</v>
      </c>
      <c r="M9" s="51">
        <f>VLOOKUP($A9,'Channel wise traffic'!$B$2:$P$368,14,FALSE)</f>
        <v>0</v>
      </c>
      <c r="N9">
        <f>VLOOKUP($A9,'Channel wise traffic'!$B$2:$P$368,15,FALSE)</f>
        <v>-868694</v>
      </c>
      <c r="O9" s="7">
        <f>VLOOKUP(Table2[[#This Row],[Date]],'Session Details'!$A$2:$N$368,10,FALSE)</f>
        <v>-0.54090360183579034</v>
      </c>
      <c r="P9" s="70">
        <f>VLOOKUP(Table2[[#This Row],[Date]],'Session Details'!$A$2:$N$368,11,FALSE)</f>
        <v>0.25749999555495034</v>
      </c>
      <c r="Q9" s="10">
        <f>VLOOKUP(Table2[[#This Row],[Date]],'Session Details'!$A$2:$N$368,12,FALSE)</f>
        <v>0.16799999716720751</v>
      </c>
      <c r="R9" s="10">
        <f>VLOOKUP(Table2[[#This Row],[Date]],'Session Details'!$A$2:$N$368,13,FALSE)</f>
        <v>0.76649906680142099</v>
      </c>
      <c r="S9" s="10">
        <f>VLOOKUP(Table2[[#This Row],[Date]],'Session Details'!$A$2:$N$368,14,FALSE)</f>
        <v>0.8528008953405718</v>
      </c>
      <c r="T9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0.16799999716720751</v>
      </c>
      <c r="U9" s="63">
        <f>VLOOKUP(Table2[[#This Row],[Date]],'Session Details'!$A$2:$N$368,7,FALSE)</f>
        <v>2.8277810407735061E-2</v>
      </c>
      <c r="V9" s="15" t="s">
        <v>53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</row>
    <row r="10" spans="1:143" x14ac:dyDescent="0.3">
      <c r="A10" s="104">
        <v>43522</v>
      </c>
      <c r="B10" s="61">
        <v>22368860</v>
      </c>
      <c r="C10" s="26">
        <v>1364832</v>
      </c>
      <c r="D10" s="7">
        <f>VLOOKUP(Table2[[#This Row],[Date]],'Session Details'!$A$2:$N$368,8,FALSE)</f>
        <v>1.2004191790539451</v>
      </c>
      <c r="E10" s="7">
        <f>VLOOKUP(Table2[[#This Row],[Date]],'Session Details'!$A$2:$N$368,9,FALSE)</f>
        <v>1.9801989677181275E-2</v>
      </c>
      <c r="F10" s="39">
        <f>VLOOKUP($A10,'Channel wise traffic'!$B$2:$K$368,7,FALSE)</f>
        <v>0</v>
      </c>
      <c r="G10" s="26">
        <f>VLOOKUP($A10,'Channel wise traffic'!$B$2:$K$368,8,FALSE)</f>
        <v>0</v>
      </c>
      <c r="H10" s="26">
        <f>VLOOKUP($A10,'Channel wise traffic'!$B$2:$K$368,9,FALSE)</f>
        <v>0</v>
      </c>
      <c r="I10" s="40">
        <f>VLOOKUP($A10,'Channel wise traffic'!$B$2:$K$368,10,FALSE)</f>
        <v>0</v>
      </c>
      <c r="J10" s="48">
        <f>VLOOKUP($A10,'Channel wise traffic'!$B$2:$P$368,11,FALSE)</f>
        <v>156365</v>
      </c>
      <c r="K10" s="24">
        <f>VLOOKUP($A10,'Channel wise traffic'!$B$2:$P$368,12,FALSE)</f>
        <v>117274</v>
      </c>
      <c r="L10" s="24">
        <f>VLOOKUP($A10,'Channel wise traffic'!$B$2:$P$368,13,FALSE)</f>
        <v>47778</v>
      </c>
      <c r="M10" s="51">
        <f>VLOOKUP($A10,'Channel wise traffic'!$B$2:$P$368,14,FALSE)</f>
        <v>112930</v>
      </c>
      <c r="N10">
        <f>VLOOKUP($A10,'Channel wise traffic'!$B$2:$P$368,15,FALSE)</f>
        <v>434347</v>
      </c>
      <c r="O10" s="7">
        <f>VLOOKUP(Table2[[#This Row],[Date]],'Session Details'!$A$2:$N$368,10,FALSE)</f>
        <v>1.157692572996929</v>
      </c>
      <c r="P10" s="70">
        <f>VLOOKUP(Table2[[#This Row],[Date]],'Session Details'!$A$2:$N$368,11,FALSE)</f>
        <v>0.24499996870649643</v>
      </c>
      <c r="Q10" s="10">
        <f>VLOOKUP(Table2[[#This Row],[Date]],'Session Details'!$A$2:$N$368,12,FALSE)</f>
        <v>0.41199991971345001</v>
      </c>
      <c r="R10" s="10">
        <f>VLOOKUP(Table2[[#This Row],[Date]],'Session Details'!$A$2:$N$368,13,FALSE)</f>
        <v>0.74459987811748196</v>
      </c>
      <c r="S10" s="10">
        <f>VLOOKUP(Table2[[#This Row],[Date]],'Session Details'!$A$2:$N$368,14,FALSE)</f>
        <v>0.81180033082704983</v>
      </c>
      <c r="T10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0.81180033082704983</v>
      </c>
      <c r="U10" s="63">
        <f>VLOOKUP(Table2[[#This Row],[Date]],'Session Details'!$A$2:$N$368,7,FALSE)</f>
        <v>6.1014821497385206E-2</v>
      </c>
      <c r="V10" s="97" t="s">
        <v>54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</row>
    <row r="11" spans="1:143" x14ac:dyDescent="0.3">
      <c r="A11" s="104">
        <v>43524</v>
      </c>
      <c r="B11" s="61">
        <v>22586034</v>
      </c>
      <c r="C11" s="26">
        <v>1405660</v>
      </c>
      <c r="D11" s="7">
        <f>VLOOKUP(Table2[[#This Row],[Date]],'Session Details'!$A$2:$N$368,8,FALSE)</f>
        <v>0.22324803045110131</v>
      </c>
      <c r="E11" s="7">
        <f>VLOOKUP(Table2[[#This Row],[Date]],'Session Details'!$A$2:$N$368,9,FALSE)</f>
        <v>8.3333373303954517E-2</v>
      </c>
      <c r="F11" s="39">
        <f>VLOOKUP($A11,'Channel wise traffic'!$B$2:$K$368,7,FALSE)</f>
        <v>0</v>
      </c>
      <c r="G11" s="26">
        <f>VLOOKUP($A11,'Channel wise traffic'!$B$2:$K$368,8,FALSE)</f>
        <v>0</v>
      </c>
      <c r="H11" s="26">
        <f>VLOOKUP($A11,'Channel wise traffic'!$B$2:$K$368,9,FALSE)</f>
        <v>0</v>
      </c>
      <c r="I11" s="40">
        <f>VLOOKUP($A11,'Channel wise traffic'!$B$2:$K$368,10,FALSE)</f>
        <v>0</v>
      </c>
      <c r="J11" s="48">
        <f>VLOOKUP($A11,'Channel wise traffic'!$B$2:$P$368,11,FALSE)</f>
        <v>625460</v>
      </c>
      <c r="K11" s="24">
        <f>VLOOKUP($A11,'Channel wise traffic'!$B$2:$P$368,12,FALSE)</f>
        <v>469095</v>
      </c>
      <c r="L11" s="24">
        <f>VLOOKUP($A11,'Channel wise traffic'!$B$2:$P$368,13,FALSE)</f>
        <v>191112</v>
      </c>
      <c r="M11" s="51">
        <f>VLOOKUP($A11,'Channel wise traffic'!$B$2:$P$368,14,FALSE)</f>
        <v>451720</v>
      </c>
      <c r="N11">
        <f>VLOOKUP($A11,'Channel wise traffic'!$B$2:$P$368,15,FALSE)</f>
        <v>1737387</v>
      </c>
      <c r="O11" s="7">
        <f>VLOOKUP(Table2[[#This Row],[Date]],'Session Details'!$A$2:$N$368,10,FALSE)</f>
        <v>0.12915198644756454</v>
      </c>
      <c r="P11" s="70">
        <f>VLOOKUP(Table2[[#This Row],[Date]],'Session Details'!$A$2:$N$368,11,FALSE)</f>
        <v>0.25499997033565081</v>
      </c>
      <c r="Q11" s="10">
        <f>VLOOKUP(Table2[[#This Row],[Date]],'Session Details'!$A$2:$N$368,12,FALSE)</f>
        <v>0.39599992221463276</v>
      </c>
      <c r="R11" s="10">
        <f>VLOOKUP(Table2[[#This Row],[Date]],'Session Details'!$A$2:$N$368,13,FALSE)</f>
        <v>0.72270016227210765</v>
      </c>
      <c r="S11" s="10">
        <f>VLOOKUP(Table2[[#This Row],[Date]],'Session Details'!$A$2:$N$368,14,FALSE)</f>
        <v>0.85279947873218831</v>
      </c>
      <c r="T11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0.85279947873218831</v>
      </c>
      <c r="U11" s="63">
        <f>VLOOKUP(Table2[[#This Row],[Date]],'Session Details'!$A$2:$N$368,7,FALSE)</f>
        <v>6.2235804656984049E-2</v>
      </c>
      <c r="V11" s="97" t="s">
        <v>54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</row>
    <row r="12" spans="1:143" x14ac:dyDescent="0.3">
      <c r="A12" s="104">
        <v>43526</v>
      </c>
      <c r="B12" s="61">
        <v>46685340</v>
      </c>
      <c r="C12" s="26">
        <v>900972</v>
      </c>
      <c r="D12" s="7">
        <f>VLOOKUP(Table2[[#This Row],[Date]],'Session Details'!$A$2:$N$368,8,FALSE)</f>
        <v>-0.37594234941110949</v>
      </c>
      <c r="E12" s="7">
        <f>VLOOKUP(Table2[[#This Row],[Date]],'Session Details'!$A$2:$N$368,9,FALSE)</f>
        <v>8.3333333333333259E-2</v>
      </c>
      <c r="F12" s="39">
        <f>VLOOKUP($A12,'Channel wise traffic'!$B$2:$K$368,7,FALSE)</f>
        <v>0</v>
      </c>
      <c r="G12" s="26">
        <f>VLOOKUP($A12,'Channel wise traffic'!$B$2:$K$368,8,FALSE)</f>
        <v>0</v>
      </c>
      <c r="H12" s="26">
        <f>VLOOKUP($A12,'Channel wise traffic'!$B$2:$K$368,9,FALSE)</f>
        <v>0</v>
      </c>
      <c r="I12" s="40">
        <f>VLOOKUP($A12,'Channel wise traffic'!$B$2:$K$368,10,FALSE)</f>
        <v>0</v>
      </c>
      <c r="J12" s="48">
        <f>VLOOKUP($A12,'Channel wise traffic'!$B$2:$P$368,11,FALSE)</f>
        <v>1292825</v>
      </c>
      <c r="K12" s="24">
        <f>VLOOKUP($A12,'Channel wise traffic'!$B$2:$P$368,12,FALSE)</f>
        <v>969619</v>
      </c>
      <c r="L12" s="24">
        <f>VLOOKUP($A12,'Channel wise traffic'!$B$2:$P$368,13,FALSE)</f>
        <v>395030</v>
      </c>
      <c r="M12" s="51">
        <f>VLOOKUP($A12,'Channel wise traffic'!$B$2:$P$368,14,FALSE)</f>
        <v>933707</v>
      </c>
      <c r="N12">
        <f>VLOOKUP($A12,'Channel wise traffic'!$B$2:$P$368,15,FALSE)</f>
        <v>3591181</v>
      </c>
      <c r="O12" s="7">
        <f>VLOOKUP(Table2[[#This Row],[Date]],'Session Details'!$A$2:$N$368,10,FALSE)</f>
        <v>-0.42394678407179354</v>
      </c>
      <c r="P12" s="70">
        <f>VLOOKUP(Table2[[#This Row],[Date]],'Session Details'!$A$2:$N$368,11,FALSE)</f>
        <v>0.20999999143199985</v>
      </c>
      <c r="Q12" s="10">
        <f>VLOOKUP(Table2[[#This Row],[Date]],'Session Details'!$A$2:$N$368,12,FALSE)</f>
        <v>0.33999998571999918</v>
      </c>
      <c r="R12" s="10">
        <f>VLOOKUP(Table2[[#This Row],[Date]],'Session Details'!$A$2:$N$368,13,FALSE)</f>
        <v>0.33319983331998332</v>
      </c>
      <c r="S12" s="10">
        <f>VLOOKUP(Table2[[#This Row],[Date]],'Session Details'!$A$2:$N$368,14,FALSE)</f>
        <v>0.81119976662651061</v>
      </c>
      <c r="T12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0.20999999143199985</v>
      </c>
      <c r="U12" s="63">
        <f>VLOOKUP(Table2[[#This Row],[Date]],'Session Details'!$A$2:$N$368,7,FALSE)</f>
        <v>1.9298820571939712E-2</v>
      </c>
      <c r="V12" s="15" t="s">
        <v>53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</row>
    <row r="13" spans="1:143" x14ac:dyDescent="0.3">
      <c r="A13" s="104">
        <v>43533</v>
      </c>
      <c r="B13" s="61">
        <v>46685340</v>
      </c>
      <c r="C13" s="26">
        <v>1820150</v>
      </c>
      <c r="D13" s="7">
        <f>VLOOKUP(Table2[[#This Row],[Date]],'Session Details'!$A$2:$N$368,8,FALSE)</f>
        <v>1.0202070652584099</v>
      </c>
      <c r="E13" s="7">
        <f>VLOOKUP(Table2[[#This Row],[Date]],'Session Details'!$A$2:$N$368,9,FALSE)</f>
        <v>0</v>
      </c>
      <c r="F13" s="39">
        <f>VLOOKUP($A13,'Channel wise traffic'!$B$2:$K$368,7,FALSE)</f>
        <v>0</v>
      </c>
      <c r="G13" s="26">
        <f>VLOOKUP($A13,'Channel wise traffic'!$B$2:$K$368,8,FALSE)</f>
        <v>0</v>
      </c>
      <c r="H13" s="26">
        <f>VLOOKUP($A13,'Channel wise traffic'!$B$2:$K$368,9,FALSE)</f>
        <v>0</v>
      </c>
      <c r="I13" s="40">
        <f>VLOOKUP($A13,'Channel wise traffic'!$B$2:$K$368,10,FALSE)</f>
        <v>0</v>
      </c>
      <c r="J13" s="48">
        <f>VLOOKUP($A13,'Channel wise traffic'!$B$2:$P$368,11,FALSE)</f>
        <v>0</v>
      </c>
      <c r="K13" s="24">
        <f>VLOOKUP($A13,'Channel wise traffic'!$B$2:$P$368,12,FALSE)</f>
        <v>0</v>
      </c>
      <c r="L13" s="24">
        <f>VLOOKUP($A13,'Channel wise traffic'!$B$2:$P$368,13,FALSE)</f>
        <v>0</v>
      </c>
      <c r="M13" s="51">
        <f>VLOOKUP($A13,'Channel wise traffic'!$B$2:$P$368,14,FALSE)</f>
        <v>0</v>
      </c>
      <c r="N13">
        <f>VLOOKUP($A13,'Channel wise traffic'!$B$2:$P$368,15,FALSE)</f>
        <v>0</v>
      </c>
      <c r="O13" s="7">
        <f>VLOOKUP(Table2[[#This Row],[Date]],'Session Details'!$A$2:$N$368,10,FALSE)</f>
        <v>1.0202070652584103</v>
      </c>
      <c r="P13" s="70">
        <f>VLOOKUP(Table2[[#This Row],[Date]],'Session Details'!$A$2:$N$368,11,FALSE)</f>
        <v>0.20789999601587994</v>
      </c>
      <c r="Q13" s="10">
        <f>VLOOKUP(Table2[[#This Row],[Date]],'Session Details'!$A$2:$N$368,12,FALSE)</f>
        <v>0.33660001224000047</v>
      </c>
      <c r="R13" s="10">
        <f>VLOOKUP(Table2[[#This Row],[Date]],'Session Details'!$A$2:$N$368,13,FALSE)</f>
        <v>0.70719987756351388</v>
      </c>
      <c r="S13" s="10">
        <f>VLOOKUP(Table2[[#This Row],[Date]],'Session Details'!$A$2:$N$368,14,FALSE)</f>
        <v>0.78779980453787235</v>
      </c>
      <c r="T13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0.78779980453787235</v>
      </c>
      <c r="U13" s="63">
        <f>VLOOKUP(Table2[[#This Row],[Date]],'Session Details'!$A$2:$N$368,7,FALSE)</f>
        <v>3.8987613670586958E-2</v>
      </c>
      <c r="V13" s="97" t="s">
        <v>54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</row>
    <row r="14" spans="1:143" x14ac:dyDescent="0.3">
      <c r="A14" s="104">
        <v>43543</v>
      </c>
      <c r="B14" s="61">
        <v>21934513</v>
      </c>
      <c r="C14" s="26">
        <v>707578</v>
      </c>
      <c r="D14" s="7">
        <f>VLOOKUP(Table2[[#This Row],[Date]],'Session Details'!$A$2:$N$368,8,FALSE)</f>
        <v>-0.45549226537958976</v>
      </c>
      <c r="E14" s="7">
        <f>VLOOKUP(Table2[[#This Row],[Date]],'Session Details'!$A$2:$N$368,9,FALSE)</f>
        <v>2.0201982617158221E-2</v>
      </c>
      <c r="F14" s="39">
        <f>VLOOKUP($A14,'Channel wise traffic'!$B$2:$K$368,7,FALSE)</f>
        <v>0</v>
      </c>
      <c r="G14" s="26">
        <f>VLOOKUP($A14,'Channel wise traffic'!$B$2:$K$368,8,FALSE)</f>
        <v>0</v>
      </c>
      <c r="H14" s="26">
        <f>VLOOKUP($A14,'Channel wise traffic'!$B$2:$K$368,9,FALSE)</f>
        <v>0</v>
      </c>
      <c r="I14" s="40">
        <f>VLOOKUP($A14,'Channel wise traffic'!$B$2:$K$368,10,FALSE)</f>
        <v>0</v>
      </c>
      <c r="J14" s="48">
        <f>VLOOKUP($A14,'Channel wise traffic'!$B$2:$P$368,11,FALSE)</f>
        <v>156364</v>
      </c>
      <c r="K14" s="24">
        <f>VLOOKUP($A14,'Channel wise traffic'!$B$2:$P$368,12,FALSE)</f>
        <v>117273</v>
      </c>
      <c r="L14" s="24">
        <f>VLOOKUP($A14,'Channel wise traffic'!$B$2:$P$368,13,FALSE)</f>
        <v>47778</v>
      </c>
      <c r="M14" s="51">
        <f>VLOOKUP($A14,'Channel wise traffic'!$B$2:$P$368,14,FALSE)</f>
        <v>112930</v>
      </c>
      <c r="N14">
        <f>VLOOKUP($A14,'Channel wise traffic'!$B$2:$P$368,15,FALSE)</f>
        <v>434345</v>
      </c>
      <c r="O14" s="7">
        <f>VLOOKUP(Table2[[#This Row],[Date]],'Session Details'!$A$2:$N$368,10,FALSE)</f>
        <v>-0.46627457709544307</v>
      </c>
      <c r="P14" s="70">
        <f>VLOOKUP(Table2[[#This Row],[Date]],'Session Details'!$A$2:$N$368,11,FALSE)</f>
        <v>0.26249996979645729</v>
      </c>
      <c r="Q14" s="10">
        <f>VLOOKUP(Table2[[#This Row],[Date]],'Session Details'!$A$2:$N$368,12,FALSE)</f>
        <v>0.42000003820897847</v>
      </c>
      <c r="R14" s="10">
        <f>VLOOKUP(Table2[[#This Row],[Date]],'Session Details'!$A$2:$N$368,13,FALSE)</f>
        <v>0.75919992722100005</v>
      </c>
      <c r="S14" s="10">
        <f>VLOOKUP(Table2[[#This Row],[Date]],'Session Details'!$A$2:$N$368,14,FALSE)</f>
        <v>0.38539988387533919</v>
      </c>
      <c r="T14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0.26249996979645729</v>
      </c>
      <c r="U14" s="63">
        <f>VLOOKUP(Table2[[#This Row],[Date]],'Session Details'!$A$2:$N$368,7,FALSE)</f>
        <v>3.2258660130726403E-2</v>
      </c>
      <c r="V14" s="15" t="s">
        <v>53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</row>
    <row r="15" spans="1:143" x14ac:dyDescent="0.3">
      <c r="A15" s="104">
        <v>43548</v>
      </c>
      <c r="B15" s="61">
        <v>45338648</v>
      </c>
      <c r="C15" s="26">
        <v>1839416</v>
      </c>
      <c r="D15" s="7">
        <f>VLOOKUP(Table2[[#This Row],[Date]],'Session Details'!$A$2:$N$368,8,FALSE)</f>
        <v>0.22259812803337153</v>
      </c>
      <c r="E15" s="7">
        <f>VLOOKUP(Table2[[#This Row],[Date]],'Session Details'!$A$2:$N$368,9,FALSE)</f>
        <v>6.3157893996339087E-2</v>
      </c>
      <c r="F15" s="39">
        <f>VLOOKUP($A15,'Channel wise traffic'!$B$2:$K$368,7,FALSE)</f>
        <v>0</v>
      </c>
      <c r="G15" s="26">
        <f>VLOOKUP($A15,'Channel wise traffic'!$B$2:$K$368,8,FALSE)</f>
        <v>0</v>
      </c>
      <c r="H15" s="26">
        <f>VLOOKUP($A15,'Channel wise traffic'!$B$2:$K$368,9,FALSE)</f>
        <v>0</v>
      </c>
      <c r="I15" s="40">
        <f>VLOOKUP($A15,'Channel wise traffic'!$B$2:$K$368,10,FALSE)</f>
        <v>0</v>
      </c>
      <c r="J15" s="48">
        <f>VLOOKUP($A15,'Channel wise traffic'!$B$2:$P$368,11,FALSE)</f>
        <v>969619</v>
      </c>
      <c r="K15" s="24">
        <f>VLOOKUP($A15,'Channel wise traffic'!$B$2:$P$368,12,FALSE)</f>
        <v>727214</v>
      </c>
      <c r="L15" s="24">
        <f>VLOOKUP($A15,'Channel wise traffic'!$B$2:$P$368,13,FALSE)</f>
        <v>296273</v>
      </c>
      <c r="M15" s="51">
        <f>VLOOKUP($A15,'Channel wise traffic'!$B$2:$P$368,14,FALSE)</f>
        <v>700280</v>
      </c>
      <c r="N15">
        <f>VLOOKUP($A15,'Channel wise traffic'!$B$2:$P$368,15,FALSE)</f>
        <v>2693386</v>
      </c>
      <c r="O15" s="7">
        <f>VLOOKUP(Table2[[#This Row],[Date]],'Session Details'!$A$2:$N$368,10,FALSE)</f>
        <v>0.14996853706998059</v>
      </c>
      <c r="P15" s="70">
        <f>VLOOKUP(Table2[[#This Row],[Date]],'Session Details'!$A$2:$N$368,11,FALSE)</f>
        <v>0.20789997972590626</v>
      </c>
      <c r="Q15" s="10">
        <f>VLOOKUP(Table2[[#This Row],[Date]],'Session Details'!$A$2:$N$368,12,FALSE)</f>
        <v>0.35019993838256785</v>
      </c>
      <c r="R15" s="10">
        <f>VLOOKUP(Table2[[#This Row],[Date]],'Session Details'!$A$2:$N$368,13,FALSE)</f>
        <v>0.69360011705717539</v>
      </c>
      <c r="S15" s="10">
        <f>VLOOKUP(Table2[[#This Row],[Date]],'Session Details'!$A$2:$N$368,14,FALSE)</f>
        <v>0.80339980956873436</v>
      </c>
      <c r="T15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0.80339980956873436</v>
      </c>
      <c r="U15" s="63">
        <f>VLOOKUP(Table2[[#This Row],[Date]],'Session Details'!$A$2:$N$368,7,FALSE)</f>
        <v>4.05705966353474E-2</v>
      </c>
      <c r="V15" s="97" t="s">
        <v>54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</row>
    <row r="16" spans="1:143" s="35" customFormat="1" x14ac:dyDescent="0.3">
      <c r="A16" s="104">
        <v>43550</v>
      </c>
      <c r="B16" s="61">
        <v>20848646</v>
      </c>
      <c r="C16" s="26">
        <v>1259241</v>
      </c>
      <c r="D16" s="7">
        <f>VLOOKUP(Table2[[#This Row],[Date]],'Session Details'!$A$2:$N$368,8,FALSE)</f>
        <v>0.77964973472889199</v>
      </c>
      <c r="E16" s="7">
        <f>VLOOKUP(Table2[[#This Row],[Date]],'Session Details'!$A$2:$N$368,9,FALSE)</f>
        <v>-4.9504951397826846E-2</v>
      </c>
      <c r="F16" s="39">
        <f>VLOOKUP($A16,'Channel wise traffic'!$B$2:$K$368,7,FALSE)</f>
        <v>-390912</v>
      </c>
      <c r="G16" s="26">
        <f>VLOOKUP($A16,'Channel wise traffic'!$B$2:$K$368,8,FALSE)</f>
        <v>-293184</v>
      </c>
      <c r="H16" s="26">
        <f>VLOOKUP($A16,'Channel wise traffic'!$B$2:$K$368,9,FALSE)</f>
        <v>-119445</v>
      </c>
      <c r="I16" s="40">
        <f>VLOOKUP($A16,'Channel wise traffic'!$B$2:$K$368,10,FALSE)</f>
        <v>-282325</v>
      </c>
      <c r="J16" s="48">
        <f>VLOOKUP($A16,'Channel wise traffic'!$B$2:$P$368,11,FALSE)</f>
        <v>0</v>
      </c>
      <c r="K16" s="24">
        <f>VLOOKUP($A16,'Channel wise traffic'!$B$2:$P$368,12,FALSE)</f>
        <v>0</v>
      </c>
      <c r="L16" s="24">
        <f>VLOOKUP($A16,'Channel wise traffic'!$B$2:$P$368,13,FALSE)</f>
        <v>0</v>
      </c>
      <c r="M16" s="51">
        <f>VLOOKUP($A16,'Channel wise traffic'!$B$2:$P$368,14,FALSE)</f>
        <v>0</v>
      </c>
      <c r="N16">
        <f>VLOOKUP($A16,'Channel wise traffic'!$B$2:$P$368,15,FALSE)</f>
        <v>-1085866</v>
      </c>
      <c r="O16" s="7">
        <f>VLOOKUP(Table2[[#This Row],[Date]],'Session Details'!$A$2:$N$368,10,FALSE)</f>
        <v>0.87233982685769784</v>
      </c>
      <c r="P16" s="70">
        <f>VLOOKUP(Table2[[#This Row],[Date]],'Session Details'!$A$2:$N$368,11,FALSE)</f>
        <v>0.2449999870495187</v>
      </c>
      <c r="Q16" s="10">
        <f>VLOOKUP(Table2[[#This Row],[Date]],'Session Details'!$A$2:$N$368,12,FALSE)</f>
        <v>0.39999996084510364</v>
      </c>
      <c r="R16" s="10">
        <f>VLOOKUP(Table2[[#This Row],[Date]],'Session Details'!$A$2:$N$368,13,FALSE)</f>
        <v>0.72270010234112048</v>
      </c>
      <c r="S16" s="10">
        <f>VLOOKUP(Table2[[#This Row],[Date]],'Session Details'!$A$2:$N$368,14,FALSE)</f>
        <v>0.85279937586220211</v>
      </c>
      <c r="T16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0.85279937586220211</v>
      </c>
      <c r="U16" s="63">
        <f>VLOOKUP(Table2[[#This Row],[Date]],'Session Details'!$A$2:$N$368,7,FALSE)</f>
        <v>6.0399174123825596E-2</v>
      </c>
      <c r="V16" s="97" t="s">
        <v>54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</row>
    <row r="17" spans="1:143" x14ac:dyDescent="0.3">
      <c r="A17" s="104">
        <v>43559</v>
      </c>
      <c r="B17" s="61">
        <v>22151687</v>
      </c>
      <c r="C17" s="26">
        <v>628275</v>
      </c>
      <c r="D17" s="7">
        <f>VLOOKUP(Table2[[#This Row],[Date]],'Session Details'!$A$2:$N$368,8,FALSE)</f>
        <v>-0.52087951809985289</v>
      </c>
      <c r="E17" s="7">
        <f>VLOOKUP(Table2[[#This Row],[Date]],'Session Details'!$A$2:$N$368,9,FALSE)</f>
        <v>3.0303020437004058E-2</v>
      </c>
      <c r="F17" s="39">
        <f>VLOOKUP($A17,'Channel wise traffic'!$B$2:$K$368,7,FALSE)</f>
        <v>0</v>
      </c>
      <c r="G17" s="26">
        <f>VLOOKUP($A17,'Channel wise traffic'!$B$2:$K$368,8,FALSE)</f>
        <v>0</v>
      </c>
      <c r="H17" s="26">
        <f>VLOOKUP($A17,'Channel wise traffic'!$B$2:$K$368,9,FALSE)</f>
        <v>0</v>
      </c>
      <c r="I17" s="40">
        <f>VLOOKUP($A17,'Channel wise traffic'!$B$2:$K$368,10,FALSE)</f>
        <v>0</v>
      </c>
      <c r="J17" s="48">
        <f>VLOOKUP($A17,'Channel wise traffic'!$B$2:$P$368,11,FALSE)</f>
        <v>234547</v>
      </c>
      <c r="K17" s="24">
        <f>VLOOKUP($A17,'Channel wise traffic'!$B$2:$P$368,12,FALSE)</f>
        <v>175910</v>
      </c>
      <c r="L17" s="24">
        <f>VLOOKUP($A17,'Channel wise traffic'!$B$2:$P$368,13,FALSE)</f>
        <v>71667</v>
      </c>
      <c r="M17" s="51">
        <f>VLOOKUP($A17,'Channel wise traffic'!$B$2:$P$368,14,FALSE)</f>
        <v>169395</v>
      </c>
      <c r="N17">
        <f>VLOOKUP($A17,'Channel wise traffic'!$B$2:$P$368,15,FALSE)</f>
        <v>651519</v>
      </c>
      <c r="O17" s="7">
        <f>VLOOKUP(Table2[[#This Row],[Date]],'Session Details'!$A$2:$N$368,10,FALSE)</f>
        <v>-0.53497129252622422</v>
      </c>
      <c r="P17" s="70">
        <f>VLOOKUP(Table2[[#This Row],[Date]],'Session Details'!$A$2:$N$368,11,FALSE)</f>
        <v>0.26249996219249577</v>
      </c>
      <c r="Q17" s="10">
        <f>VLOOKUP(Table2[[#This Row],[Date]],'Session Details'!$A$2:$N$368,12,FALSE)</f>
        <v>0.19999993121021695</v>
      </c>
      <c r="R17" s="10">
        <f>VLOOKUP(Table2[[#This Row],[Date]],'Session Details'!$A$2:$N$368,13,FALSE)</f>
        <v>0.69350013714967718</v>
      </c>
      <c r="S17" s="10">
        <f>VLOOKUP(Table2[[#This Row],[Date]],'Session Details'!$A$2:$N$368,14,FALSE)</f>
        <v>0.77899977061802939</v>
      </c>
      <c r="T17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0.19999993121021695</v>
      </c>
      <c r="U17" s="63">
        <f>VLOOKUP(Table2[[#This Row],[Date]],'Session Details'!$A$2:$N$368,7,FALSE)</f>
        <v>2.8362399667348135E-2</v>
      </c>
      <c r="V17" s="15" t="s">
        <v>53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</row>
    <row r="18" spans="1:143" s="35" customFormat="1" x14ac:dyDescent="0.3">
      <c r="A18" s="104">
        <v>43566</v>
      </c>
      <c r="B18" s="61">
        <v>20631473</v>
      </c>
      <c r="C18" s="26">
        <v>1208741</v>
      </c>
      <c r="D18" s="7">
        <f>VLOOKUP(Table2[[#This Row],[Date]],'Session Details'!$A$2:$N$368,8,FALSE)</f>
        <v>0.9239043412518404</v>
      </c>
      <c r="E18" s="7">
        <f>VLOOKUP(Table2[[#This Row],[Date]],'Session Details'!$A$2:$N$368,9,FALSE)</f>
        <v>-6.8627459389436152E-2</v>
      </c>
      <c r="F18" s="39">
        <f>VLOOKUP($A18,'Channel wise traffic'!$B$2:$K$368,7,FALSE)</f>
        <v>-547277</v>
      </c>
      <c r="G18" s="26">
        <f>VLOOKUP($A18,'Channel wise traffic'!$B$2:$K$368,8,FALSE)</f>
        <v>-410458</v>
      </c>
      <c r="H18" s="26">
        <f>VLOOKUP($A18,'Channel wise traffic'!$B$2:$K$368,9,FALSE)</f>
        <v>-167223</v>
      </c>
      <c r="I18" s="40">
        <f>VLOOKUP($A18,'Channel wise traffic'!$B$2:$K$368,10,FALSE)</f>
        <v>-395255</v>
      </c>
      <c r="J18" s="48">
        <f>VLOOKUP($A18,'Channel wise traffic'!$B$2:$P$368,11,FALSE)</f>
        <v>0</v>
      </c>
      <c r="K18" s="24">
        <f>VLOOKUP($A18,'Channel wise traffic'!$B$2:$P$368,12,FALSE)</f>
        <v>0</v>
      </c>
      <c r="L18" s="24">
        <f>VLOOKUP($A18,'Channel wise traffic'!$B$2:$P$368,13,FALSE)</f>
        <v>0</v>
      </c>
      <c r="M18" s="51">
        <f>VLOOKUP($A18,'Channel wise traffic'!$B$2:$P$368,14,FALSE)</f>
        <v>0</v>
      </c>
      <c r="N18">
        <f>VLOOKUP($A18,'Channel wise traffic'!$B$2:$P$368,15,FALSE)</f>
        <v>-1520213</v>
      </c>
      <c r="O18" s="7">
        <f>VLOOKUP(Table2[[#This Row],[Date]],'Session Details'!$A$2:$N$368,10,FALSE)</f>
        <v>1.0656657324153227</v>
      </c>
      <c r="P18" s="70">
        <f>VLOOKUP(Table2[[#This Row],[Date]],'Session Details'!$A$2:$N$368,11,FALSE)</f>
        <v>0.24749997249348119</v>
      </c>
      <c r="Q18" s="10">
        <f>VLOOKUP(Table2[[#This Row],[Date]],'Session Details'!$A$2:$N$368,12,FALSE)</f>
        <v>0.38799997414952425</v>
      </c>
      <c r="R18" s="10">
        <f>VLOOKUP(Table2[[#This Row],[Date]],'Session Details'!$A$2:$N$368,13,FALSE)</f>
        <v>0.75919979406836124</v>
      </c>
      <c r="S18" s="10">
        <f>VLOOKUP(Table2[[#This Row],[Date]],'Session Details'!$A$2:$N$368,14,FALSE)</f>
        <v>0.80360028906556957</v>
      </c>
      <c r="T18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0.80360028906556957</v>
      </c>
      <c r="U18" s="63">
        <f>VLOOKUP(Table2[[#This Row],[Date]],'Session Details'!$A$2:$N$368,7,FALSE)</f>
        <v>5.8587237081908793E-2</v>
      </c>
      <c r="V18" s="97" t="s">
        <v>54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</row>
    <row r="19" spans="1:143" s="35" customFormat="1" x14ac:dyDescent="0.3">
      <c r="A19" s="104">
        <v>43567</v>
      </c>
      <c r="B19" s="61">
        <v>20631473</v>
      </c>
      <c r="C19" s="26">
        <v>1138287</v>
      </c>
      <c r="D19" s="7">
        <f>VLOOKUP(Table2[[#This Row],[Date]],'Session Details'!$A$2:$N$368,8,FALSE)</f>
        <v>-0.27312591355188975</v>
      </c>
      <c r="E19" s="7">
        <f>VLOOKUP(Table2[[#This Row],[Date]],'Session Details'!$A$2:$N$368,9,FALSE)</f>
        <v>-8.6538477715919493E-2</v>
      </c>
      <c r="F19" s="39">
        <f>VLOOKUP($A19,'Channel wise traffic'!$B$2:$K$368,7,FALSE)</f>
        <v>-703642</v>
      </c>
      <c r="G19" s="26">
        <f>VLOOKUP($A19,'Channel wise traffic'!$B$2:$K$368,8,FALSE)</f>
        <v>-527732</v>
      </c>
      <c r="H19" s="26">
        <f>VLOOKUP($A19,'Channel wise traffic'!$B$2:$K$368,9,FALSE)</f>
        <v>-215001</v>
      </c>
      <c r="I19" s="40">
        <f>VLOOKUP($A19,'Channel wise traffic'!$B$2:$K$368,10,FALSE)</f>
        <v>-508185</v>
      </c>
      <c r="J19" s="48">
        <f>VLOOKUP($A19,'Channel wise traffic'!$B$2:$P$368,11,FALSE)</f>
        <v>0</v>
      </c>
      <c r="K19" s="24">
        <f>VLOOKUP($A19,'Channel wise traffic'!$B$2:$P$368,12,FALSE)</f>
        <v>0</v>
      </c>
      <c r="L19" s="24">
        <f>VLOOKUP($A19,'Channel wise traffic'!$B$2:$P$368,13,FALSE)</f>
        <v>0</v>
      </c>
      <c r="M19" s="51">
        <f>VLOOKUP($A19,'Channel wise traffic'!$B$2:$P$368,14,FALSE)</f>
        <v>0</v>
      </c>
      <c r="N19">
        <f>VLOOKUP($A19,'Channel wise traffic'!$B$2:$P$368,15,FALSE)</f>
        <v>-1954560</v>
      </c>
      <c r="O19" s="7">
        <f>VLOOKUP(Table2[[#This Row],[Date]],'Session Details'!$A$2:$N$368,10,FALSE)</f>
        <v>-0.20426414390111858</v>
      </c>
      <c r="P19" s="70">
        <f>VLOOKUP(Table2[[#This Row],[Date]],'Session Details'!$A$2:$N$368,11,FALSE)</f>
        <v>0.24499995710437156</v>
      </c>
      <c r="Q19" s="10">
        <f>VLOOKUP(Table2[[#This Row],[Date]],'Session Details'!$A$2:$N$368,12,FALSE)</f>
        <v>0.38000003956705725</v>
      </c>
      <c r="R19" s="10">
        <f>VLOOKUP(Table2[[#This Row],[Date]],'Session Details'!$A$2:$N$368,13,FALSE)</f>
        <v>0.72999963556661585</v>
      </c>
      <c r="S19" s="10">
        <f>VLOOKUP(Table2[[#This Row],[Date]],'Session Details'!$A$2:$N$368,14,FALSE)</f>
        <v>0.8118003731343284</v>
      </c>
      <c r="T19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0.24499995710437156</v>
      </c>
      <c r="U19" s="63">
        <f>VLOOKUP(Table2[[#This Row],[Date]],'Session Details'!$A$2:$N$368,7,FALSE)</f>
        <v>5.5172357300906243E-2</v>
      </c>
      <c r="V19" s="15" t="s">
        <v>53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</row>
    <row r="20" spans="1:143" x14ac:dyDescent="0.3">
      <c r="A20" s="104">
        <v>43569</v>
      </c>
      <c r="B20" s="61">
        <v>46685340</v>
      </c>
      <c r="C20" s="26">
        <v>1930656</v>
      </c>
      <c r="D20" s="7">
        <f>VLOOKUP(Table2[[#This Row],[Date]],'Session Details'!$A$2:$N$368,8,FALSE)</f>
        <v>0.28376620785956508</v>
      </c>
      <c r="E20" s="7">
        <f>VLOOKUP(Table2[[#This Row],[Date]],'Session Details'!$A$2:$N$368,9,FALSE)</f>
        <v>8.3333333333333259E-2</v>
      </c>
      <c r="F20" s="39">
        <f>VLOOKUP($A20,'Channel wise traffic'!$B$2:$K$368,7,FALSE)</f>
        <v>0</v>
      </c>
      <c r="G20" s="26">
        <f>VLOOKUP($A20,'Channel wise traffic'!$B$2:$K$368,8,FALSE)</f>
        <v>0</v>
      </c>
      <c r="H20" s="26">
        <f>VLOOKUP($A20,'Channel wise traffic'!$B$2:$K$368,9,FALSE)</f>
        <v>0</v>
      </c>
      <c r="I20" s="40">
        <f>VLOOKUP($A20,'Channel wise traffic'!$B$2:$K$368,10,FALSE)</f>
        <v>0</v>
      </c>
      <c r="J20" s="48">
        <f>VLOOKUP($A20,'Channel wise traffic'!$B$2:$P$368,11,FALSE)</f>
        <v>1292825</v>
      </c>
      <c r="K20" s="24">
        <f>VLOOKUP($A20,'Channel wise traffic'!$B$2:$P$368,12,FALSE)</f>
        <v>969619</v>
      </c>
      <c r="L20" s="24">
        <f>VLOOKUP($A20,'Channel wise traffic'!$B$2:$P$368,13,FALSE)</f>
        <v>395030</v>
      </c>
      <c r="M20" s="51">
        <f>VLOOKUP($A20,'Channel wise traffic'!$B$2:$P$368,14,FALSE)</f>
        <v>933707</v>
      </c>
      <c r="N20">
        <f>VLOOKUP($A20,'Channel wise traffic'!$B$2:$P$368,15,FALSE)</f>
        <v>3591181</v>
      </c>
      <c r="O20" s="7">
        <f>VLOOKUP(Table2[[#This Row],[Date]],'Session Details'!$A$2:$N$368,10,FALSE)</f>
        <v>0.18501496110113713</v>
      </c>
      <c r="P20" s="70">
        <f>VLOOKUP(Table2[[#This Row],[Date]],'Session Details'!$A$2:$N$368,11,FALSE)</f>
        <v>0.20999999143199985</v>
      </c>
      <c r="Q20" s="10">
        <f>VLOOKUP(Table2[[#This Row],[Date]],'Session Details'!$A$2:$N$368,12,FALSE)</f>
        <v>0.35359995250879722</v>
      </c>
      <c r="R20" s="10">
        <f>VLOOKUP(Table2[[#This Row],[Date]],'Session Details'!$A$2:$N$368,13,FALSE)</f>
        <v>0.68000003461539127</v>
      </c>
      <c r="S20" s="10">
        <f>VLOOKUP(Table2[[#This Row],[Date]],'Session Details'!$A$2:$N$368,14,FALSE)</f>
        <v>0.81900011580883991</v>
      </c>
      <c r="T20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0.81900011580883991</v>
      </c>
      <c r="U20" s="63">
        <f>VLOOKUP(Table2[[#This Row],[Date]],'Session Details'!$A$2:$N$368,7,FALSE)</f>
        <v>4.1354652231300019E-2</v>
      </c>
      <c r="V20" s="104" t="s">
        <v>54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</row>
    <row r="21" spans="1:143" x14ac:dyDescent="0.3">
      <c r="A21" s="104">
        <v>43573</v>
      </c>
      <c r="B21" s="61">
        <v>22803207</v>
      </c>
      <c r="C21" s="26">
        <v>2091398</v>
      </c>
      <c r="D21" s="7">
        <f>VLOOKUP(Table2[[#This Row],[Date]],'Session Details'!$A$2:$N$368,8,FALSE)</f>
        <v>0.7302283946685022</v>
      </c>
      <c r="E21" s="7">
        <f>VLOOKUP(Table2[[#This Row],[Date]],'Session Details'!$A$2:$N$368,9,FALSE)</f>
        <v>0.10526315789473695</v>
      </c>
      <c r="F21" s="39">
        <f>VLOOKUP($A21,'Channel wise traffic'!$B$2:$K$368,7,FALSE)</f>
        <v>0</v>
      </c>
      <c r="G21" s="26">
        <f>VLOOKUP($A21,'Channel wise traffic'!$B$2:$K$368,8,FALSE)</f>
        <v>0</v>
      </c>
      <c r="H21" s="26">
        <f>VLOOKUP($A21,'Channel wise traffic'!$B$2:$K$368,9,FALSE)</f>
        <v>0</v>
      </c>
      <c r="I21" s="40">
        <f>VLOOKUP($A21,'Channel wise traffic'!$B$2:$K$368,10,FALSE)</f>
        <v>0</v>
      </c>
      <c r="J21" s="48">
        <f>VLOOKUP($A21,'Channel wise traffic'!$B$2:$P$368,11,FALSE)</f>
        <v>781824</v>
      </c>
      <c r="K21" s="24">
        <f>VLOOKUP($A21,'Channel wise traffic'!$B$2:$P$368,12,FALSE)</f>
        <v>586369</v>
      </c>
      <c r="L21" s="24">
        <f>VLOOKUP($A21,'Channel wise traffic'!$B$2:$P$368,13,FALSE)</f>
        <v>238890</v>
      </c>
      <c r="M21" s="51">
        <f>VLOOKUP($A21,'Channel wise traffic'!$B$2:$P$368,14,FALSE)</f>
        <v>564650</v>
      </c>
      <c r="N21">
        <f>VLOOKUP($A21,'Channel wise traffic'!$B$2:$P$368,15,FALSE)</f>
        <v>2171733</v>
      </c>
      <c r="O21" s="7">
        <f>VLOOKUP(Table2[[#This Row],[Date]],'Session Details'!$A$2:$N$368,10,FALSE)</f>
        <v>0.56544473803340667</v>
      </c>
      <c r="P21" s="70">
        <f>VLOOKUP(Table2[[#This Row],[Date]],'Session Details'!$A$2:$N$368,11,FALSE)</f>
        <v>0.23749997094706898</v>
      </c>
      <c r="Q21" s="10">
        <f>VLOOKUP(Table2[[#This Row],[Date]],'Session Details'!$A$2:$N$368,12,FALSE)</f>
        <v>0.67199992761866711</v>
      </c>
      <c r="R21" s="10">
        <f>VLOOKUP(Table2[[#This Row],[Date]],'Session Details'!$A$2:$N$368,13,FALSE)</f>
        <v>0.73000015661961026</v>
      </c>
      <c r="S21" s="10">
        <f>VLOOKUP(Table2[[#This Row],[Date]],'Session Details'!$A$2:$N$368,14,FALSE)</f>
        <v>0.78719987834787986</v>
      </c>
      <c r="T21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0.78719987834787986</v>
      </c>
      <c r="U21" s="63">
        <f>VLOOKUP(Table2[[#This Row],[Date]],'Session Details'!$A$2:$N$368,7,FALSE)</f>
        <v>9.1715082005789803E-2</v>
      </c>
      <c r="V21" s="104" t="s">
        <v>54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</row>
    <row r="22" spans="1:143" x14ac:dyDescent="0.3">
      <c r="A22" s="104">
        <v>43574</v>
      </c>
      <c r="B22" s="61">
        <v>22151687</v>
      </c>
      <c r="C22" s="26">
        <v>1419728</v>
      </c>
      <c r="D22" s="7">
        <f>VLOOKUP(Table2[[#This Row],[Date]],'Session Details'!$A$2:$N$368,8,FALSE)</f>
        <v>0.2472495952251057</v>
      </c>
      <c r="E22" s="7">
        <f>VLOOKUP(Table2[[#This Row],[Date]],'Session Details'!$A$2:$N$368,9,FALSE)</f>
        <v>7.3684220220243013E-2</v>
      </c>
      <c r="F22" s="39">
        <f>VLOOKUP($A22,'Channel wise traffic'!$B$2:$K$368,7,FALSE)</f>
        <v>0</v>
      </c>
      <c r="G22" s="26">
        <f>VLOOKUP($A22,'Channel wise traffic'!$B$2:$K$368,8,FALSE)</f>
        <v>0</v>
      </c>
      <c r="H22" s="26">
        <f>VLOOKUP($A22,'Channel wise traffic'!$B$2:$K$368,9,FALSE)</f>
        <v>0</v>
      </c>
      <c r="I22" s="40">
        <f>VLOOKUP($A22,'Channel wise traffic'!$B$2:$K$368,10,FALSE)</f>
        <v>0</v>
      </c>
      <c r="J22" s="48">
        <f>VLOOKUP($A22,'Channel wise traffic'!$B$2:$P$368,11,FALSE)</f>
        <v>547277</v>
      </c>
      <c r="K22" s="24">
        <f>VLOOKUP($A22,'Channel wise traffic'!$B$2:$P$368,12,FALSE)</f>
        <v>410458</v>
      </c>
      <c r="L22" s="24">
        <f>VLOOKUP($A22,'Channel wise traffic'!$B$2:$P$368,13,FALSE)</f>
        <v>167223</v>
      </c>
      <c r="M22" s="51">
        <f>VLOOKUP($A22,'Channel wise traffic'!$B$2:$P$368,14,FALSE)</f>
        <v>395255</v>
      </c>
      <c r="N22">
        <f>VLOOKUP($A22,'Channel wise traffic'!$B$2:$P$368,15,FALSE)</f>
        <v>1520213</v>
      </c>
      <c r="O22" s="7">
        <f>VLOOKUP(Table2[[#This Row],[Date]],'Session Details'!$A$2:$N$368,10,FALSE)</f>
        <v>0.16165402428030418</v>
      </c>
      <c r="P22" s="70">
        <f>VLOOKUP(Table2[[#This Row],[Date]],'Session Details'!$A$2:$N$368,11,FALSE)</f>
        <v>0.24999996614253353</v>
      </c>
      <c r="Q22" s="10">
        <f>VLOOKUP(Table2[[#This Row],[Date]],'Session Details'!$A$2:$N$368,12,FALSE)</f>
        <v>0.41199991838092309</v>
      </c>
      <c r="R22" s="10">
        <f>VLOOKUP(Table2[[#This Row],[Date]],'Session Details'!$A$2:$N$368,13,FALSE)</f>
        <v>0.76649998707060718</v>
      </c>
      <c r="S22" s="10">
        <f>VLOOKUP(Table2[[#This Row],[Date]],'Session Details'!$A$2:$N$368,14,FALSE)</f>
        <v>0.81180011710458899</v>
      </c>
      <c r="T22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0.81180011710458899</v>
      </c>
      <c r="U22" s="63">
        <f>VLOOKUP(Table2[[#This Row],[Date]],'Session Details'!$A$2:$N$368,7,FALSE)</f>
        <v>6.409119088762856E-2</v>
      </c>
      <c r="V22" s="104" t="s">
        <v>54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</row>
    <row r="23" spans="1:143" x14ac:dyDescent="0.3">
      <c r="A23" s="104">
        <v>43580</v>
      </c>
      <c r="B23" s="61">
        <v>22803207</v>
      </c>
      <c r="C23" s="26">
        <v>1282226</v>
      </c>
      <c r="D23" s="7">
        <f>VLOOKUP(Table2[[#This Row],[Date]],'Session Details'!$A$2:$N$368,8,FALSE)</f>
        <v>-0.38690483590402214</v>
      </c>
      <c r="E23" s="7">
        <f>VLOOKUP(Table2[[#This Row],[Date]],'Session Details'!$A$2:$N$368,9,FALSE)</f>
        <v>0</v>
      </c>
      <c r="F23" s="39">
        <f>VLOOKUP($A23,'Channel wise traffic'!$B$2:$K$368,7,FALSE)</f>
        <v>0</v>
      </c>
      <c r="G23" s="26">
        <f>VLOOKUP($A23,'Channel wise traffic'!$B$2:$K$368,8,FALSE)</f>
        <v>0</v>
      </c>
      <c r="H23" s="26">
        <f>VLOOKUP($A23,'Channel wise traffic'!$B$2:$K$368,9,FALSE)</f>
        <v>0</v>
      </c>
      <c r="I23" s="40">
        <f>VLOOKUP($A23,'Channel wise traffic'!$B$2:$K$368,10,FALSE)</f>
        <v>0</v>
      </c>
      <c r="J23" s="48">
        <f>VLOOKUP($A23,'Channel wise traffic'!$B$2:$P$368,11,FALSE)</f>
        <v>0</v>
      </c>
      <c r="K23" s="24">
        <f>VLOOKUP($A23,'Channel wise traffic'!$B$2:$P$368,12,FALSE)</f>
        <v>0</v>
      </c>
      <c r="L23" s="24">
        <f>VLOOKUP($A23,'Channel wise traffic'!$B$2:$P$368,13,FALSE)</f>
        <v>0</v>
      </c>
      <c r="M23" s="51">
        <f>VLOOKUP($A23,'Channel wise traffic'!$B$2:$P$368,14,FALSE)</f>
        <v>0</v>
      </c>
      <c r="N23">
        <f>VLOOKUP($A23,'Channel wise traffic'!$B$2:$P$368,15,FALSE)</f>
        <v>0</v>
      </c>
      <c r="O23" s="7">
        <f>VLOOKUP(Table2[[#This Row],[Date]],'Session Details'!$A$2:$N$368,10,FALSE)</f>
        <v>-0.38690483590402214</v>
      </c>
      <c r="P23" s="70">
        <f>VLOOKUP(Table2[[#This Row],[Date]],'Session Details'!$A$2:$N$368,11,FALSE)</f>
        <v>0.24999996710988942</v>
      </c>
      <c r="Q23" s="10">
        <f>VLOOKUP(Table2[[#This Row],[Date]],'Session Details'!$A$2:$N$368,12,FALSE)</f>
        <v>0.38399989755825542</v>
      </c>
      <c r="R23" s="10">
        <f>VLOOKUP(Table2[[#This Row],[Date]],'Session Details'!$A$2:$N$368,13,FALSE)</f>
        <v>0.69350013498654928</v>
      </c>
      <c r="S23" s="10">
        <f>VLOOKUP(Table2[[#This Row],[Date]],'Session Details'!$A$2:$N$368,14,FALSE)</f>
        <v>0.84459992648928361</v>
      </c>
      <c r="T23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0.24999996710988942</v>
      </c>
      <c r="U23" s="63">
        <f>VLOOKUP(Table2[[#This Row],[Date]],'Session Details'!$A$2:$N$368,7,FALSE)</f>
        <v>5.6230073252415767E-2</v>
      </c>
      <c r="V23" s="104" t="s">
        <v>53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</row>
    <row r="24" spans="1:143" x14ac:dyDescent="0.3">
      <c r="A24" s="104">
        <v>43636</v>
      </c>
      <c r="B24" s="61">
        <v>10207150</v>
      </c>
      <c r="C24" s="26">
        <v>616058</v>
      </c>
      <c r="D24" s="7">
        <f>VLOOKUP(Table2[[#This Row],[Date]],'Session Details'!$A$2:$N$368,8,FALSE)</f>
        <v>-0.54373712252615491</v>
      </c>
      <c r="E24" s="7">
        <f>VLOOKUP(Table2[[#This Row],[Date]],'Session Details'!$A$2:$N$368,9,FALSE)</f>
        <v>-0.52999999079076909</v>
      </c>
      <c r="F24" s="39">
        <f>VLOOKUP($A24,'Channel wise traffic'!$B$2:$K$368,7,FALSE)</f>
        <v>-4143668</v>
      </c>
      <c r="G24" s="26">
        <f>VLOOKUP($A24,'Channel wise traffic'!$B$2:$K$368,8,FALSE)</f>
        <v>-3107751</v>
      </c>
      <c r="H24" s="26">
        <f>VLOOKUP($A24,'Channel wise traffic'!$B$2:$K$368,9,FALSE)</f>
        <v>-1266121</v>
      </c>
      <c r="I24" s="40">
        <f>VLOOKUP($A24,'Channel wise traffic'!$B$2:$K$368,10,FALSE)</f>
        <v>-2992649</v>
      </c>
      <c r="J24" s="48">
        <f>VLOOKUP($A24,'Channel wise traffic'!$B$2:$P$368,11,FALSE)</f>
        <v>0</v>
      </c>
      <c r="K24" s="24">
        <f>VLOOKUP($A24,'Channel wise traffic'!$B$2:$P$368,12,FALSE)</f>
        <v>0</v>
      </c>
      <c r="L24" s="24">
        <f>VLOOKUP($A24,'Channel wise traffic'!$B$2:$P$368,13,FALSE)</f>
        <v>0</v>
      </c>
      <c r="M24" s="51">
        <f>VLOOKUP($A24,'Channel wise traffic'!$B$2:$P$368,14,FALSE)</f>
        <v>0</v>
      </c>
      <c r="N24">
        <f>VLOOKUP($A24,'Channel wise traffic'!$B$2:$P$368,15,FALSE)</f>
        <v>-11510189</v>
      </c>
      <c r="O24" s="7">
        <f>VLOOKUP(Table2[[#This Row],[Date]],'Session Details'!$A$2:$N$368,10,FALSE)</f>
        <v>-2.9227939289827587E-2</v>
      </c>
      <c r="P24" s="70">
        <f>VLOOKUP(Table2[[#This Row],[Date]],'Session Details'!$A$2:$N$368,11,FALSE)</f>
        <v>0.24749993876841234</v>
      </c>
      <c r="Q24" s="10">
        <f>VLOOKUP(Table2[[#This Row],[Date]],'Session Details'!$A$2:$N$368,12,FALSE)</f>
        <v>0.41200006808459433</v>
      </c>
      <c r="R24" s="10">
        <f>VLOOKUP(Table2[[#This Row],[Date]],'Session Details'!$A$2:$N$368,13,FALSE)</f>
        <v>0.70079927134584841</v>
      </c>
      <c r="S24" s="10">
        <f>VLOOKUP(Table2[[#This Row],[Date]],'Session Details'!$A$2:$N$368,14,FALSE)</f>
        <v>0.84460000438711946</v>
      </c>
      <c r="T24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0.24749993876841234</v>
      </c>
      <c r="U24" s="63">
        <f>VLOOKUP(Table2[[#This Row],[Date]],'Session Details'!$A$2:$N$368,7,FALSE)</f>
        <v>6.035553509059826E-2</v>
      </c>
      <c r="V24" s="95" t="s">
        <v>57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</row>
    <row r="25" spans="1:143" x14ac:dyDescent="0.3">
      <c r="A25" s="104">
        <v>43643</v>
      </c>
      <c r="B25" s="61">
        <v>22368860</v>
      </c>
      <c r="C25" s="26">
        <v>1322811</v>
      </c>
      <c r="D25" s="7">
        <f>VLOOKUP(Table2[[#This Row],[Date]],'Session Details'!$A$2:$N$368,8,FALSE)</f>
        <v>1.1472182813955829</v>
      </c>
      <c r="E25" s="7">
        <f>VLOOKUP(Table2[[#This Row],[Date]],'Session Details'!$A$2:$N$368,9,FALSE)</f>
        <v>1.1914892991677402</v>
      </c>
      <c r="F25" s="39">
        <f>VLOOKUP($A25,'Channel wise traffic'!$B$2:$K$368,7,FALSE)</f>
        <v>0</v>
      </c>
      <c r="G25" s="26">
        <f>VLOOKUP($A25,'Channel wise traffic'!$B$2:$K$368,8,FALSE)</f>
        <v>0</v>
      </c>
      <c r="H25" s="26">
        <f>VLOOKUP($A25,'Channel wise traffic'!$B$2:$K$368,9,FALSE)</f>
        <v>0</v>
      </c>
      <c r="I25" s="40">
        <f>VLOOKUP($A25,'Channel wise traffic'!$B$2:$K$368,10,FALSE)</f>
        <v>0</v>
      </c>
      <c r="J25" s="48">
        <f>VLOOKUP($A25,'Channel wise traffic'!$B$2:$P$368,11,FALSE)</f>
        <v>4378215</v>
      </c>
      <c r="K25" s="24">
        <f>VLOOKUP($A25,'Channel wise traffic'!$B$2:$P$368,12,FALSE)</f>
        <v>3283662</v>
      </c>
      <c r="L25" s="24">
        <f>VLOOKUP($A25,'Channel wise traffic'!$B$2:$P$368,13,FALSE)</f>
        <v>1337788</v>
      </c>
      <c r="M25" s="51">
        <f>VLOOKUP($A25,'Channel wise traffic'!$B$2:$P$368,14,FALSE)</f>
        <v>3162044</v>
      </c>
      <c r="N25">
        <f>VLOOKUP($A25,'Channel wise traffic'!$B$2:$P$368,15,FALSE)</f>
        <v>12161709</v>
      </c>
      <c r="O25" s="7">
        <f>VLOOKUP(Table2[[#This Row],[Date]],'Session Details'!$A$2:$N$368,10,FALSE)</f>
        <v>-2.0201338783159994E-2</v>
      </c>
      <c r="P25" s="70">
        <f>VLOOKUP(Table2[[#This Row],[Date]],'Session Details'!$A$2:$N$368,11,FALSE)</f>
        <v>0.2574999798827477</v>
      </c>
      <c r="Q25" s="10">
        <f>VLOOKUP(Table2[[#This Row],[Date]],'Session Details'!$A$2:$N$368,12,FALSE)</f>
        <v>0.3879998909718626</v>
      </c>
      <c r="R25" s="10">
        <f>VLOOKUP(Table2[[#This Row],[Date]],'Session Details'!$A$2:$N$368,13,FALSE)</f>
        <v>0.75189988509409045</v>
      </c>
      <c r="S25" s="10">
        <f>VLOOKUP(Table2[[#This Row],[Date]],'Session Details'!$A$2:$N$368,14,FALSE)</f>
        <v>0.78720007141156867</v>
      </c>
      <c r="T25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0.2574999798827477</v>
      </c>
      <c r="U25" s="63">
        <f>VLOOKUP(Table2[[#This Row],[Date]],'Session Details'!$A$2:$N$368,7,FALSE)</f>
        <v>5.9136272478794182E-2</v>
      </c>
      <c r="V25" s="95" t="s">
        <v>42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</row>
    <row r="26" spans="1:143" x14ac:dyDescent="0.3">
      <c r="A26" s="104">
        <v>43662</v>
      </c>
      <c r="B26" s="61">
        <v>20631473</v>
      </c>
      <c r="C26" s="26">
        <v>498841</v>
      </c>
      <c r="D26" s="7">
        <f>VLOOKUP(Table2[[#This Row],[Date]],'Session Details'!$A$2:$N$368,8,FALSE)</f>
        <v>-0.63082013655867986</v>
      </c>
      <c r="E26" s="7">
        <f>VLOOKUP(Table2[[#This Row],[Date]],'Session Details'!$A$2:$N$368,9,FALSE)</f>
        <v>-9.5238095238095233E-2</v>
      </c>
      <c r="F26" s="39">
        <f>VLOOKUP($A26,'Channel wise traffic'!$B$2:$K$368,7,FALSE)</f>
        <v>-781824</v>
      </c>
      <c r="G26" s="26">
        <f>VLOOKUP($A26,'Channel wise traffic'!$B$2:$K$368,8,FALSE)</f>
        <v>-586369</v>
      </c>
      <c r="H26" s="26">
        <f>VLOOKUP($A26,'Channel wise traffic'!$B$2:$K$368,9,FALSE)</f>
        <v>-238890</v>
      </c>
      <c r="I26" s="40">
        <f>VLOOKUP($A26,'Channel wise traffic'!$B$2:$K$368,10,FALSE)</f>
        <v>-564650</v>
      </c>
      <c r="J26" s="48">
        <f>VLOOKUP($A26,'Channel wise traffic'!$B$2:$P$368,11,FALSE)</f>
        <v>0</v>
      </c>
      <c r="K26" s="24">
        <f>VLOOKUP($A26,'Channel wise traffic'!$B$2:$P$368,12,FALSE)</f>
        <v>0</v>
      </c>
      <c r="L26" s="24">
        <f>VLOOKUP($A26,'Channel wise traffic'!$B$2:$P$368,13,FALSE)</f>
        <v>0</v>
      </c>
      <c r="M26" s="51">
        <f>VLOOKUP($A26,'Channel wise traffic'!$B$2:$P$368,14,FALSE)</f>
        <v>0</v>
      </c>
      <c r="N26">
        <f>VLOOKUP($A26,'Channel wise traffic'!$B$2:$P$368,15,FALSE)</f>
        <v>-2171733</v>
      </c>
      <c r="O26" s="7">
        <f>VLOOKUP(Table2[[#This Row],[Date]],'Session Details'!$A$2:$N$368,10,FALSE)</f>
        <v>-0.59195909830169868</v>
      </c>
      <c r="P26" s="70">
        <f>VLOOKUP(Table2[[#This Row],[Date]],'Session Details'!$A$2:$N$368,11,FALSE)</f>
        <v>9.9999985459109E-2</v>
      </c>
      <c r="Q26" s="10">
        <f>VLOOKUP(Table2[[#This Row],[Date]],'Session Details'!$A$2:$N$368,12,FALSE)</f>
        <v>0.39599989724435536</v>
      </c>
      <c r="R26" s="10">
        <f>VLOOKUP(Table2[[#This Row],[Date]],'Session Details'!$A$2:$N$368,13,FALSE)</f>
        <v>0.72999953488713665</v>
      </c>
      <c r="S26" s="10">
        <f>VLOOKUP(Table2[[#This Row],[Date]],'Session Details'!$A$2:$N$368,14,FALSE)</f>
        <v>0.83640055397760615</v>
      </c>
      <c r="T26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9.9999985459109E-2</v>
      </c>
      <c r="U26" s="63">
        <f>VLOOKUP(Table2[[#This Row],[Date]],'Session Details'!$A$2:$N$368,7,FALSE)</f>
        <v>2.4178642019404045E-2</v>
      </c>
      <c r="V26" s="104" t="s">
        <v>53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</row>
    <row r="27" spans="1:143" x14ac:dyDescent="0.3">
      <c r="A27" s="104">
        <v>43669</v>
      </c>
      <c r="B27" s="61">
        <v>21282993</v>
      </c>
      <c r="C27" s="26">
        <v>1172435</v>
      </c>
      <c r="D27" s="7">
        <f>VLOOKUP(Table2[[#This Row],[Date]],'Session Details'!$A$2:$N$368,8,FALSE)</f>
        <v>1.3503180372102532</v>
      </c>
      <c r="E27" s="7">
        <f>VLOOKUP(Table2[[#This Row],[Date]],'Session Details'!$A$2:$N$368,9,FALSE)</f>
        <v>3.1578937674493712E-2</v>
      </c>
      <c r="F27" s="39">
        <f>VLOOKUP($A27,'Channel wise traffic'!$B$2:$K$368,7,FALSE)</f>
        <v>0</v>
      </c>
      <c r="G27" s="26">
        <f>VLOOKUP($A27,'Channel wise traffic'!$B$2:$K$368,8,FALSE)</f>
        <v>0</v>
      </c>
      <c r="H27" s="26">
        <f>VLOOKUP($A27,'Channel wise traffic'!$B$2:$K$368,9,FALSE)</f>
        <v>0</v>
      </c>
      <c r="I27" s="40">
        <f>VLOOKUP($A27,'Channel wise traffic'!$B$2:$K$368,10,FALSE)</f>
        <v>0</v>
      </c>
      <c r="J27" s="48">
        <f>VLOOKUP($A27,'Channel wise traffic'!$B$2:$P$368,11,FALSE)</f>
        <v>234547</v>
      </c>
      <c r="K27" s="24">
        <f>VLOOKUP($A27,'Channel wise traffic'!$B$2:$P$368,12,FALSE)</f>
        <v>175911</v>
      </c>
      <c r="L27" s="24">
        <f>VLOOKUP($A27,'Channel wise traffic'!$B$2:$P$368,13,FALSE)</f>
        <v>71667</v>
      </c>
      <c r="M27" s="51">
        <f>VLOOKUP($A27,'Channel wise traffic'!$B$2:$P$368,14,FALSE)</f>
        <v>169395</v>
      </c>
      <c r="N27">
        <f>VLOOKUP($A27,'Channel wise traffic'!$B$2:$P$368,15,FALSE)</f>
        <v>651520</v>
      </c>
      <c r="O27" s="7">
        <f>VLOOKUP(Table2[[#This Row],[Date]],'Session Details'!$A$2:$N$368,10,FALSE)</f>
        <v>1.2783695472773182</v>
      </c>
      <c r="P27" s="70">
        <f>VLOOKUP(Table2[[#This Row],[Date]],'Session Details'!$A$2:$N$368,11,FALSE)</f>
        <v>0.2374999606493316</v>
      </c>
      <c r="Q27" s="10">
        <f>VLOOKUP(Table2[[#This Row],[Date]],'Session Details'!$A$2:$N$368,12,FALSE)</f>
        <v>0.3959999683463542</v>
      </c>
      <c r="R27" s="10">
        <f>VLOOKUP(Table2[[#This Row],[Date]],'Session Details'!$A$2:$N$368,13,FALSE)</f>
        <v>0.75190004321402437</v>
      </c>
      <c r="S27" s="10">
        <f>VLOOKUP(Table2[[#This Row],[Date]],'Session Details'!$A$2:$N$368,14,FALSE)</f>
        <v>0.77899966247013397</v>
      </c>
      <c r="T27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0.77899966247013397</v>
      </c>
      <c r="U27" s="63">
        <f>VLOOKUP(Table2[[#This Row],[Date]],'Session Details'!$A$2:$N$368,7,FALSE)</f>
        <v>5.5087881671529941E-2</v>
      </c>
      <c r="V27" s="14" t="s">
        <v>54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</row>
    <row r="28" spans="1:143" x14ac:dyDescent="0.3">
      <c r="A28" s="104">
        <v>43688</v>
      </c>
      <c r="B28" s="61">
        <v>43991955</v>
      </c>
      <c r="C28" s="26">
        <v>765773</v>
      </c>
      <c r="D28" s="7">
        <f>VLOOKUP(Table2[[#This Row],[Date]],'Session Details'!$A$2:$N$368,8,FALSE)</f>
        <v>-0.54353363205176886</v>
      </c>
      <c r="E28" s="7">
        <f>VLOOKUP(Table2[[#This Row],[Date]],'Session Details'!$A$2:$N$368,9,FALSE)</f>
        <v>0</v>
      </c>
      <c r="F28" s="39">
        <f>VLOOKUP($A28,'Channel wise traffic'!$B$2:$K$368,7,FALSE)</f>
        <v>0</v>
      </c>
      <c r="G28" s="26">
        <f>VLOOKUP($A28,'Channel wise traffic'!$B$2:$K$368,8,FALSE)</f>
        <v>0</v>
      </c>
      <c r="H28" s="26">
        <f>VLOOKUP($A28,'Channel wise traffic'!$B$2:$K$368,9,FALSE)</f>
        <v>0</v>
      </c>
      <c r="I28" s="40">
        <f>VLOOKUP($A28,'Channel wise traffic'!$B$2:$K$368,10,FALSE)</f>
        <v>0</v>
      </c>
      <c r="J28" s="48">
        <f>VLOOKUP($A28,'Channel wise traffic'!$B$2:$P$368,11,FALSE)</f>
        <v>0</v>
      </c>
      <c r="K28" s="24">
        <f>VLOOKUP($A28,'Channel wise traffic'!$B$2:$P$368,12,FALSE)</f>
        <v>0</v>
      </c>
      <c r="L28" s="24">
        <f>VLOOKUP($A28,'Channel wise traffic'!$B$2:$P$368,13,FALSE)</f>
        <v>0</v>
      </c>
      <c r="M28" s="51">
        <f>VLOOKUP($A28,'Channel wise traffic'!$B$2:$P$368,14,FALSE)</f>
        <v>0</v>
      </c>
      <c r="N28">
        <f>VLOOKUP($A28,'Channel wise traffic'!$B$2:$P$368,15,FALSE)</f>
        <v>0</v>
      </c>
      <c r="O28" s="7">
        <f>VLOOKUP(Table2[[#This Row],[Date]],'Session Details'!$A$2:$N$368,10,FALSE)</f>
        <v>-0.54353363205176897</v>
      </c>
      <c r="P28" s="70">
        <f>VLOOKUP(Table2[[#This Row],[Date]],'Session Details'!$A$2:$N$368,11,FALSE)</f>
        <v>0.22049999823831426</v>
      </c>
      <c r="Q28" s="10">
        <f>VLOOKUP(Table2[[#This Row],[Date]],'Session Details'!$A$2:$N$368,12,FALSE)</f>
        <v>0.32639992099153153</v>
      </c>
      <c r="R28" s="10">
        <f>VLOOKUP(Table2[[#This Row],[Date]],'Session Details'!$A$2:$N$368,13,FALSE)</f>
        <v>0.32639989286683241</v>
      </c>
      <c r="S28" s="10">
        <f>VLOOKUP(Table2[[#This Row],[Date]],'Session Details'!$A$2:$N$368,14,FALSE)</f>
        <v>0.74099989162325142</v>
      </c>
      <c r="T28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0.22049999823831426</v>
      </c>
      <c r="U28" s="63">
        <f>VLOOKUP(Table2[[#This Row],[Date]],'Session Details'!$A$2:$N$368,7,FALSE)</f>
        <v>1.7407114550830941E-2</v>
      </c>
      <c r="V28" s="104" t="s">
        <v>53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</row>
    <row r="29" spans="1:143" x14ac:dyDescent="0.3">
      <c r="A29" s="104">
        <v>43695</v>
      </c>
      <c r="B29" s="61">
        <v>45338648</v>
      </c>
      <c r="C29" s="26">
        <v>1582215</v>
      </c>
      <c r="D29" s="7">
        <f>VLOOKUP(Table2[[#This Row],[Date]],'Session Details'!$A$2:$N$368,8,FALSE)</f>
        <v>1.0661671278564273</v>
      </c>
      <c r="E29" s="7">
        <f>VLOOKUP(Table2[[#This Row],[Date]],'Session Details'!$A$2:$N$368,9,FALSE)</f>
        <v>3.0612256263673698E-2</v>
      </c>
      <c r="F29" s="39">
        <f>VLOOKUP($A29,'Channel wise traffic'!$B$2:$K$368,7,FALSE)</f>
        <v>0</v>
      </c>
      <c r="G29" s="26">
        <f>VLOOKUP($A29,'Channel wise traffic'!$B$2:$K$368,8,FALSE)</f>
        <v>0</v>
      </c>
      <c r="H29" s="26">
        <f>VLOOKUP($A29,'Channel wise traffic'!$B$2:$K$368,9,FALSE)</f>
        <v>0</v>
      </c>
      <c r="I29" s="40">
        <f>VLOOKUP($A29,'Channel wise traffic'!$B$2:$K$368,10,FALSE)</f>
        <v>0</v>
      </c>
      <c r="J29" s="48">
        <f>VLOOKUP($A29,'Channel wise traffic'!$B$2:$P$368,11,FALSE)</f>
        <v>484809</v>
      </c>
      <c r="K29" s="24">
        <f>VLOOKUP($A29,'Channel wise traffic'!$B$2:$P$368,12,FALSE)</f>
        <v>363607</v>
      </c>
      <c r="L29" s="24">
        <f>VLOOKUP($A29,'Channel wise traffic'!$B$2:$P$368,13,FALSE)</f>
        <v>148136</v>
      </c>
      <c r="M29" s="51">
        <f>VLOOKUP($A29,'Channel wise traffic'!$B$2:$P$368,14,FALSE)</f>
        <v>350140</v>
      </c>
      <c r="N29">
        <f>VLOOKUP($A29,'Channel wise traffic'!$B$2:$P$368,15,FALSE)</f>
        <v>1346692</v>
      </c>
      <c r="O29" s="7">
        <f>VLOOKUP(Table2[[#This Row],[Date]],'Session Details'!$A$2:$N$368,10,FALSE)</f>
        <v>1.0047958049198824</v>
      </c>
      <c r="P29" s="70">
        <f>VLOOKUP(Table2[[#This Row],[Date]],'Session Details'!$A$2:$N$368,11,FALSE)</f>
        <v>0.20999999823550097</v>
      </c>
      <c r="Q29" s="10">
        <f>VLOOKUP(Table2[[#This Row],[Date]],'Session Details'!$A$2:$N$368,12,FALSE)</f>
        <v>0.32979999403431276</v>
      </c>
      <c r="R29" s="10">
        <f>VLOOKUP(Table2[[#This Row],[Date]],'Session Details'!$A$2:$N$368,13,FALSE)</f>
        <v>0.64599989044809281</v>
      </c>
      <c r="S29" s="10">
        <f>VLOOKUP(Table2[[#This Row],[Date]],'Session Details'!$A$2:$N$368,14,FALSE)</f>
        <v>0.77999991126364998</v>
      </c>
      <c r="T29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0.77999991126364998</v>
      </c>
      <c r="U29" s="63">
        <f>VLOOKUP(Table2[[#This Row],[Date]],'Session Details'!$A$2:$N$368,7,FALSE)</f>
        <v>3.4897710227265712E-2</v>
      </c>
      <c r="V29" s="14" t="s">
        <v>54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</row>
    <row r="30" spans="1:143" x14ac:dyDescent="0.3">
      <c r="A30" s="104">
        <v>43729</v>
      </c>
      <c r="B30" s="61">
        <v>43991955</v>
      </c>
      <c r="C30" s="26">
        <v>1473202</v>
      </c>
      <c r="D30" s="7">
        <f>VLOOKUP(Table2[[#This Row],[Date]],'Session Details'!$A$2:$N$368,8,FALSE)</f>
        <v>1.1152745531323451</v>
      </c>
      <c r="E30" s="7">
        <f>VLOOKUP(Table2[[#This Row],[Date]],'Session Details'!$A$2:$N$368,9,FALSE)</f>
        <v>-1.0101021238273722E-2</v>
      </c>
      <c r="F30" s="39">
        <f>VLOOKUP($A30,'Channel wise traffic'!$B$2:$K$368,7,FALSE)</f>
        <v>-161603</v>
      </c>
      <c r="G30" s="26">
        <f>VLOOKUP($A30,'Channel wise traffic'!$B$2:$K$368,8,FALSE)</f>
        <v>-121202</v>
      </c>
      <c r="H30" s="26">
        <f>VLOOKUP($A30,'Channel wise traffic'!$B$2:$K$368,9,FALSE)</f>
        <v>-49378</v>
      </c>
      <c r="I30" s="40">
        <f>VLOOKUP($A30,'Channel wise traffic'!$B$2:$K$368,10,FALSE)</f>
        <v>-116713</v>
      </c>
      <c r="J30" s="48">
        <f>VLOOKUP($A30,'Channel wise traffic'!$B$2:$P$368,11,FALSE)</f>
        <v>0</v>
      </c>
      <c r="K30" s="24">
        <f>VLOOKUP($A30,'Channel wise traffic'!$B$2:$P$368,12,FALSE)</f>
        <v>0</v>
      </c>
      <c r="L30" s="24">
        <f>VLOOKUP($A30,'Channel wise traffic'!$B$2:$P$368,13,FALSE)</f>
        <v>0</v>
      </c>
      <c r="M30" s="51">
        <f>VLOOKUP($A30,'Channel wise traffic'!$B$2:$P$368,14,FALSE)</f>
        <v>0</v>
      </c>
      <c r="N30">
        <f>VLOOKUP($A30,'Channel wise traffic'!$B$2:$P$368,15,FALSE)</f>
        <v>-448896</v>
      </c>
      <c r="O30" s="7">
        <f>VLOOKUP(Table2[[#This Row],[Date]],'Session Details'!$A$2:$N$368,10,FALSE)</f>
        <v>1.1368590113895878</v>
      </c>
      <c r="P30" s="70">
        <f>VLOOKUP(Table2[[#This Row],[Date]],'Session Details'!$A$2:$N$368,11,FALSE)</f>
        <v>0.2015999970903771</v>
      </c>
      <c r="Q30" s="10">
        <f>VLOOKUP(Table2[[#This Row],[Date]],'Session Details'!$A$2:$N$368,12,FALSE)</f>
        <v>0.34339995882183544</v>
      </c>
      <c r="R30" s="10">
        <f>VLOOKUP(Table2[[#This Row],[Date]],'Session Details'!$A$2:$N$368,13,FALSE)</f>
        <v>0.6459998200646323</v>
      </c>
      <c r="S30" s="10">
        <f>VLOOKUP(Table2[[#This Row],[Date]],'Session Details'!$A$2:$N$368,14,FALSE)</f>
        <v>0.74880007644541036</v>
      </c>
      <c r="T30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0.74880007644541036</v>
      </c>
      <c r="U30" s="63">
        <f>VLOOKUP(Table2[[#This Row],[Date]],'Session Details'!$A$2:$N$368,7,FALSE)</f>
        <v>3.3487986610279082E-2</v>
      </c>
      <c r="V30" s="61" t="s">
        <v>54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</row>
    <row r="31" spans="1:143" x14ac:dyDescent="0.3">
      <c r="A31" s="104">
        <v>43747</v>
      </c>
      <c r="B31" s="61">
        <v>20631473</v>
      </c>
      <c r="C31" s="26">
        <v>1402435</v>
      </c>
      <c r="D31" s="7">
        <f>VLOOKUP(Table2[[#This Row],[Date]],'Session Details'!$A$2:$N$368,8,FALSE)</f>
        <v>0.21871070507745793</v>
      </c>
      <c r="E31" s="7">
        <f>VLOOKUP(Table2[[#This Row],[Date]],'Session Details'!$A$2:$N$368,9,FALSE)</f>
        <v>-4.0404058256849784E-2</v>
      </c>
      <c r="F31" s="39">
        <f>VLOOKUP($A31,'Channel wise traffic'!$B$2:$K$368,7,FALSE)</f>
        <v>-312730</v>
      </c>
      <c r="G31" s="26">
        <f>VLOOKUP($A31,'Channel wise traffic'!$B$2:$K$368,8,FALSE)</f>
        <v>-234548</v>
      </c>
      <c r="H31" s="26">
        <f>VLOOKUP($A31,'Channel wise traffic'!$B$2:$K$368,9,FALSE)</f>
        <v>-95556</v>
      </c>
      <c r="I31" s="40">
        <f>VLOOKUP($A31,'Channel wise traffic'!$B$2:$K$368,10,FALSE)</f>
        <v>-225860</v>
      </c>
      <c r="J31" s="48">
        <f>VLOOKUP($A31,'Channel wise traffic'!$B$2:$P$368,11,FALSE)</f>
        <v>0</v>
      </c>
      <c r="K31" s="24">
        <f>VLOOKUP($A31,'Channel wise traffic'!$B$2:$P$368,12,FALSE)</f>
        <v>0</v>
      </c>
      <c r="L31" s="24">
        <f>VLOOKUP($A31,'Channel wise traffic'!$B$2:$P$368,13,FALSE)</f>
        <v>0</v>
      </c>
      <c r="M31" s="51">
        <f>VLOOKUP($A31,'Channel wise traffic'!$B$2:$P$368,14,FALSE)</f>
        <v>0</v>
      </c>
      <c r="N31">
        <f>VLOOKUP($A31,'Channel wise traffic'!$B$2:$P$368,15,FALSE)</f>
        <v>-868694</v>
      </c>
      <c r="O31" s="7">
        <f>VLOOKUP(Table2[[#This Row],[Date]],'Session Details'!$A$2:$N$368,10,FALSE)</f>
        <v>0.27002486365627365</v>
      </c>
      <c r="P31" s="70">
        <f>VLOOKUP(Table2[[#This Row],[Date]],'Session Details'!$A$2:$N$368,11,FALSE)</f>
        <v>0.2624999678888657</v>
      </c>
      <c r="Q31" s="10">
        <f>VLOOKUP(Table2[[#This Row],[Date]],'Session Details'!$A$2:$N$368,12,FALSE)</f>
        <v>0.39999992614149699</v>
      </c>
      <c r="R31" s="10">
        <f>VLOOKUP(Table2[[#This Row],[Date]],'Session Details'!$A$2:$N$368,13,FALSE)</f>
        <v>0.76649999261414836</v>
      </c>
      <c r="S31" s="10">
        <f>VLOOKUP(Table2[[#This Row],[Date]],'Session Details'!$A$2:$N$368,14,FALSE)</f>
        <v>0.84460021006075381</v>
      </c>
      <c r="T31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0.84460021006075381</v>
      </c>
      <c r="U31" s="63">
        <f>VLOOKUP(Table2[[#This Row],[Date]],'Session Details'!$A$2:$N$368,7,FALSE)</f>
        <v>6.7975514884468013E-2</v>
      </c>
      <c r="V31" s="61" t="s">
        <v>54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</row>
    <row r="32" spans="1:143" x14ac:dyDescent="0.3">
      <c r="A32" s="104">
        <v>43722</v>
      </c>
      <c r="B32" s="26">
        <v>20848646</v>
      </c>
      <c r="C32" s="26">
        <v>1104728</v>
      </c>
      <c r="D32" s="7">
        <f>VLOOKUP(Table2[[#This Row],[Date]],'Session Details'!$A$2:$N$368,8,FALSE)</f>
        <v>-0.53590439000986212</v>
      </c>
      <c r="E32" s="7">
        <f>VLOOKUP(Table2[[#This Row],[Date]],'Session Details'!$A$2:$N$368,9,FALSE)</f>
        <v>-4.8076912366922908E-2</v>
      </c>
      <c r="F32" s="39">
        <f>VLOOKUP($A32,'Channel wise traffic'!$B$2:$K$368,7,FALSE)</f>
        <v>-808015</v>
      </c>
      <c r="G32" s="26">
        <f>VLOOKUP($A32,'Channel wise traffic'!$B$2:$K$368,8,FALSE)</f>
        <v>-606012</v>
      </c>
      <c r="H32" s="26">
        <f>VLOOKUP($A32,'Channel wise traffic'!$B$2:$K$368,9,FALSE)</f>
        <v>-246894</v>
      </c>
      <c r="I32" s="40">
        <f>VLOOKUP($A32,'Channel wise traffic'!$B$2:$K$368,10,FALSE)</f>
        <v>-583567</v>
      </c>
      <c r="J32" s="48">
        <f>VLOOKUP($A32,'Channel wise traffic'!$B$2:$P$368,11,FALSE)</f>
        <v>0</v>
      </c>
      <c r="K32" s="24">
        <f>VLOOKUP($A32,'Channel wise traffic'!$B$2:$P$368,12,FALSE)</f>
        <v>0</v>
      </c>
      <c r="L32" s="24">
        <f>VLOOKUP($A32,'Channel wise traffic'!$B$2:$P$368,13,FALSE)</f>
        <v>0</v>
      </c>
      <c r="M32" s="51">
        <f>VLOOKUP($A32,'Channel wise traffic'!$B$2:$P$368,14,FALSE)</f>
        <v>0</v>
      </c>
      <c r="N32">
        <f>VLOOKUP($A32,'Channel wise traffic'!$B$2:$P$368,15,FALSE)</f>
        <v>-2244488</v>
      </c>
      <c r="O32" s="7">
        <f>VLOOKUP(Table2[[#This Row],[Date]],'Session Details'!$A$2:$N$368,10,FALSE)</f>
        <v>-0.51246522327334754</v>
      </c>
      <c r="P32" s="70">
        <f>VLOOKUP(Table2[[#This Row],[Date]],'Session Details'!$A$2:$N$368,11,FALSE)</f>
        <v>0.20999999707476361</v>
      </c>
      <c r="Q32" s="10">
        <f>VLOOKUP(Table2[[#This Row],[Date]],'Session Details'!$A$2:$N$368,12,FALSE)</f>
        <v>0.14959991230719827</v>
      </c>
      <c r="R32" s="10">
        <f>VLOOKUP(Table2[[#This Row],[Date]],'Session Details'!$A$2:$N$368,13,FALSE)</f>
        <v>0.67319985703572605</v>
      </c>
      <c r="S32" s="10">
        <f>VLOOKUP(Table2[[#This Row],[Date]],'Session Details'!$A$2:$N$368,14,FALSE)</f>
        <v>0.74100054261668924</v>
      </c>
      <c r="T32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0.14959991230719827</v>
      </c>
      <c r="U32" s="62">
        <f>VLOOKUP(Table2[[#This Row],[Date]],'Session Details'!$A$2:$N$368,7,FALSE)</f>
        <v>1.5671593882322647E-2</v>
      </c>
      <c r="V32" s="61" t="s">
        <v>53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</row>
    <row r="33" spans="1:143" x14ac:dyDescent="0.3">
      <c r="A33" s="104">
        <v>43759</v>
      </c>
      <c r="B33" s="61">
        <v>22803207</v>
      </c>
      <c r="C33" s="26">
        <v>1462471</v>
      </c>
      <c r="D33" s="7">
        <f>VLOOKUP(Table2[[#This Row],[Date]],'Session Details'!$A$2:$N$368,8,FALSE)</f>
        <v>0.32382903302894461</v>
      </c>
      <c r="E33" s="7">
        <f>VLOOKUP(Table2[[#This Row],[Date]],'Session Details'!$A$2:$N$368,9,FALSE)</f>
        <v>9.3750020984576077E-2</v>
      </c>
      <c r="F33" s="39">
        <f>VLOOKUP($A33,'Channel wise traffic'!$B$2:$K$368,7,FALSE)</f>
        <v>0</v>
      </c>
      <c r="G33" s="26">
        <f>VLOOKUP($A33,'Channel wise traffic'!$B$2:$K$368,8,FALSE)</f>
        <v>0</v>
      </c>
      <c r="H33" s="26">
        <f>VLOOKUP($A33,'Channel wise traffic'!$B$2:$K$368,9,FALSE)</f>
        <v>0</v>
      </c>
      <c r="I33" s="40">
        <f>VLOOKUP($A33,'Channel wise traffic'!$B$2:$K$368,10,FALSE)</f>
        <v>0</v>
      </c>
      <c r="J33" s="48">
        <f>VLOOKUP($A33,'Channel wise traffic'!$B$2:$P$368,11,FALSE)</f>
        <v>703642</v>
      </c>
      <c r="K33" s="24">
        <f>VLOOKUP($A33,'Channel wise traffic'!$B$2:$P$368,12,FALSE)</f>
        <v>527732</v>
      </c>
      <c r="L33" s="24">
        <f>VLOOKUP($A33,'Channel wise traffic'!$B$2:$P$368,13,FALSE)</f>
        <v>215001</v>
      </c>
      <c r="M33" s="51">
        <f>VLOOKUP($A33,'Channel wise traffic'!$B$2:$P$368,14,FALSE)</f>
        <v>508185</v>
      </c>
      <c r="N33">
        <f>VLOOKUP($A33,'Channel wise traffic'!$B$2:$P$368,15,FALSE)</f>
        <v>1954560</v>
      </c>
      <c r="O33" s="7">
        <f>VLOOKUP(Table2[[#This Row],[Date]],'Session Details'!$A$2:$N$368,10,FALSE)</f>
        <v>0.21035794983323086</v>
      </c>
      <c r="P33" s="70">
        <f>VLOOKUP(Table2[[#This Row],[Date]],'Session Details'!$A$2:$N$368,11,FALSE)</f>
        <v>0.24999996710988942</v>
      </c>
      <c r="Q33" s="10">
        <f>VLOOKUP(Table2[[#This Row],[Date]],'Session Details'!$A$2:$N$368,12,FALSE)</f>
        <v>0.4159999621105876</v>
      </c>
      <c r="R33" s="10">
        <f>VLOOKUP(Table2[[#This Row],[Date]],'Session Details'!$A$2:$N$368,13,FALSE)</f>
        <v>0.73729988155340875</v>
      </c>
      <c r="S33" s="10">
        <f>VLOOKUP(Table2[[#This Row],[Date]],'Session Details'!$A$2:$N$368,14,FALSE)</f>
        <v>0.83639981218519999</v>
      </c>
      <c r="T33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0.83639981218519999</v>
      </c>
      <c r="U33" s="63">
        <f>VLOOKUP(Table2[[#This Row],[Date]],'Session Details'!$A$2:$N$368,7,FALSE)</f>
        <v>6.4134443896422116E-2</v>
      </c>
      <c r="V33" s="14" t="s">
        <v>54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</row>
    <row r="34" spans="1:143" x14ac:dyDescent="0.3">
      <c r="A34" s="104">
        <v>43778</v>
      </c>
      <c r="B34" s="61">
        <v>45787545</v>
      </c>
      <c r="C34" s="26">
        <v>1839957</v>
      </c>
      <c r="D34" s="7">
        <f>VLOOKUP(Table2[[#This Row],[Date]],'Session Details'!$A$2:$N$368,8,FALSE)</f>
        <v>0.26260801898348074</v>
      </c>
      <c r="E34" s="7">
        <f>VLOOKUP(Table2[[#This Row],[Date]],'Session Details'!$A$2:$N$368,9,FALSE)</f>
        <v>7.3684197937763818E-2</v>
      </c>
      <c r="F34" s="39">
        <f>VLOOKUP($A34,'Channel wise traffic'!$B$2:$K$368,7,FALSE)</f>
        <v>0</v>
      </c>
      <c r="G34" s="26">
        <f>VLOOKUP($A34,'Channel wise traffic'!$B$2:$K$368,8,FALSE)</f>
        <v>0</v>
      </c>
      <c r="H34" s="26">
        <f>VLOOKUP($A34,'Channel wise traffic'!$B$2:$K$368,9,FALSE)</f>
        <v>0</v>
      </c>
      <c r="I34" s="40">
        <f>VLOOKUP($A34,'Channel wise traffic'!$B$2:$K$368,10,FALSE)</f>
        <v>0</v>
      </c>
      <c r="J34" s="48">
        <f>VLOOKUP($A34,'Channel wise traffic'!$B$2:$P$368,11,FALSE)</f>
        <v>1131222</v>
      </c>
      <c r="K34" s="24">
        <f>VLOOKUP($A34,'Channel wise traffic'!$B$2:$P$368,12,FALSE)</f>
        <v>848416</v>
      </c>
      <c r="L34" s="24">
        <f>VLOOKUP($A34,'Channel wise traffic'!$B$2:$P$368,13,FALSE)</f>
        <v>345652</v>
      </c>
      <c r="M34" s="51">
        <f>VLOOKUP($A34,'Channel wise traffic'!$B$2:$P$368,14,FALSE)</f>
        <v>816993</v>
      </c>
      <c r="N34">
        <f>VLOOKUP($A34,'Channel wise traffic'!$B$2:$P$368,15,FALSE)</f>
        <v>3142283</v>
      </c>
      <c r="O34" s="7">
        <f>VLOOKUP(Table2[[#This Row],[Date]],'Session Details'!$A$2:$N$368,10,FALSE)</f>
        <v>0.17595846284092165</v>
      </c>
      <c r="P34" s="70">
        <f>VLOOKUP(Table2[[#This Row],[Date]],'Session Details'!$A$2:$N$368,11,FALSE)</f>
        <v>0.2120999935681199</v>
      </c>
      <c r="Q34" s="10">
        <f>VLOOKUP(Table2[[#This Row],[Date]],'Session Details'!$A$2:$N$368,12,FALSE)</f>
        <v>0.34679996103603777</v>
      </c>
      <c r="R34" s="10">
        <f>VLOOKUP(Table2[[#This Row],[Date]],'Session Details'!$A$2:$N$368,13,FALSE)</f>
        <v>0.67999985748053493</v>
      </c>
      <c r="S34" s="10">
        <f>VLOOKUP(Table2[[#This Row],[Date]],'Session Details'!$A$2:$N$368,14,FALSE)</f>
        <v>0.80339994576923635</v>
      </c>
      <c r="T34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0.80339994576923635</v>
      </c>
      <c r="U34" s="63">
        <f>VLOOKUP(Table2[[#This Row],[Date]],'Session Details'!$A$2:$N$368,7,FALSE)</f>
        <v>4.0184661571176179E-2</v>
      </c>
      <c r="V34" s="14" t="s">
        <v>54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</row>
    <row r="35" spans="1:143" x14ac:dyDescent="0.3">
      <c r="A35" s="104">
        <v>43786</v>
      </c>
      <c r="B35" s="61">
        <v>43991955</v>
      </c>
      <c r="C35" s="26">
        <v>699650</v>
      </c>
      <c r="D35" s="7">
        <f>VLOOKUP(Table2[[#This Row],[Date]],'Session Details'!$A$2:$N$368,8,FALSE)</f>
        <v>-0.57004623700582813</v>
      </c>
      <c r="E35" s="7">
        <f>VLOOKUP(Table2[[#This Row],[Date]],'Session Details'!$A$2:$N$368,9,FALSE)</f>
        <v>-6.6666676567466721E-2</v>
      </c>
      <c r="F35" s="39">
        <f>VLOOKUP($A35,'Channel wise traffic'!$B$2:$K$368,7,FALSE)</f>
        <v>-1131221</v>
      </c>
      <c r="G35" s="26">
        <f>VLOOKUP($A35,'Channel wise traffic'!$B$2:$K$368,8,FALSE)</f>
        <v>-848416</v>
      </c>
      <c r="H35" s="26">
        <f>VLOOKUP($A35,'Channel wise traffic'!$B$2:$K$368,9,FALSE)</f>
        <v>-345651</v>
      </c>
      <c r="I35" s="40">
        <f>VLOOKUP($A35,'Channel wise traffic'!$B$2:$K$368,10,FALSE)</f>
        <v>-816993</v>
      </c>
      <c r="J35" s="48">
        <f>VLOOKUP($A35,'Channel wise traffic'!$B$2:$P$368,11,FALSE)</f>
        <v>0</v>
      </c>
      <c r="K35" s="24">
        <f>VLOOKUP($A35,'Channel wise traffic'!$B$2:$P$368,12,FALSE)</f>
        <v>0</v>
      </c>
      <c r="L35" s="24">
        <f>VLOOKUP($A35,'Channel wise traffic'!$B$2:$P$368,13,FALSE)</f>
        <v>0</v>
      </c>
      <c r="M35" s="51">
        <f>VLOOKUP($A35,'Channel wise traffic'!$B$2:$P$368,14,FALSE)</f>
        <v>0</v>
      </c>
      <c r="N35">
        <f>VLOOKUP($A35,'Channel wise traffic'!$B$2:$P$368,15,FALSE)</f>
        <v>-3142281</v>
      </c>
      <c r="O35" s="7">
        <f>VLOOKUP(Table2[[#This Row],[Date]],'Session Details'!$A$2:$N$368,10,FALSE)</f>
        <v>-0.53933524904808428</v>
      </c>
      <c r="P35" s="70">
        <f>VLOOKUP(Table2[[#This Row],[Date]],'Session Details'!$A$2:$N$368,11,FALSE)</f>
        <v>0.2120999850995483</v>
      </c>
      <c r="Q35" s="10">
        <f>VLOOKUP(Table2[[#This Row],[Date]],'Session Details'!$A$2:$N$368,12,FALSE)</f>
        <v>0.13599997342105244</v>
      </c>
      <c r="R35" s="10">
        <f>VLOOKUP(Table2[[#This Row],[Date]],'Session Details'!$A$2:$N$368,13,FALSE)</f>
        <v>0.71399965641534024</v>
      </c>
      <c r="S35" s="10">
        <f>VLOOKUP(Table2[[#This Row],[Date]],'Session Details'!$A$2:$N$368,14,FALSE)</f>
        <v>0.77220055913214214</v>
      </c>
      <c r="T35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0.13599997342105244</v>
      </c>
      <c r="U35" s="63">
        <f>VLOOKUP(Table2[[#This Row],[Date]],'Session Details'!$A$2:$N$368,7,FALSE)</f>
        <v>1.5904044273549561E-2</v>
      </c>
      <c r="V35" s="104" t="s">
        <v>53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</row>
    <row r="36" spans="1:143" x14ac:dyDescent="0.3">
      <c r="A36" s="104">
        <v>43793</v>
      </c>
      <c r="B36" s="61">
        <v>46236443</v>
      </c>
      <c r="C36" s="26">
        <v>1647515</v>
      </c>
      <c r="D36" s="7">
        <f>VLOOKUP(Table2[[#This Row],[Date]],'Session Details'!$A$2:$N$368,8,FALSE)</f>
        <v>1.3547702422639891</v>
      </c>
      <c r="E36" s="7">
        <f>VLOOKUP(Table2[[#This Row],[Date]],'Session Details'!$A$2:$N$368,9,FALSE)</f>
        <v>5.1020419528979843E-2</v>
      </c>
      <c r="F36" s="39">
        <f>VLOOKUP($A36,'Channel wise traffic'!$B$2:$K$368,7,FALSE)</f>
        <v>0</v>
      </c>
      <c r="G36" s="26">
        <f>VLOOKUP($A36,'Channel wise traffic'!$B$2:$K$368,8,FALSE)</f>
        <v>0</v>
      </c>
      <c r="H36" s="26">
        <f>VLOOKUP($A36,'Channel wise traffic'!$B$2:$K$368,9,FALSE)</f>
        <v>0</v>
      </c>
      <c r="I36" s="40">
        <f>VLOOKUP($A36,'Channel wise traffic'!$B$2:$K$368,10,FALSE)</f>
        <v>0</v>
      </c>
      <c r="J36" s="48">
        <f>VLOOKUP($A36,'Channel wise traffic'!$B$2:$P$368,11,FALSE)</f>
        <v>808015</v>
      </c>
      <c r="K36" s="24">
        <f>VLOOKUP($A36,'Channel wise traffic'!$B$2:$P$368,12,FALSE)</f>
        <v>606011</v>
      </c>
      <c r="L36" s="24">
        <f>VLOOKUP($A36,'Channel wise traffic'!$B$2:$P$368,13,FALSE)</f>
        <v>246893</v>
      </c>
      <c r="M36" s="51">
        <f>VLOOKUP($A36,'Channel wise traffic'!$B$2:$P$368,14,FALSE)</f>
        <v>583567</v>
      </c>
      <c r="N36">
        <f>VLOOKUP($A36,'Channel wise traffic'!$B$2:$P$368,15,FALSE)</f>
        <v>2244486</v>
      </c>
      <c r="O36" s="7">
        <f>VLOOKUP(Table2[[#This Row],[Date]],'Session Details'!$A$2:$N$368,10,FALSE)</f>
        <v>1.2404609829743283</v>
      </c>
      <c r="P36" s="70">
        <f>VLOOKUP(Table2[[#This Row],[Date]],'Session Details'!$A$2:$N$368,11,FALSE)</f>
        <v>0.20999999935116115</v>
      </c>
      <c r="Q36" s="10">
        <f>VLOOKUP(Table2[[#This Row],[Date]],'Session Details'!$A$2:$N$368,12,FALSE)</f>
        <v>0.33999999794019414</v>
      </c>
      <c r="R36" s="10">
        <f>VLOOKUP(Table2[[#This Row],[Date]],'Session Details'!$A$2:$N$368,13,FALSE)</f>
        <v>0.65959981607145346</v>
      </c>
      <c r="S36" s="10">
        <f>VLOOKUP(Table2[[#This Row],[Date]],'Session Details'!$A$2:$N$368,14,FALSE)</f>
        <v>0.75659980941665428</v>
      </c>
      <c r="T36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0.75659980941665428</v>
      </c>
      <c r="U36" s="63">
        <f>VLOOKUP(Table2[[#This Row],[Date]],'Session Details'!$A$2:$N$368,7,FALSE)</f>
        <v>3.5632390666384087E-2</v>
      </c>
      <c r="V36" s="14" t="s">
        <v>54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</row>
    <row r="37" spans="1:143" x14ac:dyDescent="0.3">
      <c r="A37" s="104">
        <v>43800</v>
      </c>
      <c r="B37" s="61">
        <v>46685340</v>
      </c>
      <c r="C37" s="26">
        <v>1989333</v>
      </c>
      <c r="D37" s="7">
        <f>VLOOKUP(Table2[[#This Row],[Date]],'Session Details'!$A$2:$N$368,8,FALSE)</f>
        <v>0.20747489400703478</v>
      </c>
      <c r="E37" s="7">
        <f>VLOOKUP(Table2[[#This Row],[Date]],'Session Details'!$A$2:$N$368,9,FALSE)</f>
        <v>9.708726945106827E-3</v>
      </c>
      <c r="F37" s="39">
        <f>VLOOKUP($A37,'Channel wise traffic'!$B$2:$K$368,7,FALSE)</f>
        <v>0</v>
      </c>
      <c r="G37" s="26">
        <f>VLOOKUP($A37,'Channel wise traffic'!$B$2:$K$368,8,FALSE)</f>
        <v>0</v>
      </c>
      <c r="H37" s="26">
        <f>VLOOKUP($A37,'Channel wise traffic'!$B$2:$K$368,9,FALSE)</f>
        <v>0</v>
      </c>
      <c r="I37" s="40">
        <f>VLOOKUP($A37,'Channel wise traffic'!$B$2:$K$368,10,FALSE)</f>
        <v>0</v>
      </c>
      <c r="J37" s="48">
        <f>VLOOKUP($A37,'Channel wise traffic'!$B$2:$P$368,11,FALSE)</f>
        <v>161603</v>
      </c>
      <c r="K37" s="24">
        <f>VLOOKUP($A37,'Channel wise traffic'!$B$2:$P$368,12,FALSE)</f>
        <v>121203</v>
      </c>
      <c r="L37" s="24">
        <f>VLOOKUP($A37,'Channel wise traffic'!$B$2:$P$368,13,FALSE)</f>
        <v>49379</v>
      </c>
      <c r="M37" s="51">
        <f>VLOOKUP($A37,'Channel wise traffic'!$B$2:$P$368,14,FALSE)</f>
        <v>116713</v>
      </c>
      <c r="N37">
        <f>VLOOKUP($A37,'Channel wise traffic'!$B$2:$P$368,15,FALSE)</f>
        <v>448898</v>
      </c>
      <c r="O37" s="7">
        <f>VLOOKUP(Table2[[#This Row],[Date]],'Session Details'!$A$2:$N$368,10,FALSE)</f>
        <v>0.19586457141979285</v>
      </c>
      <c r="P37" s="70">
        <f>VLOOKUP(Table2[[#This Row],[Date]],'Session Details'!$A$2:$N$368,11,FALSE)</f>
        <v>0.2183999945164799</v>
      </c>
      <c r="Q37" s="10">
        <f>VLOOKUP(Table2[[#This Row],[Date]],'Session Details'!$A$2:$N$368,12,FALSE)</f>
        <v>0.34339998183615306</v>
      </c>
      <c r="R37" s="10">
        <f>VLOOKUP(Table2[[#This Row],[Date]],'Session Details'!$A$2:$N$368,13,FALSE)</f>
        <v>0.7003998191545906</v>
      </c>
      <c r="S37" s="10">
        <f>VLOOKUP(Table2[[#This Row],[Date]],'Session Details'!$A$2:$N$368,14,FALSE)</f>
        <v>0.81120019181734293</v>
      </c>
      <c r="T37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0.81120019181734293</v>
      </c>
      <c r="U37" s="63">
        <f>VLOOKUP(Table2[[#This Row],[Date]],'Session Details'!$A$2:$N$368,7,FALSE)</f>
        <v>4.2611513592918031E-2</v>
      </c>
      <c r="V37" s="14" t="s">
        <v>54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</row>
    <row r="38" spans="1:143" x14ac:dyDescent="0.3">
      <c r="A38" s="104">
        <v>43821</v>
      </c>
      <c r="B38" s="61">
        <v>43094160</v>
      </c>
      <c r="C38" s="26">
        <v>1677083</v>
      </c>
      <c r="D38" s="7">
        <f>VLOOKUP(Table2[[#This Row],[Date]],'Session Details'!$A$2:$N$368,8,FALSE)</f>
        <v>0.21029166080314066</v>
      </c>
      <c r="E38" s="7">
        <f>VLOOKUP(Table2[[#This Row],[Date]],'Session Details'!$A$2:$N$368,9,FALSE)</f>
        <v>0</v>
      </c>
      <c r="F38" s="65">
        <f>VLOOKUP($A38,'Channel wise traffic'!$B$2:$K$368,7,FALSE)</f>
        <v>0</v>
      </c>
      <c r="G38" s="66">
        <f>VLOOKUP($A38,'Channel wise traffic'!$B$2:$K$368,8,FALSE)</f>
        <v>0</v>
      </c>
      <c r="H38" s="66">
        <f>VLOOKUP($A38,'Channel wise traffic'!$B$2:$K$368,9,FALSE)</f>
        <v>0</v>
      </c>
      <c r="I38" s="67">
        <f>VLOOKUP($A38,'Channel wise traffic'!$B$2:$K$368,10,FALSE)</f>
        <v>0</v>
      </c>
      <c r="J38" s="55">
        <f>VLOOKUP($A38,'Channel wise traffic'!$B$2:$P$368,11,FALSE)</f>
        <v>0</v>
      </c>
      <c r="K38" s="56">
        <f>VLOOKUP($A38,'Channel wise traffic'!$B$2:$P$368,12,FALSE)</f>
        <v>0</v>
      </c>
      <c r="L38" s="56">
        <f>VLOOKUP($A38,'Channel wise traffic'!$B$2:$P$368,13,FALSE)</f>
        <v>0</v>
      </c>
      <c r="M38" s="57">
        <f>VLOOKUP($A38,'Channel wise traffic'!$B$2:$P$368,14,FALSE)</f>
        <v>0</v>
      </c>
      <c r="N38">
        <f>VLOOKUP($A38,'Channel wise traffic'!$B$2:$P$368,15,FALSE)</f>
        <v>0</v>
      </c>
      <c r="O38" s="7">
        <f>VLOOKUP(Table2[[#This Row],[Date]],'Session Details'!$A$2:$N$368,10,FALSE)</f>
        <v>0.21029166080314066</v>
      </c>
      <c r="P38" s="70">
        <f>VLOOKUP(Table2[[#This Row],[Date]],'Session Details'!$A$2:$N$368,11,FALSE)</f>
        <v>0.21209999220311987</v>
      </c>
      <c r="Q38" s="10">
        <f>VLOOKUP(Table2[[#This Row],[Date]],'Session Details'!$A$2:$N$368,12,FALSE)</f>
        <v>0.35699991827375799</v>
      </c>
      <c r="R38" s="10">
        <f>VLOOKUP(Table2[[#This Row],[Date]],'Session Details'!$A$2:$N$368,13,FALSE)</f>
        <v>0.64599997057990677</v>
      </c>
      <c r="S38" s="10">
        <f>VLOOKUP(Table2[[#This Row],[Date]],'Session Details'!$A$2:$N$368,14,FALSE)</f>
        <v>0.79560017400817007</v>
      </c>
      <c r="T38" s="10">
        <f>IF(Table2[[#This Row],[Conversion change with respect to same day last week]]&gt;0%,MAX(Table2[[#This Row],[L2M]],Table2[[#This Row],[M2C]],Table2[[#This Row],[C2P]],Table2[[#This Row],[P2O]]),MIN(Table2[[#This Row],[L2M]],Table2[[#This Row],[M2C]],Table2[[#This Row],[C2P]],Table2[[#This Row],[P2O]]))</f>
        <v>0.79560017400817007</v>
      </c>
      <c r="U38" s="63">
        <f>VLOOKUP(Table2[[#This Row],[Date]],'Session Details'!$A$2:$N$368,7,FALSE)</f>
        <v>3.8916711684367444E-2</v>
      </c>
      <c r="V38" s="14" t="s">
        <v>54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</row>
    <row r="39" spans="1:143" x14ac:dyDescent="0.3">
      <c r="A39" s="98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</row>
    <row r="40" spans="1:143" x14ac:dyDescent="0.3"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</row>
    <row r="41" spans="1:143" x14ac:dyDescent="0.3">
      <c r="V41" s="15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</row>
    <row r="42" spans="1:143" x14ac:dyDescent="0.3"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</row>
    <row r="43" spans="1:143" x14ac:dyDescent="0.3"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</row>
    <row r="44" spans="1:143" x14ac:dyDescent="0.3"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</row>
    <row r="45" spans="1:143" x14ac:dyDescent="0.3"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</row>
    <row r="46" spans="1:143" x14ac:dyDescent="0.3"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</row>
    <row r="47" spans="1:143" x14ac:dyDescent="0.3"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</row>
    <row r="48" spans="1:143" x14ac:dyDescent="0.3">
      <c r="W48" s="22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</row>
    <row r="49" spans="23:143" x14ac:dyDescent="0.3"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</row>
    <row r="50" spans="23:143" x14ac:dyDescent="0.3"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</row>
    <row r="51" spans="23:143" x14ac:dyDescent="0.3"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</row>
    <row r="52" spans="23:143" x14ac:dyDescent="0.3"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</row>
    <row r="53" spans="23:143" x14ac:dyDescent="0.3"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</row>
    <row r="54" spans="23:143" x14ac:dyDescent="0.3"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</row>
    <row r="55" spans="23:143" x14ac:dyDescent="0.3"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</row>
    <row r="56" spans="23:143" x14ac:dyDescent="0.3"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</row>
    <row r="57" spans="23:143" x14ac:dyDescent="0.3"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</row>
    <row r="58" spans="23:143" x14ac:dyDescent="0.3"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</row>
    <row r="59" spans="23:143" x14ac:dyDescent="0.3"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</row>
    <row r="60" spans="23:143" x14ac:dyDescent="0.3"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</row>
    <row r="61" spans="23:143" x14ac:dyDescent="0.3"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</row>
    <row r="62" spans="23:143" x14ac:dyDescent="0.3"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</row>
    <row r="63" spans="23:143" x14ac:dyDescent="0.3"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</row>
    <row r="64" spans="23:143" x14ac:dyDescent="0.3"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</row>
    <row r="65" spans="23:143" x14ac:dyDescent="0.3"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</row>
    <row r="66" spans="23:143" x14ac:dyDescent="0.3"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</row>
    <row r="67" spans="23:143" x14ac:dyDescent="0.3"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</row>
    <row r="68" spans="23:143" x14ac:dyDescent="0.3"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</row>
    <row r="69" spans="23:143" x14ac:dyDescent="0.3"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</row>
    <row r="70" spans="23:143" x14ac:dyDescent="0.3"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</row>
    <row r="71" spans="23:143" x14ac:dyDescent="0.3"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</row>
    <row r="72" spans="23:143" x14ac:dyDescent="0.3"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</row>
    <row r="73" spans="23:143" x14ac:dyDescent="0.3"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</row>
    <row r="74" spans="23:143" x14ac:dyDescent="0.3"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</row>
    <row r="75" spans="23:143" x14ac:dyDescent="0.3"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</row>
    <row r="76" spans="23:143" x14ac:dyDescent="0.3"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</row>
    <row r="77" spans="23:143" x14ac:dyDescent="0.3"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</row>
    <row r="78" spans="23:143" x14ac:dyDescent="0.3"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</row>
    <row r="79" spans="23:143" x14ac:dyDescent="0.3"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</row>
    <row r="80" spans="23:143" x14ac:dyDescent="0.3"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</row>
    <row r="81" spans="23:143" x14ac:dyDescent="0.3"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</row>
    <row r="82" spans="23:143" x14ac:dyDescent="0.3"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</row>
    <row r="83" spans="23:143" x14ac:dyDescent="0.3"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</row>
    <row r="84" spans="23:143" x14ac:dyDescent="0.3"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</row>
    <row r="85" spans="23:143" x14ac:dyDescent="0.3"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</row>
    <row r="86" spans="23:143" x14ac:dyDescent="0.3"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</row>
    <row r="87" spans="23:143" x14ac:dyDescent="0.3"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</row>
    <row r="88" spans="23:143" x14ac:dyDescent="0.3"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</row>
    <row r="89" spans="23:143" x14ac:dyDescent="0.3"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</row>
    <row r="90" spans="23:143" x14ac:dyDescent="0.3"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</row>
    <row r="91" spans="23:143" x14ac:dyDescent="0.3"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</row>
    <row r="92" spans="23:143" x14ac:dyDescent="0.3"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</row>
    <row r="93" spans="23:143" x14ac:dyDescent="0.3"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</row>
    <row r="94" spans="23:143" x14ac:dyDescent="0.3"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</row>
    <row r="95" spans="23:143" x14ac:dyDescent="0.3"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</row>
    <row r="96" spans="23:143" x14ac:dyDescent="0.3"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</row>
    <row r="97" spans="23:143" x14ac:dyDescent="0.3"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</row>
    <row r="98" spans="23:143" x14ac:dyDescent="0.3"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</row>
    <row r="99" spans="23:143" x14ac:dyDescent="0.3"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</row>
    <row r="100" spans="23:143" x14ac:dyDescent="0.3"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</row>
    <row r="101" spans="23:143" x14ac:dyDescent="0.3"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</row>
    <row r="102" spans="23:143" x14ac:dyDescent="0.3"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</row>
    <row r="103" spans="23:143" x14ac:dyDescent="0.3"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</row>
    <row r="104" spans="23:143" x14ac:dyDescent="0.3"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</row>
    <row r="105" spans="23:143" x14ac:dyDescent="0.3"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</row>
    <row r="106" spans="23:143" x14ac:dyDescent="0.3"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</row>
    <row r="107" spans="23:143" x14ac:dyDescent="0.3"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</row>
    <row r="108" spans="23:143" x14ac:dyDescent="0.3"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</row>
    <row r="109" spans="23:143" x14ac:dyDescent="0.3"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</row>
    <row r="110" spans="23:143" x14ac:dyDescent="0.3"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</row>
    <row r="111" spans="23:143" x14ac:dyDescent="0.3"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</row>
    <row r="112" spans="23:143" x14ac:dyDescent="0.3"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</row>
    <row r="113" spans="23:143" x14ac:dyDescent="0.3"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</row>
    <row r="114" spans="23:143" x14ac:dyDescent="0.3"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</row>
    <row r="115" spans="23:143" x14ac:dyDescent="0.3"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</row>
    <row r="116" spans="23:143" x14ac:dyDescent="0.3"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</row>
    <row r="117" spans="23:143" x14ac:dyDescent="0.3"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</row>
    <row r="118" spans="23:143" x14ac:dyDescent="0.3"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</row>
    <row r="119" spans="23:143" x14ac:dyDescent="0.3"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</row>
    <row r="120" spans="23:143" x14ac:dyDescent="0.3"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</row>
    <row r="121" spans="23:143" x14ac:dyDescent="0.3"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</row>
    <row r="122" spans="23:143" x14ac:dyDescent="0.3"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</row>
    <row r="123" spans="23:143" x14ac:dyDescent="0.3"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</row>
    <row r="124" spans="23:143" x14ac:dyDescent="0.3"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</row>
    <row r="125" spans="23:143" x14ac:dyDescent="0.3"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</row>
    <row r="126" spans="23:143" x14ac:dyDescent="0.3"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</row>
    <row r="127" spans="23:143" x14ac:dyDescent="0.3"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</row>
    <row r="128" spans="23:143" x14ac:dyDescent="0.3"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</row>
    <row r="129" spans="23:143" x14ac:dyDescent="0.3"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</row>
    <row r="130" spans="23:143" x14ac:dyDescent="0.3"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</row>
    <row r="131" spans="23:143" x14ac:dyDescent="0.3"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</row>
    <row r="132" spans="23:143" x14ac:dyDescent="0.3"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</row>
    <row r="133" spans="23:143" x14ac:dyDescent="0.3"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</row>
    <row r="134" spans="23:143" x14ac:dyDescent="0.3"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</row>
    <row r="135" spans="23:143" x14ac:dyDescent="0.3"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</row>
    <row r="136" spans="23:143" x14ac:dyDescent="0.3"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</row>
    <row r="137" spans="23:143" x14ac:dyDescent="0.3"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</row>
    <row r="138" spans="23:143" x14ac:dyDescent="0.3"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</row>
    <row r="139" spans="23:143" x14ac:dyDescent="0.3"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</row>
    <row r="140" spans="23:143" x14ac:dyDescent="0.3"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</row>
    <row r="141" spans="23:143" x14ac:dyDescent="0.3"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</row>
    <row r="142" spans="23:143" x14ac:dyDescent="0.3"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</row>
    <row r="143" spans="23:143" x14ac:dyDescent="0.3"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</row>
    <row r="144" spans="23:143" x14ac:dyDescent="0.3"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</row>
    <row r="145" spans="23:143" x14ac:dyDescent="0.3"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</row>
    <row r="146" spans="23:143" x14ac:dyDescent="0.3"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</row>
    <row r="147" spans="23:143" x14ac:dyDescent="0.3"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</row>
    <row r="148" spans="23:143" x14ac:dyDescent="0.3"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</row>
    <row r="149" spans="23:143" x14ac:dyDescent="0.3"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</row>
    <row r="150" spans="23:143" x14ac:dyDescent="0.3"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</row>
    <row r="151" spans="23:143" x14ac:dyDescent="0.3"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</row>
    <row r="152" spans="23:143" x14ac:dyDescent="0.3"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</row>
    <row r="153" spans="23:143" x14ac:dyDescent="0.3"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</row>
    <row r="154" spans="23:143" x14ac:dyDescent="0.3"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</row>
    <row r="155" spans="23:143" x14ac:dyDescent="0.3"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</row>
    <row r="156" spans="23:143" x14ac:dyDescent="0.3"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</row>
    <row r="157" spans="23:143" x14ac:dyDescent="0.3"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</row>
    <row r="158" spans="23:143" x14ac:dyDescent="0.3"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</row>
    <row r="159" spans="23:143" x14ac:dyDescent="0.3"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</row>
    <row r="160" spans="23:143" x14ac:dyDescent="0.3"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</row>
    <row r="161" spans="23:143" x14ac:dyDescent="0.3"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</row>
    <row r="162" spans="23:143" x14ac:dyDescent="0.3"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</row>
    <row r="163" spans="23:143" x14ac:dyDescent="0.3"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</row>
    <row r="164" spans="23:143" x14ac:dyDescent="0.3"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</row>
    <row r="165" spans="23:143" x14ac:dyDescent="0.3"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</row>
    <row r="166" spans="23:143" x14ac:dyDescent="0.3"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</row>
    <row r="167" spans="23:143" x14ac:dyDescent="0.3"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</row>
    <row r="168" spans="23:143" x14ac:dyDescent="0.3"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</row>
    <row r="169" spans="23:143" x14ac:dyDescent="0.3"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</row>
    <row r="170" spans="23:143" x14ac:dyDescent="0.3"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</row>
  </sheetData>
  <mergeCells count="2">
    <mergeCell ref="F1:I1"/>
    <mergeCell ref="J1:M1"/>
  </mergeCells>
  <conditionalFormatting sqref="D3:D38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38 E3:E38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7477E8-E4DF-4F71-B77E-99B98A94FF7F}">
          <x14:formula1>
            <xm:f>'Data Validation'!$D$2:$D$38</xm:f>
          </x14:formula1>
          <xm:sqref>A2:A38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F 1 I V p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D B d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X U h W K I p H u A 4 A A A A R A A A A E w A c A E Z v c m 1 1 b G F z L 1 N l Y 3 R p b 2 4 x L m 0 g o h g A K K A U A A A A A A A A A A A A A A A A A A A A A A A A A A A A K 0 5 N L s n M z 1 M I h t C G 1 g B Q S w E C L Q A U A A I A C A A w X U h W k Z 9 T h K U A A A D 2 A A A A E g A A A A A A A A A A A A A A A A A A A A A A Q 2 9 u Z m l n L 1 B h Y 2 t h Z 2 U u e G 1 s U E s B A i 0 A F A A C A A g A M F 1 I V g / K 6 a u k A A A A 6 Q A A A B M A A A A A A A A A A A A A A A A A 8 Q A A A F t D b 2 5 0 Z W 5 0 X 1 R 5 c G V z X S 5 4 b W x Q S w E C L Q A U A A I A C A A w X U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C I f 7 4 y w G k S 0 M v c 9 N p i / 4 Q A A A A A C A A A A A A A Q Z g A A A A E A A C A A A A A l k L I u H M 9 R b E X Y t Q e 1 3 D t I X X k W C / r J i E 8 G h Q s m 5 3 y o c Q A A A A A O g A A A A A I A A C A A A A D 1 9 V z 4 v L e P z 4 s 7 S V e t u s n d G e S H u 0 g 0 g j C / f / v H v v z Q R F A A A A D P b e S g A T p 6 / 6 P E C D l X 4 J q U h F W F H y h f N 1 a Y H m Y h d n q J R r i Q 5 w O / i m y m f p 4 O M 5 9 9 r a F e d v 9 0 I L 2 S L v Y O 3 L V a 5 Q D t 8 z G T t D 9 + W y W 9 6 D l p 1 e e d 5 0 A A A A A P B C q s H X T t j w R M U a K 6 P q y S 0 w a j h s 9 q e P B u a + 6 8 M x v W 7 U W 1 g P 9 E o P K 1 m T P k X Z c l 3 F S X p 5 7 2 M o l Y Q 3 X R w T D B b L q 2 < / D a t a M a s h u p > 
</file>

<file path=customXml/itemProps1.xml><?xml version="1.0" encoding="utf-8"?>
<ds:datastoreItem xmlns:ds="http://schemas.openxmlformats.org/officeDocument/2006/customXml" ds:itemID="{7940B394-4F85-4079-A7BF-6951053063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Project Details</vt:lpstr>
      <vt:lpstr>Session Details</vt:lpstr>
      <vt:lpstr>Channel wise traffic</vt:lpstr>
      <vt:lpstr>Supporting Data</vt:lpstr>
      <vt:lpstr>my calculations 1</vt:lpstr>
      <vt:lpstr>Data Validation</vt:lpstr>
      <vt:lpstr>Changeinordervalue detailed</vt:lpstr>
      <vt:lpstr>% change in channel traffic</vt:lpstr>
      <vt:lpstr>Change in ordervalue analysis</vt:lpstr>
      <vt:lpstr>Change due to conversion</vt:lpstr>
      <vt:lpstr>pivot1</vt:lpstr>
      <vt:lpstr>Reasons</vt:lpstr>
      <vt:lpstr>Reasons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2022-09-19T07:36:05Z</dcterms:created>
  <dcterms:modified xsi:type="dcterms:W3CDTF">2023-07-18T14:12:18Z</dcterms:modified>
</cp:coreProperties>
</file>