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nancial project\"/>
    </mc:Choice>
  </mc:AlternateContent>
  <bookViews>
    <workbookView xWindow="0" yWindow="0" windowWidth="20490" windowHeight="7755" tabRatio="888"/>
  </bookViews>
  <sheets>
    <sheet name="DASHBOARD" sheetId="11" r:id="rId1"/>
    <sheet name="Aggregate_expenditure" sheetId="1" r:id="rId2"/>
    <sheet name="Capital_Expenditure" sheetId="2" r:id="rId3"/>
    <sheet name="Gross_Financial_Deficits" sheetId="3" r:id="rId4"/>
    <sheet name="Nominal_GSDP_Series" sheetId="4" r:id="rId5"/>
    <sheet name="Revenue_Deficits" sheetId="6" r:id="rId6"/>
    <sheet name="Own_Tax_Revenues" sheetId="5" r:id="rId7"/>
    <sheet name="Revenue_Expenditure" sheetId="7" r:id="rId8"/>
    <sheet name="Social_Sector_Expenditure" sheetId="8" r:id="rId9"/>
    <sheet name="Sheet9" sheetId="9" r:id="rId10"/>
  </sheets>
  <calcPr calcId="152511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8" l="1"/>
  <c r="I33" i="7"/>
  <c r="C33" i="6" l="1"/>
  <c r="D33" i="6"/>
  <c r="E33" i="6"/>
  <c r="F33" i="6"/>
  <c r="G33" i="6"/>
  <c r="H33" i="6"/>
  <c r="B33" i="6"/>
  <c r="C33" i="7"/>
  <c r="D33" i="7"/>
  <c r="E33" i="7"/>
  <c r="F33" i="7"/>
  <c r="G33" i="7"/>
  <c r="H33" i="7"/>
  <c r="B33" i="7"/>
  <c r="C33" i="4"/>
  <c r="D33" i="4"/>
  <c r="E33" i="4"/>
  <c r="F33" i="4"/>
  <c r="G33" i="4"/>
  <c r="H33" i="4"/>
  <c r="B33" i="4"/>
  <c r="AP18" i="8" l="1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33" i="3"/>
  <c r="G33" i="3"/>
  <c r="F33" i="3"/>
  <c r="E33" i="3"/>
  <c r="D33" i="3"/>
  <c r="C33" i="3"/>
  <c r="B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33" i="2"/>
  <c r="G33" i="2"/>
  <c r="F33" i="2"/>
  <c r="E33" i="2"/>
  <c r="D33" i="2"/>
  <c r="C33" i="2"/>
  <c r="B33" i="2"/>
  <c r="I33" i="2" s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<sst xmlns="http://schemas.openxmlformats.org/spreadsheetml/2006/main" count="778" uniqueCount="109">
  <si>
    <t>Andhra Pradesh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</si>
  <si>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</si>
  <si>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</si>
  <si>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</si>
  <si>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</si>
  <si>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</si>
  <si>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</si>
  <si>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</si>
  <si>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</si>
  <si>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Bihar</t>
  </si>
  <si>
    <t>Chhattisgarh</t>
  </si>
  <si>
    <t>Goa</t>
  </si>
  <si>
    <t>Gujarat</t>
  </si>
  <si>
    <t>Arunachal Pradesh</t>
  </si>
  <si>
    <t>Assam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</si>
  <si>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</si>
  <si>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</si>
  <si>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</si>
  <si>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</si>
  <si>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</si>
  <si>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</si>
  <si>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</si>
  <si>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</si>
  <si>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</si>
  <si>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</si>
  <si>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</si>
  <si>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</si>
  <si>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</si>
  <si>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</si>
  <si>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Delhi</t>
  </si>
  <si>
    <t>Puducherry</t>
  </si>
  <si>
    <t>State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</si>
  <si>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</si>
  <si>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</si>
  <si>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</si>
  <si>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</si>
  <si>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</si>
  <si>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</si>
  <si>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</si>
  <si>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</si>
  <si>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</si>
  <si>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</si>
  <si>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</si>
  <si>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</si>
  <si>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</si>
  <si>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</si>
  <si>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</si>
  <si>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</si>
  <si>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</si>
  <si>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</si>
  <si>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</si>
  <si>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</si>
  <si>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</si>
  <si>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</si>
  <si>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</si>
  <si>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</si>
  <si>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</si>
  <si>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</si>
  <si>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</si>
  <si>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</si>
  <si>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</si>
  <si>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</si>
  <si>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</si>
  <si>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</si>
  <si>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</si>
  <si>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</si>
  <si>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 (RE)</t>
  </si>
  <si>
    <t>2015-16 (BE)</t>
  </si>
  <si>
    <t>1980-1985</t>
  </si>
  <si>
    <t>1985-1990</t>
  </si>
  <si>
    <t>1990-1995</t>
  </si>
  <si>
    <t>1995-2000</t>
  </si>
  <si>
    <t>2000-2005</t>
  </si>
  <si>
    <t>2005-2010</t>
  </si>
  <si>
    <t>2010-2016</t>
  </si>
  <si>
    <t>Grand Total</t>
  </si>
  <si>
    <t>Column Labels</t>
  </si>
  <si>
    <t>Average of 1980-1985</t>
  </si>
  <si>
    <t>Average of 1995-2000</t>
  </si>
  <si>
    <t>Average of 1990-1995</t>
  </si>
  <si>
    <t>Average of 1985-1990</t>
  </si>
  <si>
    <t>Average of 2010-2016</t>
  </si>
  <si>
    <t>Average of 2005-2010</t>
  </si>
  <si>
    <t>Average of 2000-2005</t>
  </si>
  <si>
    <t>Values</t>
  </si>
  <si>
    <t>1980-85</t>
  </si>
  <si>
    <t>Capital Expenditure</t>
  </si>
  <si>
    <t>Financial Deficits</t>
  </si>
  <si>
    <t>1985-90</t>
  </si>
  <si>
    <t>1990-95</t>
  </si>
  <si>
    <t>1995-20</t>
  </si>
  <si>
    <t>2000-05</t>
  </si>
  <si>
    <t>2005-10</t>
  </si>
  <si>
    <t>2010-16</t>
  </si>
  <si>
    <t xml:space="preserve"> 1981-85</t>
  </si>
  <si>
    <t xml:space="preserve"> 1985-90</t>
  </si>
  <si>
    <t>Social sector expenditure</t>
  </si>
  <si>
    <t>Tax Revenue</t>
  </si>
  <si>
    <t>TOTAL</t>
  </si>
  <si>
    <t>total</t>
  </si>
  <si>
    <t>Revenue exp</t>
  </si>
  <si>
    <t>Revenue DeficitS</t>
  </si>
  <si>
    <t>GDP</t>
  </si>
  <si>
    <t xml:space="preserve"> 1990-95</t>
  </si>
  <si>
    <t xml:space="preserve"> 1995-20</t>
  </si>
  <si>
    <t xml:space="preserve"> 2000-05</t>
  </si>
  <si>
    <t xml:space="preserve"> 2005-10</t>
  </si>
  <si>
    <t xml:space="preserve"> 2010-16</t>
  </si>
  <si>
    <t>2010-2017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</si>
</sst>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ABABAB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rgb="FFABABAB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10" borderId="1" xfId="0" applyFont="1" applyFill="1" applyBorder="1"/>
    <xf numFmtId="0" fontId="1" fillId="10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9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9" borderId="7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1" applyNumberFormat="1" applyFont="1"/>
    <xf numFmtId="0" fontId="0" fillId="11" borderId="0" xfId="0" applyFill="1"/>
  </cellXfs>
  <cellStyles count="2">
    <cellStyle name="Normal" xfId="0" builtinId="0"/>
    <cellStyle name="Percent" xfId="1" builtinId="5"/>
  </cellStyles>
  <dxfs count="13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4A16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Capital</a:t>
            </a:r>
            <a:r>
              <a:rPr lang="en-US" baseline="0"/>
              <a:t> </a:t>
            </a:r>
            <a:r>
              <a:rPr lang="en-US"/>
              <a:t>Expenditure vs Fiscal Deficits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Gross_Financial_Deficits!$D$44</c:f>
              <c:strCache>
                <c:ptCount val="1"/>
                <c:pt idx="0">
                  <c:v>Capital Expenditure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Gross_Financial_Deficits!$C$45:$C$51</c:f>
              <c:strCache>
                <c:ptCount val="7"/>
                <c:pt idx="0">
                  <c:v>1980-85</c:v>
                </c:pt>
                <c:pt idx="1">
                  <c:v>1985-90</c:v>
                </c:pt>
                <c:pt idx="2">
                  <c:v>1990-95</c:v>
                </c:pt>
                <c:pt idx="3">
                  <c:v>1995-20</c:v>
                </c:pt>
                <c:pt idx="4">
                  <c:v>2000-05</c:v>
                </c:pt>
                <c:pt idx="5">
                  <c:v>2005-10</c:v>
                </c:pt>
                <c:pt idx="6">
                  <c:v>2010-16</c:v>
                </c:pt>
              </c:strCache>
            </c:strRef>
          </c:cat>
          <c:val>
            <c:numRef>
              <c:f>Gross_Financial_Deficits!$D$45:$D$51</c:f>
              <c:numCache>
                <c:formatCode>General</c:formatCode>
                <c:ptCount val="7"/>
                <c:pt idx="0">
                  <c:v>45703</c:v>
                </c:pt>
                <c:pt idx="1">
                  <c:v>71246</c:v>
                </c:pt>
                <c:pt idx="2">
                  <c:v>121314</c:v>
                </c:pt>
                <c:pt idx="3">
                  <c:v>207072</c:v>
                </c:pt>
                <c:pt idx="4">
                  <c:v>499632</c:v>
                </c:pt>
                <c:pt idx="5">
                  <c:v>903234.81</c:v>
                </c:pt>
                <c:pt idx="6">
                  <c:v>2120242.7200000002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4843968"/>
        <c:axId val="-1834843424"/>
      </c:barChart>
      <c:lineChart>
        <c:grouping val="standard"/>
        <c:varyColors val="0"/>
        <c:ser>
          <c:idx val="1"/>
          <c:order val="1"/>
          <c:tx>
            <c:strRef>
              <c:f>Gross_Financial_Deficits!$E$44</c:f>
              <c:strCache>
                <c:ptCount val="1"/>
                <c:pt idx="0">
                  <c:v>Financial Deficits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Gross_Financial_Deficits!$C$45:$C$51</c:f>
              <c:strCache>
                <c:ptCount val="7"/>
                <c:pt idx="0">
                  <c:v>1980-85</c:v>
                </c:pt>
                <c:pt idx="1">
                  <c:v>1985-90</c:v>
                </c:pt>
                <c:pt idx="2">
                  <c:v>1990-95</c:v>
                </c:pt>
                <c:pt idx="3">
                  <c:v>1995-20</c:v>
                </c:pt>
                <c:pt idx="4">
                  <c:v>2000-05</c:v>
                </c:pt>
                <c:pt idx="5">
                  <c:v>2005-10</c:v>
                </c:pt>
                <c:pt idx="6">
                  <c:v>2010-16</c:v>
                </c:pt>
              </c:strCache>
            </c:strRef>
          </c:cat>
          <c:val>
            <c:numRef>
              <c:f>Gross_Financial_Deficits!$E$45:$E$51</c:f>
              <c:numCache>
                <c:formatCode>General</c:formatCode>
                <c:ptCount val="7"/>
                <c:pt idx="0">
                  <c:v>27319.5</c:v>
                </c:pt>
                <c:pt idx="1">
                  <c:v>54686.5</c:v>
                </c:pt>
                <c:pt idx="2">
                  <c:v>106250.70000000004</c:v>
                </c:pt>
                <c:pt idx="3">
                  <c:v>278611.5</c:v>
                </c:pt>
                <c:pt idx="4">
                  <c:v>510842.50000000006</c:v>
                </c:pt>
                <c:pt idx="5">
                  <c:v>577020</c:v>
                </c:pt>
                <c:pt idx="6">
                  <c:v>1449800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4843968"/>
        <c:axId val="-1834843424"/>
      </c:lineChart>
      <c:catAx>
        <c:axId val="-183484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43424"/>
        <c:crosses val="autoZero"/>
        <c:auto val="1"/>
        <c:lblAlgn val="ctr"/>
        <c:lblOffset val="100"/>
        <c:noMultiLvlLbl val="0"/>
      </c:catAx>
      <c:valAx>
        <c:axId val="-18348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Capital_Expenditure</a:t>
            </a:r>
            <a:r>
              <a:rPr lang="en-US" baseline="0"/>
              <a:t> vs Fiscal Deficits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Gross_Financial_Deficits!$D$44</c:f>
              <c:strCache>
                <c:ptCount val="1"/>
                <c:pt idx="0">
                  <c:v>Capital 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Gross_Financial_Deficits!$C$45:$C$51</c:f>
              <c:strCache>
                <c:ptCount val="7"/>
                <c:pt idx="0">
                  <c:v>1980-85</c:v>
                </c:pt>
                <c:pt idx="1">
                  <c:v>1985-90</c:v>
                </c:pt>
                <c:pt idx="2">
                  <c:v>1990-95</c:v>
                </c:pt>
                <c:pt idx="3">
                  <c:v>1995-20</c:v>
                </c:pt>
                <c:pt idx="4">
                  <c:v>2000-05</c:v>
                </c:pt>
                <c:pt idx="5">
                  <c:v>2005-10</c:v>
                </c:pt>
                <c:pt idx="6">
                  <c:v>2010-16</c:v>
                </c:pt>
              </c:strCache>
            </c:strRef>
          </c:cat>
          <c:val>
            <c:numRef>
              <c:f>Gross_Financial_Deficits!$D$45:$D$51</c:f>
              <c:numCache>
                <c:formatCode>General</c:formatCode>
                <c:ptCount val="7"/>
                <c:pt idx="0">
                  <c:v>45703</c:v>
                </c:pt>
                <c:pt idx="1">
                  <c:v>71246</c:v>
                </c:pt>
                <c:pt idx="2">
                  <c:v>121314</c:v>
                </c:pt>
                <c:pt idx="3">
                  <c:v>207072</c:v>
                </c:pt>
                <c:pt idx="4">
                  <c:v>499632</c:v>
                </c:pt>
                <c:pt idx="5">
                  <c:v>903234.81</c:v>
                </c:pt>
                <c:pt idx="6">
                  <c:v>2120242.7200000002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7082288"/>
        <c:axId val="-1707081744"/>
      </c:barChart>
      <c:lineChart>
        <c:grouping val="standard"/>
        <c:varyColors val="0"/>
        <c:ser>
          <c:idx val="1"/>
          <c:order val="1"/>
          <c:tx>
            <c:strRef>
              <c:f>Gross_Financial_Deficits!$E$44</c:f>
              <c:strCache>
                <c:ptCount val="1"/>
                <c:pt idx="0">
                  <c:v>Financial Deficits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Gross_Financial_Deficits!$C$45:$C$51</c:f>
              <c:strCache>
                <c:ptCount val="7"/>
                <c:pt idx="0">
                  <c:v>1980-85</c:v>
                </c:pt>
                <c:pt idx="1">
                  <c:v>1985-90</c:v>
                </c:pt>
                <c:pt idx="2">
                  <c:v>1990-95</c:v>
                </c:pt>
                <c:pt idx="3">
                  <c:v>1995-20</c:v>
                </c:pt>
                <c:pt idx="4">
                  <c:v>2000-05</c:v>
                </c:pt>
                <c:pt idx="5">
                  <c:v>2005-10</c:v>
                </c:pt>
                <c:pt idx="6">
                  <c:v>2010-16</c:v>
                </c:pt>
              </c:strCache>
            </c:strRef>
          </c:cat>
          <c:val>
            <c:numRef>
              <c:f>Gross_Financial_Deficits!$E$45:$E$51</c:f>
              <c:numCache>
                <c:formatCode>General</c:formatCode>
                <c:ptCount val="7"/>
                <c:pt idx="0">
                  <c:v>27319.5</c:v>
                </c:pt>
                <c:pt idx="1">
                  <c:v>54686.5</c:v>
                </c:pt>
                <c:pt idx="2">
                  <c:v>106250.70000000004</c:v>
                </c:pt>
                <c:pt idx="3">
                  <c:v>278611.5</c:v>
                </c:pt>
                <c:pt idx="4">
                  <c:v>510842.50000000006</c:v>
                </c:pt>
                <c:pt idx="5">
                  <c:v>577020</c:v>
                </c:pt>
                <c:pt idx="6">
                  <c:v>1449800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7082288"/>
        <c:axId val="-1707081744"/>
      </c:lineChart>
      <c:catAx>
        <c:axId val="-1707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81744"/>
        <c:crosses val="autoZero"/>
        <c:auto val="1"/>
        <c:lblAlgn val="ctr"/>
        <c:lblOffset val="100"/>
        <c:noMultiLvlLbl val="0"/>
      </c:catAx>
      <c:valAx>
        <c:axId val="-1707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States with highest gross fiscal deficit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Gross_Financial_Deficits!$B$1</c:f>
              <c:strCache>
                <c:ptCount val="1"/>
                <c:pt idx="0">
                  <c:v>1980-1985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Gross_Financial_Deficits!$B$2:$B$10</c:f>
              <c:numCache>
                <c:formatCode>General</c:formatCode>
                <c:ptCount val="9"/>
                <c:pt idx="0">
                  <c:v>3293.5</c:v>
                </c:pt>
                <c:pt idx="1">
                  <c:v>4161</c:v>
                </c:pt>
                <c:pt idx="2">
                  <c:v>1920.7</c:v>
                </c:pt>
                <c:pt idx="3">
                  <c:v>1722.6</c:v>
                </c:pt>
                <c:pt idx="4">
                  <c:v>1510.3</c:v>
                </c:pt>
                <c:pt idx="5">
                  <c:v>1794.8</c:v>
                </c:pt>
                <c:pt idx="6">
                  <c:v>1474.8</c:v>
                </c:pt>
                <c:pt idx="7">
                  <c:v>1468.3</c:v>
                </c:pt>
                <c:pt idx="8">
                  <c:v>896</c:v>
                </c:pt>
              </c:numCache>
            </c:numRef>
          </c:val>
        </c:ser>
        <c:ser>
          <c:idx val="1"/>
          <c:order val="1"/>
          <c:tx>
            <c:strRef>
              <c:f>Gross_Financial_Deficits!$C$1</c:f>
              <c:strCache>
                <c:ptCount val="1"/>
                <c:pt idx="0">
                  <c:v>1985-1990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Gross_Financial_Deficits!$C$2:$C$10</c:f>
              <c:numCache>
                <c:formatCode>General</c:formatCode>
                <c:ptCount val="9"/>
                <c:pt idx="0">
                  <c:v>6434</c:v>
                </c:pt>
                <c:pt idx="1">
                  <c:v>7766</c:v>
                </c:pt>
                <c:pt idx="2">
                  <c:v>3031</c:v>
                </c:pt>
                <c:pt idx="3">
                  <c:v>3452</c:v>
                </c:pt>
                <c:pt idx="4">
                  <c:v>3052</c:v>
                </c:pt>
                <c:pt idx="5">
                  <c:v>4077</c:v>
                </c:pt>
                <c:pt idx="6">
                  <c:v>2704</c:v>
                </c:pt>
                <c:pt idx="7">
                  <c:v>3030</c:v>
                </c:pt>
                <c:pt idx="8">
                  <c:v>2227</c:v>
                </c:pt>
              </c:numCache>
            </c:numRef>
          </c:val>
        </c:ser>
        <c:ser>
          <c:idx val="2"/>
          <c:order val="2"/>
          <c:tx>
            <c:strRef>
              <c:f>Gross_Financial_Deficits!$D$1</c:f>
              <c:strCache>
                <c:ptCount val="1"/>
                <c:pt idx="0">
                  <c:v>1990-1995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Gross_Financial_Deficits!$D$2:$D$10</c:f>
              <c:numCache>
                <c:formatCode>General</c:formatCode>
                <c:ptCount val="9"/>
                <c:pt idx="0">
                  <c:v>10980.1</c:v>
                </c:pt>
                <c:pt idx="1">
                  <c:v>17547.400000000001</c:v>
                </c:pt>
                <c:pt idx="2">
                  <c:v>7427.1</c:v>
                </c:pt>
                <c:pt idx="3">
                  <c:v>7843.4</c:v>
                </c:pt>
                <c:pt idx="4">
                  <c:v>7029.3</c:v>
                </c:pt>
                <c:pt idx="5">
                  <c:v>6666.3</c:v>
                </c:pt>
                <c:pt idx="6">
                  <c:v>5629.2</c:v>
                </c:pt>
                <c:pt idx="7">
                  <c:v>5728.6</c:v>
                </c:pt>
                <c:pt idx="8">
                  <c:v>4377.8</c:v>
                </c:pt>
              </c:numCache>
            </c:numRef>
          </c:val>
        </c:ser>
        <c:ser>
          <c:idx val="3"/>
          <c:order val="3"/>
          <c:tx>
            <c:strRef>
              <c:f>Gross_Financial_Deficits!$E$1</c:f>
              <c:strCache>
                <c:ptCount val="1"/>
                <c:pt idx="0">
                  <c:v>1995-2000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Gross_Financial_Deficits!$E$2:$E$10</c:f>
              <c:numCache>
                <c:formatCode>General</c:formatCode>
                <c:ptCount val="9"/>
                <c:pt idx="0">
                  <c:v>34715.300000000003</c:v>
                </c:pt>
                <c:pt idx="1">
                  <c:v>40644</c:v>
                </c:pt>
                <c:pt idx="2">
                  <c:v>28876.400000000001</c:v>
                </c:pt>
                <c:pt idx="3">
                  <c:v>18338.099999999999</c:v>
                </c:pt>
                <c:pt idx="4">
                  <c:v>15982</c:v>
                </c:pt>
                <c:pt idx="5">
                  <c:v>19689.400000000001</c:v>
                </c:pt>
                <c:pt idx="6">
                  <c:v>12399.2</c:v>
                </c:pt>
                <c:pt idx="7">
                  <c:v>18144.900000000001</c:v>
                </c:pt>
                <c:pt idx="8">
                  <c:v>12807.9</c:v>
                </c:pt>
              </c:numCache>
            </c:numRef>
          </c:val>
        </c:ser>
        <c:ser>
          <c:idx val="4"/>
          <c:order val="4"/>
          <c:tx>
            <c:strRef>
              <c:f>Gross_Financial_Deficits!$F$1</c:f>
              <c:strCache>
                <c:ptCount val="1"/>
                <c:pt idx="0">
                  <c:v>2000-2005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Gross_Financial_Deficits!$F$2:$F$10</c:f>
              <c:numCache>
                <c:formatCode>General</c:formatCode>
                <c:ptCount val="9"/>
                <c:pt idx="0">
                  <c:v>70713.5</c:v>
                </c:pt>
                <c:pt idx="1">
                  <c:v>59227.6</c:v>
                </c:pt>
                <c:pt idx="2">
                  <c:v>56814.3</c:v>
                </c:pt>
                <c:pt idx="3">
                  <c:v>37299</c:v>
                </c:pt>
                <c:pt idx="4">
                  <c:v>27715.4</c:v>
                </c:pt>
                <c:pt idx="5">
                  <c:v>38438.400000000001</c:v>
                </c:pt>
                <c:pt idx="6">
                  <c:v>23469.1</c:v>
                </c:pt>
                <c:pt idx="7">
                  <c:v>29691.599999999999</c:v>
                </c:pt>
                <c:pt idx="8">
                  <c:v>22127.200000000001</c:v>
                </c:pt>
              </c:numCache>
            </c:numRef>
          </c:val>
        </c:ser>
        <c:ser>
          <c:idx val="5"/>
          <c:order val="5"/>
          <c:tx>
            <c:strRef>
              <c:f>Gross_Financial_Deficits!$G$1</c:f>
              <c:strCache>
                <c:ptCount val="1"/>
                <c:pt idx="0">
                  <c:v>2005-2010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Gross_Financial_Deficits!$G$2:$G$10</c:f>
              <c:numCache>
                <c:formatCode>General</c:formatCode>
                <c:ptCount val="9"/>
                <c:pt idx="0">
                  <c:v>66520</c:v>
                </c:pt>
                <c:pt idx="1">
                  <c:v>72690</c:v>
                </c:pt>
                <c:pt idx="2">
                  <c:v>70940</c:v>
                </c:pt>
                <c:pt idx="3">
                  <c:v>49150</c:v>
                </c:pt>
                <c:pt idx="4">
                  <c:v>30260</c:v>
                </c:pt>
                <c:pt idx="5">
                  <c:v>42280</c:v>
                </c:pt>
                <c:pt idx="6">
                  <c:v>33310</c:v>
                </c:pt>
                <c:pt idx="7">
                  <c:v>29800</c:v>
                </c:pt>
                <c:pt idx="8">
                  <c:v>28320</c:v>
                </c:pt>
              </c:numCache>
            </c:numRef>
          </c:val>
        </c:ser>
        <c:ser>
          <c:idx val="6"/>
          <c:order val="6"/>
          <c:tx>
            <c:strRef>
              <c:f>Gross_Financial_Deficits!$H$1</c:f>
              <c:strCache>
                <c:ptCount val="1"/>
                <c:pt idx="0">
                  <c:v>2010-2016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Gross_Financial_Deficits!$H$2:$H$10</c:f>
              <c:numCache>
                <c:formatCode>General</c:formatCode>
                <c:ptCount val="9"/>
                <c:pt idx="0">
                  <c:v>146570</c:v>
                </c:pt>
                <c:pt idx="1">
                  <c:v>135540</c:v>
                </c:pt>
                <c:pt idx="2">
                  <c:v>121590</c:v>
                </c:pt>
                <c:pt idx="3">
                  <c:v>100650</c:v>
                </c:pt>
                <c:pt idx="4">
                  <c:v>130200</c:v>
                </c:pt>
                <c:pt idx="5">
                  <c:v>101440</c:v>
                </c:pt>
                <c:pt idx="6">
                  <c:v>93840</c:v>
                </c:pt>
                <c:pt idx="7">
                  <c:v>75250</c:v>
                </c:pt>
                <c:pt idx="8">
                  <c:v>86180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7083920"/>
        <c:axId val="-1707082832"/>
      </c:barChart>
      <c:lineChart>
        <c:grouping val="standard"/>
        <c:varyColors val="0"/>
        <c:ser>
          <c:idx val="7"/>
          <c:order val="7"/>
          <c:tx>
            <c:strRef>
              <c:f>Gross_Financial_Deficits!$I$1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Gross_Financial_Deficits!$I$2:$I$10</c:f>
              <c:numCache>
                <c:formatCode>General</c:formatCode>
                <c:ptCount val="9"/>
                <c:pt idx="0">
                  <c:v>339226.4</c:v>
                </c:pt>
                <c:pt idx="1">
                  <c:v>337576</c:v>
                </c:pt>
                <c:pt idx="2">
                  <c:v>290599.5</c:v>
                </c:pt>
                <c:pt idx="3">
                  <c:v>218455.1</c:v>
                </c:pt>
                <c:pt idx="4">
                  <c:v>215749</c:v>
                </c:pt>
                <c:pt idx="5">
                  <c:v>214385.9</c:v>
                </c:pt>
                <c:pt idx="6">
                  <c:v>172826.3</c:v>
                </c:pt>
                <c:pt idx="7">
                  <c:v>163113.4</c:v>
                </c:pt>
                <c:pt idx="8">
                  <c:v>156935.9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7083920"/>
        <c:axId val="-1707082832"/>
      </c:lineChart>
      <c:catAx>
        <c:axId val="-17070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82832"/>
        <c:crosses val="autoZero"/>
        <c:auto val="1"/>
        <c:lblAlgn val="ctr"/>
        <c:lblOffset val="100"/>
        <c:noMultiLvlLbl val="0"/>
      </c:catAx>
      <c:valAx>
        <c:axId val="-1707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Nominal_GSDP_Series!$C$38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Nominal_GSDP_Series!$B$39:$B$45</c:f>
              <c:strCache>
                <c:ptCount val="7"/>
                <c:pt idx="0">
                  <c:v>1980-85</c:v>
                </c:pt>
                <c:pt idx="1">
                  <c:v>1985-90</c:v>
                </c:pt>
                <c:pt idx="2">
                  <c:v>1990-95</c:v>
                </c:pt>
                <c:pt idx="3">
                  <c:v>1995-20</c:v>
                </c:pt>
                <c:pt idx="4">
                  <c:v>2000-05</c:v>
                </c:pt>
                <c:pt idx="5">
                  <c:v>2005-10</c:v>
                </c:pt>
                <c:pt idx="6">
                  <c:v>2010-16</c:v>
                </c:pt>
              </c:strCache>
            </c:strRef>
          </c:cat>
          <c:val>
            <c:numRef>
              <c:f>Nominal_GSDP_Series!$C$39:$C$45</c:f>
              <c:numCache>
                <c:formatCode>General</c:formatCode>
                <c:ptCount val="7"/>
                <c:pt idx="0">
                  <c:v>752955</c:v>
                </c:pt>
                <c:pt idx="1">
                  <c:v>1403163</c:v>
                </c:pt>
                <c:pt idx="2">
                  <c:v>2919219</c:v>
                </c:pt>
                <c:pt idx="3">
                  <c:v>6597471</c:v>
                </c:pt>
                <c:pt idx="4">
                  <c:v>10839797</c:v>
                </c:pt>
                <c:pt idx="5">
                  <c:v>22046962</c:v>
                </c:pt>
                <c:pt idx="6">
                  <c:v>31258552.388699997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7080112"/>
        <c:axId val="-1707086640"/>
      </c:barChart>
      <c:catAx>
        <c:axId val="-17070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86640"/>
        <c:crosses val="autoZero"/>
        <c:auto val="1"/>
        <c:lblAlgn val="ctr"/>
        <c:lblOffset val="100"/>
        <c:noMultiLvlLbl val="0"/>
      </c:catAx>
      <c:valAx>
        <c:axId val="-17070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8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[DASHBOARD.xlsx]Revenue_Expenditure!PivotTable19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Revenue_Expenditure!$L$12:$L$13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Revenue_Expenditure!$L$14:$L$20</c:f>
              <c:numCache>
                <c:formatCode>General</c:formatCode>
                <c:ptCount val="7"/>
                <c:pt idx="0">
                  <c:v>8559</c:v>
                </c:pt>
                <c:pt idx="1">
                  <c:v>18428</c:v>
                </c:pt>
                <c:pt idx="2">
                  <c:v>36679</c:v>
                </c:pt>
                <c:pt idx="3">
                  <c:v>74532</c:v>
                </c:pt>
                <c:pt idx="4">
                  <c:v>134990</c:v>
                </c:pt>
                <c:pt idx="5">
                  <c:v>255639.15</c:v>
                </c:pt>
                <c:pt idx="6">
                  <c:v>577759.9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Revenue_Expenditure!$M$12:$M$13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Revenue_Expenditure!$M$14:$M$20</c:f>
              <c:numCache>
                <c:formatCode>General</c:formatCode>
                <c:ptCount val="7"/>
                <c:pt idx="2">
                  <c:v>1724</c:v>
                </c:pt>
                <c:pt idx="3">
                  <c:v>3342</c:v>
                </c:pt>
                <c:pt idx="4">
                  <c:v>5872</c:v>
                </c:pt>
                <c:pt idx="5">
                  <c:v>12395.42</c:v>
                </c:pt>
                <c:pt idx="6">
                  <c:v>36504.97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Revenue_Expenditure!$N$12:$N$13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Revenue_Expenditure!$N$14:$N$20</c:f>
              <c:numCache>
                <c:formatCode>General</c:formatCode>
                <c:ptCount val="7"/>
                <c:pt idx="0">
                  <c:v>2765</c:v>
                </c:pt>
                <c:pt idx="1">
                  <c:v>6522</c:v>
                </c:pt>
                <c:pt idx="2">
                  <c:v>12691</c:v>
                </c:pt>
                <c:pt idx="3">
                  <c:v>21448</c:v>
                </c:pt>
                <c:pt idx="4">
                  <c:v>39055</c:v>
                </c:pt>
                <c:pt idx="5">
                  <c:v>70212.490000000005</c:v>
                </c:pt>
                <c:pt idx="6">
                  <c:v>214581.14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Revenue_Expenditure!$O$12:$O$13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Revenue_Expenditure!$O$14:$O$20</c:f>
              <c:numCache>
                <c:formatCode>General</c:formatCode>
                <c:ptCount val="7"/>
                <c:pt idx="0">
                  <c:v>6572</c:v>
                </c:pt>
                <c:pt idx="1">
                  <c:v>14150</c:v>
                </c:pt>
                <c:pt idx="2">
                  <c:v>32247</c:v>
                </c:pt>
                <c:pt idx="3">
                  <c:v>52418</c:v>
                </c:pt>
                <c:pt idx="4">
                  <c:v>70200</c:v>
                </c:pt>
                <c:pt idx="5">
                  <c:v>123001.74</c:v>
                </c:pt>
                <c:pt idx="6">
                  <c:v>393121.77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Revenue_Expenditure!$P$12:$P$13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Revenue_Expenditure!$P$14:$P$20</c:f>
              <c:numCache>
                <c:formatCode>General</c:formatCode>
                <c:ptCount val="7"/>
                <c:pt idx="4">
                  <c:v>25759</c:v>
                </c:pt>
                <c:pt idx="5">
                  <c:v>58158.14</c:v>
                </c:pt>
                <c:pt idx="6">
                  <c:v>202210.44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Revenue_Expenditure!$Q$12:$Q$13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Revenue_Expenditure!$Q$14:$Q$20</c:f>
              <c:numCache>
                <c:formatCode>General</c:formatCode>
                <c:ptCount val="7"/>
                <c:pt idx="3">
                  <c:v>12594</c:v>
                </c:pt>
                <c:pt idx="4">
                  <c:v>24253</c:v>
                </c:pt>
                <c:pt idx="5">
                  <c:v>49704.43</c:v>
                </c:pt>
                <c:pt idx="6">
                  <c:v>131812.34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Revenue_Expenditure!$R$12:$R$13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Revenue_Expenditure!$R$14:$R$20</c:f>
              <c:numCache>
                <c:formatCode>General</c:formatCode>
                <c:ptCount val="7"/>
                <c:pt idx="2">
                  <c:v>1895</c:v>
                </c:pt>
                <c:pt idx="3">
                  <c:v>5421</c:v>
                </c:pt>
                <c:pt idx="4">
                  <c:v>9517</c:v>
                </c:pt>
                <c:pt idx="5">
                  <c:v>15089.89</c:v>
                </c:pt>
                <c:pt idx="6">
                  <c:v>40613.47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Revenue_Expenditure!$S$12:$S$13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Revenue_Expenditure!$S$14:$S$20</c:f>
              <c:numCache>
                <c:formatCode>General</c:formatCode>
                <c:ptCount val="7"/>
                <c:pt idx="0">
                  <c:v>6352</c:v>
                </c:pt>
                <c:pt idx="1">
                  <c:v>14623</c:v>
                </c:pt>
                <c:pt idx="2">
                  <c:v>30009</c:v>
                </c:pt>
                <c:pt idx="3">
                  <c:v>64291</c:v>
                </c:pt>
                <c:pt idx="4">
                  <c:v>112455</c:v>
                </c:pt>
                <c:pt idx="5">
                  <c:v>175616.73</c:v>
                </c:pt>
                <c:pt idx="6">
                  <c:v>456686.07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Revenue_Expenditure!$T$12:$T$13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Revenue_Expenditure!$T$14:$T$20</c:f>
              <c:numCache>
                <c:formatCode>General</c:formatCode>
                <c:ptCount val="7"/>
                <c:pt idx="0">
                  <c:v>2838</c:v>
                </c:pt>
                <c:pt idx="1">
                  <c:v>6254</c:v>
                </c:pt>
                <c:pt idx="2">
                  <c:v>16260</c:v>
                </c:pt>
                <c:pt idx="3">
                  <c:v>32717</c:v>
                </c:pt>
                <c:pt idx="4">
                  <c:v>46704</c:v>
                </c:pt>
                <c:pt idx="5">
                  <c:v>92321.11</c:v>
                </c:pt>
                <c:pt idx="6">
                  <c:v>257072.6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Revenue_Expenditure!$U$12:$U$13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Revenue_Expenditure!$U$14:$U$20</c:f>
              <c:numCache>
                <c:formatCode>General</c:formatCode>
                <c:ptCount val="7"/>
                <c:pt idx="0">
                  <c:v>1291</c:v>
                </c:pt>
                <c:pt idx="1">
                  <c:v>3035</c:v>
                </c:pt>
                <c:pt idx="2">
                  <c:v>5997</c:v>
                </c:pt>
                <c:pt idx="3">
                  <c:v>13906</c:v>
                </c:pt>
                <c:pt idx="4">
                  <c:v>25474</c:v>
                </c:pt>
                <c:pt idx="5">
                  <c:v>42991.14</c:v>
                </c:pt>
                <c:pt idx="6">
                  <c:v>104603.51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Revenue_Expenditure!$V$12:$V$13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Revenue_Expenditure!$V$14:$V$20</c:f>
              <c:numCache>
                <c:formatCode>General</c:formatCode>
                <c:ptCount val="7"/>
                <c:pt idx="0">
                  <c:v>1826</c:v>
                </c:pt>
                <c:pt idx="1">
                  <c:v>4156</c:v>
                </c:pt>
                <c:pt idx="2">
                  <c:v>8644</c:v>
                </c:pt>
                <c:pt idx="3">
                  <c:v>19859</c:v>
                </c:pt>
                <c:pt idx="4">
                  <c:v>34005</c:v>
                </c:pt>
                <c:pt idx="5">
                  <c:v>59022.79</c:v>
                </c:pt>
                <c:pt idx="6">
                  <c:v>159086.95000000001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Revenue_Expenditure!$W$12:$W$13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Revenue_Expenditure!$W$14:$W$20</c:f>
              <c:numCache>
                <c:formatCode>General</c:formatCode>
                <c:ptCount val="7"/>
                <c:pt idx="5">
                  <c:v>66792.42</c:v>
                </c:pt>
                <c:pt idx="6">
                  <c:v>171479.95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Revenue_Expenditure!$X$12:$X$13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Revenue_Expenditure!$X$14:$X$20</c:f>
              <c:numCache>
                <c:formatCode>General</c:formatCode>
                <c:ptCount val="7"/>
                <c:pt idx="0">
                  <c:v>6437</c:v>
                </c:pt>
                <c:pt idx="1">
                  <c:v>13455</c:v>
                </c:pt>
                <c:pt idx="2">
                  <c:v>27990</c:v>
                </c:pt>
                <c:pt idx="3">
                  <c:v>57250</c:v>
                </c:pt>
                <c:pt idx="4">
                  <c:v>100322</c:v>
                </c:pt>
                <c:pt idx="5">
                  <c:v>188047.21</c:v>
                </c:pt>
                <c:pt idx="6">
                  <c:v>508829.05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Revenue_Expenditure!$Y$12:$Y$13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Revenue_Expenditure!$Y$14:$Y$20</c:f>
              <c:numCache>
                <c:formatCode>General</c:formatCode>
                <c:ptCount val="7"/>
                <c:pt idx="0">
                  <c:v>4337</c:v>
                </c:pt>
                <c:pt idx="1">
                  <c:v>9240</c:v>
                </c:pt>
                <c:pt idx="2">
                  <c:v>19056</c:v>
                </c:pt>
                <c:pt idx="3">
                  <c:v>41649</c:v>
                </c:pt>
                <c:pt idx="4">
                  <c:v>70961</c:v>
                </c:pt>
                <c:pt idx="5">
                  <c:v>123497.24</c:v>
                </c:pt>
                <c:pt idx="6">
                  <c:v>353795.1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Revenue_Expenditure!$Z$12:$Z$13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Revenue_Expenditure!$Z$14:$Z$20</c:f>
              <c:numCache>
                <c:formatCode>General</c:formatCode>
                <c:ptCount val="7"/>
                <c:pt idx="0">
                  <c:v>6817</c:v>
                </c:pt>
                <c:pt idx="1">
                  <c:v>15085</c:v>
                </c:pt>
                <c:pt idx="2">
                  <c:v>31651</c:v>
                </c:pt>
                <c:pt idx="3">
                  <c:v>62673</c:v>
                </c:pt>
                <c:pt idx="4">
                  <c:v>80706</c:v>
                </c:pt>
                <c:pt idx="5">
                  <c:v>133937.78</c:v>
                </c:pt>
                <c:pt idx="6">
                  <c:v>437628.11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Revenue_Expenditure!$AA$12:$AA$13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Revenue_Expenditure!$AA$14:$AA$20</c:f>
              <c:numCache>
                <c:formatCode>General</c:formatCode>
                <c:ptCount val="7"/>
                <c:pt idx="0">
                  <c:v>13844</c:v>
                </c:pt>
                <c:pt idx="1">
                  <c:v>29419</c:v>
                </c:pt>
                <c:pt idx="2">
                  <c:v>58271</c:v>
                </c:pt>
                <c:pt idx="3">
                  <c:v>116112</c:v>
                </c:pt>
                <c:pt idx="4">
                  <c:v>209884</c:v>
                </c:pt>
                <c:pt idx="5">
                  <c:v>349054.88</c:v>
                </c:pt>
                <c:pt idx="6">
                  <c:v>920317.17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Revenue_Expenditure!$AB$12:$AB$13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Revenue_Expenditure!$AB$14:$AB$20</c:f>
              <c:numCache>
                <c:formatCode>General</c:formatCode>
                <c:ptCount val="7"/>
                <c:pt idx="0">
                  <c:v>487</c:v>
                </c:pt>
                <c:pt idx="1">
                  <c:v>1146</c:v>
                </c:pt>
                <c:pt idx="2">
                  <c:v>2029</c:v>
                </c:pt>
                <c:pt idx="3">
                  <c:v>4271</c:v>
                </c:pt>
                <c:pt idx="4">
                  <c:v>6998</c:v>
                </c:pt>
                <c:pt idx="5">
                  <c:v>12349.68</c:v>
                </c:pt>
                <c:pt idx="6">
                  <c:v>37073.78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Revenue_Expenditure!$AC$12:$AC$13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Revenue_Expenditure!$AC$14:$AC$20</c:f>
              <c:numCache>
                <c:formatCode>General</c:formatCode>
                <c:ptCount val="7"/>
                <c:pt idx="0">
                  <c:v>436</c:v>
                </c:pt>
                <c:pt idx="1">
                  <c:v>965</c:v>
                </c:pt>
                <c:pt idx="2">
                  <c:v>2029</c:v>
                </c:pt>
                <c:pt idx="3">
                  <c:v>3625</c:v>
                </c:pt>
                <c:pt idx="4">
                  <c:v>6352</c:v>
                </c:pt>
                <c:pt idx="5">
                  <c:v>11701.15</c:v>
                </c:pt>
                <c:pt idx="6">
                  <c:v>36922.910000000003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Revenue_Expenditure!$AD$12:$AD$13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Revenue_Expenditure!$AD$14:$AD$20</c:f>
              <c:numCache>
                <c:formatCode>General</c:formatCode>
                <c:ptCount val="7"/>
                <c:pt idx="1">
                  <c:v>895</c:v>
                </c:pt>
                <c:pt idx="2">
                  <c:v>1883</c:v>
                </c:pt>
                <c:pt idx="3">
                  <c:v>3433</c:v>
                </c:pt>
                <c:pt idx="4">
                  <c:v>5963</c:v>
                </c:pt>
                <c:pt idx="5">
                  <c:v>10229.49</c:v>
                </c:pt>
                <c:pt idx="6">
                  <c:v>30061.79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Revenue_Expenditure!$AE$12:$AE$13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Revenue_Expenditure!$AE$14:$AE$20</c:f>
              <c:numCache>
                <c:formatCode>General</c:formatCode>
                <c:ptCount val="7"/>
                <c:pt idx="0">
                  <c:v>649</c:v>
                </c:pt>
                <c:pt idx="1">
                  <c:v>1532</c:v>
                </c:pt>
                <c:pt idx="2">
                  <c:v>2840</c:v>
                </c:pt>
                <c:pt idx="3">
                  <c:v>4943</c:v>
                </c:pt>
                <c:pt idx="4">
                  <c:v>7875</c:v>
                </c:pt>
                <c:pt idx="5">
                  <c:v>12996.95</c:v>
                </c:pt>
                <c:pt idx="6">
                  <c:v>36682.400000000001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Revenue_Expenditure!$AF$12:$AF$13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Revenue_Expenditure!$AF$14:$AF$20</c:f>
              <c:numCache>
                <c:formatCode>General</c:formatCode>
                <c:ptCount val="7"/>
                <c:pt idx="0">
                  <c:v>3620</c:v>
                </c:pt>
                <c:pt idx="1">
                  <c:v>7162</c:v>
                </c:pt>
                <c:pt idx="2">
                  <c:v>15393</c:v>
                </c:pt>
                <c:pt idx="3">
                  <c:v>30630</c:v>
                </c:pt>
                <c:pt idx="4">
                  <c:v>51955</c:v>
                </c:pt>
                <c:pt idx="5">
                  <c:v>96959.58</c:v>
                </c:pt>
                <c:pt idx="6">
                  <c:v>273994.61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Revenue_Expenditure!$AG$12:$AG$13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Revenue_Expenditure!$AG$14:$AG$20</c:f>
              <c:numCache>
                <c:formatCode>General</c:formatCode>
                <c:ptCount val="7"/>
                <c:pt idx="5">
                  <c:v>11575.95</c:v>
                </c:pt>
                <c:pt idx="6">
                  <c:v>24949.88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Revenue_Expenditure!$AH$12:$AH$13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Revenue_Expenditure!$AH$14:$AH$20</c:f>
              <c:numCache>
                <c:formatCode>General</c:formatCode>
                <c:ptCount val="7"/>
                <c:pt idx="0">
                  <c:v>3615</c:v>
                </c:pt>
                <c:pt idx="1">
                  <c:v>7888</c:v>
                </c:pt>
                <c:pt idx="2">
                  <c:v>20227</c:v>
                </c:pt>
                <c:pt idx="3">
                  <c:v>38975</c:v>
                </c:pt>
                <c:pt idx="4">
                  <c:v>72148</c:v>
                </c:pt>
                <c:pt idx="5">
                  <c:v>111789.93</c:v>
                </c:pt>
                <c:pt idx="6">
                  <c:v>248647.05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Revenue_Expenditure!$AI$12:$AI$13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Revenue_Expenditure!$AI$14:$AI$20</c:f>
              <c:numCache>
                <c:formatCode>General</c:formatCode>
                <c:ptCount val="7"/>
                <c:pt idx="0">
                  <c:v>4868</c:v>
                </c:pt>
                <c:pt idx="1">
                  <c:v>11183</c:v>
                </c:pt>
                <c:pt idx="2">
                  <c:v>25202</c:v>
                </c:pt>
                <c:pt idx="3">
                  <c:v>50750</c:v>
                </c:pt>
                <c:pt idx="4">
                  <c:v>86754</c:v>
                </c:pt>
                <c:pt idx="5">
                  <c:v>150008.79999999999</c:v>
                </c:pt>
                <c:pt idx="6">
                  <c:v>449190.83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Revenue_Expenditure!$AJ$12:$AJ$13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Revenue_Expenditure!$AJ$14:$AJ$20</c:f>
              <c:numCache>
                <c:formatCode>General</c:formatCode>
                <c:ptCount val="7"/>
                <c:pt idx="0">
                  <c:v>206</c:v>
                </c:pt>
                <c:pt idx="1">
                  <c:v>486</c:v>
                </c:pt>
                <c:pt idx="2">
                  <c:v>1178</c:v>
                </c:pt>
                <c:pt idx="3">
                  <c:v>6264</c:v>
                </c:pt>
                <c:pt idx="4">
                  <c:v>7214</c:v>
                </c:pt>
                <c:pt idx="5">
                  <c:v>11036.66</c:v>
                </c:pt>
                <c:pt idx="6">
                  <c:v>21761.93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Revenue_Expenditure!$AK$12:$AK$13</c:f>
              <c:strCache>
                <c:ptCount val="1"/>
                <c:pt idx="0">
                  <c:v>Tamil Nadu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Revenue_Expenditure!$AK$14:$AK$20</c:f>
              <c:numCache>
                <c:formatCode>General</c:formatCode>
                <c:ptCount val="7"/>
                <c:pt idx="0">
                  <c:v>8209</c:v>
                </c:pt>
                <c:pt idx="1">
                  <c:v>17095</c:v>
                </c:pt>
                <c:pt idx="2">
                  <c:v>41257</c:v>
                </c:pt>
                <c:pt idx="3">
                  <c:v>77352</c:v>
                </c:pt>
                <c:pt idx="4">
                  <c:v>123423</c:v>
                </c:pt>
                <c:pt idx="5">
                  <c:v>226214.61</c:v>
                </c:pt>
                <c:pt idx="6">
                  <c:v>647669.18000000005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Revenue_Expenditure!$AL$12:$AL$13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Revenue_Expenditure!$AL$14:$AL$20</c:f>
              <c:numCache>
                <c:formatCode>General</c:formatCode>
                <c:ptCount val="7"/>
                <c:pt idx="6">
                  <c:v>173409.97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Revenue_Expenditure!$AM$12:$AM$13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Revenue_Expenditure!$AM$14:$AM$20</c:f>
              <c:numCache>
                <c:formatCode>General</c:formatCode>
                <c:ptCount val="7"/>
                <c:pt idx="0">
                  <c:v>573</c:v>
                </c:pt>
                <c:pt idx="1">
                  <c:v>1517</c:v>
                </c:pt>
                <c:pt idx="2">
                  <c:v>2944</c:v>
                </c:pt>
                <c:pt idx="3">
                  <c:v>5391</c:v>
                </c:pt>
                <c:pt idx="4">
                  <c:v>9753</c:v>
                </c:pt>
                <c:pt idx="5">
                  <c:v>15012.24</c:v>
                </c:pt>
                <c:pt idx="6">
                  <c:v>37758.879999999997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Revenue_Expenditure!$AN$12:$AN$13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Revenue_Expenditure!$AN$14:$AN$20</c:f>
              <c:numCache>
                <c:formatCode>General</c:formatCode>
                <c:ptCount val="7"/>
                <c:pt idx="0">
                  <c:v>12039</c:v>
                </c:pt>
                <c:pt idx="1">
                  <c:v>27042</c:v>
                </c:pt>
                <c:pt idx="2">
                  <c:v>61305</c:v>
                </c:pt>
                <c:pt idx="3">
                  <c:v>113782</c:v>
                </c:pt>
                <c:pt idx="4">
                  <c:v>190583</c:v>
                </c:pt>
                <c:pt idx="5">
                  <c:v>332881.49</c:v>
                </c:pt>
                <c:pt idx="6">
                  <c:v>937777.7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Revenue_Expenditure!$AO$12:$AO$13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Revenue_Expenditure!$AO$14:$AO$20</c:f>
              <c:numCache>
                <c:formatCode>General</c:formatCode>
                <c:ptCount val="7"/>
                <c:pt idx="4">
                  <c:v>16821</c:v>
                </c:pt>
                <c:pt idx="5">
                  <c:v>38395.839999999997</c:v>
                </c:pt>
                <c:pt idx="6">
                  <c:v>104864.85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Revenue_Expenditure!$AP$12:$AP$13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Revenue_Expenditure!$K$14:$K$20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Revenue_Expenditure!$AP$14:$AP$20</c:f>
              <c:numCache>
                <c:formatCode>General</c:formatCode>
                <c:ptCount val="7"/>
                <c:pt idx="0">
                  <c:v>7939</c:v>
                </c:pt>
                <c:pt idx="1">
                  <c:v>15432</c:v>
                </c:pt>
                <c:pt idx="2">
                  <c:v>30653</c:v>
                </c:pt>
                <c:pt idx="3">
                  <c:v>64051</c:v>
                </c:pt>
                <c:pt idx="4">
                  <c:v>122563</c:v>
                </c:pt>
                <c:pt idx="5">
                  <c:v>213705.2</c:v>
                </c:pt>
                <c:pt idx="6">
                  <c:v>531700.91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7079024"/>
        <c:axId val="-1707090992"/>
      </c:lineChart>
      <c:catAx>
        <c:axId val="-17070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90992"/>
        <c:crosses val="autoZero"/>
        <c:auto val="1"/>
        <c:lblAlgn val="ctr"/>
        <c:lblOffset val="100"/>
        <c:noMultiLvlLbl val="0"/>
      </c:catAx>
      <c:valAx>
        <c:axId val="-17070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Revenue_Expenditure!$D$38</c:f>
              <c:strCache>
                <c:ptCount val="1"/>
                <c:pt idx="0">
                  <c:v>Revenue DeficitS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Revenue_Expenditure!$C$39:$C$69</c:f>
              <c:strCache>
                <c:ptCount val="31"/>
                <c:pt idx="0">
                  <c:v>Manipur</c:v>
                </c:pt>
                <c:pt idx="1">
                  <c:v>Meghalaya</c:v>
                </c:pt>
                <c:pt idx="2">
                  <c:v>Mizoram</c:v>
                </c:pt>
                <c:pt idx="3">
                  <c:v>Nagaland</c:v>
                </c:pt>
                <c:pt idx="4">
                  <c:v>Odisha</c:v>
                </c:pt>
                <c:pt idx="5">
                  <c:v>Punjab</c:v>
                </c:pt>
                <c:pt idx="6">
                  <c:v>Rajasthan</c:v>
                </c:pt>
                <c:pt idx="7">
                  <c:v>Sikkim</c:v>
                </c:pt>
                <c:pt idx="8">
                  <c:v>Tamil Nadu</c:v>
                </c:pt>
                <c:pt idx="9">
                  <c:v>Telangana</c:v>
                </c:pt>
                <c:pt idx="10">
                  <c:v>Tripura</c:v>
                </c:pt>
                <c:pt idx="11">
                  <c:v>Uttar Pradesh</c:v>
                </c:pt>
                <c:pt idx="12">
                  <c:v>Uttarakhand</c:v>
                </c:pt>
                <c:pt idx="13">
                  <c:v>West Bengal</c:v>
                </c:pt>
                <c:pt idx="14">
                  <c:v>Delhi</c:v>
                </c:pt>
                <c:pt idx="15">
                  <c:v>Puducherry</c:v>
                </c:pt>
                <c:pt idx="16">
                  <c:v>Andhra Pradesh</c:v>
                </c:pt>
                <c:pt idx="17">
                  <c:v>Arunachal Pradesh</c:v>
                </c:pt>
                <c:pt idx="18">
                  <c:v>Assam</c:v>
                </c:pt>
                <c:pt idx="19">
                  <c:v>Bihar</c:v>
                </c:pt>
                <c:pt idx="20">
                  <c:v>Chhattisgarh</c:v>
                </c:pt>
                <c:pt idx="21">
                  <c:v>Goa</c:v>
                </c:pt>
                <c:pt idx="22">
                  <c:v>Gujarat</c:v>
                </c:pt>
                <c:pt idx="23">
                  <c:v>Haryana</c:v>
                </c:pt>
                <c:pt idx="24">
                  <c:v>Himachal Pradesh</c:v>
                </c:pt>
                <c:pt idx="25">
                  <c:v>Jammu &amp; Kashmir</c:v>
                </c:pt>
                <c:pt idx="26">
                  <c:v>Jharkhand</c:v>
                </c:pt>
                <c:pt idx="27">
                  <c:v>Karnataka</c:v>
                </c:pt>
                <c:pt idx="28">
                  <c:v>Kerala</c:v>
                </c:pt>
                <c:pt idx="29">
                  <c:v>Madhya Pradesh</c:v>
                </c:pt>
                <c:pt idx="30">
                  <c:v>Maharashtra</c:v>
                </c:pt>
              </c:strCache>
            </c:strRef>
          </c:cat>
          <c:val>
            <c:numRef>
              <c:f>Revenue_Expenditure!$D$39:$D$69</c:f>
              <c:numCache>
                <c:formatCode>General</c:formatCode>
                <c:ptCount val="31"/>
                <c:pt idx="0">
                  <c:v>-10220.1</c:v>
                </c:pt>
                <c:pt idx="1">
                  <c:v>-8439.2999999999993</c:v>
                </c:pt>
                <c:pt idx="2">
                  <c:v>40208.5</c:v>
                </c:pt>
                <c:pt idx="3">
                  <c:v>11886.7</c:v>
                </c:pt>
                <c:pt idx="4">
                  <c:v>-33465.300000000003</c:v>
                </c:pt>
                <c:pt idx="5">
                  <c:v>-12993</c:v>
                </c:pt>
                <c:pt idx="6">
                  <c:v>-13921.1</c:v>
                </c:pt>
                <c:pt idx="7">
                  <c:v>96485.7</c:v>
                </c:pt>
                <c:pt idx="8">
                  <c:v>-43640.6</c:v>
                </c:pt>
                <c:pt idx="9">
                  <c:v>70164.600000000006</c:v>
                </c:pt>
                <c:pt idx="10">
                  <c:v>34199</c:v>
                </c:pt>
                <c:pt idx="11">
                  <c:v>-28124.699999999997</c:v>
                </c:pt>
                <c:pt idx="12">
                  <c:v>-23961.7</c:v>
                </c:pt>
                <c:pt idx="13">
                  <c:v>-6.7000000000000455</c:v>
                </c:pt>
                <c:pt idx="14">
                  <c:v>15674.599999999999</c:v>
                </c:pt>
                <c:pt idx="15">
                  <c:v>-11563</c:v>
                </c:pt>
                <c:pt idx="16">
                  <c:v>-5207.5</c:v>
                </c:pt>
                <c:pt idx="17">
                  <c:v>-1736.3</c:v>
                </c:pt>
                <c:pt idx="18">
                  <c:v>-6327.3</c:v>
                </c:pt>
                <c:pt idx="19">
                  <c:v>-21487.300000000003</c:v>
                </c:pt>
                <c:pt idx="20">
                  <c:v>83609.7</c:v>
                </c:pt>
                <c:pt idx="21">
                  <c:v>26667.8</c:v>
                </c:pt>
                <c:pt idx="22">
                  <c:v>-6909.3</c:v>
                </c:pt>
                <c:pt idx="23">
                  <c:v>31860.5</c:v>
                </c:pt>
                <c:pt idx="24">
                  <c:v>0</c:v>
                </c:pt>
                <c:pt idx="25">
                  <c:v>-17596.5</c:v>
                </c:pt>
                <c:pt idx="26">
                  <c:v>-31976.399999999994</c:v>
                </c:pt>
                <c:pt idx="27">
                  <c:v>-4072</c:v>
                </c:pt>
                <c:pt idx="28">
                  <c:v>202992</c:v>
                </c:pt>
                <c:pt idx="29">
                  <c:v>-78822.7</c:v>
                </c:pt>
                <c:pt idx="30">
                  <c:v>1241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Revenue_Expenditure!$E$38</c:f>
              <c:strCache>
                <c:ptCount val="1"/>
                <c:pt idx="0">
                  <c:v>Revenue 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Revenue_Expenditure!$C$39:$C$69</c:f>
              <c:strCache>
                <c:ptCount val="31"/>
                <c:pt idx="0">
                  <c:v>Manipur</c:v>
                </c:pt>
                <c:pt idx="1">
                  <c:v>Meghalaya</c:v>
                </c:pt>
                <c:pt idx="2">
                  <c:v>Mizoram</c:v>
                </c:pt>
                <c:pt idx="3">
                  <c:v>Nagaland</c:v>
                </c:pt>
                <c:pt idx="4">
                  <c:v>Odisha</c:v>
                </c:pt>
                <c:pt idx="5">
                  <c:v>Punjab</c:v>
                </c:pt>
                <c:pt idx="6">
                  <c:v>Rajasthan</c:v>
                </c:pt>
                <c:pt idx="7">
                  <c:v>Sikkim</c:v>
                </c:pt>
                <c:pt idx="8">
                  <c:v>Tamil Nadu</c:v>
                </c:pt>
                <c:pt idx="9">
                  <c:v>Telangana</c:v>
                </c:pt>
                <c:pt idx="10">
                  <c:v>Tripura</c:v>
                </c:pt>
                <c:pt idx="11">
                  <c:v>Uttar Pradesh</c:v>
                </c:pt>
                <c:pt idx="12">
                  <c:v>Uttarakhand</c:v>
                </c:pt>
                <c:pt idx="13">
                  <c:v>West Bengal</c:v>
                </c:pt>
                <c:pt idx="14">
                  <c:v>Delhi</c:v>
                </c:pt>
                <c:pt idx="15">
                  <c:v>Puducherry</c:v>
                </c:pt>
                <c:pt idx="16">
                  <c:v>Andhra Pradesh</c:v>
                </c:pt>
                <c:pt idx="17">
                  <c:v>Arunachal Pradesh</c:v>
                </c:pt>
                <c:pt idx="18">
                  <c:v>Assam</c:v>
                </c:pt>
                <c:pt idx="19">
                  <c:v>Bihar</c:v>
                </c:pt>
                <c:pt idx="20">
                  <c:v>Chhattisgarh</c:v>
                </c:pt>
                <c:pt idx="21">
                  <c:v>Goa</c:v>
                </c:pt>
                <c:pt idx="22">
                  <c:v>Gujarat</c:v>
                </c:pt>
                <c:pt idx="23">
                  <c:v>Haryana</c:v>
                </c:pt>
                <c:pt idx="24">
                  <c:v>Himachal Pradesh</c:v>
                </c:pt>
                <c:pt idx="25">
                  <c:v>Jammu &amp; Kashmir</c:v>
                </c:pt>
                <c:pt idx="26">
                  <c:v>Jharkhand</c:v>
                </c:pt>
                <c:pt idx="27">
                  <c:v>Karnataka</c:v>
                </c:pt>
                <c:pt idx="28">
                  <c:v>Kerala</c:v>
                </c:pt>
                <c:pt idx="29">
                  <c:v>Madhya Pradesh</c:v>
                </c:pt>
                <c:pt idx="30">
                  <c:v>Maharashtra</c:v>
                </c:pt>
              </c:strCache>
            </c:strRef>
          </c:cat>
          <c:val>
            <c:numRef>
              <c:f>Revenue_Expenditure!$E$39:$E$69</c:f>
              <c:numCache>
                <c:formatCode>General</c:formatCode>
                <c:ptCount val="31"/>
                <c:pt idx="0">
                  <c:v>64354.46</c:v>
                </c:pt>
                <c:pt idx="1">
                  <c:v>62031.060000000005</c:v>
                </c:pt>
                <c:pt idx="2">
                  <c:v>52465.279999999999</c:v>
                </c:pt>
                <c:pt idx="3">
                  <c:v>67518.350000000006</c:v>
                </c:pt>
                <c:pt idx="4">
                  <c:v>479714.19</c:v>
                </c:pt>
                <c:pt idx="5">
                  <c:v>503289.98</c:v>
                </c:pt>
                <c:pt idx="6">
                  <c:v>777956.63</c:v>
                </c:pt>
                <c:pt idx="7">
                  <c:v>48146.59</c:v>
                </c:pt>
                <c:pt idx="8">
                  <c:v>1141219.79</c:v>
                </c:pt>
                <c:pt idx="9">
                  <c:v>173409.97</c:v>
                </c:pt>
                <c:pt idx="10">
                  <c:v>72949.119999999995</c:v>
                </c:pt>
                <c:pt idx="11">
                  <c:v>1675410.19</c:v>
                </c:pt>
                <c:pt idx="12">
                  <c:v>160081.69</c:v>
                </c:pt>
                <c:pt idx="13">
                  <c:v>986044.1100000001</c:v>
                </c:pt>
                <c:pt idx="14">
                  <c:v>218363.77</c:v>
                </c:pt>
                <c:pt idx="15">
                  <c:v>36525.83</c:v>
                </c:pt>
                <c:pt idx="16">
                  <c:v>1106587.05</c:v>
                </c:pt>
                <c:pt idx="17">
                  <c:v>59838.39</c:v>
                </c:pt>
                <c:pt idx="18">
                  <c:v>367274.63</c:v>
                </c:pt>
                <c:pt idx="19">
                  <c:v>691710.51</c:v>
                </c:pt>
                <c:pt idx="20">
                  <c:v>286127.58</c:v>
                </c:pt>
                <c:pt idx="21">
                  <c:v>72536.36</c:v>
                </c:pt>
                <c:pt idx="22">
                  <c:v>860032.8</c:v>
                </c:pt>
                <c:pt idx="23">
                  <c:v>454166.70999999996</c:v>
                </c:pt>
                <c:pt idx="24">
                  <c:v>197297.65</c:v>
                </c:pt>
                <c:pt idx="25">
                  <c:v>286599.74</c:v>
                </c:pt>
                <c:pt idx="26">
                  <c:v>238272.37</c:v>
                </c:pt>
                <c:pt idx="27">
                  <c:v>902330.26</c:v>
                </c:pt>
                <c:pt idx="28">
                  <c:v>622535.34</c:v>
                </c:pt>
                <c:pt idx="29">
                  <c:v>768497.89</c:v>
                </c:pt>
                <c:pt idx="30">
                  <c:v>1696902.05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6515776"/>
        <c:axId val="-1656507072"/>
      </c:lineChart>
      <c:catAx>
        <c:axId val="-16565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507072"/>
        <c:crosses val="autoZero"/>
        <c:auto val="1"/>
        <c:lblAlgn val="ctr"/>
        <c:lblOffset val="100"/>
        <c:noMultiLvlLbl val="0"/>
      </c:catAx>
      <c:valAx>
        <c:axId val="-16565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5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Socialsector</a:t>
            </a:r>
            <a:r>
              <a:rPr lang="en-US" baseline="0"/>
              <a:t> exp VS Tax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Social_Sector_Expenditure!$Z$26</c:f>
              <c:strCache>
                <c:ptCount val="1"/>
                <c:pt idx="0">
                  <c:v>Social sector expenditure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Social_Sector_Expenditure!$AA$25:$BE$25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Social_Sector_Expenditure!$AA$26:$BE$26</c:f>
              <c:numCache>
                <c:formatCode>General</c:formatCode>
                <c:ptCount val="31"/>
                <c:pt idx="0">
                  <c:v>76160.142857142855</c:v>
                </c:pt>
                <c:pt idx="1">
                  <c:v>5390.6</c:v>
                </c:pt>
                <c:pt idx="2">
                  <c:v>24950.714285714286</c:v>
                </c:pt>
                <c:pt idx="3">
                  <c:v>55056.142857142855</c:v>
                </c:pt>
                <c:pt idx="4">
                  <c:v>60983.666666666664</c:v>
                </c:pt>
                <c:pt idx="5">
                  <c:v>39389.75</c:v>
                </c:pt>
                <c:pt idx="6">
                  <c:v>6096.6</c:v>
                </c:pt>
                <c:pt idx="7">
                  <c:v>60723.857142857145</c:v>
                </c:pt>
                <c:pt idx="8">
                  <c:v>28606.714285714286</c:v>
                </c:pt>
                <c:pt idx="9">
                  <c:v>12745.714285714286</c:v>
                </c:pt>
                <c:pt idx="10">
                  <c:v>16541.285714285714</c:v>
                </c:pt>
                <c:pt idx="11">
                  <c:v>70046</c:v>
                </c:pt>
                <c:pt idx="12">
                  <c:v>61850.142857142855</c:v>
                </c:pt>
                <c:pt idx="13">
                  <c:v>37063.285714285717</c:v>
                </c:pt>
                <c:pt idx="14">
                  <c:v>55909.142857142855</c:v>
                </c:pt>
                <c:pt idx="15">
                  <c:v>117661.28571428571</c:v>
                </c:pt>
                <c:pt idx="16">
                  <c:v>4160.7142857142853</c:v>
                </c:pt>
                <c:pt idx="17">
                  <c:v>4456.8571428571431</c:v>
                </c:pt>
                <c:pt idx="18">
                  <c:v>4170.666666666667</c:v>
                </c:pt>
                <c:pt idx="19">
                  <c:v>3789</c:v>
                </c:pt>
                <c:pt idx="20">
                  <c:v>34758.714285714283</c:v>
                </c:pt>
                <c:pt idx="21">
                  <c:v>8287</c:v>
                </c:pt>
                <c:pt idx="22">
                  <c:v>21148.571428571428</c:v>
                </c:pt>
                <c:pt idx="23">
                  <c:v>60120.571428571428</c:v>
                </c:pt>
                <c:pt idx="24">
                  <c:v>2432.5714285714284</c:v>
                </c:pt>
                <c:pt idx="25">
                  <c:v>78232.428571428565</c:v>
                </c:pt>
                <c:pt idx="26">
                  <c:v>0</c:v>
                </c:pt>
                <c:pt idx="27">
                  <c:v>6041.8571428571431</c:v>
                </c:pt>
                <c:pt idx="28">
                  <c:v>112924</c:v>
                </c:pt>
                <c:pt idx="29">
                  <c:v>29500</c:v>
                </c:pt>
                <c:pt idx="30">
                  <c:v>66588.571428571435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Social_Sector_Expenditure!$Z$27</c:f>
              <c:strCache>
                <c:ptCount val="1"/>
                <c:pt idx="0">
                  <c:v>Tax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Social_Sector_Expenditure!$AA$25:$BE$25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Social_Sector_Expenditure!$AA$27:$BE$27</c:f>
              <c:numCache>
                <c:formatCode>General</c:formatCode>
                <c:ptCount val="31"/>
                <c:pt idx="0">
                  <c:v>82196.428571428565</c:v>
                </c:pt>
                <c:pt idx="1">
                  <c:v>614</c:v>
                </c:pt>
                <c:pt idx="2">
                  <c:v>13220</c:v>
                </c:pt>
                <c:pt idx="3">
                  <c:v>26169.285714285714</c:v>
                </c:pt>
                <c:pt idx="4">
                  <c:v>41543.333333333336</c:v>
                </c:pt>
                <c:pt idx="5">
                  <c:v>61587.5</c:v>
                </c:pt>
                <c:pt idx="6">
                  <c:v>6512</c:v>
                </c:pt>
                <c:pt idx="7">
                  <c:v>77508.571428571435</c:v>
                </c:pt>
                <c:pt idx="8">
                  <c:v>37141.571428571428</c:v>
                </c:pt>
                <c:pt idx="9">
                  <c:v>6936.8571428571431</c:v>
                </c:pt>
                <c:pt idx="10">
                  <c:v>7923.7142857142853</c:v>
                </c:pt>
                <c:pt idx="11">
                  <c:v>39370</c:v>
                </c:pt>
                <c:pt idx="12">
                  <c:v>84247.571428571435</c:v>
                </c:pt>
                <c:pt idx="13">
                  <c:v>48152.428571428572</c:v>
                </c:pt>
                <c:pt idx="14">
                  <c:v>47453.142857142855</c:v>
                </c:pt>
                <c:pt idx="15">
                  <c:v>157616.14285714287</c:v>
                </c:pt>
                <c:pt idx="16">
                  <c:v>580.71428571428567</c:v>
                </c:pt>
                <c:pt idx="17">
                  <c:v>1227.4285714285713</c:v>
                </c:pt>
                <c:pt idx="18">
                  <c:v>396</c:v>
                </c:pt>
                <c:pt idx="19">
                  <c:v>481.71428571428572</c:v>
                </c:pt>
                <c:pt idx="20">
                  <c:v>22977.714285714286</c:v>
                </c:pt>
                <c:pt idx="21">
                  <c:v>7290</c:v>
                </c:pt>
                <c:pt idx="22">
                  <c:v>35985.857142857145</c:v>
                </c:pt>
                <c:pt idx="23">
                  <c:v>46933</c:v>
                </c:pt>
                <c:pt idx="24">
                  <c:v>607.71428571428567</c:v>
                </c:pt>
                <c:pt idx="25">
                  <c:v>105785.14285714286</c:v>
                </c:pt>
                <c:pt idx="26">
                  <c:v>0</c:v>
                </c:pt>
                <c:pt idx="27">
                  <c:v>1379.4285714285713</c:v>
                </c:pt>
                <c:pt idx="28">
                  <c:v>92680.428571428565</c:v>
                </c:pt>
                <c:pt idx="29">
                  <c:v>19993.333333333332</c:v>
                </c:pt>
                <c:pt idx="30">
                  <c:v>50505.571428571428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6509792"/>
        <c:axId val="-1656507616"/>
      </c:lineChart>
      <c:catAx>
        <c:axId val="-165650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507616"/>
        <c:crosses val="autoZero"/>
        <c:auto val="1"/>
        <c:lblAlgn val="ctr"/>
        <c:lblOffset val="100"/>
        <c:noMultiLvlLbl val="0"/>
      </c:catAx>
      <c:valAx>
        <c:axId val="-165650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5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Social Sector Exp VS Tax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0616279669027"/>
          <c:y val="0.18326907751620755"/>
          <c:w val="0.86000281578463222"/>
          <c:h val="0.39101912853268578"/>
        </c:manualLayout>
      </c:layout>
      <c:lineChart>
        <c:grouping val="standard"/>
        <c:varyColors val="0"/>
        <c:ser>
          <c:idx val="0"/>
          <c:order val="0"/>
          <c:tx>
            <c:strRef>
              <c:f>Social_Sector_Expenditure!$Z$26</c:f>
              <c:strCache>
                <c:ptCount val="1"/>
                <c:pt idx="0">
                  <c:v>Social sector expenditure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glow rad="101600">
                <a:schemeClr val="accent3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Social_Sector_Expenditure!$AA$25:$BE$25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Social_Sector_Expenditure!$AA$26:$BE$26</c:f>
              <c:numCache>
                <c:formatCode>General</c:formatCode>
                <c:ptCount val="31"/>
                <c:pt idx="0">
                  <c:v>76160.142857142855</c:v>
                </c:pt>
                <c:pt idx="1">
                  <c:v>5390.6</c:v>
                </c:pt>
                <c:pt idx="2">
                  <c:v>24950.714285714286</c:v>
                </c:pt>
                <c:pt idx="3">
                  <c:v>55056.142857142855</c:v>
                </c:pt>
                <c:pt idx="4">
                  <c:v>60983.666666666664</c:v>
                </c:pt>
                <c:pt idx="5">
                  <c:v>39389.75</c:v>
                </c:pt>
                <c:pt idx="6">
                  <c:v>6096.6</c:v>
                </c:pt>
                <c:pt idx="7">
                  <c:v>60723.857142857145</c:v>
                </c:pt>
                <c:pt idx="8">
                  <c:v>28606.714285714286</c:v>
                </c:pt>
                <c:pt idx="9">
                  <c:v>12745.714285714286</c:v>
                </c:pt>
                <c:pt idx="10">
                  <c:v>16541.285714285714</c:v>
                </c:pt>
                <c:pt idx="11">
                  <c:v>70046</c:v>
                </c:pt>
                <c:pt idx="12">
                  <c:v>61850.142857142855</c:v>
                </c:pt>
                <c:pt idx="13">
                  <c:v>37063.285714285717</c:v>
                </c:pt>
                <c:pt idx="14">
                  <c:v>55909.142857142855</c:v>
                </c:pt>
                <c:pt idx="15">
                  <c:v>117661.28571428571</c:v>
                </c:pt>
                <c:pt idx="16">
                  <c:v>4160.7142857142853</c:v>
                </c:pt>
                <c:pt idx="17">
                  <c:v>4456.8571428571431</c:v>
                </c:pt>
                <c:pt idx="18">
                  <c:v>4170.666666666667</c:v>
                </c:pt>
                <c:pt idx="19">
                  <c:v>3789</c:v>
                </c:pt>
                <c:pt idx="20">
                  <c:v>34758.714285714283</c:v>
                </c:pt>
                <c:pt idx="21">
                  <c:v>8287</c:v>
                </c:pt>
                <c:pt idx="22">
                  <c:v>21148.571428571428</c:v>
                </c:pt>
                <c:pt idx="23">
                  <c:v>60120.571428571428</c:v>
                </c:pt>
                <c:pt idx="24">
                  <c:v>2432.5714285714284</c:v>
                </c:pt>
                <c:pt idx="25">
                  <c:v>78232.428571428565</c:v>
                </c:pt>
                <c:pt idx="26">
                  <c:v>0</c:v>
                </c:pt>
                <c:pt idx="27">
                  <c:v>6041.8571428571431</c:v>
                </c:pt>
                <c:pt idx="28">
                  <c:v>112924</c:v>
                </c:pt>
                <c:pt idx="29">
                  <c:v>29500</c:v>
                </c:pt>
                <c:pt idx="30">
                  <c:v>66588.571428571435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Social_Sector_Expenditure!$Z$27</c:f>
              <c:strCache>
                <c:ptCount val="1"/>
                <c:pt idx="0">
                  <c:v>Tax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glow rad="1016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Social_Sector_Expenditure!$AA$25:$BE$25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Manipur</c:v>
                </c:pt>
                <c:pt idx="17">
                  <c:v>Meghalaya</c:v>
                </c:pt>
                <c:pt idx="18">
                  <c:v>Mizoram</c:v>
                </c:pt>
                <c:pt idx="19">
                  <c:v>Nagaland</c:v>
                </c:pt>
                <c:pt idx="20">
                  <c:v>Odisha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Sikkim</c:v>
                </c:pt>
                <c:pt idx="25">
                  <c:v>Tamil Nadu</c:v>
                </c:pt>
                <c:pt idx="26">
                  <c:v>Telangana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Social_Sector_Expenditure!$AA$27:$BE$27</c:f>
              <c:numCache>
                <c:formatCode>General</c:formatCode>
                <c:ptCount val="31"/>
                <c:pt idx="0">
                  <c:v>82196.428571428565</c:v>
                </c:pt>
                <c:pt idx="1">
                  <c:v>614</c:v>
                </c:pt>
                <c:pt idx="2">
                  <c:v>13220</c:v>
                </c:pt>
                <c:pt idx="3">
                  <c:v>26169.285714285714</c:v>
                </c:pt>
                <c:pt idx="4">
                  <c:v>41543.333333333336</c:v>
                </c:pt>
                <c:pt idx="5">
                  <c:v>61587.5</c:v>
                </c:pt>
                <c:pt idx="6">
                  <c:v>6512</c:v>
                </c:pt>
                <c:pt idx="7">
                  <c:v>77508.571428571435</c:v>
                </c:pt>
                <c:pt idx="8">
                  <c:v>37141.571428571428</c:v>
                </c:pt>
                <c:pt idx="9">
                  <c:v>6936.8571428571431</c:v>
                </c:pt>
                <c:pt idx="10">
                  <c:v>7923.7142857142853</c:v>
                </c:pt>
                <c:pt idx="11">
                  <c:v>39370</c:v>
                </c:pt>
                <c:pt idx="12">
                  <c:v>84247.571428571435</c:v>
                </c:pt>
                <c:pt idx="13">
                  <c:v>48152.428571428572</c:v>
                </c:pt>
                <c:pt idx="14">
                  <c:v>47453.142857142855</c:v>
                </c:pt>
                <c:pt idx="15">
                  <c:v>157616.14285714287</c:v>
                </c:pt>
                <c:pt idx="16">
                  <c:v>580.71428571428567</c:v>
                </c:pt>
                <c:pt idx="17">
                  <c:v>1227.4285714285713</c:v>
                </c:pt>
                <c:pt idx="18">
                  <c:v>396</c:v>
                </c:pt>
                <c:pt idx="19">
                  <c:v>481.71428571428572</c:v>
                </c:pt>
                <c:pt idx="20">
                  <c:v>22977.714285714286</c:v>
                </c:pt>
                <c:pt idx="21">
                  <c:v>7290</c:v>
                </c:pt>
                <c:pt idx="22">
                  <c:v>35985.857142857145</c:v>
                </c:pt>
                <c:pt idx="23">
                  <c:v>46933</c:v>
                </c:pt>
                <c:pt idx="24">
                  <c:v>607.71428571428567</c:v>
                </c:pt>
                <c:pt idx="25">
                  <c:v>105785.14285714286</c:v>
                </c:pt>
                <c:pt idx="26">
                  <c:v>0</c:v>
                </c:pt>
                <c:pt idx="27">
                  <c:v>1379.4285714285713</c:v>
                </c:pt>
                <c:pt idx="28">
                  <c:v>92680.428571428565</c:v>
                </c:pt>
                <c:pt idx="29">
                  <c:v>19993.333333333332</c:v>
                </c:pt>
                <c:pt idx="30">
                  <c:v>50505.571428571428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4848320"/>
        <c:axId val="-1834842880"/>
      </c:lineChart>
      <c:catAx>
        <c:axId val="-183484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layout>
            <c:manualLayout>
              <c:xMode val="edge"/>
              <c:yMode val="edge"/>
              <c:x val="0.48893919889153165"/>
              <c:y val="0.90076450478762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42880"/>
        <c:crosses val="autoZero"/>
        <c:auto val="1"/>
        <c:lblAlgn val="ctr"/>
        <c:lblOffset val="100"/>
        <c:noMultiLvlLbl val="0"/>
      </c:catAx>
      <c:valAx>
        <c:axId val="-183484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03717757034648"/>
          <c:y val="8.9185565275355705E-2"/>
          <c:w val="0.13020702171853979"/>
          <c:h val="0.15647292330078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exp VS Revenue Deficit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Revenue_Expenditure!$D$38</c:f>
              <c:strCache>
                <c:ptCount val="1"/>
                <c:pt idx="0">
                  <c:v>Revenue DeficitS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Revenue_Expenditure!$C$39:$C$69</c:f>
              <c:strCache>
                <c:ptCount val="31"/>
                <c:pt idx="0">
                  <c:v>Manipur</c:v>
                </c:pt>
                <c:pt idx="1">
                  <c:v>Meghalaya</c:v>
                </c:pt>
                <c:pt idx="2">
                  <c:v>Mizoram</c:v>
                </c:pt>
                <c:pt idx="3">
                  <c:v>Nagaland</c:v>
                </c:pt>
                <c:pt idx="4">
                  <c:v>Odisha</c:v>
                </c:pt>
                <c:pt idx="5">
                  <c:v>Punjab</c:v>
                </c:pt>
                <c:pt idx="6">
                  <c:v>Rajasthan</c:v>
                </c:pt>
                <c:pt idx="7">
                  <c:v>Sikkim</c:v>
                </c:pt>
                <c:pt idx="8">
                  <c:v>Tamil Nadu</c:v>
                </c:pt>
                <c:pt idx="9">
                  <c:v>Telangana</c:v>
                </c:pt>
                <c:pt idx="10">
                  <c:v>Tripura</c:v>
                </c:pt>
                <c:pt idx="11">
                  <c:v>Uttar Pradesh</c:v>
                </c:pt>
                <c:pt idx="12">
                  <c:v>Uttarakhand</c:v>
                </c:pt>
                <c:pt idx="13">
                  <c:v>West Bengal</c:v>
                </c:pt>
                <c:pt idx="14">
                  <c:v>Delhi</c:v>
                </c:pt>
                <c:pt idx="15">
                  <c:v>Puducherry</c:v>
                </c:pt>
                <c:pt idx="16">
                  <c:v>Andhra Pradesh</c:v>
                </c:pt>
                <c:pt idx="17">
                  <c:v>Arunachal Pradesh</c:v>
                </c:pt>
                <c:pt idx="18">
                  <c:v>Assam</c:v>
                </c:pt>
                <c:pt idx="19">
                  <c:v>Bihar</c:v>
                </c:pt>
                <c:pt idx="20">
                  <c:v>Chhattisgarh</c:v>
                </c:pt>
                <c:pt idx="21">
                  <c:v>Goa</c:v>
                </c:pt>
                <c:pt idx="22">
                  <c:v>Gujarat</c:v>
                </c:pt>
                <c:pt idx="23">
                  <c:v>Haryana</c:v>
                </c:pt>
                <c:pt idx="24">
                  <c:v>Himachal Pradesh</c:v>
                </c:pt>
                <c:pt idx="25">
                  <c:v>Jammu &amp; Kashmir</c:v>
                </c:pt>
                <c:pt idx="26">
                  <c:v>Jharkhand</c:v>
                </c:pt>
                <c:pt idx="27">
                  <c:v>Karnataka</c:v>
                </c:pt>
                <c:pt idx="28">
                  <c:v>Kerala</c:v>
                </c:pt>
                <c:pt idx="29">
                  <c:v>Madhya Pradesh</c:v>
                </c:pt>
                <c:pt idx="30">
                  <c:v>Maharashtra</c:v>
                </c:pt>
              </c:strCache>
            </c:strRef>
          </c:cat>
          <c:val>
            <c:numRef>
              <c:f>Revenue_Expenditure!$D$39:$D$69</c:f>
              <c:numCache>
                <c:formatCode>General</c:formatCode>
                <c:ptCount val="31"/>
                <c:pt idx="0">
                  <c:v>-10220.1</c:v>
                </c:pt>
                <c:pt idx="1">
                  <c:v>-8439.2999999999993</c:v>
                </c:pt>
                <c:pt idx="2">
                  <c:v>40208.5</c:v>
                </c:pt>
                <c:pt idx="3">
                  <c:v>11886.7</c:v>
                </c:pt>
                <c:pt idx="4">
                  <c:v>-33465.300000000003</c:v>
                </c:pt>
                <c:pt idx="5">
                  <c:v>-12993</c:v>
                </c:pt>
                <c:pt idx="6">
                  <c:v>-13921.1</c:v>
                </c:pt>
                <c:pt idx="7">
                  <c:v>96485.7</c:v>
                </c:pt>
                <c:pt idx="8">
                  <c:v>-43640.6</c:v>
                </c:pt>
                <c:pt idx="9">
                  <c:v>70164.600000000006</c:v>
                </c:pt>
                <c:pt idx="10">
                  <c:v>34199</c:v>
                </c:pt>
                <c:pt idx="11">
                  <c:v>-28124.699999999997</c:v>
                </c:pt>
                <c:pt idx="12">
                  <c:v>-23961.7</c:v>
                </c:pt>
                <c:pt idx="13">
                  <c:v>-6.7000000000000455</c:v>
                </c:pt>
                <c:pt idx="14">
                  <c:v>15674.599999999999</c:v>
                </c:pt>
                <c:pt idx="15">
                  <c:v>-11563</c:v>
                </c:pt>
                <c:pt idx="16">
                  <c:v>-5207.5</c:v>
                </c:pt>
                <c:pt idx="17">
                  <c:v>-1736.3</c:v>
                </c:pt>
                <c:pt idx="18">
                  <c:v>-6327.3</c:v>
                </c:pt>
                <c:pt idx="19">
                  <c:v>-21487.300000000003</c:v>
                </c:pt>
                <c:pt idx="20">
                  <c:v>83609.7</c:v>
                </c:pt>
                <c:pt idx="21">
                  <c:v>26667.8</c:v>
                </c:pt>
                <c:pt idx="22">
                  <c:v>-6909.3</c:v>
                </c:pt>
                <c:pt idx="23">
                  <c:v>31860.5</c:v>
                </c:pt>
                <c:pt idx="24">
                  <c:v>0</c:v>
                </c:pt>
                <c:pt idx="25">
                  <c:v>-17596.5</c:v>
                </c:pt>
                <c:pt idx="26">
                  <c:v>-31976.399999999994</c:v>
                </c:pt>
                <c:pt idx="27">
                  <c:v>-4072</c:v>
                </c:pt>
                <c:pt idx="28">
                  <c:v>202992</c:v>
                </c:pt>
                <c:pt idx="29">
                  <c:v>-78822.7</c:v>
                </c:pt>
                <c:pt idx="30">
                  <c:v>1241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Revenue_Expenditure!$E$38</c:f>
              <c:strCache>
                <c:ptCount val="1"/>
                <c:pt idx="0">
                  <c:v>Revenue exp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Revenue_Expenditure!$C$39:$C$69</c:f>
              <c:strCache>
                <c:ptCount val="31"/>
                <c:pt idx="0">
                  <c:v>Manipur</c:v>
                </c:pt>
                <c:pt idx="1">
                  <c:v>Meghalaya</c:v>
                </c:pt>
                <c:pt idx="2">
                  <c:v>Mizoram</c:v>
                </c:pt>
                <c:pt idx="3">
                  <c:v>Nagaland</c:v>
                </c:pt>
                <c:pt idx="4">
                  <c:v>Odisha</c:v>
                </c:pt>
                <c:pt idx="5">
                  <c:v>Punjab</c:v>
                </c:pt>
                <c:pt idx="6">
                  <c:v>Rajasthan</c:v>
                </c:pt>
                <c:pt idx="7">
                  <c:v>Sikkim</c:v>
                </c:pt>
                <c:pt idx="8">
                  <c:v>Tamil Nadu</c:v>
                </c:pt>
                <c:pt idx="9">
                  <c:v>Telangana</c:v>
                </c:pt>
                <c:pt idx="10">
                  <c:v>Tripura</c:v>
                </c:pt>
                <c:pt idx="11">
                  <c:v>Uttar Pradesh</c:v>
                </c:pt>
                <c:pt idx="12">
                  <c:v>Uttarakhand</c:v>
                </c:pt>
                <c:pt idx="13">
                  <c:v>West Bengal</c:v>
                </c:pt>
                <c:pt idx="14">
                  <c:v>Delhi</c:v>
                </c:pt>
                <c:pt idx="15">
                  <c:v>Puducherry</c:v>
                </c:pt>
                <c:pt idx="16">
                  <c:v>Andhra Pradesh</c:v>
                </c:pt>
                <c:pt idx="17">
                  <c:v>Arunachal Pradesh</c:v>
                </c:pt>
                <c:pt idx="18">
                  <c:v>Assam</c:v>
                </c:pt>
                <c:pt idx="19">
                  <c:v>Bihar</c:v>
                </c:pt>
                <c:pt idx="20">
                  <c:v>Chhattisgarh</c:v>
                </c:pt>
                <c:pt idx="21">
                  <c:v>Goa</c:v>
                </c:pt>
                <c:pt idx="22">
                  <c:v>Gujarat</c:v>
                </c:pt>
                <c:pt idx="23">
                  <c:v>Haryana</c:v>
                </c:pt>
                <c:pt idx="24">
                  <c:v>Himachal Pradesh</c:v>
                </c:pt>
                <c:pt idx="25">
                  <c:v>Jammu &amp; Kashmir</c:v>
                </c:pt>
                <c:pt idx="26">
                  <c:v>Jharkhand</c:v>
                </c:pt>
                <c:pt idx="27">
                  <c:v>Karnataka</c:v>
                </c:pt>
                <c:pt idx="28">
                  <c:v>Kerala</c:v>
                </c:pt>
                <c:pt idx="29">
                  <c:v>Madhya Pradesh</c:v>
                </c:pt>
                <c:pt idx="30">
                  <c:v>Maharashtra</c:v>
                </c:pt>
              </c:strCache>
            </c:strRef>
          </c:cat>
          <c:val>
            <c:numRef>
              <c:f>Revenue_Expenditure!$E$39:$E$69</c:f>
              <c:numCache>
                <c:formatCode>General</c:formatCode>
                <c:ptCount val="31"/>
                <c:pt idx="0">
                  <c:v>64354.46</c:v>
                </c:pt>
                <c:pt idx="1">
                  <c:v>62031.060000000005</c:v>
                </c:pt>
                <c:pt idx="2">
                  <c:v>52465.279999999999</c:v>
                </c:pt>
                <c:pt idx="3">
                  <c:v>67518.350000000006</c:v>
                </c:pt>
                <c:pt idx="4">
                  <c:v>479714.19</c:v>
                </c:pt>
                <c:pt idx="5">
                  <c:v>503289.98</c:v>
                </c:pt>
                <c:pt idx="6">
                  <c:v>777956.63</c:v>
                </c:pt>
                <c:pt idx="7">
                  <c:v>48146.59</c:v>
                </c:pt>
                <c:pt idx="8">
                  <c:v>1141219.79</c:v>
                </c:pt>
                <c:pt idx="9">
                  <c:v>173409.97</c:v>
                </c:pt>
                <c:pt idx="10">
                  <c:v>72949.119999999995</c:v>
                </c:pt>
                <c:pt idx="11">
                  <c:v>1675410.19</c:v>
                </c:pt>
                <c:pt idx="12">
                  <c:v>160081.69</c:v>
                </c:pt>
                <c:pt idx="13">
                  <c:v>986044.1100000001</c:v>
                </c:pt>
                <c:pt idx="14">
                  <c:v>218363.77</c:v>
                </c:pt>
                <c:pt idx="15">
                  <c:v>36525.83</c:v>
                </c:pt>
                <c:pt idx="16">
                  <c:v>1106587.05</c:v>
                </c:pt>
                <c:pt idx="17">
                  <c:v>59838.39</c:v>
                </c:pt>
                <c:pt idx="18">
                  <c:v>367274.63</c:v>
                </c:pt>
                <c:pt idx="19">
                  <c:v>691710.51</c:v>
                </c:pt>
                <c:pt idx="20">
                  <c:v>286127.58</c:v>
                </c:pt>
                <c:pt idx="21">
                  <c:v>72536.36</c:v>
                </c:pt>
                <c:pt idx="22">
                  <c:v>860032.8</c:v>
                </c:pt>
                <c:pt idx="23">
                  <c:v>454166.70999999996</c:v>
                </c:pt>
                <c:pt idx="24">
                  <c:v>197297.65</c:v>
                </c:pt>
                <c:pt idx="25">
                  <c:v>286599.74</c:v>
                </c:pt>
                <c:pt idx="26">
                  <c:v>238272.37</c:v>
                </c:pt>
                <c:pt idx="27">
                  <c:v>902330.26</c:v>
                </c:pt>
                <c:pt idx="28">
                  <c:v>622535.34</c:v>
                </c:pt>
                <c:pt idx="29">
                  <c:v>768497.89</c:v>
                </c:pt>
                <c:pt idx="30">
                  <c:v>1696902.05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4834720"/>
        <c:axId val="-1834841792"/>
      </c:lineChart>
      <c:catAx>
        <c:axId val="-183483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41792"/>
        <c:crosses val="autoZero"/>
        <c:auto val="1"/>
        <c:lblAlgn val="ctr"/>
        <c:lblOffset val="100"/>
        <c:noMultiLvlLbl val="0"/>
      </c:catAx>
      <c:valAx>
        <c:axId val="-18348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Nominal_GSDP_Series!$C$38</c:f>
              <c:strCache>
                <c:ptCount val="1"/>
                <c:pt idx="0">
                  <c:v>GDP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101600">
                <a:schemeClr val="accent3">
                  <a:satMod val="175000"/>
                  <a:alpha val="40000"/>
                </a:schemeClr>
              </a:glow>
              <a:innerShdw blurRad="63500" dist="50800" dir="108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Nominal_GSDP_Series!$B$39:$B$45</c:f>
              <c:strCache>
                <c:ptCount val="7"/>
                <c:pt idx="0">
                  <c:v>1980-85</c:v>
                </c:pt>
                <c:pt idx="1">
                  <c:v>1985-90</c:v>
                </c:pt>
                <c:pt idx="2">
                  <c:v>1990-95</c:v>
                </c:pt>
                <c:pt idx="3">
                  <c:v>1995-20</c:v>
                </c:pt>
                <c:pt idx="4">
                  <c:v>2000-05</c:v>
                </c:pt>
                <c:pt idx="5">
                  <c:v>2005-10</c:v>
                </c:pt>
                <c:pt idx="6">
                  <c:v>2010-16</c:v>
                </c:pt>
              </c:strCache>
            </c:strRef>
          </c:cat>
          <c:val>
            <c:numRef>
              <c:f>Nominal_GSDP_Series!$C$39:$C$45</c:f>
              <c:numCache>
                <c:formatCode>General</c:formatCode>
                <c:ptCount val="7"/>
                <c:pt idx="0">
                  <c:v>752955</c:v>
                </c:pt>
                <c:pt idx="1">
                  <c:v>1403163</c:v>
                </c:pt>
                <c:pt idx="2">
                  <c:v>2919219</c:v>
                </c:pt>
                <c:pt idx="3">
                  <c:v>6597471</c:v>
                </c:pt>
                <c:pt idx="4">
                  <c:v>10839797</c:v>
                </c:pt>
                <c:pt idx="5">
                  <c:v>22046962</c:v>
                </c:pt>
                <c:pt idx="6">
                  <c:v>31258552.388699997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834848864"/>
        <c:axId val="-1834840704"/>
      </c:barChart>
      <c:catAx>
        <c:axId val="-183484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40704"/>
        <c:crosses val="autoZero"/>
        <c:auto val="1"/>
        <c:lblAlgn val="ctr"/>
        <c:lblOffset val="100"/>
        <c:noMultiLvlLbl val="0"/>
      </c:catAx>
      <c:valAx>
        <c:axId val="-18348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[DASHBOARD.xlsx]Aggregate_expenditure!PivotTable2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Aggregate</a:t>
            </a:r>
            <a:r>
              <a:rPr lang="en-US" baseline="0"/>
              <a:t> Expenditure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Aggregate_expenditure!$P$3:$P$4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Aggregate_expenditure!$O$5:$O$11</c:f>
              <c:strCache>
                <c:ptCount val="7"/>
                <c:pt idx="0">
                  <c:v> 1981-85</c:v>
                </c:pt>
                <c:pt idx="1">
                  <c:v> 1985-90</c:v>
                </c:pt>
                <c:pt idx="2">
                  <c:v> 1990-95</c:v>
                </c:pt>
                <c:pt idx="3">
                  <c:v> 1995-20</c:v>
                </c:pt>
                <c:pt idx="4">
                  <c:v> 2000-05</c:v>
                </c:pt>
                <c:pt idx="5">
                  <c:v> 2005-10</c:v>
                </c:pt>
                <c:pt idx="6">
                  <c:v> 2010-16</c:v>
                </c:pt>
              </c:strCache>
            </c:strRef>
          </c:cat>
          <c:val>
            <c:numRef>
              <c:f>Aggregate_expenditure!$P$5:$P$11</c:f>
              <c:numCache>
                <c:formatCode>General</c:formatCode>
                <c:ptCount val="7"/>
                <c:pt idx="0">
                  <c:v>11081</c:v>
                </c:pt>
                <c:pt idx="1">
                  <c:v>22766</c:v>
                </c:pt>
                <c:pt idx="2">
                  <c:v>46323</c:v>
                </c:pt>
                <c:pt idx="3">
                  <c:v>93036</c:v>
                </c:pt>
                <c:pt idx="4">
                  <c:v>180839</c:v>
                </c:pt>
                <c:pt idx="5">
                  <c:v>345708</c:v>
                </c:pt>
                <c:pt idx="6">
                  <c:v>705704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Aggregate_expenditure!$Q$3:$Q$4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Aggregate_expenditure!$O$5:$O$11</c:f>
              <c:strCache>
                <c:ptCount val="7"/>
                <c:pt idx="0">
                  <c:v> 1981-85</c:v>
                </c:pt>
                <c:pt idx="1">
                  <c:v> 1985-90</c:v>
                </c:pt>
                <c:pt idx="2">
                  <c:v> 1990-95</c:v>
                </c:pt>
                <c:pt idx="3">
                  <c:v> 1995-20</c:v>
                </c:pt>
                <c:pt idx="4">
                  <c:v> 2000-05</c:v>
                </c:pt>
                <c:pt idx="5">
                  <c:v> 2005-10</c:v>
                </c:pt>
                <c:pt idx="6">
                  <c:v> 2010-16</c:v>
                </c:pt>
              </c:strCache>
            </c:strRef>
          </c:cat>
          <c:val>
            <c:numRef>
              <c:f>Aggregate_expenditure!$Q$5:$Q$11</c:f>
              <c:numCache>
                <c:formatCode>General</c:formatCode>
                <c:ptCount val="7"/>
                <c:pt idx="2">
                  <c:v>2610</c:v>
                </c:pt>
                <c:pt idx="3">
                  <c:v>4768</c:v>
                </c:pt>
                <c:pt idx="4">
                  <c:v>8227</c:v>
                </c:pt>
                <c:pt idx="5">
                  <c:v>17801</c:v>
                </c:pt>
                <c:pt idx="6">
                  <c:v>50576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Aggregate_expenditure!$R$3:$R$4</c:f>
              <c:strCache>
                <c:ptCount val="1"/>
                <c:pt idx="0">
                  <c:v>Bihar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Aggregate_expenditure!$O$5:$O$11</c:f>
              <c:strCache>
                <c:ptCount val="7"/>
                <c:pt idx="0">
                  <c:v> 1981-85</c:v>
                </c:pt>
                <c:pt idx="1">
                  <c:v> 1985-90</c:v>
                </c:pt>
                <c:pt idx="2">
                  <c:v> 1990-95</c:v>
                </c:pt>
                <c:pt idx="3">
                  <c:v> 1995-20</c:v>
                </c:pt>
                <c:pt idx="4">
                  <c:v> 2000-05</c:v>
                </c:pt>
                <c:pt idx="5">
                  <c:v> 2005-10</c:v>
                </c:pt>
                <c:pt idx="6">
                  <c:v> 2010-16</c:v>
                </c:pt>
              </c:strCache>
            </c:strRef>
          </c:cat>
          <c:val>
            <c:numRef>
              <c:f>Aggregate_expenditure!$R$5:$R$11</c:f>
              <c:numCache>
                <c:formatCode>General</c:formatCode>
                <c:ptCount val="7"/>
                <c:pt idx="0">
                  <c:v>10154</c:v>
                </c:pt>
                <c:pt idx="1">
                  <c:v>19783</c:v>
                </c:pt>
                <c:pt idx="2">
                  <c:v>37753</c:v>
                </c:pt>
                <c:pt idx="3">
                  <c:v>60759</c:v>
                </c:pt>
                <c:pt idx="4">
                  <c:v>88756</c:v>
                </c:pt>
                <c:pt idx="5">
                  <c:v>161254</c:v>
                </c:pt>
                <c:pt idx="6">
                  <c:v>513369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Aggregate_expenditure!$S$3:$S$4</c:f>
              <c:strCache>
                <c:ptCount val="1"/>
                <c:pt idx="0">
                  <c:v>Sikkim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Aggregate_expenditure!$O$5:$O$11</c:f>
              <c:strCache>
                <c:ptCount val="7"/>
                <c:pt idx="0">
                  <c:v> 1981-85</c:v>
                </c:pt>
                <c:pt idx="1">
                  <c:v> 1985-90</c:v>
                </c:pt>
                <c:pt idx="2">
                  <c:v> 1990-95</c:v>
                </c:pt>
                <c:pt idx="3">
                  <c:v> 1995-20</c:v>
                </c:pt>
                <c:pt idx="4">
                  <c:v> 2000-05</c:v>
                </c:pt>
                <c:pt idx="5">
                  <c:v> 2005-10</c:v>
                </c:pt>
                <c:pt idx="6">
                  <c:v> 2010-16</c:v>
                </c:pt>
              </c:strCache>
            </c:strRef>
          </c:cat>
          <c:val>
            <c:numRef>
              <c:f>Aggregate_expenditure!$S$5:$S$11</c:f>
              <c:numCache>
                <c:formatCode>General</c:formatCode>
                <c:ptCount val="7"/>
                <c:pt idx="0">
                  <c:v>278</c:v>
                </c:pt>
                <c:pt idx="1">
                  <c:v>689</c:v>
                </c:pt>
                <c:pt idx="2">
                  <c:v>1525</c:v>
                </c:pt>
                <c:pt idx="3">
                  <c:v>6869</c:v>
                </c:pt>
                <c:pt idx="4">
                  <c:v>8626</c:v>
                </c:pt>
                <c:pt idx="5">
                  <c:v>13711</c:v>
                </c:pt>
                <c:pt idx="6">
                  <c:v>28024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4836896"/>
        <c:axId val="-1834845600"/>
      </c:lineChart>
      <c:catAx>
        <c:axId val="-183483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45600"/>
        <c:crosses val="autoZero"/>
        <c:auto val="1"/>
        <c:lblAlgn val="ctr"/>
        <c:lblOffset val="100"/>
        <c:noMultiLvlLbl val="0"/>
      </c:catAx>
      <c:valAx>
        <c:axId val="-183484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States with highest gross fiscal deficit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Gross_Financial_Deficits!$B$1</c:f>
              <c:strCache>
                <c:ptCount val="1"/>
                <c:pt idx="0">
                  <c:v>1980-1985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Gross_Financial_Deficits!$B$2:$B$10</c:f>
              <c:numCache>
                <c:formatCode>General</c:formatCode>
                <c:ptCount val="9"/>
                <c:pt idx="0">
                  <c:v>3293.5</c:v>
                </c:pt>
                <c:pt idx="1">
                  <c:v>4161</c:v>
                </c:pt>
                <c:pt idx="2">
                  <c:v>1920.7</c:v>
                </c:pt>
                <c:pt idx="3">
                  <c:v>1722.6</c:v>
                </c:pt>
                <c:pt idx="4">
                  <c:v>1510.3</c:v>
                </c:pt>
                <c:pt idx="5">
                  <c:v>1794.8</c:v>
                </c:pt>
                <c:pt idx="6">
                  <c:v>1474.8</c:v>
                </c:pt>
                <c:pt idx="7">
                  <c:v>1468.3</c:v>
                </c:pt>
                <c:pt idx="8">
                  <c:v>896</c:v>
                </c:pt>
              </c:numCache>
            </c:numRef>
          </c:val>
        </c:ser>
        <c:ser>
          <c:idx val="1"/>
          <c:order val="1"/>
          <c:tx>
            <c:strRef>
              <c:f>Gross_Financial_Deficits!$C$1</c:f>
              <c:strCache>
                <c:ptCount val="1"/>
                <c:pt idx="0">
                  <c:v>1985-1990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Gross_Financial_Deficits!$C$2:$C$10</c:f>
              <c:numCache>
                <c:formatCode>General</c:formatCode>
                <c:ptCount val="9"/>
                <c:pt idx="0">
                  <c:v>6434</c:v>
                </c:pt>
                <c:pt idx="1">
                  <c:v>7766</c:v>
                </c:pt>
                <c:pt idx="2">
                  <c:v>3031</c:v>
                </c:pt>
                <c:pt idx="3">
                  <c:v>3452</c:v>
                </c:pt>
                <c:pt idx="4">
                  <c:v>3052</c:v>
                </c:pt>
                <c:pt idx="5">
                  <c:v>4077</c:v>
                </c:pt>
                <c:pt idx="6">
                  <c:v>2704</c:v>
                </c:pt>
                <c:pt idx="7">
                  <c:v>3030</c:v>
                </c:pt>
                <c:pt idx="8">
                  <c:v>2227</c:v>
                </c:pt>
              </c:numCache>
            </c:numRef>
          </c:val>
        </c:ser>
        <c:ser>
          <c:idx val="2"/>
          <c:order val="2"/>
          <c:tx>
            <c:strRef>
              <c:f>Gross_Financial_Deficits!$D$1</c:f>
              <c:strCache>
                <c:ptCount val="1"/>
                <c:pt idx="0">
                  <c:v>1990-1995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Gross_Financial_Deficits!$D$2:$D$10</c:f>
              <c:numCache>
                <c:formatCode>General</c:formatCode>
                <c:ptCount val="9"/>
                <c:pt idx="0">
                  <c:v>10980.1</c:v>
                </c:pt>
                <c:pt idx="1">
                  <c:v>17547.400000000001</c:v>
                </c:pt>
                <c:pt idx="2">
                  <c:v>7427.1</c:v>
                </c:pt>
                <c:pt idx="3">
                  <c:v>7843.4</c:v>
                </c:pt>
                <c:pt idx="4">
                  <c:v>7029.3</c:v>
                </c:pt>
                <c:pt idx="5">
                  <c:v>6666.3</c:v>
                </c:pt>
                <c:pt idx="6">
                  <c:v>5629.2</c:v>
                </c:pt>
                <c:pt idx="7">
                  <c:v>5728.6</c:v>
                </c:pt>
                <c:pt idx="8">
                  <c:v>4377.8</c:v>
                </c:pt>
              </c:numCache>
            </c:numRef>
          </c:val>
        </c:ser>
        <c:ser>
          <c:idx val="3"/>
          <c:order val="3"/>
          <c:tx>
            <c:strRef>
              <c:f>Gross_Financial_Deficits!$E$1</c:f>
              <c:strCache>
                <c:ptCount val="1"/>
                <c:pt idx="0">
                  <c:v>1995-2000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Gross_Financial_Deficits!$E$2:$E$10</c:f>
              <c:numCache>
                <c:formatCode>General</c:formatCode>
                <c:ptCount val="9"/>
                <c:pt idx="0">
                  <c:v>34715.300000000003</c:v>
                </c:pt>
                <c:pt idx="1">
                  <c:v>40644</c:v>
                </c:pt>
                <c:pt idx="2">
                  <c:v>28876.400000000001</c:v>
                </c:pt>
                <c:pt idx="3">
                  <c:v>18338.099999999999</c:v>
                </c:pt>
                <c:pt idx="4">
                  <c:v>15982</c:v>
                </c:pt>
                <c:pt idx="5">
                  <c:v>19689.400000000001</c:v>
                </c:pt>
                <c:pt idx="6">
                  <c:v>12399.2</c:v>
                </c:pt>
                <c:pt idx="7">
                  <c:v>18144.900000000001</c:v>
                </c:pt>
                <c:pt idx="8">
                  <c:v>12807.9</c:v>
                </c:pt>
              </c:numCache>
            </c:numRef>
          </c:val>
        </c:ser>
        <c:ser>
          <c:idx val="4"/>
          <c:order val="4"/>
          <c:tx>
            <c:strRef>
              <c:f>Gross_Financial_Deficits!$F$1</c:f>
              <c:strCache>
                <c:ptCount val="1"/>
                <c:pt idx="0">
                  <c:v>2000-2005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Gross_Financial_Deficits!$F$2:$F$10</c:f>
              <c:numCache>
                <c:formatCode>General</c:formatCode>
                <c:ptCount val="9"/>
                <c:pt idx="0">
                  <c:v>70713.5</c:v>
                </c:pt>
                <c:pt idx="1">
                  <c:v>59227.6</c:v>
                </c:pt>
                <c:pt idx="2">
                  <c:v>56814.3</c:v>
                </c:pt>
                <c:pt idx="3">
                  <c:v>37299</c:v>
                </c:pt>
                <c:pt idx="4">
                  <c:v>27715.4</c:v>
                </c:pt>
                <c:pt idx="5">
                  <c:v>38438.400000000001</c:v>
                </c:pt>
                <c:pt idx="6">
                  <c:v>23469.1</c:v>
                </c:pt>
                <c:pt idx="7">
                  <c:v>29691.599999999999</c:v>
                </c:pt>
                <c:pt idx="8">
                  <c:v>22127.200000000001</c:v>
                </c:pt>
              </c:numCache>
            </c:numRef>
          </c:val>
        </c:ser>
        <c:ser>
          <c:idx val="5"/>
          <c:order val="5"/>
          <c:tx>
            <c:strRef>
              <c:f>Gross_Financial_Deficits!$G$1</c:f>
              <c:strCache>
                <c:ptCount val="1"/>
                <c:pt idx="0">
                  <c:v>2005-2010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Gross_Financial_Deficits!$G$2:$G$10</c:f>
              <c:numCache>
                <c:formatCode>General</c:formatCode>
                <c:ptCount val="9"/>
                <c:pt idx="0">
                  <c:v>66520</c:v>
                </c:pt>
                <c:pt idx="1">
                  <c:v>72690</c:v>
                </c:pt>
                <c:pt idx="2">
                  <c:v>70940</c:v>
                </c:pt>
                <c:pt idx="3">
                  <c:v>49150</c:v>
                </c:pt>
                <c:pt idx="4">
                  <c:v>30260</c:v>
                </c:pt>
                <c:pt idx="5">
                  <c:v>42280</c:v>
                </c:pt>
                <c:pt idx="6">
                  <c:v>33310</c:v>
                </c:pt>
                <c:pt idx="7">
                  <c:v>29800</c:v>
                </c:pt>
                <c:pt idx="8">
                  <c:v>28320</c:v>
                </c:pt>
              </c:numCache>
            </c:numRef>
          </c:val>
        </c:ser>
        <c:ser>
          <c:idx val="6"/>
          <c:order val="6"/>
          <c:tx>
            <c:strRef>
              <c:f>Gross_Financial_Deficits!$H$1</c:f>
              <c:strCache>
                <c:ptCount val="1"/>
                <c:pt idx="0">
                  <c:v>2010-2016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Gross_Financial_Deficits!$H$2:$H$10</c:f>
              <c:numCache>
                <c:formatCode>General</c:formatCode>
                <c:ptCount val="9"/>
                <c:pt idx="0">
                  <c:v>146570</c:v>
                </c:pt>
                <c:pt idx="1">
                  <c:v>135540</c:v>
                </c:pt>
                <c:pt idx="2">
                  <c:v>121590</c:v>
                </c:pt>
                <c:pt idx="3">
                  <c:v>100650</c:v>
                </c:pt>
                <c:pt idx="4">
                  <c:v>130200</c:v>
                </c:pt>
                <c:pt idx="5">
                  <c:v>101440</c:v>
                </c:pt>
                <c:pt idx="6">
                  <c:v>93840</c:v>
                </c:pt>
                <c:pt idx="7">
                  <c:v>75250</c:v>
                </c:pt>
                <c:pt idx="8">
                  <c:v>86180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4839616"/>
        <c:axId val="-1834833632"/>
      </c:barChart>
      <c:lineChart>
        <c:grouping val="standard"/>
        <c:varyColors val="0"/>
        <c:ser>
          <c:idx val="7"/>
          <c:order val="7"/>
          <c:tx>
            <c:strRef>
              <c:f>Gross_Financial_Deficits!$I$1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Gross_Financial_Deficits!$A$2:$A$10</c:f>
              <c:strCache>
                <c:ptCount val="9"/>
                <c:pt idx="0">
                  <c:v>Maharashtra</c:v>
                </c:pt>
                <c:pt idx="1">
                  <c:v>Uttar Pradesh</c:v>
                </c:pt>
                <c:pt idx="2">
                  <c:v>West Bengal</c:v>
                </c:pt>
                <c:pt idx="3">
                  <c:v>Andhra Pradesh</c:v>
                </c:pt>
                <c:pt idx="4">
                  <c:v>Tamil 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</c:strCache>
            </c:strRef>
          </c:cat>
          <c:val>
            <c:numRef>
              <c:f>Gross_Financial_Deficits!$I$2:$I$10</c:f>
              <c:numCache>
                <c:formatCode>General</c:formatCode>
                <c:ptCount val="9"/>
                <c:pt idx="0">
                  <c:v>339226.4</c:v>
                </c:pt>
                <c:pt idx="1">
                  <c:v>337576</c:v>
                </c:pt>
                <c:pt idx="2">
                  <c:v>290599.5</c:v>
                </c:pt>
                <c:pt idx="3">
                  <c:v>218455.1</c:v>
                </c:pt>
                <c:pt idx="4">
                  <c:v>215749</c:v>
                </c:pt>
                <c:pt idx="5">
                  <c:v>214385.9</c:v>
                </c:pt>
                <c:pt idx="6">
                  <c:v>172826.3</c:v>
                </c:pt>
                <c:pt idx="7">
                  <c:v>163113.4</c:v>
                </c:pt>
                <c:pt idx="8">
                  <c:v>156935.9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4839616"/>
        <c:axId val="-1834833632"/>
      </c:lineChart>
      <c:catAx>
        <c:axId val="-18348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layout>
            <c:manualLayout>
              <c:xMode val="edge"/>
              <c:yMode val="edge"/>
              <c:x val="0.45845452939782416"/>
              <c:y val="0.90038303302413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33632"/>
        <c:crosses val="autoZero"/>
        <c:auto val="1"/>
        <c:lblAlgn val="ctr"/>
        <c:lblOffset val="100"/>
        <c:noMultiLvlLbl val="0"/>
      </c:catAx>
      <c:valAx>
        <c:axId val="-18348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48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[DASHBOARD.xlsx]Aggregate_expenditure!PivotTable2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Aggregate_expenditure!$P$3:$P$4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Aggregate_expenditure!$O$5:$O$11</c:f>
              <c:strCache>
                <c:ptCount val="7"/>
                <c:pt idx="0">
                  <c:v> 1981-85</c:v>
                </c:pt>
                <c:pt idx="1">
                  <c:v> 1985-90</c:v>
                </c:pt>
                <c:pt idx="2">
                  <c:v> 1990-95</c:v>
                </c:pt>
                <c:pt idx="3">
                  <c:v> 1995-20</c:v>
                </c:pt>
                <c:pt idx="4">
                  <c:v> 2000-05</c:v>
                </c:pt>
                <c:pt idx="5">
                  <c:v> 2005-10</c:v>
                </c:pt>
                <c:pt idx="6">
                  <c:v> 2010-16</c:v>
                </c:pt>
              </c:strCache>
            </c:strRef>
          </c:cat>
          <c:val>
            <c:numRef>
              <c:f>Aggregate_expenditure!$P$5:$P$11</c:f>
              <c:numCache>
                <c:formatCode>General</c:formatCode>
                <c:ptCount val="7"/>
                <c:pt idx="0">
                  <c:v>11081</c:v>
                </c:pt>
                <c:pt idx="1">
                  <c:v>22766</c:v>
                </c:pt>
                <c:pt idx="2">
                  <c:v>46323</c:v>
                </c:pt>
                <c:pt idx="3">
                  <c:v>93036</c:v>
                </c:pt>
                <c:pt idx="4">
                  <c:v>180839</c:v>
                </c:pt>
                <c:pt idx="5">
                  <c:v>345708</c:v>
                </c:pt>
                <c:pt idx="6">
                  <c:v>705704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Aggregate_expenditure!$Q$3:$Q$4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Aggregate_expenditure!$O$5:$O$11</c:f>
              <c:strCache>
                <c:ptCount val="7"/>
                <c:pt idx="0">
                  <c:v> 1981-85</c:v>
                </c:pt>
                <c:pt idx="1">
                  <c:v> 1985-90</c:v>
                </c:pt>
                <c:pt idx="2">
                  <c:v> 1990-95</c:v>
                </c:pt>
                <c:pt idx="3">
                  <c:v> 1995-20</c:v>
                </c:pt>
                <c:pt idx="4">
                  <c:v> 2000-05</c:v>
                </c:pt>
                <c:pt idx="5">
                  <c:v> 2005-10</c:v>
                </c:pt>
                <c:pt idx="6">
                  <c:v> 2010-16</c:v>
                </c:pt>
              </c:strCache>
            </c:strRef>
          </c:cat>
          <c:val>
            <c:numRef>
              <c:f>Aggregate_expenditure!$Q$5:$Q$11</c:f>
              <c:numCache>
                <c:formatCode>General</c:formatCode>
                <c:ptCount val="7"/>
                <c:pt idx="2">
                  <c:v>2610</c:v>
                </c:pt>
                <c:pt idx="3">
                  <c:v>4768</c:v>
                </c:pt>
                <c:pt idx="4">
                  <c:v>8227</c:v>
                </c:pt>
                <c:pt idx="5">
                  <c:v>17801</c:v>
                </c:pt>
                <c:pt idx="6">
                  <c:v>50576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Aggregate_expenditure!$R$3:$R$4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Aggregate_expenditure!$O$5:$O$11</c:f>
              <c:strCache>
                <c:ptCount val="7"/>
                <c:pt idx="0">
                  <c:v> 1981-85</c:v>
                </c:pt>
                <c:pt idx="1">
                  <c:v> 1985-90</c:v>
                </c:pt>
                <c:pt idx="2">
                  <c:v> 1990-95</c:v>
                </c:pt>
                <c:pt idx="3">
                  <c:v> 1995-20</c:v>
                </c:pt>
                <c:pt idx="4">
                  <c:v> 2000-05</c:v>
                </c:pt>
                <c:pt idx="5">
                  <c:v> 2005-10</c:v>
                </c:pt>
                <c:pt idx="6">
                  <c:v> 2010-16</c:v>
                </c:pt>
              </c:strCache>
            </c:strRef>
          </c:cat>
          <c:val>
            <c:numRef>
              <c:f>Aggregate_expenditure!$R$5:$R$11</c:f>
              <c:numCache>
                <c:formatCode>General</c:formatCode>
                <c:ptCount val="7"/>
                <c:pt idx="0">
                  <c:v>10154</c:v>
                </c:pt>
                <c:pt idx="1">
                  <c:v>19783</c:v>
                </c:pt>
                <c:pt idx="2">
                  <c:v>37753</c:v>
                </c:pt>
                <c:pt idx="3">
                  <c:v>60759</c:v>
                </c:pt>
                <c:pt idx="4">
                  <c:v>88756</c:v>
                </c:pt>
                <c:pt idx="5">
                  <c:v>161254</c:v>
                </c:pt>
                <c:pt idx="6">
                  <c:v>513369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Aggregate_expenditure!$S$3:$S$4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Aggregate_expenditure!$O$5:$O$11</c:f>
              <c:strCache>
                <c:ptCount val="7"/>
                <c:pt idx="0">
                  <c:v> 1981-85</c:v>
                </c:pt>
                <c:pt idx="1">
                  <c:v> 1985-90</c:v>
                </c:pt>
                <c:pt idx="2">
                  <c:v> 1990-95</c:v>
                </c:pt>
                <c:pt idx="3">
                  <c:v> 1995-20</c:v>
                </c:pt>
                <c:pt idx="4">
                  <c:v> 2000-05</c:v>
                </c:pt>
                <c:pt idx="5">
                  <c:v> 2005-10</c:v>
                </c:pt>
                <c:pt idx="6">
                  <c:v> 2010-16</c:v>
                </c:pt>
              </c:strCache>
            </c:strRef>
          </c:cat>
          <c:val>
            <c:numRef>
              <c:f>Aggregate_expenditure!$S$5:$S$11</c:f>
              <c:numCache>
                <c:formatCode>General</c:formatCode>
                <c:ptCount val="7"/>
                <c:pt idx="0">
                  <c:v>278</c:v>
                </c:pt>
                <c:pt idx="1">
                  <c:v>689</c:v>
                </c:pt>
                <c:pt idx="2">
                  <c:v>1525</c:v>
                </c:pt>
                <c:pt idx="3">
                  <c:v>6869</c:v>
                </c:pt>
                <c:pt idx="4">
                  <c:v>8626</c:v>
                </c:pt>
                <c:pt idx="5">
                  <c:v>13711</c:v>
                </c:pt>
                <c:pt idx="6">
                  <c:v>28024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5000864"/>
        <c:axId val="-1707085552"/>
      </c:lineChart>
      <c:catAx>
        <c:axId val="-18350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85552"/>
        <c:crosses val="autoZero"/>
        <c:auto val="1"/>
        <c:lblAlgn val="ctr"/>
        <c:lblOffset val="100"/>
        <c:noMultiLvlLbl val="0"/>
      </c:catAx>
      <c:valAx>
        <c:axId val="-17070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50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Aggregate_expenditure!$B$37:$B$43</c:f>
              <c:strCache>
                <c:ptCount val="7"/>
                <c:pt idx="0">
                  <c:v>1980-85</c:v>
                </c:pt>
                <c:pt idx="1">
                  <c:v>1985-1990</c:v>
                </c:pt>
                <c:pt idx="2">
                  <c:v>1990-1995</c:v>
                </c:pt>
                <c:pt idx="3">
                  <c:v>1995-2000</c:v>
                </c:pt>
                <c:pt idx="4">
                  <c:v>2000-2005</c:v>
                </c:pt>
                <c:pt idx="5">
                  <c:v>2005-2010</c:v>
                </c:pt>
                <c:pt idx="6">
                  <c:v>2010-2016</c:v>
                </c:pt>
              </c:strCache>
            </c:strRef>
          </c:cat>
          <c:val>
            <c:numRef>
              <c:f>Aggregate_expenditure!$C$37:$C$43</c:f>
              <c:numCache>
                <c:formatCode>General</c:formatCode>
                <c:ptCount val="7"/>
                <c:pt idx="0">
                  <c:v>149979</c:v>
                </c:pt>
                <c:pt idx="1">
                  <c:v>297945</c:v>
                </c:pt>
                <c:pt idx="2">
                  <c:v>611353</c:v>
                </c:pt>
                <c:pt idx="3">
                  <c:v>1188749</c:v>
                </c:pt>
                <c:pt idx="4">
                  <c:v>2198185</c:v>
                </c:pt>
                <c:pt idx="5">
                  <c:v>3973569</c:v>
                </c:pt>
                <c:pt idx="6">
                  <c:v>10463793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7087728"/>
        <c:axId val="-1707076304"/>
      </c:lineChart>
      <c:catAx>
        <c:axId val="-17070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76304"/>
        <c:crosses val="autoZero"/>
        <c:auto val="1"/>
        <c:lblAlgn val="ctr"/>
        <c:lblOffset val="100"/>
        <c:noMultiLvlLbl val="0"/>
      </c:catAx>
      <c:valAx>
        <c:axId val="-17070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[DASHBOARD.xlsx]Capital_Expenditure!PivotTable13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Capital_Expenditure!$L$9:$L$10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Capital_Expenditure!$L$11:$L$17</c:f>
              <c:numCache>
                <c:formatCode>General</c:formatCode>
                <c:ptCount val="7"/>
                <c:pt idx="0">
                  <c:v>2523</c:v>
                </c:pt>
                <c:pt idx="1">
                  <c:v>4340</c:v>
                </c:pt>
                <c:pt idx="2">
                  <c:v>9643</c:v>
                </c:pt>
                <c:pt idx="3">
                  <c:v>18503</c:v>
                </c:pt>
                <c:pt idx="4">
                  <c:v>45848</c:v>
                </c:pt>
                <c:pt idx="5">
                  <c:v>90069.53</c:v>
                </c:pt>
                <c:pt idx="6">
                  <c:v>127943.93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Capital_Expenditure!$M$9:$M$10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Capital_Expenditure!$M$11:$M$17</c:f>
              <c:numCache>
                <c:formatCode>General</c:formatCode>
                <c:ptCount val="7"/>
                <c:pt idx="2">
                  <c:v>887</c:v>
                </c:pt>
                <c:pt idx="3">
                  <c:v>1425</c:v>
                </c:pt>
                <c:pt idx="4">
                  <c:v>2357</c:v>
                </c:pt>
                <c:pt idx="5">
                  <c:v>5405.79</c:v>
                </c:pt>
                <c:pt idx="6">
                  <c:v>14069.93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Capital_Expenditure!$N$9:$N$10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Capital_Expenditure!$N$11:$N$17</c:f>
              <c:numCache>
                <c:formatCode>General</c:formatCode>
                <c:ptCount val="7"/>
                <c:pt idx="0">
                  <c:v>1408</c:v>
                </c:pt>
                <c:pt idx="1">
                  <c:v>2188</c:v>
                </c:pt>
                <c:pt idx="2">
                  <c:v>3515</c:v>
                </c:pt>
                <c:pt idx="3">
                  <c:v>4522</c:v>
                </c:pt>
                <c:pt idx="4">
                  <c:v>11404</c:v>
                </c:pt>
                <c:pt idx="5">
                  <c:v>12963.67</c:v>
                </c:pt>
                <c:pt idx="6">
                  <c:v>41142.93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Capital_Expenditure!$O$9:$O$10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Capital_Expenditure!$O$11:$O$17</c:f>
              <c:numCache>
                <c:formatCode>General</c:formatCode>
                <c:ptCount val="7"/>
                <c:pt idx="0">
                  <c:v>3581</c:v>
                </c:pt>
                <c:pt idx="1">
                  <c:v>5634</c:v>
                </c:pt>
                <c:pt idx="2">
                  <c:v>5507</c:v>
                </c:pt>
                <c:pt idx="3">
                  <c:v>8342</c:v>
                </c:pt>
                <c:pt idx="4">
                  <c:v>18554</c:v>
                </c:pt>
                <c:pt idx="5">
                  <c:v>38252.54</c:v>
                </c:pt>
                <c:pt idx="6">
                  <c:v>120246.73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Capital_Expenditure!$P$9:$P$10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Capital_Expenditure!$P$11:$P$17</c:f>
              <c:numCache>
                <c:formatCode>General</c:formatCode>
                <c:ptCount val="7"/>
                <c:pt idx="4">
                  <c:v>7202</c:v>
                </c:pt>
                <c:pt idx="5">
                  <c:v>17858.55</c:v>
                </c:pt>
                <c:pt idx="6">
                  <c:v>46126.17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Capital_Expenditure!$Q$9:$Q$10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Capital_Expenditure!$Q$11:$Q$17</c:f>
              <c:numCache>
                <c:formatCode>General</c:formatCode>
                <c:ptCount val="7"/>
                <c:pt idx="3">
                  <c:v>8939</c:v>
                </c:pt>
                <c:pt idx="4">
                  <c:v>26548</c:v>
                </c:pt>
                <c:pt idx="5">
                  <c:v>37849.79</c:v>
                </c:pt>
                <c:pt idx="6">
                  <c:v>59943.82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Capital_Expenditure!$R$9:$R$10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Capital_Expenditure!$R$11:$R$17</c:f>
              <c:numCache>
                <c:formatCode>General</c:formatCode>
                <c:ptCount val="7"/>
                <c:pt idx="2">
                  <c:v>626</c:v>
                </c:pt>
                <c:pt idx="3">
                  <c:v>811</c:v>
                </c:pt>
                <c:pt idx="4">
                  <c:v>2157</c:v>
                </c:pt>
                <c:pt idx="5">
                  <c:v>4535.99</c:v>
                </c:pt>
                <c:pt idx="6">
                  <c:v>11299.13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Capital_Expenditure!$S$9:$S$10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Capital_Expenditure!$S$11:$S$17</c:f>
              <c:numCache>
                <c:formatCode>General</c:formatCode>
                <c:ptCount val="7"/>
                <c:pt idx="0">
                  <c:v>3245</c:v>
                </c:pt>
                <c:pt idx="1">
                  <c:v>4630</c:v>
                </c:pt>
                <c:pt idx="2">
                  <c:v>8262</c:v>
                </c:pt>
                <c:pt idx="3">
                  <c:v>14608</c:v>
                </c:pt>
                <c:pt idx="4">
                  <c:v>35178</c:v>
                </c:pt>
                <c:pt idx="5">
                  <c:v>52731.92</c:v>
                </c:pt>
                <c:pt idx="6">
                  <c:v>160345.60999999999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Capital_Expenditure!$T$9:$T$10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Capital_Expenditure!$T$11:$T$17</c:f>
              <c:numCache>
                <c:formatCode>General</c:formatCode>
                <c:ptCount val="7"/>
                <c:pt idx="0">
                  <c:v>1465</c:v>
                </c:pt>
                <c:pt idx="1">
                  <c:v>2233</c:v>
                </c:pt>
                <c:pt idx="2">
                  <c:v>2841</c:v>
                </c:pt>
                <c:pt idx="3">
                  <c:v>5991</c:v>
                </c:pt>
                <c:pt idx="4">
                  <c:v>13330</c:v>
                </c:pt>
                <c:pt idx="5">
                  <c:v>23156.99</c:v>
                </c:pt>
                <c:pt idx="6">
                  <c:v>48000.86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Capital_Expenditure!$U$9:$U$10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Capital_Expenditure!$U$11:$U$17</c:f>
              <c:numCache>
                <c:formatCode>General</c:formatCode>
                <c:ptCount val="7"/>
                <c:pt idx="0">
                  <c:v>559</c:v>
                </c:pt>
                <c:pt idx="1">
                  <c:v>981</c:v>
                </c:pt>
                <c:pt idx="2">
                  <c:v>2609</c:v>
                </c:pt>
                <c:pt idx="3">
                  <c:v>3411</c:v>
                </c:pt>
                <c:pt idx="4">
                  <c:v>8257</c:v>
                </c:pt>
                <c:pt idx="5">
                  <c:v>12823.13</c:v>
                </c:pt>
                <c:pt idx="6">
                  <c:v>24075.279999999999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Capital_Expenditure!$V$9:$V$10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Capital_Expenditure!$V$11:$V$17</c:f>
              <c:numCache>
                <c:formatCode>General</c:formatCode>
                <c:ptCount val="7"/>
                <c:pt idx="0">
                  <c:v>1020</c:v>
                </c:pt>
                <c:pt idx="1">
                  <c:v>2007</c:v>
                </c:pt>
                <c:pt idx="2">
                  <c:v>3915</c:v>
                </c:pt>
                <c:pt idx="3">
                  <c:v>5587</c:v>
                </c:pt>
                <c:pt idx="4">
                  <c:v>10556</c:v>
                </c:pt>
                <c:pt idx="5">
                  <c:v>26631.66</c:v>
                </c:pt>
                <c:pt idx="6">
                  <c:v>48415.66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Capital_Expenditure!$W$9:$W$10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Capital_Expenditure!$W$11:$W$17</c:f>
              <c:numCache>
                <c:formatCode>General</c:formatCode>
                <c:ptCount val="7"/>
                <c:pt idx="5">
                  <c:v>24064.82</c:v>
                </c:pt>
                <c:pt idx="6">
                  <c:v>47825.22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Capital_Expenditure!$X$9:$X$10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Capital_Expenditure!$X$11:$X$17</c:f>
              <c:numCache>
                <c:formatCode>General</c:formatCode>
                <c:ptCount val="7"/>
                <c:pt idx="0">
                  <c:v>2631</c:v>
                </c:pt>
                <c:pt idx="1">
                  <c:v>4124</c:v>
                </c:pt>
                <c:pt idx="2">
                  <c:v>7286</c:v>
                </c:pt>
                <c:pt idx="3">
                  <c:v>10441</c:v>
                </c:pt>
                <c:pt idx="4">
                  <c:v>28868</c:v>
                </c:pt>
                <c:pt idx="5">
                  <c:v>56043.12</c:v>
                </c:pt>
                <c:pt idx="6">
                  <c:v>129480.94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Capital_Expenditure!$Y$9:$Y$10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Capital_Expenditure!$Y$11:$Y$17</c:f>
              <c:numCache>
                <c:formatCode>General</c:formatCode>
                <c:ptCount val="7"/>
                <c:pt idx="0">
                  <c:v>1494</c:v>
                </c:pt>
                <c:pt idx="1">
                  <c:v>2551</c:v>
                </c:pt>
                <c:pt idx="2">
                  <c:v>3785</c:v>
                </c:pt>
                <c:pt idx="3">
                  <c:v>6544</c:v>
                </c:pt>
                <c:pt idx="4">
                  <c:v>12331</c:v>
                </c:pt>
                <c:pt idx="5">
                  <c:v>17857.740000000002</c:v>
                </c:pt>
                <c:pt idx="6">
                  <c:v>54386.9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Capital_Expenditure!$Z$9:$Z$10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Capital_Expenditure!$Z$11:$Z$17</c:f>
              <c:numCache>
                <c:formatCode>General</c:formatCode>
                <c:ptCount val="7"/>
                <c:pt idx="0">
                  <c:v>3233</c:v>
                </c:pt>
                <c:pt idx="1">
                  <c:v>4532</c:v>
                </c:pt>
                <c:pt idx="2">
                  <c:v>6741</c:v>
                </c:pt>
                <c:pt idx="3">
                  <c:v>9153</c:v>
                </c:pt>
                <c:pt idx="4">
                  <c:v>25502</c:v>
                </c:pt>
                <c:pt idx="5">
                  <c:v>50581.93</c:v>
                </c:pt>
                <c:pt idx="6">
                  <c:v>135709.15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Capital_Expenditure!$AA$9:$AA$10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Capital_Expenditure!$AA$11:$AA$17</c:f>
              <c:numCache>
                <c:formatCode>General</c:formatCode>
                <c:ptCount val="7"/>
                <c:pt idx="0">
                  <c:v>4749</c:v>
                </c:pt>
                <c:pt idx="1">
                  <c:v>7495</c:v>
                </c:pt>
                <c:pt idx="2">
                  <c:v>14577</c:v>
                </c:pt>
                <c:pt idx="3">
                  <c:v>26505</c:v>
                </c:pt>
                <c:pt idx="4">
                  <c:v>55724</c:v>
                </c:pt>
                <c:pt idx="5">
                  <c:v>92202.7</c:v>
                </c:pt>
                <c:pt idx="6">
                  <c:v>177557.58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Capital_Expenditure!$AB$9:$AB$10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Capital_Expenditure!$AB$11:$AB$17</c:f>
              <c:numCache>
                <c:formatCode>General</c:formatCode>
                <c:ptCount val="7"/>
                <c:pt idx="0">
                  <c:v>317</c:v>
                </c:pt>
                <c:pt idx="1">
                  <c:v>534</c:v>
                </c:pt>
                <c:pt idx="2">
                  <c:v>1095</c:v>
                </c:pt>
                <c:pt idx="3">
                  <c:v>1583</c:v>
                </c:pt>
                <c:pt idx="4">
                  <c:v>3577</c:v>
                </c:pt>
                <c:pt idx="5">
                  <c:v>6868.92</c:v>
                </c:pt>
                <c:pt idx="6">
                  <c:v>10899.93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Capital_Expenditure!$AC$9:$AC$10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Capital_Expenditure!$AC$11:$AC$17</c:f>
              <c:numCache>
                <c:formatCode>General</c:formatCode>
                <c:ptCount val="7"/>
                <c:pt idx="0">
                  <c:v>185</c:v>
                </c:pt>
                <c:pt idx="1">
                  <c:v>386</c:v>
                </c:pt>
                <c:pt idx="2">
                  <c:v>681</c:v>
                </c:pt>
                <c:pt idx="3">
                  <c:v>992</c:v>
                </c:pt>
                <c:pt idx="4">
                  <c:v>1896</c:v>
                </c:pt>
                <c:pt idx="5">
                  <c:v>2663.92</c:v>
                </c:pt>
                <c:pt idx="6">
                  <c:v>8203.17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Capital_Expenditure!$AD$9:$AD$10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Capital_Expenditure!$AD$11:$AD$17</c:f>
              <c:numCache>
                <c:formatCode>General</c:formatCode>
                <c:ptCount val="7"/>
                <c:pt idx="1">
                  <c:v>234</c:v>
                </c:pt>
                <c:pt idx="2">
                  <c:v>638</c:v>
                </c:pt>
                <c:pt idx="3">
                  <c:v>1015</c:v>
                </c:pt>
                <c:pt idx="4">
                  <c:v>1706</c:v>
                </c:pt>
                <c:pt idx="5">
                  <c:v>3194.07</c:v>
                </c:pt>
                <c:pt idx="6">
                  <c:v>5787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Capital_Expenditure!$AE$9:$AE$10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Capital_Expenditure!$AE$11:$AE$17</c:f>
              <c:numCache>
                <c:formatCode>General</c:formatCode>
                <c:ptCount val="7"/>
                <c:pt idx="0">
                  <c:v>230</c:v>
                </c:pt>
                <c:pt idx="1">
                  <c:v>493</c:v>
                </c:pt>
                <c:pt idx="2">
                  <c:v>1055</c:v>
                </c:pt>
                <c:pt idx="3">
                  <c:v>1408</c:v>
                </c:pt>
                <c:pt idx="4">
                  <c:v>2556</c:v>
                </c:pt>
                <c:pt idx="5">
                  <c:v>4929.6099999999997</c:v>
                </c:pt>
                <c:pt idx="6">
                  <c:v>9587.01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Capital_Expenditure!$AF$9:$AF$10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Capital_Expenditure!$AF$11:$AF$17</c:f>
              <c:numCache>
                <c:formatCode>General</c:formatCode>
                <c:ptCount val="7"/>
                <c:pt idx="0">
                  <c:v>1541</c:v>
                </c:pt>
                <c:pt idx="1">
                  <c:v>2705</c:v>
                </c:pt>
                <c:pt idx="2">
                  <c:v>4652</c:v>
                </c:pt>
                <c:pt idx="3">
                  <c:v>6860</c:v>
                </c:pt>
                <c:pt idx="4">
                  <c:v>15875</c:v>
                </c:pt>
                <c:pt idx="5">
                  <c:v>21569.79</c:v>
                </c:pt>
                <c:pt idx="6">
                  <c:v>68163.17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Capital_Expenditure!$AG$9:$AG$10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Capital_Expenditure!$AG$11:$AG$17</c:f>
              <c:numCache>
                <c:formatCode>General</c:formatCode>
                <c:ptCount val="7"/>
                <c:pt idx="5">
                  <c:v>2114.48</c:v>
                </c:pt>
                <c:pt idx="6">
                  <c:v>3822.6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Capital_Expenditure!$AH$9:$AH$10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Capital_Expenditure!$AH$11:$AH$17</c:f>
              <c:numCache>
                <c:formatCode>General</c:formatCode>
                <c:ptCount val="7"/>
                <c:pt idx="0">
                  <c:v>2480</c:v>
                </c:pt>
                <c:pt idx="1">
                  <c:v>4081</c:v>
                </c:pt>
                <c:pt idx="2">
                  <c:v>5121</c:v>
                </c:pt>
                <c:pt idx="3">
                  <c:v>7989</c:v>
                </c:pt>
                <c:pt idx="4">
                  <c:v>16320</c:v>
                </c:pt>
                <c:pt idx="5">
                  <c:v>21571.73</c:v>
                </c:pt>
                <c:pt idx="6">
                  <c:v>35631.760000000002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Capital_Expenditure!$AI$9:$AI$10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Capital_Expenditure!$AI$11:$AI$17</c:f>
              <c:numCache>
                <c:formatCode>General</c:formatCode>
                <c:ptCount val="7"/>
                <c:pt idx="0">
                  <c:v>2455</c:v>
                </c:pt>
                <c:pt idx="1">
                  <c:v>3858</c:v>
                </c:pt>
                <c:pt idx="2">
                  <c:v>7531</c:v>
                </c:pt>
                <c:pt idx="3">
                  <c:v>14380</c:v>
                </c:pt>
                <c:pt idx="4">
                  <c:v>26053</c:v>
                </c:pt>
                <c:pt idx="5">
                  <c:v>38543.25</c:v>
                </c:pt>
                <c:pt idx="6">
                  <c:v>108774.58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Capital_Expenditure!$AJ$9:$AJ$10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Capital_Expenditure!$AJ$11:$AJ$17</c:f>
              <c:numCache>
                <c:formatCode>General</c:formatCode>
                <c:ptCount val="7"/>
                <c:pt idx="0">
                  <c:v>73</c:v>
                </c:pt>
                <c:pt idx="1">
                  <c:v>203</c:v>
                </c:pt>
                <c:pt idx="2">
                  <c:v>347</c:v>
                </c:pt>
                <c:pt idx="3">
                  <c:v>605</c:v>
                </c:pt>
                <c:pt idx="4">
                  <c:v>1412</c:v>
                </c:pt>
                <c:pt idx="5">
                  <c:v>2675.09</c:v>
                </c:pt>
                <c:pt idx="6">
                  <c:v>6261.36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Capital_Expenditure!$AK$9:$AK$10</c:f>
              <c:strCache>
                <c:ptCount val="1"/>
                <c:pt idx="0">
                  <c:v>Tamil Nadu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Capital_Expenditure!$AK$11:$AK$17</c:f>
              <c:numCache>
                <c:formatCode>General</c:formatCode>
                <c:ptCount val="7"/>
                <c:pt idx="0">
                  <c:v>3477</c:v>
                </c:pt>
                <c:pt idx="1">
                  <c:v>4301</c:v>
                </c:pt>
                <c:pt idx="2">
                  <c:v>6207</c:v>
                </c:pt>
                <c:pt idx="3">
                  <c:v>10422</c:v>
                </c:pt>
                <c:pt idx="4">
                  <c:v>31534</c:v>
                </c:pt>
                <c:pt idx="5">
                  <c:v>59878.81</c:v>
                </c:pt>
                <c:pt idx="6">
                  <c:v>152028.78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Capital_Expenditure!$AL$9:$AL$10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Capital_Expenditure!$AL$11:$AL$17</c:f>
              <c:numCache>
                <c:formatCode>General</c:formatCode>
                <c:ptCount val="7"/>
                <c:pt idx="6">
                  <c:v>41607.19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Capital_Expenditure!$AM$9:$AM$10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Capital_Expenditure!$AM$11:$AM$17</c:f>
              <c:numCache>
                <c:formatCode>General</c:formatCode>
                <c:ptCount val="7"/>
                <c:pt idx="0">
                  <c:v>229</c:v>
                </c:pt>
                <c:pt idx="1">
                  <c:v>452</c:v>
                </c:pt>
                <c:pt idx="2">
                  <c:v>669</c:v>
                </c:pt>
                <c:pt idx="3">
                  <c:v>1432</c:v>
                </c:pt>
                <c:pt idx="4">
                  <c:v>3134</c:v>
                </c:pt>
                <c:pt idx="5">
                  <c:v>5695.31</c:v>
                </c:pt>
                <c:pt idx="6">
                  <c:v>16504.439999999999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Capital_Expenditure!$AN$9:$AN$10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Capital_Expenditure!$AN$11:$AN$17</c:f>
              <c:numCache>
                <c:formatCode>General</c:formatCode>
                <c:ptCount val="7"/>
                <c:pt idx="0">
                  <c:v>6364</c:v>
                </c:pt>
                <c:pt idx="1">
                  <c:v>9131</c:v>
                </c:pt>
                <c:pt idx="2">
                  <c:v>17655</c:v>
                </c:pt>
                <c:pt idx="3">
                  <c:v>22727</c:v>
                </c:pt>
                <c:pt idx="4">
                  <c:v>54855</c:v>
                </c:pt>
                <c:pt idx="5">
                  <c:v>114757.92</c:v>
                </c:pt>
                <c:pt idx="6">
                  <c:v>279950.84000000003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Capital_Expenditure!$AO$9:$AO$10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Capital_Expenditure!$AO$11:$AO$17</c:f>
              <c:numCache>
                <c:formatCode>General</c:formatCode>
                <c:ptCount val="7"/>
                <c:pt idx="4">
                  <c:v>5010</c:v>
                </c:pt>
                <c:pt idx="5">
                  <c:v>11945.09</c:v>
                </c:pt>
                <c:pt idx="6">
                  <c:v>29466.560000000001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Capital_Expenditure!$AP$9:$AP$10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Capital_Expenditure!$K$11:$K$17</c:f>
              <c:strCache>
                <c:ptCount val="7"/>
                <c:pt idx="0">
                  <c:v>Average of 1980-1985</c:v>
                </c:pt>
                <c:pt idx="1">
                  <c:v>Average of 1985-1990</c:v>
                </c:pt>
                <c:pt idx="2">
                  <c:v>Average of 1990-1995</c:v>
                </c:pt>
                <c:pt idx="3">
                  <c:v>Average of 1995-2000</c:v>
                </c:pt>
                <c:pt idx="4">
                  <c:v>Average of 2000-2005</c:v>
                </c:pt>
                <c:pt idx="5">
                  <c:v>Average of 2005-2010</c:v>
                </c:pt>
                <c:pt idx="6">
                  <c:v>Average of 2010-2016</c:v>
                </c:pt>
              </c:strCache>
            </c:strRef>
          </c:cat>
          <c:val>
            <c:numRef>
              <c:f>Capital_Expenditure!$AP$11:$AP$17</c:f>
              <c:numCache>
                <c:formatCode>General</c:formatCode>
                <c:ptCount val="7"/>
                <c:pt idx="0">
                  <c:v>2444</c:v>
                </c:pt>
                <c:pt idx="1">
                  <c:v>4153</c:v>
                </c:pt>
                <c:pt idx="2">
                  <c:v>5469</c:v>
                </c:pt>
                <c:pt idx="3">
                  <c:v>12877</c:v>
                </c:pt>
                <c:pt idx="4">
                  <c:v>31888</c:v>
                </c:pt>
                <c:pt idx="5">
                  <c:v>43796.95</c:v>
                </c:pt>
                <c:pt idx="6">
                  <c:v>96984.49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7077936"/>
        <c:axId val="-1707089360"/>
      </c:lineChart>
      <c:catAx>
        <c:axId val="-17070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89360"/>
        <c:crosses val="autoZero"/>
        <c:auto val="1"/>
        <c:lblAlgn val="ctr"/>
        <c:lblOffset val="100"/>
        <c:noMultiLvlLbl val="0"/>
      </c:catAx>
      <c:valAx>
        <c:axId val="-17070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0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2408468840089"/>
          <c:y val="0.19292723826188393"/>
          <c:w val="0.19319849128844421"/>
          <c:h val="0.58173775153105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575930</xdr:colOff>
      <xdr:row>46</xdr:row>
      <xdr:rowOff>31750</xdr:rowOff>
    </xdr:from>
    <xdr:to>
      <xdr:col>22</xdr:col>
      <xdr:colOff>519545</xdr:colOff>
      <xdr:row>62</xdr:row>
      <xdr:rowOff>95250</xdr:rowOff>
    </xdr:to>
    <xdr:sp macro="" textlink="">
      <xdr:nvSpPr>
        <xdr:cNvPr id="24" name="Rounded Rectangle 23"/>
        <xdr:cNvSpPr/>
      </xdr:nvSpPr>
      <xdr:spPr>
        <a:xfrm>
          <a:off x="7243430" y="8993909"/>
          <a:ext cx="6611115" cy="318077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206374</xdr:colOff>
      <xdr:row>45</xdr:row>
      <xdr:rowOff>158750</xdr:rowOff>
    </xdr:from>
    <xdr:to>
      <xdr:col>11</xdr:col>
      <xdr:colOff>492125</xdr:colOff>
      <xdr:row>62</xdr:row>
      <xdr:rowOff>47625</xdr:rowOff>
    </xdr:to>
    <xdr:sp macro="" textlink="">
      <xdr:nvSpPr>
        <xdr:cNvPr id="22" name="Rounded Rectangle 21"/>
        <xdr:cNvSpPr/>
      </xdr:nvSpPr>
      <xdr:spPr>
        <a:xfrm>
          <a:off x="206374" y="8731250"/>
          <a:ext cx="6921501" cy="3127375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35719</xdr:colOff>
      <xdr:row>11</xdr:row>
      <xdr:rowOff>178593</xdr:rowOff>
    </xdr:from>
    <xdr:to>
      <xdr:col>22</xdr:col>
      <xdr:colOff>202406</xdr:colOff>
      <xdr:row>27</xdr:row>
      <xdr:rowOff>63500</xdr:rowOff>
    </xdr:to>
    <xdr:sp macro="" textlink="">
      <xdr:nvSpPr>
        <xdr:cNvPr id="20" name="Rounded Rectangle 19"/>
        <xdr:cNvSpPr/>
      </xdr:nvSpPr>
      <xdr:spPr>
        <a:xfrm>
          <a:off x="9084469" y="2274093"/>
          <a:ext cx="4389437" cy="2932907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464344</xdr:colOff>
      <xdr:row>11</xdr:row>
      <xdr:rowOff>95250</xdr:rowOff>
    </xdr:from>
    <xdr:to>
      <xdr:col>15</xdr:col>
      <xdr:colOff>23813</xdr:colOff>
      <xdr:row>27</xdr:row>
      <xdr:rowOff>47625</xdr:rowOff>
    </xdr:to>
    <xdr:sp macro="" textlink="">
      <xdr:nvSpPr>
        <xdr:cNvPr id="19" name="Rounded Rectangle 18"/>
        <xdr:cNvSpPr/>
      </xdr:nvSpPr>
      <xdr:spPr>
        <a:xfrm>
          <a:off x="4714875" y="2190750"/>
          <a:ext cx="4417219" cy="3000375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202407</xdr:colOff>
      <xdr:row>28</xdr:row>
      <xdr:rowOff>3968</xdr:rowOff>
    </xdr:from>
    <xdr:to>
      <xdr:col>22</xdr:col>
      <xdr:colOff>317501</xdr:colOff>
      <xdr:row>44</xdr:row>
      <xdr:rowOff>182562</xdr:rowOff>
    </xdr:to>
    <xdr:sp macro="" textlink="">
      <xdr:nvSpPr>
        <xdr:cNvPr id="17" name="Rounded Rectangle 16"/>
        <xdr:cNvSpPr/>
      </xdr:nvSpPr>
      <xdr:spPr>
        <a:xfrm>
          <a:off x="202407" y="5337968"/>
          <a:ext cx="13526294" cy="3226594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297656</xdr:colOff>
      <xdr:row>11</xdr:row>
      <xdr:rowOff>71437</xdr:rowOff>
    </xdr:from>
    <xdr:to>
      <xdr:col>7</xdr:col>
      <xdr:colOff>464344</xdr:colOff>
      <xdr:row>27</xdr:row>
      <xdr:rowOff>23812</xdr:rowOff>
    </xdr:to>
    <xdr:sp macro="" textlink="">
      <xdr:nvSpPr>
        <xdr:cNvPr id="5" name="Rounded Rectangle 4"/>
        <xdr:cNvSpPr/>
      </xdr:nvSpPr>
      <xdr:spPr>
        <a:xfrm>
          <a:off x="297656" y="2166937"/>
          <a:ext cx="4417219" cy="3000375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166687</xdr:colOff>
      <xdr:row>12</xdr:row>
      <xdr:rowOff>138347</xdr:rowOff>
    </xdr:from>
    <xdr:to>
      <xdr:col>14</xdr:col>
      <xdr:colOff>297655</xdr:colOff>
      <xdr:row>26</xdr:row>
      <xdr:rowOff>35718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445877</xdr:colOff>
      <xdr:row>29</xdr:row>
      <xdr:rowOff>40521</xdr:rowOff>
    </xdr:from>
    <xdr:to>
      <xdr:col>22</xdr:col>
      <xdr:colOff>15875</xdr:colOff>
      <xdr:row>43</xdr:row>
      <xdr:rowOff>112832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254000</xdr:colOff>
      <xdr:row>48</xdr:row>
      <xdr:rowOff>2215</xdr:rowOff>
    </xdr:from>
    <xdr:to>
      <xdr:col>22</xdr:col>
      <xdr:colOff>443024</xdr:colOff>
      <xdr:row>61</xdr:row>
      <xdr:rowOff>50924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285750</xdr:colOff>
      <xdr:row>13</xdr:row>
      <xdr:rowOff>37180</xdr:rowOff>
    </xdr:from>
    <xdr:to>
      <xdr:col>22</xdr:col>
      <xdr:colOff>15875</xdr:colOff>
      <xdr:row>26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47</xdr:row>
      <xdr:rowOff>126999</xdr:rowOff>
    </xdr:from>
    <xdr:to>
      <xdr:col>11</xdr:col>
      <xdr:colOff>317499</xdr:colOff>
      <xdr:row>60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471236</xdr:colOff>
      <xdr:row>0</xdr:row>
      <xdr:rowOff>169220</xdr:rowOff>
    </xdr:from>
    <xdr:to>
      <xdr:col>22</xdr:col>
      <xdr:colOff>31749</xdr:colOff>
      <xdr:row>4</xdr:row>
      <xdr:rowOff>95250</xdr:rowOff>
    </xdr:to>
    <xdr:sp macro="" textlink="">
      <xdr:nvSpPr>
        <xdr:cNvPr id="2" name="Rounded Rectangle 1"/>
        <xdr:cNvSpPr/>
      </xdr:nvSpPr>
      <xdr:spPr>
        <a:xfrm>
          <a:off x="471236" y="169220"/>
          <a:ext cx="12832013" cy="688030"/>
        </a:xfrm>
        <a:prstGeom prst="roundRect">
          <a:avLst/>
        </a:prstGeom>
        <a:solidFill>
          <a:schemeClr val="tx2">
            <a:lumMod val="50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471235</xdr:colOff>
      <xdr:row>4</xdr:row>
      <xdr:rowOff>168300</xdr:rowOff>
    </xdr:from>
    <xdr:to>
      <xdr:col>7</xdr:col>
      <xdr:colOff>333374</xdr:colOff>
      <xdr:row>10</xdr:row>
      <xdr:rowOff>168300</xdr:rowOff>
    </xdr:to>
    <xdr:sp macro="" textlink="">
      <xdr:nvSpPr>
        <xdr:cNvPr id="3" name="Rounded Rectangle 2"/>
        <xdr:cNvSpPr/>
      </xdr:nvSpPr>
      <xdr:spPr>
        <a:xfrm>
          <a:off x="471235" y="930300"/>
          <a:ext cx="4084889" cy="1143000"/>
        </a:xfrm>
        <a:prstGeom prst="roundRect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95251</xdr:colOff>
      <xdr:row>5</xdr:row>
      <xdr:rowOff>2141</xdr:rowOff>
    </xdr:from>
    <xdr:to>
      <xdr:col>14</xdr:col>
      <xdr:colOff>476251</xdr:colOff>
      <xdr:row>11</xdr:row>
      <xdr:rowOff>2141</xdr:rowOff>
    </xdr:to>
    <xdr:sp macro="" textlink="">
      <xdr:nvSpPr>
        <xdr:cNvPr id="14" name="Rounded Rectangle 13"/>
        <xdr:cNvSpPr/>
      </xdr:nvSpPr>
      <xdr:spPr>
        <a:xfrm>
          <a:off x="4972051" y="954641"/>
          <a:ext cx="4038600" cy="11430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206374</xdr:colOff>
      <xdr:row>5</xdr:row>
      <xdr:rowOff>0</xdr:rowOff>
    </xdr:from>
    <xdr:to>
      <xdr:col>21</xdr:col>
      <xdr:colOff>596900</xdr:colOff>
      <xdr:row>11</xdr:row>
      <xdr:rowOff>76200</xdr:rowOff>
    </xdr:to>
    <xdr:sp macro="" textlink="">
      <xdr:nvSpPr>
        <xdr:cNvPr id="16" name="Rounded Rectangle 15"/>
        <xdr:cNvSpPr/>
      </xdr:nvSpPr>
      <xdr:spPr>
        <a:xfrm>
          <a:off x="9350374" y="952500"/>
          <a:ext cx="4048126" cy="12192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501316</xdr:colOff>
      <xdr:row>12</xdr:row>
      <xdr:rowOff>105185</xdr:rowOff>
    </xdr:from>
    <xdr:to>
      <xdr:col>7</xdr:col>
      <xdr:colOff>240632</xdr:colOff>
      <xdr:row>25</xdr:row>
      <xdr:rowOff>170448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571501</xdr:colOff>
      <xdr:row>1</xdr:row>
      <xdr:rowOff>47626</xdr:rowOff>
    </xdr:from>
    <xdr:to>
      <xdr:col>21</xdr:col>
      <xdr:colOff>539751</xdr:colOff>
      <xdr:row>4</xdr:row>
      <xdr:rowOff>15876</xdr:rowOff>
    </xdr:to>
    <xdr:sp macro="" textlink="">
      <xdr:nvSpPr>
        <xdr:cNvPr id="7" name="TextBox 6"/>
        <xdr:cNvSpPr txBox="1"/>
      </xdr:nvSpPr>
      <xdr:spPr>
        <a:xfrm>
          <a:off x="571501" y="235911"/>
          <a:ext cx="12760547" cy="533105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>
              <a:solidFill>
                <a:srgbClr val="FFFF00"/>
              </a:solidFill>
              <a:latin typeface="Britannic Bold" panose="020B0903060703020204" pitchFamily="34" charset="0"/>
            </a:rPr>
            <a:t>FINANCIAL ANALYSIS DASH</a:t>
          </a:r>
          <a:r>
            <a:rPr lang="en-US" sz="3600" baseline="0">
              <a:solidFill>
                <a:srgbClr val="FFFF00"/>
              </a:solidFill>
              <a:latin typeface="Britannic Bold" panose="020B0903060703020204" pitchFamily="34" charset="0"/>
            </a:rPr>
            <a:t> BOARD</a:t>
          </a:r>
          <a:endParaRPr lang="en-US" sz="3600">
            <a:solidFill>
              <a:srgbClr val="FFFF00"/>
            </a:solidFill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</xdr:col>
      <xdr:colOff>101600</xdr:colOff>
      <xdr:row>5</xdr:row>
      <xdr:rowOff>139700</xdr:rowOff>
    </xdr:from>
    <xdr:to>
      <xdr:col>7</xdr:col>
      <xdr:colOff>152400</xdr:colOff>
      <xdr:row>9</xdr:row>
      <xdr:rowOff>165100</xdr:rowOff>
    </xdr:to>
    <xdr:sp macro="" textlink="">
      <xdr:nvSpPr>
        <xdr:cNvPr id="9" name="TextBox 8"/>
        <xdr:cNvSpPr txBox="1"/>
      </xdr:nvSpPr>
      <xdr:spPr>
        <a:xfrm>
          <a:off x="711200" y="1092200"/>
          <a:ext cx="3708400" cy="7874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Arial Black" panose="020B0A04020102020204" pitchFamily="34" charset="0"/>
            </a:rPr>
            <a:t>Total Revenue Expenditure</a:t>
          </a:r>
        </a:p>
        <a:p>
          <a:pPr algn="ctr"/>
          <a:r>
            <a:rPr lang="en-US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15130190</a:t>
          </a:r>
          <a:r>
            <a:rPr lang="en-US" sz="2000"/>
            <a:t> </a:t>
          </a:r>
          <a:endParaRPr lang="en-US" sz="2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304800</xdr:colOff>
      <xdr:row>5</xdr:row>
      <xdr:rowOff>152400</xdr:rowOff>
    </xdr:from>
    <xdr:to>
      <xdr:col>14</xdr:col>
      <xdr:colOff>368300</xdr:colOff>
      <xdr:row>10</xdr:row>
      <xdr:rowOff>50800</xdr:rowOff>
    </xdr:to>
    <xdr:sp macro="" textlink="">
      <xdr:nvSpPr>
        <xdr:cNvPr id="12" name="TextBox 11"/>
        <xdr:cNvSpPr txBox="1"/>
      </xdr:nvSpPr>
      <xdr:spPr>
        <a:xfrm>
          <a:off x="5181600" y="1104900"/>
          <a:ext cx="3721100" cy="8509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6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Total Social sector Expenditure</a:t>
          </a:r>
        </a:p>
        <a:p>
          <a:pPr algn="ctr"/>
          <a:r>
            <a:rPr lang="en-US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4297700</a:t>
          </a:r>
        </a:p>
      </xdr:txBody>
    </xdr:sp>
    <xdr:clientData/>
  </xdr:twoCellAnchor>
  <xdr:twoCellAnchor>
    <xdr:from>
      <xdr:col>15</xdr:col>
      <xdr:colOff>457200</xdr:colOff>
      <xdr:row>6</xdr:row>
      <xdr:rowOff>50800</xdr:rowOff>
    </xdr:from>
    <xdr:to>
      <xdr:col>21</xdr:col>
      <xdr:colOff>393700</xdr:colOff>
      <xdr:row>10</xdr:row>
      <xdr:rowOff>50800</xdr:rowOff>
    </xdr:to>
    <xdr:sp macro="" textlink="">
      <xdr:nvSpPr>
        <xdr:cNvPr id="15" name="TextBox 14"/>
        <xdr:cNvSpPr txBox="1"/>
      </xdr:nvSpPr>
      <xdr:spPr>
        <a:xfrm>
          <a:off x="9601200" y="1193800"/>
          <a:ext cx="3594100" cy="7620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6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Total capital Expenditure </a:t>
          </a:r>
        </a:p>
        <a:p>
          <a:pPr marL="0" indent="0" algn="ctr"/>
          <a:r>
            <a:rPr lang="en-US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3968445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11</xdr:row>
      <xdr:rowOff>166687</xdr:rowOff>
    </xdr:from>
    <xdr:to>
      <xdr:col>22</xdr:col>
      <xdr:colOff>38100</xdr:colOff>
      <xdr:row>26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26</xdr:row>
      <xdr:rowOff>61912</xdr:rowOff>
    </xdr:from>
    <xdr:to>
      <xdr:col>14</xdr:col>
      <xdr:colOff>1162050</xdr:colOff>
      <xdr:row>40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13</xdr:row>
      <xdr:rowOff>128587</xdr:rowOff>
    </xdr:from>
    <xdr:to>
      <xdr:col>12</xdr:col>
      <xdr:colOff>1066800</xdr:colOff>
      <xdr:row>28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36</xdr:row>
      <xdr:rowOff>90487</xdr:rowOff>
    </xdr:from>
    <xdr:to>
      <xdr:col>11</xdr:col>
      <xdr:colOff>104775</xdr:colOff>
      <xdr:row>50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1257300</xdr:colOff>
      <xdr:row>0</xdr:row>
      <xdr:rowOff>100012</xdr:rowOff>
    </xdr:from>
    <xdr:to>
      <xdr:col>15</xdr:col>
      <xdr:colOff>209549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28</xdr:row>
      <xdr:rowOff>4762</xdr:rowOff>
    </xdr:from>
    <xdr:to>
      <xdr:col>10</xdr:col>
      <xdr:colOff>600075</xdr:colOff>
      <xdr:row>42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1247775</xdr:colOff>
      <xdr:row>1</xdr:row>
      <xdr:rowOff>133350</xdr:rowOff>
    </xdr:from>
    <xdr:to>
      <xdr:col>15</xdr:col>
      <xdr:colOff>76200</xdr:colOff>
      <xdr:row>19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48</xdr:row>
      <xdr:rowOff>61912</xdr:rowOff>
    </xdr:from>
    <xdr:to>
      <xdr:col>12</xdr:col>
      <xdr:colOff>371475</xdr:colOff>
      <xdr:row>62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28574</xdr:colOff>
      <xdr:row>27</xdr:row>
      <xdr:rowOff>42862</xdr:rowOff>
    </xdr:from>
    <xdr:to>
      <xdr:col>29</xdr:col>
      <xdr:colOff>180975</xdr:colOff>
      <xdr:row>41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54.737405902779" createdVersion="5" refreshedVersion="5" minRefreshableVersion="3" recordCount="31">
  <cacheSource type="worksheet">
    <worksheetSource name="Table1"/>
  </cacheSource>
  <cacheFields count="8">
    <cacheField name="State" numFmtId="0">
      <sharedItems count="31">
        <s v="Andhra Pradesh"/>
        <s v="Haryana"/>
        <s v="Himachal Pradesh"/>
        <s v="Jammu &amp; Kashmir"/>
        <s v="Jharkhand"/>
        <s v="Karnataka"/>
        <s v="Kerala"/>
        <s v="Madhya Pradesh"/>
        <s v="Maharashtra"/>
        <s v="Bihar"/>
        <s v="Chhattisgarh"/>
        <s v="Goa"/>
        <s v="Gujarat"/>
        <s v="Arunachal Pradesh"/>
        <s v="Assam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1985" numFmtId="0">
      <sharedItems containsString="0" containsBlank="1" containsNumber="1" containsInteger="1" minValue="278" maxValue="18593" count="23">
        <n v="11081"/>
        <n v="4300"/>
        <n v="1852"/>
        <n v="2847"/>
        <m/>
        <n v="9067"/>
        <n v="5831"/>
        <n v="10051"/>
        <n v="18593"/>
        <n v="10154"/>
        <n v="9597"/>
        <n v="4174"/>
        <n v="805"/>
        <n v="620"/>
        <n v="879"/>
        <n v="5160"/>
        <n v="6095"/>
        <n v="7322"/>
        <n v="278"/>
        <n v="11686"/>
        <n v="804"/>
        <n v="18402"/>
        <n v="10381"/>
      </sharedItems>
    </cacheField>
    <cacheField name="1985-1990" numFmtId="0">
      <sharedItems containsString="0" containsBlank="1" containsNumber="1" containsInteger="1" minValue="689" maxValue="36912" count="24">
        <n v="22766"/>
        <n v="8487"/>
        <n v="4018"/>
        <n v="6162"/>
        <m/>
        <n v="17579"/>
        <n v="11792"/>
        <n v="19616"/>
        <n v="36912"/>
        <n v="19783"/>
        <n v="19255"/>
        <n v="8708"/>
        <n v="1681"/>
        <n v="1351"/>
        <n v="1128"/>
        <n v="2024"/>
        <n v="9866"/>
        <n v="11968"/>
        <n v="15037"/>
        <n v="689"/>
        <n v="21396"/>
        <n v="1969"/>
        <n v="36173"/>
        <n v="19585"/>
      </sharedItems>
    </cacheField>
    <cacheField name="1990-1995" numFmtId="0">
      <sharedItems containsString="0" containsBlank="1" containsNumber="1" containsInteger="1" minValue="1525" maxValue="78958" count="26">
        <n v="46323"/>
        <n v="19101"/>
        <n v="8606"/>
        <n v="12560"/>
        <m/>
        <n v="35275"/>
        <n v="22841"/>
        <n v="38392"/>
        <n v="72847"/>
        <n v="37753"/>
        <n v="2519"/>
        <n v="38271"/>
        <n v="2610"/>
        <n v="16206"/>
        <n v="3122"/>
        <n v="2710"/>
        <n v="2520"/>
        <n v="3895"/>
        <n v="20044"/>
        <n v="25346"/>
        <n v="32733"/>
        <n v="1525"/>
        <n v="47463"/>
        <n v="3612"/>
        <n v="78958"/>
        <n v="36121"/>
      </sharedItems>
    </cacheField>
    <cacheField name="1995-2000" numFmtId="0">
      <sharedItems containsString="0" containsBlank="1" containsNumber="1" containsInteger="1" minValue="4449" maxValue="142618" count="27">
        <n v="93036"/>
        <n v="38708"/>
        <n v="17317"/>
        <n v="25444"/>
        <m/>
        <n v="67692"/>
        <n v="48194"/>
        <n v="71825"/>
        <n v="142618"/>
        <n v="60759"/>
        <n v="6231"/>
        <n v="78900"/>
        <n v="4768"/>
        <n v="25969"/>
        <n v="5854"/>
        <n v="4618"/>
        <n v="4449"/>
        <n v="6352"/>
        <n v="37489"/>
        <n v="46966"/>
        <n v="65126"/>
        <n v="6869"/>
        <n v="87774"/>
        <n v="6823"/>
        <n v="136507"/>
        <n v="76928"/>
        <n v="21533"/>
      </sharedItems>
    </cacheField>
    <cacheField name="2000-2005" numFmtId="0">
      <sharedItems containsString="0" containsBlank="1" containsNumber="1" containsInteger="1" minValue="7670" maxValue="265607" count="29">
        <n v="180839"/>
        <n v="60033"/>
        <n v="33731"/>
        <n v="44561"/>
        <m/>
        <n v="129189"/>
        <n v="83293"/>
        <n v="106209"/>
        <n v="265607"/>
        <n v="88756"/>
        <n v="32961"/>
        <n v="11673"/>
        <n v="147633"/>
        <n v="8227"/>
        <n v="50458"/>
        <n v="10575"/>
        <n v="8248"/>
        <n v="7670"/>
        <n v="10431"/>
        <n v="67830"/>
        <n v="88469"/>
        <n v="112807"/>
        <n v="8626"/>
        <n v="154956"/>
        <n v="12886"/>
        <n v="245436"/>
        <n v="21828"/>
        <n v="154451"/>
        <n v="50802"/>
      </sharedItems>
    </cacheField>
    <cacheField name="2005-2010" numFmtId="0">
      <sharedItems containsString="0" containsBlank="1" containsNumber="1" containsInteger="1" minValue="13424" maxValue="447639" count="31">
        <n v="345708"/>
        <n v="115477"/>
        <n v="55815"/>
        <n v="85655"/>
        <n v="90857"/>
        <n v="244092"/>
        <n v="141353"/>
        <n v="184519"/>
        <n v="441257"/>
        <n v="161254"/>
        <n v="76018"/>
        <n v="19625"/>
        <n v="228348"/>
        <n v="17801"/>
        <n v="83177"/>
        <n v="19219"/>
        <n v="14365"/>
        <n v="13424"/>
        <n v="17926"/>
        <n v="118529"/>
        <n v="133363"/>
        <n v="188551"/>
        <n v="13711"/>
        <n v="286092"/>
        <m/>
        <n v="20706"/>
        <n v="447639"/>
        <n v="50341"/>
        <n v="257501"/>
        <n v="87555"/>
        <n v="13691"/>
      </sharedItems>
    </cacheField>
    <cacheField name="2010-2016" numFmtId="0">
      <sharedItems containsString="0" containsBlank="1" containsNumber="1" containsInteger="1" minValue="28024" maxValue="1217728" count="31">
        <n v="705704"/>
        <n v="305073"/>
        <n v="128680"/>
        <n v="207503"/>
        <n v="219306"/>
        <n v="638309"/>
        <n v="408182"/>
        <n v="573337"/>
        <n v="1097874"/>
        <n v="513369"/>
        <n v="248337"/>
        <n v="51913"/>
        <n v="617032"/>
        <n v="50576"/>
        <n v="255724"/>
        <n v="47974"/>
        <n v="45125"/>
        <n v="35850"/>
        <n v="46268"/>
        <n v="342158"/>
        <n v="284278"/>
        <n v="557965"/>
        <n v="28024"/>
        <n v="799698"/>
        <m/>
        <n v="54262"/>
        <n v="1217728"/>
        <n v="134331"/>
        <n v="628685"/>
        <n v="191756"/>
        <n v="2877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4854.833592476854" createdVersion="5" refreshedVersion="5" minRefreshableVersion="3" recordCount="31">
  <cacheSource type="worksheet">
    <worksheetSource name="Table2"/>
  </cacheSource>
  <cacheFields count="8">
    <cacheField name="State" numFmtId="0">
      <sharedItems count="31">
        <s v="Arunachal Pradesh"/>
        <s v="Assam"/>
        <s v="Andhra Pradesh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1985" numFmtId="0">
      <sharedItems containsString="0" containsBlank="1" containsNumber="1" containsInteger="1" minValue="73" maxValue="6364" count="23">
        <m/>
        <n v="1408"/>
        <n v="2523"/>
        <n v="3581"/>
        <n v="3245"/>
        <n v="1465"/>
        <n v="559"/>
        <n v="1020"/>
        <n v="2631"/>
        <n v="1494"/>
        <n v="3233"/>
        <n v="4749"/>
        <n v="317"/>
        <n v="185"/>
        <n v="230"/>
        <n v="1541"/>
        <n v="2480"/>
        <n v="2455"/>
        <n v="73"/>
        <n v="3477"/>
        <n v="229"/>
        <n v="6364"/>
        <n v="2444"/>
      </sharedItems>
    </cacheField>
    <cacheField name="1985-1990" numFmtId="0">
      <sharedItems containsString="0" containsBlank="1" containsNumber="1" containsInteger="1" minValue="203" maxValue="9131" count="24">
        <m/>
        <n v="2188"/>
        <n v="4340"/>
        <n v="5634"/>
        <n v="4630"/>
        <n v="2233"/>
        <n v="981"/>
        <n v="2007"/>
        <n v="4124"/>
        <n v="2551"/>
        <n v="4532"/>
        <n v="7495"/>
        <n v="534"/>
        <n v="386"/>
        <n v="234"/>
        <n v="493"/>
        <n v="2705"/>
        <n v="4081"/>
        <n v="3858"/>
        <n v="203"/>
        <n v="4301"/>
        <n v="452"/>
        <n v="9131"/>
        <n v="4153"/>
      </sharedItems>
    </cacheField>
    <cacheField name="1990-1995" numFmtId="0">
      <sharedItems containsString="0" containsBlank="1" containsNumber="1" containsInteger="1" minValue="347" maxValue="17655" count="26">
        <n v="887"/>
        <n v="3515"/>
        <n v="9643"/>
        <n v="5507"/>
        <m/>
        <n v="626"/>
        <n v="8262"/>
        <n v="2841"/>
        <n v="2609"/>
        <n v="3915"/>
        <n v="7286"/>
        <n v="3785"/>
        <n v="6741"/>
        <n v="14577"/>
        <n v="1095"/>
        <n v="681"/>
        <n v="638"/>
        <n v="1055"/>
        <n v="4652"/>
        <n v="5121"/>
        <n v="7531"/>
        <n v="347"/>
        <n v="6207"/>
        <n v="669"/>
        <n v="17655"/>
        <n v="5469"/>
      </sharedItems>
    </cacheField>
    <cacheField name="1995-2000" numFmtId="0">
      <sharedItems containsString="0" containsBlank="1" containsNumber="1" containsInteger="1" minValue="605" maxValue="26505" count="27">
        <n v="1425"/>
        <n v="4522"/>
        <n v="18503"/>
        <n v="8342"/>
        <m/>
        <n v="811"/>
        <n v="14608"/>
        <n v="5991"/>
        <n v="3411"/>
        <n v="5587"/>
        <n v="10441"/>
        <n v="6544"/>
        <n v="9153"/>
        <n v="26505"/>
        <n v="1583"/>
        <n v="992"/>
        <n v="1015"/>
        <n v="1408"/>
        <n v="6860"/>
        <n v="7989"/>
        <n v="14380"/>
        <n v="605"/>
        <n v="10422"/>
        <n v="1432"/>
        <n v="22727"/>
        <n v="12877"/>
        <n v="8939"/>
      </sharedItems>
    </cacheField>
    <cacheField name="2000-2005" numFmtId="0">
      <sharedItems containsString="0" containsBlank="1" containsNumber="1" containsInteger="1" minValue="1412" maxValue="55724" count="29">
        <n v="2357"/>
        <n v="11404"/>
        <n v="45848"/>
        <n v="18554"/>
        <n v="7202"/>
        <n v="2157"/>
        <n v="35178"/>
        <n v="13330"/>
        <n v="8257"/>
        <n v="10556"/>
        <m/>
        <n v="28868"/>
        <n v="12331"/>
        <n v="25502"/>
        <n v="55724"/>
        <n v="3577"/>
        <n v="1896"/>
        <n v="1706"/>
        <n v="2556"/>
        <n v="15875"/>
        <n v="16320"/>
        <n v="26053"/>
        <n v="1412"/>
        <n v="31534"/>
        <n v="3134"/>
        <n v="54855"/>
        <n v="5010"/>
        <n v="31888"/>
        <n v="26548"/>
      </sharedItems>
    </cacheField>
    <cacheField name="2005-2010" numFmtId="0">
      <sharedItems containsString="0" containsBlank="1" containsNumber="1" minValue="2114.48" maxValue="114757.92" count="31">
        <n v="5405.79"/>
        <n v="12963.67"/>
        <n v="90069.53"/>
        <n v="38252.54"/>
        <n v="17858.55"/>
        <n v="4535.99"/>
        <n v="52731.92"/>
        <n v="23156.99"/>
        <n v="12823.13"/>
        <n v="26631.66"/>
        <n v="24064.82"/>
        <n v="56043.12"/>
        <n v="17857.740000000002"/>
        <n v="50581.93"/>
        <n v="92202.7"/>
        <n v="6868.92"/>
        <n v="2663.92"/>
        <n v="3194.07"/>
        <n v="4929.6099999999997"/>
        <n v="21569.79"/>
        <n v="21571.73"/>
        <n v="38543.25"/>
        <n v="2675.09"/>
        <n v="59878.81"/>
        <m/>
        <n v="5695.31"/>
        <n v="114757.92"/>
        <n v="11945.09"/>
        <n v="43796.95"/>
        <n v="37849.79"/>
        <n v="2114.48"/>
      </sharedItems>
    </cacheField>
    <cacheField name="2010-2016" numFmtId="0">
      <sharedItems containsSemiMixedTypes="0" containsString="0" containsNumber="1" minValue="3822.6" maxValue="279950.84000000003" count="31">
        <n v="14069.93"/>
        <n v="41142.93"/>
        <n v="127943.93"/>
        <n v="120246.73"/>
        <n v="46126.17"/>
        <n v="11299.13"/>
        <n v="160345.60999999999"/>
        <n v="48000.86"/>
        <n v="24075.279999999999"/>
        <n v="48415.66"/>
        <n v="47825.22"/>
        <n v="129480.94"/>
        <n v="54386.9"/>
        <n v="135709.15"/>
        <n v="177557.58"/>
        <n v="10899.93"/>
        <n v="8203.17"/>
        <n v="5787"/>
        <n v="9587.01"/>
        <n v="68163.17"/>
        <n v="35631.760000000002"/>
        <n v="108774.58"/>
        <n v="6261.36"/>
        <n v="152028.78"/>
        <n v="41607.19"/>
        <n v="16504.439999999999"/>
        <n v="279950.84000000003"/>
        <n v="29466.560000000001"/>
        <n v="96984.49"/>
        <n v="59943.82"/>
        <n v="3822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4854.849135763892" createdVersion="5" refreshedVersion="5" minRefreshableVersion="3" recordCount="31">
  <cacheSource type="worksheet">
    <worksheetSource name="Table3"/>
  </cacheSource>
  <cacheFields count="8">
    <cacheField name="State" numFmtId="0">
      <sharedItems count="31">
        <s v="Andhra Pradesh"/>
        <s v="Haryana"/>
        <s v="Himachal Pradesh"/>
        <s v="Jammu &amp; Kashmir"/>
        <s v="Jharkhand"/>
        <s v="Karnataka"/>
        <s v="Kerala"/>
        <s v="Madhya Pradesh"/>
        <s v="Maharashtra"/>
        <s v="Arunachal Pradesh"/>
        <s v="Assam"/>
        <s v="Bihar"/>
        <s v="Chhattisgarh"/>
        <s v="Goa"/>
        <s v="Gujarat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1985" numFmtId="0">
      <sharedItems containsString="0" containsBlank="1" containsNumber="1" minValue="12.7" maxValue="4161" count="23">
        <n v="1722.6"/>
        <n v="770.7"/>
        <n v="233.2"/>
        <n v="868.9"/>
        <m/>
        <n v="1474.8"/>
        <n v="896"/>
        <n v="1725.8"/>
        <n v="3293.5"/>
        <n v="1038.2"/>
        <n v="1903.5"/>
        <n v="1794.8"/>
        <n v="78.5"/>
        <n v="35.9"/>
        <n v="59.7"/>
        <n v="1008.1"/>
        <n v="1262.2"/>
        <n v="1468.3"/>
        <n v="12.7"/>
        <n v="1510.3"/>
        <n v="80.099999999999994"/>
        <n v="4161"/>
        <n v="1920.7"/>
      </sharedItems>
    </cacheField>
    <cacheField name="1985-1990" numFmtId="0">
      <sharedItems containsString="0" containsBlank="1" containsNumber="1" minValue="39.5" maxValue="7766" count="24">
        <n v="3452"/>
        <n v="1298"/>
        <n v="733"/>
        <n v="1842"/>
        <m/>
        <n v="2704"/>
        <n v="2227"/>
        <n v="3396"/>
        <n v="6434"/>
        <n v="1649"/>
        <n v="3141"/>
        <n v="4077"/>
        <n v="144"/>
        <n v="39.5"/>
        <n v="129"/>
        <n v="267"/>
        <n v="2328"/>
        <n v="3619"/>
        <n v="3030"/>
        <n v="63"/>
        <n v="3052"/>
        <n v="265"/>
        <n v="7766"/>
        <n v="3031"/>
      </sharedItems>
    </cacheField>
    <cacheField name="1990-1995" numFmtId="0">
      <sharedItems containsString="0" containsBlank="1" containsNumber="1" minValue="15.9" maxValue="17547.400000000001" count="26">
        <n v="7843.4"/>
        <n v="2219"/>
        <n v="1586.4"/>
        <n v="1377.7"/>
        <m/>
        <n v="5629.2"/>
        <n v="4377.8"/>
        <n v="5279"/>
        <n v="10980.1"/>
        <n v="85.5"/>
        <n v="1723"/>
        <n v="7223.9"/>
        <n v="415.8"/>
        <n v="6666.3"/>
        <n v="168.6"/>
        <n v="329.4"/>
        <n v="15.9"/>
        <n v="748.8"/>
        <n v="4329.8999999999996"/>
        <n v="6923.3"/>
        <n v="5728.6"/>
        <n v="171.8"/>
        <n v="7029.3"/>
        <n v="423.5"/>
        <n v="17547.400000000001"/>
        <n v="7427.1"/>
      </sharedItems>
    </cacheField>
    <cacheField name="1995-2000" numFmtId="0">
      <sharedItems containsString="0" containsBlank="1" containsNumber="1" minValue="345.6" maxValue="40644" count="27">
        <n v="18338.099999999999"/>
        <n v="7585.9"/>
        <n v="4146.7"/>
        <n v="3099.4"/>
        <m/>
        <n v="12399.2"/>
        <n v="12807.9"/>
        <n v="13418.4"/>
        <n v="34715.300000000003"/>
        <n v="345.6"/>
        <n v="2812.1"/>
        <n v="11929.2"/>
        <n v="936"/>
        <n v="19689.400000000001"/>
        <n v="1221.7"/>
        <n v="557.9"/>
        <n v="631.6"/>
        <n v="1111.3"/>
        <n v="11462"/>
        <n v="12280.9"/>
        <n v="18144.900000000001"/>
        <n v="402.4"/>
        <n v="15982"/>
        <n v="760.1"/>
        <n v="40644"/>
        <n v="28876.400000000001"/>
        <n v="4313.1000000000004"/>
      </sharedItems>
    </cacheField>
    <cacheField name="2000-2005" numFmtId="0">
      <sharedItems containsString="0" containsBlank="1" containsNumber="1" minValue="367.3" maxValue="70713.5" count="29">
        <n v="37299"/>
        <n v="10614.8"/>
        <n v="9886.1"/>
        <n v="5154.5"/>
        <m/>
        <n v="23469.1"/>
        <n v="22127.200000000001"/>
        <n v="24231.5"/>
        <n v="70713.5"/>
        <n v="1334.8"/>
        <n v="7368.1"/>
        <n v="19154.599999999999"/>
        <n v="5413.2"/>
        <n v="2205.6999999999998"/>
        <n v="38438.400000000001"/>
        <n v="1564.7"/>
        <n v="1140.5"/>
        <n v="1657.7"/>
        <n v="1224.9000000000001"/>
        <n v="15049.5"/>
        <n v="22181.8"/>
        <n v="29691.599999999999"/>
        <n v="367.3"/>
        <n v="27715.4"/>
        <n v="2103.4"/>
        <n v="59227.6"/>
        <n v="5030.6000000000004"/>
        <n v="56814.3"/>
        <n v="9662.7000000000007"/>
      </sharedItems>
    </cacheField>
    <cacheField name="2005-2010" numFmtId="0">
      <sharedItems containsString="0" containsBlank="1" containsNumber="1" containsInteger="1" minValue="200" maxValue="72690" count="31">
        <n v="49150"/>
        <n v="17020"/>
        <n v="7250"/>
        <n v="10220"/>
        <n v="21930"/>
        <n v="33310"/>
        <n v="28320"/>
        <n v="20730"/>
        <n v="66520"/>
        <n v="960"/>
        <n v="770"/>
        <n v="16210"/>
        <n v="3320"/>
        <n v="3680"/>
        <n v="42280"/>
        <n v="1600"/>
        <n v="1140"/>
        <n v="1380"/>
        <n v="1730"/>
        <n v="740"/>
        <n v="24500"/>
        <n v="29800"/>
        <n v="710"/>
        <n v="30260"/>
        <m/>
        <n v="200"/>
        <n v="72690"/>
        <n v="9130"/>
        <n v="70940"/>
        <n v="8570"/>
        <n v="1960"/>
      </sharedItems>
    </cacheField>
    <cacheField name="2010-2016" numFmtId="0">
      <sharedItems containsString="0" containsBlank="1" containsNumber="1" containsInteger="1" minValue="1590" maxValue="146570" count="30">
        <n v="100650"/>
        <n v="65130"/>
        <n v="17560"/>
        <n v="28090"/>
        <n v="22460"/>
        <n v="93840"/>
        <n v="86180"/>
        <n v="60650"/>
        <n v="146570"/>
        <n v="6890"/>
        <n v="29880"/>
        <n v="71180"/>
        <n v="20720"/>
        <n v="8400"/>
        <n v="101440"/>
        <n v="2860"/>
        <n v="3540"/>
        <n v="4300"/>
        <n v="3970"/>
        <n v="24210"/>
        <n v="56070"/>
        <n v="75250"/>
        <n v="1590"/>
        <n v="130200"/>
        <m/>
        <n v="135540"/>
        <n v="15920"/>
        <n v="121590"/>
        <n v="8810"/>
        <n v="3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4854.85165196759" createdVersion="5" refreshedVersion="5" minRefreshableVersion="3" recordCount="31">
  <cacheSource type="worksheet">
    <worksheetSource name="Table4"/>
  </cacheSource>
  <cacheFields count="8">
    <cacheField name="State" numFmtId="0">
      <sharedItems count="31">
        <s v="Andhra Pradesh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Arunachal Pradesh"/>
        <s v="Assam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1985" numFmtId="0">
      <sharedItems containsString="0" containsBlank="1" containsNumber="1" containsInteger="1" minValue="363" maxValue="104699" count="26">
        <n v="55216"/>
        <n v="49499"/>
        <m/>
        <n v="2568"/>
        <n v="52559"/>
        <n v="22054"/>
        <n v="4972"/>
        <n v="7911"/>
        <n v="41832"/>
        <n v="27518"/>
        <n v="49516"/>
        <n v="104699"/>
        <n v="825"/>
        <n v="18861"/>
        <n v="1487"/>
        <n v="1327"/>
        <n v="474"/>
        <n v="898"/>
        <n v="23720"/>
        <n v="33261"/>
        <n v="32143"/>
        <n v="363"/>
        <n v="53122"/>
        <n v="1911"/>
        <n v="98272"/>
        <n v="67947"/>
      </sharedItems>
    </cacheField>
    <cacheField name="1985-1990" numFmtId="0">
      <sharedItems containsString="0" containsBlank="1" containsNumber="1" containsInteger="1" minValue="823" maxValue="200213" count="26">
        <n v="104294"/>
        <n v="91985"/>
        <m/>
        <n v="4388"/>
        <n v="93627"/>
        <n v="42342"/>
        <n v="9204"/>
        <n v="13764"/>
        <n v="77927"/>
        <n v="48520"/>
        <n v="92970"/>
        <n v="200213"/>
        <n v="1703"/>
        <n v="35534"/>
        <n v="2901"/>
        <n v="2724"/>
        <n v="1281"/>
        <n v="1998"/>
        <n v="42502"/>
        <n v="63258"/>
        <n v="60028"/>
        <n v="823"/>
        <n v="104187"/>
        <n v="3561"/>
        <n v="180785"/>
        <n v="122644"/>
      </sharedItems>
    </cacheField>
    <cacheField name="1990-1995" numFmtId="0">
      <sharedItems containsString="0" containsBlank="1" containsNumber="1" containsInteger="1" minValue="1603" maxValue="472153" count="26">
        <n v="245180"/>
        <n v="136619"/>
        <m/>
        <n v="9915"/>
        <n v="211654"/>
        <n v="95694"/>
        <n v="20564"/>
        <n v="25602"/>
        <n v="144631"/>
        <n v="131875"/>
        <n v="129397"/>
        <n v="472153"/>
        <n v="3741"/>
        <n v="68211"/>
        <n v="5613"/>
        <n v="6255"/>
        <n v="2789"/>
        <n v="5330"/>
        <n v="80815"/>
        <n v="132466"/>
        <n v="145226"/>
        <n v="1603"/>
        <n v="237521"/>
        <n v="7085"/>
        <n v="365357"/>
        <n v="233923"/>
      </sharedItems>
    </cacheField>
    <cacheField name="1995-2000" numFmtId="0">
      <sharedItems containsString="0" containsBlank="1" containsNumber="1" containsInteger="1" minValue="3475" maxValue="989826" count="31">
        <n v="509517"/>
        <n v="179893"/>
        <n v="133530"/>
        <n v="24610"/>
        <n v="464077"/>
        <n v="199101"/>
        <n v="48098"/>
        <n v="54582"/>
        <n v="383525"/>
        <n v="258078"/>
        <n v="312300"/>
        <n v="109549"/>
        <n v="989826"/>
        <n v="6860"/>
        <n v="123625"/>
        <n v="11373"/>
        <n v="13207"/>
        <n v="5928"/>
        <n v="11349"/>
        <n v="164424"/>
        <n v="254415"/>
        <n v="324790"/>
        <n v="3475"/>
        <n v="523386"/>
        <m/>
        <n v="17032"/>
        <n v="700600"/>
        <n v="47322"/>
        <n v="504798"/>
        <n v="206132"/>
        <n v="12069"/>
      </sharedItems>
    </cacheField>
    <cacheField name="2000-2005" numFmtId="0">
      <sharedItems containsString="0" containsBlank="1" containsNumber="1" containsInteger="1" minValue="6595" maxValue="1581030" count="31">
        <n v="793314"/>
        <n v="323819"/>
        <n v="195440"/>
        <n v="43968"/>
        <n v="747699"/>
        <n v="374873"/>
        <n v="96512"/>
        <n v="104564"/>
        <n v="532846"/>
        <n v="500923"/>
        <n v="474883"/>
        <n v="239607"/>
        <n v="1581030"/>
        <n v="11818"/>
        <n v="219237"/>
        <n v="19099"/>
        <n v="25041"/>
        <n v="10857"/>
        <n v="22489"/>
        <n v="278557"/>
        <n v="423465"/>
        <n v="502108"/>
        <n v="6595"/>
        <n v="848186"/>
        <m/>
        <n v="35057"/>
        <n v="1066449"/>
        <n v="94025"/>
        <n v="866784"/>
        <n v="376306"/>
        <n v="24246"/>
      </sharedItems>
    </cacheField>
    <cacheField name="2005-2010" numFmtId="0">
      <sharedItems containsSemiMixedTypes="0" containsString="0" containsNumber="1" containsInteger="1" minValue="16022" maxValue="3365801" count="31">
        <n v="1044741"/>
        <n v="602109"/>
        <n v="396847"/>
        <n v="104955"/>
        <n v="1656888"/>
        <n v="795335"/>
        <n v="181036"/>
        <n v="190949"/>
        <n v="400201"/>
        <n v="1341641"/>
        <n v="900550"/>
        <n v="855165"/>
        <n v="3365801"/>
        <n v="25834"/>
        <n v="372202"/>
        <n v="34291"/>
        <n v="49951"/>
        <n v="19914"/>
        <n v="41883"/>
        <n v="627646"/>
        <n v="759544"/>
        <n v="1004875"/>
        <n v="16022"/>
        <n v="1800247"/>
        <n v="780648"/>
        <n v="61513"/>
        <n v="1980594"/>
        <n v="239374"/>
        <n v="1532232"/>
        <n v="816057"/>
        <n v="47917"/>
      </sharedItems>
    </cacheField>
    <cacheField name="2010-2016" numFmtId="0">
      <sharedItems containsString="0" containsBlank="1" containsNumber="1" minValue="76623.530799999993" maxValue="5468183.5393000003" count="16">
        <n v="2714846.63"/>
        <n v="1837591.3241000001"/>
        <m/>
        <n v="1100551.08"/>
        <n v="4485081.2311000004"/>
        <n v="2445263.94"/>
        <n v="83099.458799999993"/>
        <n v="130680.50659999999"/>
        <n v="1597493.1328"/>
        <n v="76623.530799999993"/>
        <n v="5468183.5393000003"/>
        <n v="2594993.31"/>
        <n v="5288548.9970000004"/>
        <n v="827220.91"/>
        <n v="2487097.1926000002"/>
        <n v="121277.60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ll" refreshedDate="44854.853853356479" createdVersion="5" refreshedVersion="5" minRefreshableVersion="3" recordCount="31">
  <cacheSource type="worksheet">
    <worksheetSource name="Table5"/>
  </cacheSource>
  <cacheFields count="8">
    <cacheField name="State" numFmtId="0">
      <sharedItems count="31">
        <s v="Bihar"/>
        <s v="Chhattisgarh"/>
        <s v="Goa"/>
        <s v="Gujarat"/>
        <s v="Arunachal Pradesh"/>
        <s v="Assam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  <s v="Haryana"/>
        <s v="Himachal Pradesh"/>
        <s v="Jammu &amp; Kashmir"/>
        <s v="Jharkhand"/>
        <s v="Karnataka"/>
        <s v="Kerala"/>
        <s v="Madhya Pradesh"/>
        <s v="Maharashtra"/>
        <s v="Andhra Pradesh"/>
      </sharedItems>
    </cacheField>
    <cacheField name="1980-1985" numFmtId="0">
      <sharedItems containsString="0" containsBlank="1" containsNumber="1" containsInteger="1" minValue="18" maxValue="7951" count="23">
        <n v="1903"/>
        <m/>
        <n v="3814"/>
        <n v="589"/>
        <n v="22"/>
        <n v="40"/>
        <n v="36"/>
        <n v="895"/>
        <n v="2383"/>
        <n v="1860"/>
        <n v="18"/>
        <n v="4936"/>
        <n v="31"/>
        <n v="4529"/>
        <n v="3474"/>
        <n v="1634"/>
        <n v="239"/>
        <n v="310"/>
        <n v="3425"/>
        <n v="2258"/>
        <n v="2776"/>
        <n v="7951"/>
        <n v="4232"/>
      </sharedItems>
    </cacheField>
    <cacheField name="1985-1990" numFmtId="0">
      <sharedItems containsString="0" containsBlank="1" containsNumber="1" containsInteger="1" minValue="46" maxValue="16612" count="23">
        <n v="3752"/>
        <m/>
        <n v="7896"/>
        <n v="1341"/>
        <n v="53"/>
        <n v="112"/>
        <n v="66"/>
        <n v="1979"/>
        <n v="4658"/>
        <n v="3961"/>
        <n v="46"/>
        <n v="9550"/>
        <n v="75"/>
        <n v="9324"/>
        <n v="7465"/>
        <n v="3437"/>
        <n v="529"/>
        <n v="616"/>
        <n v="7328"/>
        <n v="4769"/>
        <n v="5836"/>
        <n v="16612"/>
        <n v="9323"/>
      </sharedItems>
    </cacheField>
    <cacheField name="1990-1995" numFmtId="0">
      <sharedItems containsString="0" containsBlank="1" containsNumber="1" containsInteger="1" minValue="10" maxValue="34780" count="26">
        <n v="7600"/>
        <m/>
        <n v="760"/>
        <n v="17430"/>
        <n v="10"/>
        <n v="2690"/>
        <n v="90"/>
        <n v="230"/>
        <n v="30"/>
        <n v="100"/>
        <n v="3880"/>
        <n v="9340"/>
        <n v="8760"/>
        <n v="50"/>
        <n v="21640"/>
        <n v="170"/>
        <n v="19560"/>
        <n v="13830"/>
        <n v="7300"/>
        <n v="1130"/>
        <n v="1000"/>
        <n v="16430"/>
        <n v="10040"/>
        <n v="11750"/>
        <n v="34780"/>
        <n v="17160"/>
      </sharedItems>
    </cacheField>
    <cacheField name="1995-2000" numFmtId="0">
      <sharedItems containsString="0" containsBlank="1" containsNumber="1" containsInteger="1" minValue="50" maxValue="67840" count="26">
        <n v="12920"/>
        <m/>
        <n v="1760"/>
        <n v="33760"/>
        <n v="50"/>
        <n v="4560"/>
        <n v="150"/>
        <n v="410"/>
        <n v="160"/>
        <n v="7080"/>
        <n v="15640"/>
        <n v="17930"/>
        <n v="130"/>
        <n v="44370"/>
        <n v="360"/>
        <n v="36090"/>
        <n v="22790"/>
        <n v="14100"/>
        <n v="13320"/>
        <n v="2420"/>
        <n v="1970"/>
        <n v="32130"/>
        <n v="21620"/>
        <n v="23090"/>
        <n v="67840"/>
        <n v="33080"/>
      </sharedItems>
    </cacheField>
    <cacheField name="2000-2005" numFmtId="0">
      <sharedItems containsString="0" containsBlank="1" containsNumber="1" containsInteger="1" minValue="130" maxValue="119590" count="28">
        <n v="14840"/>
        <n v="10890"/>
        <n v="3260"/>
        <n v="51950"/>
        <n v="180"/>
        <n v="9700"/>
        <n v="320"/>
        <n v="800"/>
        <n v="130"/>
        <n v="15000"/>
        <n v="28530"/>
        <n v="32890"/>
        <n v="490"/>
        <n v="74930"/>
        <m/>
        <n v="930"/>
        <n v="63370"/>
        <n v="4880"/>
        <n v="38170"/>
        <n v="27610"/>
        <n v="28620"/>
        <n v="4770"/>
        <n v="5140"/>
        <n v="57970"/>
        <n v="36140"/>
        <n v="31070"/>
        <n v="119590"/>
        <n v="65790"/>
      </sharedItems>
    </cacheField>
    <cacheField name="2005-2010" numFmtId="0">
      <sharedItems containsString="0" containsBlank="1" containsNumber="1" containsInteger="1" minValue="410" maxValue="232310" count="30">
        <n v="26940"/>
        <n v="28430"/>
        <n v="7200"/>
        <n v="106360"/>
        <n v="550"/>
        <n v="19210"/>
        <n v="730"/>
        <n v="1680"/>
        <n v="410"/>
        <n v="700"/>
        <n v="34910"/>
        <n v="51100"/>
        <n v="66120"/>
        <n v="920"/>
        <n v="150950"/>
        <m/>
        <n v="1980"/>
        <n v="129360"/>
        <n v="13640"/>
        <n v="66540"/>
        <n v="56510"/>
        <n v="3300"/>
        <n v="9930"/>
        <n v="11650"/>
        <n v="20210"/>
        <n v="126150"/>
        <n v="69010"/>
        <n v="62490"/>
        <n v="232310"/>
        <n v="140470"/>
      </sharedItems>
    </cacheField>
    <cacheField name="2010-2016" numFmtId="0">
      <sharedItems containsString="0" containsBlank="1" containsNumber="1" containsInteger="1" minValue="1360" maxValue="624230" count="31">
        <n v="115230"/>
        <n v="85310"/>
        <n v="19580"/>
        <n v="321350"/>
        <n v="2280"/>
        <n v="54450"/>
        <n v="2700"/>
        <n v="5320"/>
        <n v="1360"/>
        <n v="1990"/>
        <n v="97100"/>
        <n v="140250"/>
        <n v="197010"/>
        <n v="2600"/>
        <n v="434120"/>
        <m/>
        <n v="6110"/>
        <n v="386530"/>
        <n v="41460"/>
        <n v="201270"/>
        <n v="148130"/>
        <n v="11280"/>
        <n v="149170"/>
        <n v="29540"/>
        <n v="34780"/>
        <n v="58530"/>
        <n v="346300"/>
        <n v="193230"/>
        <n v="195160"/>
        <n v="624230"/>
        <n v="3053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ell" refreshedDate="44854.856302083332" createdVersion="5" refreshedVersion="5" minRefreshableVersion="3" recordCount="31">
  <cacheSource type="worksheet">
    <worksheetSource name="Table6"/>
  </cacheSource>
  <cacheFields count="8">
    <cacheField name="State" numFmtId="0">
      <sharedItems count="31">
        <s v="Arunachal Pradesh"/>
        <s v="Assam"/>
        <s v="Haryana"/>
        <s v="Himachal Pradesh"/>
        <s v="Jammu &amp; Kashmir"/>
        <s v="Jharkhand"/>
        <s v="Karnataka"/>
        <s v="Kerala"/>
        <s v="Madhya Pradesh"/>
        <s v="Maharashtra"/>
        <s v="Andhra Pradesh"/>
        <s v="Bihar"/>
        <s v="Chhattisgarh"/>
        <s v="Goa"/>
        <s v="Gujarat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</sharedItems>
    </cacheField>
    <cacheField name="1980-1985" numFmtId="0">
      <sharedItems containsString="0" containsBlank="1" containsNumber="1" minValue="-790.5" maxValue="931.3" count="23">
        <m/>
        <n v="188.7"/>
        <n v="-259.8"/>
        <n v="-205.2"/>
        <n v="131.1"/>
        <n v="-194.5"/>
        <n v="-22.9"/>
        <n v="-790.5"/>
        <n v="-337.3"/>
        <n v="-59"/>
        <n v="-193.1"/>
        <n v="-515.9"/>
        <n v="-133.30000000000001"/>
        <n v="-105.7"/>
        <n v="-99.6"/>
        <n v="-12.4"/>
        <n v="-233"/>
        <n v="-122.6"/>
        <n v="-52.8"/>
        <n v="-380.5"/>
        <n v="-98.4"/>
        <n v="-475.7"/>
        <n v="931.3"/>
      </sharedItems>
    </cacheField>
    <cacheField name="1985-1990" numFmtId="0">
      <sharedItems containsString="0" containsBlank="1" containsNumber="1" minValue="-1077.2" maxValue="1385.9" count="24">
        <m/>
        <n v="227.4"/>
        <n v="-189.2"/>
        <n v="-88"/>
        <n v="245.3"/>
        <n v="301.39999999999998"/>
        <n v="835.1"/>
        <n v="1.4"/>
        <n v="858.1"/>
        <n v="364.5"/>
        <n v="-1077.2"/>
        <n v="917.7"/>
        <n v="-290.39999999999998"/>
        <n v="-299.7"/>
        <n v="-75.5"/>
        <n v="-113"/>
        <n v="367.9"/>
        <n v="596.79999999999995"/>
        <n v="666.7"/>
        <n v="-129.1"/>
        <n v="744.6"/>
        <n v="-125.3"/>
        <n v="1385.9"/>
        <n v="834.3"/>
      </sharedItems>
    </cacheField>
    <cacheField name="1990-1995" numFmtId="0">
      <sharedItems containsString="0" containsBlank="1" containsNumber="1" minValue="-1441.3" maxValue="6118.8" count="26">
        <n v="-735.6"/>
        <n v="-395.2"/>
        <n v="363.6"/>
        <n v="372.3"/>
        <n v="-1441.3"/>
        <m/>
        <n v="607.4"/>
        <n v="1894.9"/>
        <n v="597.79999999999995"/>
        <n v="903.9"/>
        <n v="946.5"/>
        <n v="3680"/>
        <n v="-95.6"/>
        <n v="1219.7"/>
        <n v="-468.6"/>
        <n v="-187.2"/>
        <n v="-442.1"/>
        <n v="149.9"/>
        <n v="1077"/>
        <n v="3169.4"/>
        <n v="618.5"/>
        <n v="-144.1"/>
        <n v="5091"/>
        <n v="-103.1"/>
        <n v="6118.8"/>
        <n v="3853"/>
      </sharedItems>
    </cacheField>
    <cacheField name="1995-2000" numFmtId="0">
      <sharedItems containsString="0" containsBlank="1" containsNumber="1" minValue="-3913.6" maxValue="26092.5" count="27">
        <n v="-1001.6"/>
        <n v="542.9"/>
        <n v="4510.3999999999996"/>
        <n v="1962.5"/>
        <n v="-1398.5"/>
        <m/>
        <n v="4333.8999999999996"/>
        <n v="7822.9"/>
        <n v="8198.6"/>
        <n v="12974.3"/>
        <n v="8558.6"/>
        <n v="6459"/>
        <n v="309.39999999999998"/>
        <n v="8311.4"/>
        <n v="-59.2"/>
        <n v="-261.8"/>
        <n v="-272.5"/>
        <n v="115.9"/>
        <n v="7380.8"/>
        <n v="8647.2999999999993"/>
        <n v="8785.9"/>
        <n v="-87.1"/>
        <n v="10615.7"/>
        <n v="-364.3"/>
        <n v="26092.5"/>
        <n v="19823"/>
        <n v="-3913.6"/>
      </sharedItems>
    </cacheField>
    <cacheField name="2000-2005" numFmtId="0">
      <sharedItems containsString="0" containsBlank="1" containsNumber="1" minValue="-10021.1" maxValue="43736.6" count="29">
        <n v="-332.9"/>
        <n v="2956.9"/>
        <n v="2880.5"/>
        <n v="6438.1"/>
        <n v="-3615.9"/>
        <m/>
        <n v="6679.7"/>
        <n v="17223.7"/>
        <n v="8415.1"/>
        <n v="43736.6"/>
        <n v="15050.4"/>
        <n v="7790.6"/>
        <n v="875.3"/>
        <n v="884.5"/>
        <n v="24342.7"/>
        <n v="286.5"/>
        <n v="-138.1"/>
        <n v="372.8"/>
        <n v="-639.5"/>
        <n v="8275.4"/>
        <n v="16825.2"/>
        <n v="15930.3"/>
        <n v="-769.2"/>
        <n v="13293.7"/>
        <n v="-377.4"/>
        <n v="43164.1"/>
        <n v="2257"/>
        <n v="42449.4"/>
        <n v="-10021.1"/>
      </sharedItems>
    </cacheField>
    <cacheField name="2005-2010" numFmtId="0">
      <sharedItems containsString="0" containsBlank="1" containsNumber="1" containsInteger="1" minValue="-25048" maxValue="60161" count="31">
        <n v="-3200"/>
        <n v="-8780"/>
        <n v="1313"/>
        <n v="-203"/>
        <n v="-13756"/>
        <n v="887"/>
        <n v="-13489"/>
        <n v="18282"/>
        <n v="-18013"/>
        <n v="-9341"/>
        <n v="-5132"/>
        <n v="-14634"/>
        <n v="-9827"/>
        <n v="-255"/>
        <n v="3519"/>
        <n v="-4178"/>
        <n v="-885"/>
        <n v="-1049"/>
        <n v="-2161"/>
        <n v="-11546"/>
        <n v="15924"/>
        <n v="3949"/>
        <n v="-1677"/>
        <n v="-7064"/>
        <m/>
        <n v="-4748"/>
        <n v="-15992"/>
        <n v="-529"/>
        <n v="60161"/>
        <n v="-25048"/>
        <n v="451"/>
      </sharedItems>
    </cacheField>
    <cacheField name="2010-2016" numFmtId="0">
      <sharedItems containsString="0" containsBlank="1" containsNumber="1" containsInteger="1" minValue="-92270" maxValue="74940" count="31">
        <n v="-4950"/>
        <n v="-3180"/>
        <n v="31590"/>
        <n v="3610"/>
        <n v="-13630"/>
        <n v="-13880"/>
        <n v="-12160"/>
        <n v="50450"/>
        <n v="-42050"/>
        <n v="21370"/>
        <n v="14470"/>
        <n v="-30150"/>
        <n v="-15010"/>
        <n v="-850"/>
        <n v="-22120"/>
        <n v="-6720"/>
        <n v="-3330"/>
        <n v="-270"/>
        <n v="-3580"/>
        <n v="-27030"/>
        <n v="38680"/>
        <n v="-3160"/>
        <n v="-4050"/>
        <n v="9560"/>
        <m/>
        <n v="-11780"/>
        <n v="-92270"/>
        <n v="-5800"/>
        <n v="74940"/>
        <n v="-39840"/>
        <n v="7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ell" refreshedDate="44854.858030439813" createdVersion="5" refreshedVersion="5" minRefreshableVersion="3" recordCount="31">
  <cacheSource type="worksheet">
    <worksheetSource name="Table7"/>
  </cacheSource>
  <cacheFields count="8">
    <cacheField name="State" numFmtId="0">
      <sharedItems count="31"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</sharedItems>
    </cacheField>
    <cacheField name="1980-1985" numFmtId="0">
      <sharedItems containsString="0" containsBlank="1" containsNumber="1" containsInteger="1" minValue="206" maxValue="13844" count="23">
        <n v="487"/>
        <n v="436"/>
        <m/>
        <n v="649"/>
        <n v="3620"/>
        <n v="3615"/>
        <n v="4868"/>
        <n v="206"/>
        <n v="8209"/>
        <n v="573"/>
        <n v="12039"/>
        <n v="7939"/>
        <n v="8559"/>
        <n v="2765"/>
        <n v="6572"/>
        <n v="6352"/>
        <n v="2838"/>
        <n v="1291"/>
        <n v="1826"/>
        <n v="6437"/>
        <n v="4337"/>
        <n v="6817"/>
        <n v="13844"/>
      </sharedItems>
    </cacheField>
    <cacheField name="1985-1990" numFmtId="0">
      <sharedItems containsString="0" containsBlank="1" containsNumber="1" containsInteger="1" minValue="486" maxValue="29419" count="24">
        <n v="1146"/>
        <n v="965"/>
        <n v="895"/>
        <n v="1532"/>
        <n v="7162"/>
        <n v="7888"/>
        <n v="11183"/>
        <n v="486"/>
        <n v="17095"/>
        <m/>
        <n v="1517"/>
        <n v="27042"/>
        <n v="15432"/>
        <n v="18428"/>
        <n v="6522"/>
        <n v="14150"/>
        <n v="14623"/>
        <n v="6254"/>
        <n v="3035"/>
        <n v="4156"/>
        <n v="13455"/>
        <n v="9240"/>
        <n v="15085"/>
        <n v="29419"/>
      </sharedItems>
    </cacheField>
    <cacheField name="1990-1995" numFmtId="0">
      <sharedItems containsString="0" containsBlank="1" containsNumber="1" containsInteger="1" minValue="1178" maxValue="61305" count="25">
        <n v="2029"/>
        <n v="1883"/>
        <n v="2840"/>
        <n v="15393"/>
        <n v="20227"/>
        <n v="25202"/>
        <n v="1178"/>
        <n v="41257"/>
        <m/>
        <n v="2944"/>
        <n v="61305"/>
        <n v="30653"/>
        <n v="36679"/>
        <n v="1724"/>
        <n v="12691"/>
        <n v="32247"/>
        <n v="1895"/>
        <n v="30009"/>
        <n v="16260"/>
        <n v="5997"/>
        <n v="8644"/>
        <n v="27990"/>
        <n v="19056"/>
        <n v="31651"/>
        <n v="58271"/>
      </sharedItems>
    </cacheField>
    <cacheField name="1995-2000" numFmtId="0">
      <sharedItems containsString="0" containsBlank="1" containsNumber="1" containsInteger="1" minValue="3342" maxValue="116112" count="27">
        <n v="4271"/>
        <n v="3625"/>
        <n v="3433"/>
        <n v="4943"/>
        <n v="30630"/>
        <n v="38975"/>
        <n v="50750"/>
        <n v="6264"/>
        <n v="77352"/>
        <m/>
        <n v="5391"/>
        <n v="113782"/>
        <n v="64051"/>
        <n v="12594"/>
        <n v="74532"/>
        <n v="3342"/>
        <n v="21448"/>
        <n v="52418"/>
        <n v="5421"/>
        <n v="64291"/>
        <n v="32717"/>
        <n v="13906"/>
        <n v="19859"/>
        <n v="57250"/>
        <n v="41649"/>
        <n v="62673"/>
        <n v="116112"/>
      </sharedItems>
    </cacheField>
    <cacheField name="2000-2005" numFmtId="0">
      <sharedItems containsString="0" containsBlank="1" containsNumber="1" containsInteger="1" minValue="5872" maxValue="209884" count="29">
        <n v="6998"/>
        <n v="6352"/>
        <n v="5963"/>
        <n v="7875"/>
        <n v="51955"/>
        <n v="72148"/>
        <n v="86754"/>
        <n v="7214"/>
        <n v="123423"/>
        <m/>
        <n v="9753"/>
        <n v="190583"/>
        <n v="16821"/>
        <n v="122563"/>
        <n v="24253"/>
        <n v="134990"/>
        <n v="5872"/>
        <n v="39055"/>
        <n v="70200"/>
        <n v="25759"/>
        <n v="9517"/>
        <n v="112455"/>
        <n v="46704"/>
        <n v="25474"/>
        <n v="34005"/>
        <n v="100322"/>
        <n v="70961"/>
        <n v="80706"/>
        <n v="209884"/>
      </sharedItems>
    </cacheField>
    <cacheField name="2005-2010" numFmtId="0">
      <sharedItems containsString="0" containsBlank="1" containsNumber="1" minValue="10229.49" maxValue="349054.88" count="31">
        <n v="12349.68"/>
        <n v="11701.15"/>
        <n v="10229.49"/>
        <n v="12996.95"/>
        <n v="96959.58"/>
        <n v="111789.93"/>
        <n v="150008.79999999999"/>
        <n v="11036.66"/>
        <n v="226214.61"/>
        <m/>
        <n v="15012.24"/>
        <n v="332881.49"/>
        <n v="38395.839999999997"/>
        <n v="213705.2"/>
        <n v="49704.43"/>
        <n v="11575.95"/>
        <n v="255639.15"/>
        <n v="12395.42"/>
        <n v="70212.490000000005"/>
        <n v="123001.74"/>
        <n v="58158.14"/>
        <n v="15089.89"/>
        <n v="175616.73"/>
        <n v="92321.11"/>
        <n v="42991.14"/>
        <n v="59022.79"/>
        <n v="66792.42"/>
        <n v="188047.21"/>
        <n v="123497.24"/>
        <n v="133937.78"/>
        <n v="349054.88"/>
      </sharedItems>
    </cacheField>
    <cacheField name="2010-2016" numFmtId="0">
      <sharedItems containsSemiMixedTypes="0" containsString="0" containsNumber="1" minValue="21761.93" maxValue="93777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dell" refreshedDate="44854.859912037035" createdVersion="5" refreshedVersion="5" minRefreshableVersion="3" recordCount="31">
  <cacheSource type="worksheet">
    <worksheetSource name="Table8"/>
  </cacheSource>
  <cacheFields count="8">
    <cacheField name="State" numFmtId="0">
      <sharedItems count="31">
        <s v="Bihar"/>
        <s v="Chhattisgarh"/>
        <s v="Goa"/>
        <s v="Gujarat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s v="Delhi"/>
        <s v="Puducherry"/>
        <s v="Arunachal Pradesh"/>
        <s v="Assam"/>
        <s v="Andhra Pradesh"/>
        <s v="Haryana"/>
        <s v="Himachal Pradesh"/>
        <s v="Jammu &amp; Kashmir"/>
        <s v="Jharkhand"/>
        <s v="Karnataka"/>
        <s v="Kerala"/>
        <s v="Madhya Pradesh"/>
        <s v="Maharashtra"/>
      </sharedItems>
    </cacheField>
    <cacheField name="1980-1985" numFmtId="0">
      <sharedItems containsString="0" containsBlank="1" containsNumber="1" containsInteger="1" minValue="67" maxValue="5348" count="23">
        <n v="3158"/>
        <m/>
        <n v="3031"/>
        <n v="258"/>
        <n v="213"/>
        <n v="250"/>
        <n v="1765"/>
        <n v="1566"/>
        <n v="2415"/>
        <n v="67"/>
        <n v="3812"/>
        <n v="267"/>
        <n v="5124"/>
        <n v="4097"/>
        <n v="1283"/>
        <n v="4108"/>
        <n v="1068"/>
        <n v="642"/>
        <n v="802"/>
        <n v="2416"/>
        <n v="2431"/>
        <n v="2850"/>
        <n v="5348"/>
      </sharedItems>
    </cacheField>
    <cacheField name="1985-1990" numFmtId="0">
      <sharedItems containsString="0" containsBlank="1" containsNumber="1" containsInteger="1" minValue="234" maxValue="13434" count="24">
        <n v="7891"/>
        <m/>
        <n v="7151"/>
        <n v="615"/>
        <n v="489"/>
        <n v="459"/>
        <n v="679"/>
        <n v="3750"/>
        <n v="3564"/>
        <n v="5995"/>
        <n v="234"/>
        <n v="8998"/>
        <n v="861"/>
        <n v="12802"/>
        <n v="8298"/>
        <n v="3241"/>
        <n v="9693"/>
        <n v="2562"/>
        <n v="1567"/>
        <n v="2043"/>
        <n v="6496"/>
        <n v="5142"/>
        <n v="7534"/>
        <n v="13434"/>
      </sharedItems>
    </cacheField>
    <cacheField name="1990-1995" numFmtId="0">
      <sharedItems containsString="0" containsBlank="1" containsNumber="1" containsInteger="1" minValue="406" maxValue="26881" count="26">
        <n v="15555"/>
        <m/>
        <n v="974"/>
        <n v="12910"/>
        <n v="983"/>
        <n v="1001"/>
        <n v="977"/>
        <n v="1153"/>
        <n v="7526"/>
        <n v="6014"/>
        <n v="12369"/>
        <n v="406"/>
        <n v="19148"/>
        <n v="1518"/>
        <n v="25970"/>
        <n v="15437"/>
        <n v="852"/>
        <n v="6118"/>
        <n v="17708"/>
        <n v="4909"/>
        <n v="2872"/>
        <n v="4167"/>
        <n v="13210"/>
        <n v="9310"/>
        <n v="15485"/>
        <n v="26881"/>
      </sharedItems>
    </cacheField>
    <cacheField name="1995-2000" numFmtId="0">
      <sharedItems containsString="0" containsBlank="1" containsNumber="1" containsInteger="1" minValue="1004" maxValue="52416" count="27">
        <n v="25877"/>
        <m/>
        <n v="1784"/>
        <n v="26867"/>
        <n v="2103"/>
        <n v="1832"/>
        <n v="1840"/>
        <n v="1981"/>
        <n v="15426"/>
        <n v="11018"/>
        <n v="25263"/>
        <n v="1004"/>
        <n v="35024"/>
        <n v="2989"/>
        <n v="45385"/>
        <n v="30232"/>
        <n v="9828"/>
        <n v="1618"/>
        <n v="10206"/>
        <n v="36308"/>
        <n v="10201"/>
        <n v="6371"/>
        <n v="7461"/>
        <n v="26061"/>
        <n v="20237"/>
        <n v="29609"/>
        <n v="52416"/>
      </sharedItems>
    </cacheField>
    <cacheField name="2000-2005" numFmtId="0">
      <sharedItems containsString="0" containsBlank="1" containsNumber="1" containsInteger="1" minValue="1806" maxValue="85895" count="29">
        <n v="32797"/>
        <n v="13102"/>
        <n v="3171"/>
        <n v="46006"/>
        <n v="3037"/>
        <n v="3094"/>
        <n v="2908"/>
        <n v="2969"/>
        <n v="21355"/>
        <n v="17879"/>
        <n v="42059"/>
        <n v="1806"/>
        <n v="53673"/>
        <m/>
        <n v="4922"/>
        <n v="67448"/>
        <n v="7737"/>
        <n v="46407"/>
        <n v="17213"/>
        <n v="2465"/>
        <n v="17829"/>
        <n v="59249"/>
        <n v="16187"/>
        <n v="10524"/>
        <n v="12480"/>
        <n v="40832"/>
        <n v="29780"/>
        <n v="34373"/>
        <n v="85895"/>
      </sharedItems>
    </cacheField>
    <cacheField name="2005-2010" numFmtId="0">
      <sharedItems containsString="0" containsBlank="1" containsNumber="1" containsInteger="1" minValue="3541" maxValue="166125" count="31">
        <n v="67815"/>
        <n v="37499"/>
        <n v="6264"/>
        <n v="80342"/>
        <n v="6149"/>
        <n v="5299"/>
        <n v="5080"/>
        <n v="5061"/>
        <n v="43319"/>
        <n v="27719"/>
        <n v="79193"/>
        <n v="3541"/>
        <n v="107452"/>
        <m/>
        <n v="7586"/>
        <n v="160939"/>
        <n v="19543"/>
        <n v="87949"/>
        <n v="36488"/>
        <n v="4954"/>
        <n v="5588"/>
        <n v="31648"/>
        <n v="119745"/>
        <n v="40860"/>
        <n v="19354"/>
        <n v="25996"/>
        <n v="41442"/>
        <n v="89266"/>
        <n v="46613"/>
        <n v="65003"/>
        <n v="166125"/>
      </sharedItems>
    </cacheField>
    <cacheField name="2010-2016" numFmtId="0">
      <sharedItems containsString="0" containsBlank="1" containsNumber="1" containsInteger="1" minValue="9970" maxValue="473530" count="31">
        <n v="232300"/>
        <n v="132350"/>
        <n v="18290"/>
        <n v="248760"/>
        <n v="15980"/>
        <n v="19270"/>
        <n v="13760"/>
        <n v="14430"/>
        <n v="150170"/>
        <n v="80280"/>
        <n v="253550"/>
        <n v="9970"/>
        <n v="319520"/>
        <m/>
        <n v="24150"/>
        <n v="472800"/>
        <n v="61220"/>
        <n v="273700"/>
        <n v="94030"/>
        <n v="11620"/>
        <n v="16430"/>
        <n v="104330"/>
        <n v="286310"/>
        <n v="124460"/>
        <n v="47890"/>
        <n v="62840"/>
        <n v="98650"/>
        <n v="254670"/>
        <n v="145930"/>
        <n v="236510"/>
        <n v="4735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4"/>
    <x v="4"/>
    <x v="4"/>
    <x v="4"/>
    <x v="4"/>
  </r>
  <r>
    <x v="5"/>
    <x v="5"/>
    <x v="5"/>
    <x v="5"/>
    <x v="5"/>
    <x v="5"/>
    <x v="5"/>
    <x v="5"/>
  </r>
  <r>
    <x v="6"/>
    <x v="6"/>
    <x v="6"/>
    <x v="6"/>
    <x v="6"/>
    <x v="6"/>
    <x v="6"/>
    <x v="6"/>
  </r>
  <r>
    <x v="7"/>
    <x v="7"/>
    <x v="7"/>
    <x v="7"/>
    <x v="7"/>
    <x v="7"/>
    <x v="7"/>
    <x v="7"/>
  </r>
  <r>
    <x v="8"/>
    <x v="8"/>
    <x v="8"/>
    <x v="8"/>
    <x v="8"/>
    <x v="8"/>
    <x v="8"/>
    <x v="8"/>
  </r>
  <r>
    <x v="9"/>
    <x v="9"/>
    <x v="9"/>
    <x v="9"/>
    <x v="9"/>
    <x v="9"/>
    <x v="9"/>
    <x v="9"/>
  </r>
  <r>
    <x v="10"/>
    <x v="4"/>
    <x v="4"/>
    <x v="4"/>
    <x v="4"/>
    <x v="10"/>
    <x v="10"/>
    <x v="10"/>
  </r>
  <r>
    <x v="11"/>
    <x v="4"/>
    <x v="4"/>
    <x v="10"/>
    <x v="10"/>
    <x v="11"/>
    <x v="11"/>
    <x v="11"/>
  </r>
  <r>
    <x v="12"/>
    <x v="10"/>
    <x v="10"/>
    <x v="11"/>
    <x v="11"/>
    <x v="12"/>
    <x v="12"/>
    <x v="12"/>
  </r>
  <r>
    <x v="13"/>
    <x v="4"/>
    <x v="4"/>
    <x v="12"/>
    <x v="12"/>
    <x v="13"/>
    <x v="13"/>
    <x v="13"/>
  </r>
  <r>
    <x v="14"/>
    <x v="11"/>
    <x v="11"/>
    <x v="13"/>
    <x v="13"/>
    <x v="14"/>
    <x v="14"/>
    <x v="14"/>
  </r>
  <r>
    <x v="15"/>
    <x v="12"/>
    <x v="12"/>
    <x v="14"/>
    <x v="14"/>
    <x v="15"/>
    <x v="15"/>
    <x v="15"/>
  </r>
  <r>
    <x v="16"/>
    <x v="13"/>
    <x v="13"/>
    <x v="15"/>
    <x v="15"/>
    <x v="16"/>
    <x v="16"/>
    <x v="16"/>
  </r>
  <r>
    <x v="17"/>
    <x v="4"/>
    <x v="14"/>
    <x v="16"/>
    <x v="16"/>
    <x v="17"/>
    <x v="17"/>
    <x v="17"/>
  </r>
  <r>
    <x v="18"/>
    <x v="14"/>
    <x v="15"/>
    <x v="17"/>
    <x v="17"/>
    <x v="18"/>
    <x v="18"/>
    <x v="18"/>
  </r>
  <r>
    <x v="19"/>
    <x v="15"/>
    <x v="16"/>
    <x v="18"/>
    <x v="18"/>
    <x v="19"/>
    <x v="19"/>
    <x v="19"/>
  </r>
  <r>
    <x v="20"/>
    <x v="16"/>
    <x v="17"/>
    <x v="19"/>
    <x v="19"/>
    <x v="20"/>
    <x v="20"/>
    <x v="20"/>
  </r>
  <r>
    <x v="21"/>
    <x v="17"/>
    <x v="18"/>
    <x v="20"/>
    <x v="20"/>
    <x v="21"/>
    <x v="21"/>
    <x v="21"/>
  </r>
  <r>
    <x v="22"/>
    <x v="18"/>
    <x v="19"/>
    <x v="21"/>
    <x v="21"/>
    <x v="22"/>
    <x v="22"/>
    <x v="22"/>
  </r>
  <r>
    <x v="23"/>
    <x v="19"/>
    <x v="20"/>
    <x v="22"/>
    <x v="22"/>
    <x v="23"/>
    <x v="23"/>
    <x v="23"/>
  </r>
  <r>
    <x v="24"/>
    <x v="4"/>
    <x v="4"/>
    <x v="4"/>
    <x v="4"/>
    <x v="4"/>
    <x v="24"/>
    <x v="24"/>
  </r>
  <r>
    <x v="25"/>
    <x v="20"/>
    <x v="21"/>
    <x v="23"/>
    <x v="23"/>
    <x v="24"/>
    <x v="25"/>
    <x v="25"/>
  </r>
  <r>
    <x v="26"/>
    <x v="21"/>
    <x v="22"/>
    <x v="24"/>
    <x v="24"/>
    <x v="25"/>
    <x v="26"/>
    <x v="26"/>
  </r>
  <r>
    <x v="27"/>
    <x v="4"/>
    <x v="4"/>
    <x v="4"/>
    <x v="4"/>
    <x v="26"/>
    <x v="27"/>
    <x v="27"/>
  </r>
  <r>
    <x v="28"/>
    <x v="22"/>
    <x v="23"/>
    <x v="25"/>
    <x v="25"/>
    <x v="27"/>
    <x v="28"/>
    <x v="28"/>
  </r>
  <r>
    <x v="29"/>
    <x v="4"/>
    <x v="4"/>
    <x v="4"/>
    <x v="26"/>
    <x v="28"/>
    <x v="29"/>
    <x v="29"/>
  </r>
  <r>
    <x v="30"/>
    <x v="4"/>
    <x v="4"/>
    <x v="4"/>
    <x v="4"/>
    <x v="4"/>
    <x v="30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0"/>
    <x v="0"/>
    <x v="4"/>
    <x v="4"/>
    <x v="4"/>
    <x v="4"/>
    <x v="4"/>
  </r>
  <r>
    <x v="5"/>
    <x v="0"/>
    <x v="0"/>
    <x v="5"/>
    <x v="5"/>
    <x v="5"/>
    <x v="5"/>
    <x v="5"/>
  </r>
  <r>
    <x v="6"/>
    <x v="4"/>
    <x v="4"/>
    <x v="6"/>
    <x v="6"/>
    <x v="6"/>
    <x v="6"/>
    <x v="6"/>
  </r>
  <r>
    <x v="7"/>
    <x v="5"/>
    <x v="5"/>
    <x v="7"/>
    <x v="7"/>
    <x v="7"/>
    <x v="7"/>
    <x v="7"/>
  </r>
  <r>
    <x v="8"/>
    <x v="6"/>
    <x v="6"/>
    <x v="8"/>
    <x v="8"/>
    <x v="8"/>
    <x v="8"/>
    <x v="8"/>
  </r>
  <r>
    <x v="9"/>
    <x v="7"/>
    <x v="7"/>
    <x v="9"/>
    <x v="9"/>
    <x v="9"/>
    <x v="9"/>
    <x v="9"/>
  </r>
  <r>
    <x v="10"/>
    <x v="0"/>
    <x v="0"/>
    <x v="4"/>
    <x v="4"/>
    <x v="10"/>
    <x v="10"/>
    <x v="10"/>
  </r>
  <r>
    <x v="11"/>
    <x v="8"/>
    <x v="8"/>
    <x v="10"/>
    <x v="10"/>
    <x v="11"/>
    <x v="11"/>
    <x v="11"/>
  </r>
  <r>
    <x v="12"/>
    <x v="9"/>
    <x v="9"/>
    <x v="11"/>
    <x v="11"/>
    <x v="12"/>
    <x v="12"/>
    <x v="12"/>
  </r>
  <r>
    <x v="13"/>
    <x v="10"/>
    <x v="10"/>
    <x v="12"/>
    <x v="12"/>
    <x v="13"/>
    <x v="13"/>
    <x v="13"/>
  </r>
  <r>
    <x v="14"/>
    <x v="11"/>
    <x v="11"/>
    <x v="13"/>
    <x v="13"/>
    <x v="14"/>
    <x v="14"/>
    <x v="14"/>
  </r>
  <r>
    <x v="15"/>
    <x v="12"/>
    <x v="12"/>
    <x v="14"/>
    <x v="14"/>
    <x v="15"/>
    <x v="15"/>
    <x v="15"/>
  </r>
  <r>
    <x v="16"/>
    <x v="13"/>
    <x v="13"/>
    <x v="15"/>
    <x v="15"/>
    <x v="16"/>
    <x v="16"/>
    <x v="16"/>
  </r>
  <r>
    <x v="17"/>
    <x v="0"/>
    <x v="14"/>
    <x v="16"/>
    <x v="16"/>
    <x v="17"/>
    <x v="17"/>
    <x v="17"/>
  </r>
  <r>
    <x v="18"/>
    <x v="14"/>
    <x v="15"/>
    <x v="17"/>
    <x v="17"/>
    <x v="18"/>
    <x v="18"/>
    <x v="18"/>
  </r>
  <r>
    <x v="19"/>
    <x v="15"/>
    <x v="16"/>
    <x v="18"/>
    <x v="18"/>
    <x v="19"/>
    <x v="19"/>
    <x v="19"/>
  </r>
  <r>
    <x v="20"/>
    <x v="16"/>
    <x v="17"/>
    <x v="19"/>
    <x v="19"/>
    <x v="20"/>
    <x v="20"/>
    <x v="20"/>
  </r>
  <r>
    <x v="21"/>
    <x v="17"/>
    <x v="18"/>
    <x v="20"/>
    <x v="20"/>
    <x v="21"/>
    <x v="21"/>
    <x v="21"/>
  </r>
  <r>
    <x v="22"/>
    <x v="18"/>
    <x v="19"/>
    <x v="21"/>
    <x v="21"/>
    <x v="22"/>
    <x v="22"/>
    <x v="22"/>
  </r>
  <r>
    <x v="23"/>
    <x v="19"/>
    <x v="20"/>
    <x v="22"/>
    <x v="22"/>
    <x v="23"/>
    <x v="23"/>
    <x v="23"/>
  </r>
  <r>
    <x v="24"/>
    <x v="0"/>
    <x v="0"/>
    <x v="4"/>
    <x v="4"/>
    <x v="10"/>
    <x v="24"/>
    <x v="24"/>
  </r>
  <r>
    <x v="25"/>
    <x v="20"/>
    <x v="21"/>
    <x v="23"/>
    <x v="23"/>
    <x v="24"/>
    <x v="25"/>
    <x v="25"/>
  </r>
  <r>
    <x v="26"/>
    <x v="21"/>
    <x v="22"/>
    <x v="24"/>
    <x v="24"/>
    <x v="25"/>
    <x v="26"/>
    <x v="26"/>
  </r>
  <r>
    <x v="27"/>
    <x v="0"/>
    <x v="0"/>
    <x v="4"/>
    <x v="4"/>
    <x v="26"/>
    <x v="27"/>
    <x v="27"/>
  </r>
  <r>
    <x v="28"/>
    <x v="22"/>
    <x v="23"/>
    <x v="25"/>
    <x v="25"/>
    <x v="27"/>
    <x v="28"/>
    <x v="28"/>
  </r>
  <r>
    <x v="29"/>
    <x v="0"/>
    <x v="0"/>
    <x v="4"/>
    <x v="26"/>
    <x v="28"/>
    <x v="29"/>
    <x v="29"/>
  </r>
  <r>
    <x v="30"/>
    <x v="0"/>
    <x v="0"/>
    <x v="4"/>
    <x v="4"/>
    <x v="10"/>
    <x v="30"/>
    <x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4"/>
    <x v="4"/>
    <x v="4"/>
    <x v="4"/>
    <x v="4"/>
  </r>
  <r>
    <x v="5"/>
    <x v="5"/>
    <x v="5"/>
    <x v="5"/>
    <x v="5"/>
    <x v="5"/>
    <x v="5"/>
    <x v="5"/>
  </r>
  <r>
    <x v="6"/>
    <x v="6"/>
    <x v="6"/>
    <x v="6"/>
    <x v="6"/>
    <x v="6"/>
    <x v="6"/>
    <x v="6"/>
  </r>
  <r>
    <x v="7"/>
    <x v="7"/>
    <x v="7"/>
    <x v="7"/>
    <x v="7"/>
    <x v="7"/>
    <x v="7"/>
    <x v="7"/>
  </r>
  <r>
    <x v="8"/>
    <x v="8"/>
    <x v="8"/>
    <x v="8"/>
    <x v="8"/>
    <x v="8"/>
    <x v="8"/>
    <x v="8"/>
  </r>
  <r>
    <x v="9"/>
    <x v="4"/>
    <x v="4"/>
    <x v="9"/>
    <x v="9"/>
    <x v="9"/>
    <x v="9"/>
    <x v="9"/>
  </r>
  <r>
    <x v="10"/>
    <x v="9"/>
    <x v="9"/>
    <x v="10"/>
    <x v="10"/>
    <x v="10"/>
    <x v="10"/>
    <x v="10"/>
  </r>
  <r>
    <x v="11"/>
    <x v="10"/>
    <x v="10"/>
    <x v="11"/>
    <x v="11"/>
    <x v="11"/>
    <x v="11"/>
    <x v="11"/>
  </r>
  <r>
    <x v="12"/>
    <x v="4"/>
    <x v="4"/>
    <x v="4"/>
    <x v="4"/>
    <x v="12"/>
    <x v="12"/>
    <x v="12"/>
  </r>
  <r>
    <x v="13"/>
    <x v="4"/>
    <x v="4"/>
    <x v="12"/>
    <x v="12"/>
    <x v="13"/>
    <x v="13"/>
    <x v="13"/>
  </r>
  <r>
    <x v="14"/>
    <x v="11"/>
    <x v="11"/>
    <x v="13"/>
    <x v="13"/>
    <x v="14"/>
    <x v="14"/>
    <x v="14"/>
  </r>
  <r>
    <x v="15"/>
    <x v="12"/>
    <x v="12"/>
    <x v="14"/>
    <x v="14"/>
    <x v="15"/>
    <x v="15"/>
    <x v="15"/>
  </r>
  <r>
    <x v="16"/>
    <x v="13"/>
    <x v="13"/>
    <x v="15"/>
    <x v="15"/>
    <x v="16"/>
    <x v="16"/>
    <x v="16"/>
  </r>
  <r>
    <x v="17"/>
    <x v="4"/>
    <x v="14"/>
    <x v="16"/>
    <x v="16"/>
    <x v="17"/>
    <x v="17"/>
    <x v="17"/>
  </r>
  <r>
    <x v="18"/>
    <x v="14"/>
    <x v="15"/>
    <x v="17"/>
    <x v="17"/>
    <x v="18"/>
    <x v="18"/>
    <x v="18"/>
  </r>
  <r>
    <x v="19"/>
    <x v="15"/>
    <x v="16"/>
    <x v="18"/>
    <x v="18"/>
    <x v="19"/>
    <x v="19"/>
    <x v="19"/>
  </r>
  <r>
    <x v="20"/>
    <x v="16"/>
    <x v="17"/>
    <x v="19"/>
    <x v="19"/>
    <x v="20"/>
    <x v="20"/>
    <x v="20"/>
  </r>
  <r>
    <x v="21"/>
    <x v="17"/>
    <x v="18"/>
    <x v="20"/>
    <x v="20"/>
    <x v="21"/>
    <x v="21"/>
    <x v="21"/>
  </r>
  <r>
    <x v="22"/>
    <x v="18"/>
    <x v="19"/>
    <x v="21"/>
    <x v="21"/>
    <x v="22"/>
    <x v="22"/>
    <x v="22"/>
  </r>
  <r>
    <x v="23"/>
    <x v="19"/>
    <x v="20"/>
    <x v="22"/>
    <x v="22"/>
    <x v="23"/>
    <x v="23"/>
    <x v="23"/>
  </r>
  <r>
    <x v="24"/>
    <x v="4"/>
    <x v="4"/>
    <x v="4"/>
    <x v="4"/>
    <x v="4"/>
    <x v="24"/>
    <x v="24"/>
  </r>
  <r>
    <x v="25"/>
    <x v="20"/>
    <x v="21"/>
    <x v="23"/>
    <x v="23"/>
    <x v="24"/>
    <x v="25"/>
    <x v="15"/>
  </r>
  <r>
    <x v="26"/>
    <x v="21"/>
    <x v="22"/>
    <x v="24"/>
    <x v="24"/>
    <x v="25"/>
    <x v="26"/>
    <x v="25"/>
  </r>
  <r>
    <x v="27"/>
    <x v="4"/>
    <x v="4"/>
    <x v="4"/>
    <x v="4"/>
    <x v="26"/>
    <x v="27"/>
    <x v="26"/>
  </r>
  <r>
    <x v="28"/>
    <x v="22"/>
    <x v="23"/>
    <x v="25"/>
    <x v="25"/>
    <x v="27"/>
    <x v="28"/>
    <x v="27"/>
  </r>
  <r>
    <x v="29"/>
    <x v="4"/>
    <x v="4"/>
    <x v="4"/>
    <x v="26"/>
    <x v="28"/>
    <x v="29"/>
    <x v="28"/>
  </r>
  <r>
    <x v="30"/>
    <x v="4"/>
    <x v="4"/>
    <x v="4"/>
    <x v="4"/>
    <x v="4"/>
    <x v="30"/>
    <x v="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2"/>
  </r>
  <r>
    <x v="4"/>
    <x v="4"/>
    <x v="4"/>
    <x v="4"/>
    <x v="4"/>
    <x v="4"/>
    <x v="4"/>
    <x v="2"/>
  </r>
  <r>
    <x v="5"/>
    <x v="5"/>
    <x v="5"/>
    <x v="5"/>
    <x v="5"/>
    <x v="5"/>
    <x v="5"/>
    <x v="2"/>
  </r>
  <r>
    <x v="6"/>
    <x v="6"/>
    <x v="6"/>
    <x v="6"/>
    <x v="6"/>
    <x v="6"/>
    <x v="6"/>
    <x v="2"/>
  </r>
  <r>
    <x v="7"/>
    <x v="7"/>
    <x v="7"/>
    <x v="7"/>
    <x v="7"/>
    <x v="7"/>
    <x v="7"/>
    <x v="2"/>
  </r>
  <r>
    <x v="8"/>
    <x v="2"/>
    <x v="2"/>
    <x v="2"/>
    <x v="8"/>
    <x v="8"/>
    <x v="8"/>
    <x v="3"/>
  </r>
  <r>
    <x v="9"/>
    <x v="8"/>
    <x v="8"/>
    <x v="8"/>
    <x v="9"/>
    <x v="9"/>
    <x v="9"/>
    <x v="4"/>
  </r>
  <r>
    <x v="10"/>
    <x v="9"/>
    <x v="9"/>
    <x v="9"/>
    <x v="10"/>
    <x v="10"/>
    <x v="10"/>
    <x v="2"/>
  </r>
  <r>
    <x v="11"/>
    <x v="10"/>
    <x v="10"/>
    <x v="10"/>
    <x v="11"/>
    <x v="11"/>
    <x v="11"/>
    <x v="5"/>
  </r>
  <r>
    <x v="12"/>
    <x v="11"/>
    <x v="11"/>
    <x v="11"/>
    <x v="12"/>
    <x v="12"/>
    <x v="12"/>
    <x v="2"/>
  </r>
  <r>
    <x v="13"/>
    <x v="12"/>
    <x v="12"/>
    <x v="12"/>
    <x v="13"/>
    <x v="13"/>
    <x v="13"/>
    <x v="6"/>
  </r>
  <r>
    <x v="14"/>
    <x v="13"/>
    <x v="13"/>
    <x v="13"/>
    <x v="14"/>
    <x v="14"/>
    <x v="14"/>
    <x v="2"/>
  </r>
  <r>
    <x v="15"/>
    <x v="14"/>
    <x v="14"/>
    <x v="14"/>
    <x v="15"/>
    <x v="15"/>
    <x v="15"/>
    <x v="2"/>
  </r>
  <r>
    <x v="16"/>
    <x v="15"/>
    <x v="15"/>
    <x v="15"/>
    <x v="16"/>
    <x v="16"/>
    <x v="16"/>
    <x v="7"/>
  </r>
  <r>
    <x v="17"/>
    <x v="16"/>
    <x v="16"/>
    <x v="16"/>
    <x v="17"/>
    <x v="17"/>
    <x v="17"/>
    <x v="2"/>
  </r>
  <r>
    <x v="18"/>
    <x v="17"/>
    <x v="17"/>
    <x v="17"/>
    <x v="18"/>
    <x v="18"/>
    <x v="18"/>
    <x v="2"/>
  </r>
  <r>
    <x v="19"/>
    <x v="18"/>
    <x v="18"/>
    <x v="18"/>
    <x v="19"/>
    <x v="19"/>
    <x v="19"/>
    <x v="8"/>
  </r>
  <r>
    <x v="20"/>
    <x v="19"/>
    <x v="19"/>
    <x v="19"/>
    <x v="20"/>
    <x v="20"/>
    <x v="20"/>
    <x v="2"/>
  </r>
  <r>
    <x v="21"/>
    <x v="20"/>
    <x v="20"/>
    <x v="20"/>
    <x v="21"/>
    <x v="21"/>
    <x v="21"/>
    <x v="2"/>
  </r>
  <r>
    <x v="22"/>
    <x v="21"/>
    <x v="21"/>
    <x v="21"/>
    <x v="22"/>
    <x v="22"/>
    <x v="22"/>
    <x v="9"/>
  </r>
  <r>
    <x v="23"/>
    <x v="22"/>
    <x v="22"/>
    <x v="22"/>
    <x v="23"/>
    <x v="23"/>
    <x v="23"/>
    <x v="10"/>
  </r>
  <r>
    <x v="24"/>
    <x v="2"/>
    <x v="2"/>
    <x v="2"/>
    <x v="24"/>
    <x v="24"/>
    <x v="24"/>
    <x v="11"/>
  </r>
  <r>
    <x v="25"/>
    <x v="23"/>
    <x v="23"/>
    <x v="23"/>
    <x v="25"/>
    <x v="25"/>
    <x v="25"/>
    <x v="2"/>
  </r>
  <r>
    <x v="26"/>
    <x v="24"/>
    <x v="24"/>
    <x v="24"/>
    <x v="26"/>
    <x v="26"/>
    <x v="26"/>
    <x v="12"/>
  </r>
  <r>
    <x v="27"/>
    <x v="2"/>
    <x v="2"/>
    <x v="2"/>
    <x v="27"/>
    <x v="27"/>
    <x v="27"/>
    <x v="13"/>
  </r>
  <r>
    <x v="28"/>
    <x v="25"/>
    <x v="25"/>
    <x v="25"/>
    <x v="28"/>
    <x v="28"/>
    <x v="28"/>
    <x v="2"/>
  </r>
  <r>
    <x v="29"/>
    <x v="2"/>
    <x v="2"/>
    <x v="2"/>
    <x v="29"/>
    <x v="29"/>
    <x v="29"/>
    <x v="14"/>
  </r>
  <r>
    <x v="30"/>
    <x v="2"/>
    <x v="2"/>
    <x v="2"/>
    <x v="30"/>
    <x v="30"/>
    <x v="30"/>
    <x v="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1"/>
    <x v="1"/>
    <x v="2"/>
    <x v="2"/>
    <x v="2"/>
    <x v="2"/>
    <x v="2"/>
  </r>
  <r>
    <x v="3"/>
    <x v="2"/>
    <x v="2"/>
    <x v="3"/>
    <x v="3"/>
    <x v="3"/>
    <x v="3"/>
    <x v="3"/>
  </r>
  <r>
    <x v="4"/>
    <x v="1"/>
    <x v="1"/>
    <x v="4"/>
    <x v="4"/>
    <x v="4"/>
    <x v="4"/>
    <x v="4"/>
  </r>
  <r>
    <x v="5"/>
    <x v="3"/>
    <x v="3"/>
    <x v="5"/>
    <x v="5"/>
    <x v="5"/>
    <x v="5"/>
    <x v="5"/>
  </r>
  <r>
    <x v="6"/>
    <x v="4"/>
    <x v="4"/>
    <x v="6"/>
    <x v="6"/>
    <x v="6"/>
    <x v="6"/>
    <x v="6"/>
  </r>
  <r>
    <x v="7"/>
    <x v="5"/>
    <x v="5"/>
    <x v="7"/>
    <x v="7"/>
    <x v="7"/>
    <x v="7"/>
    <x v="7"/>
  </r>
  <r>
    <x v="8"/>
    <x v="1"/>
    <x v="1"/>
    <x v="8"/>
    <x v="4"/>
    <x v="8"/>
    <x v="8"/>
    <x v="8"/>
  </r>
  <r>
    <x v="9"/>
    <x v="6"/>
    <x v="6"/>
    <x v="9"/>
    <x v="8"/>
    <x v="6"/>
    <x v="9"/>
    <x v="9"/>
  </r>
  <r>
    <x v="10"/>
    <x v="7"/>
    <x v="7"/>
    <x v="10"/>
    <x v="9"/>
    <x v="9"/>
    <x v="10"/>
    <x v="10"/>
  </r>
  <r>
    <x v="11"/>
    <x v="8"/>
    <x v="8"/>
    <x v="11"/>
    <x v="10"/>
    <x v="10"/>
    <x v="11"/>
    <x v="11"/>
  </r>
  <r>
    <x v="12"/>
    <x v="9"/>
    <x v="9"/>
    <x v="12"/>
    <x v="11"/>
    <x v="11"/>
    <x v="12"/>
    <x v="12"/>
  </r>
  <r>
    <x v="13"/>
    <x v="10"/>
    <x v="10"/>
    <x v="13"/>
    <x v="12"/>
    <x v="12"/>
    <x v="13"/>
    <x v="13"/>
  </r>
  <r>
    <x v="14"/>
    <x v="11"/>
    <x v="11"/>
    <x v="14"/>
    <x v="13"/>
    <x v="13"/>
    <x v="14"/>
    <x v="14"/>
  </r>
  <r>
    <x v="15"/>
    <x v="1"/>
    <x v="1"/>
    <x v="1"/>
    <x v="1"/>
    <x v="14"/>
    <x v="15"/>
    <x v="15"/>
  </r>
  <r>
    <x v="16"/>
    <x v="12"/>
    <x v="12"/>
    <x v="15"/>
    <x v="14"/>
    <x v="15"/>
    <x v="16"/>
    <x v="16"/>
  </r>
  <r>
    <x v="17"/>
    <x v="13"/>
    <x v="13"/>
    <x v="16"/>
    <x v="15"/>
    <x v="16"/>
    <x v="17"/>
    <x v="17"/>
  </r>
  <r>
    <x v="18"/>
    <x v="1"/>
    <x v="1"/>
    <x v="1"/>
    <x v="1"/>
    <x v="17"/>
    <x v="18"/>
    <x v="18"/>
  </r>
  <r>
    <x v="19"/>
    <x v="14"/>
    <x v="14"/>
    <x v="17"/>
    <x v="16"/>
    <x v="18"/>
    <x v="19"/>
    <x v="19"/>
  </r>
  <r>
    <x v="20"/>
    <x v="1"/>
    <x v="1"/>
    <x v="1"/>
    <x v="17"/>
    <x v="19"/>
    <x v="20"/>
    <x v="20"/>
  </r>
  <r>
    <x v="21"/>
    <x v="1"/>
    <x v="1"/>
    <x v="1"/>
    <x v="1"/>
    <x v="14"/>
    <x v="21"/>
    <x v="21"/>
  </r>
  <r>
    <x v="22"/>
    <x v="15"/>
    <x v="15"/>
    <x v="18"/>
    <x v="18"/>
    <x v="20"/>
    <x v="20"/>
    <x v="22"/>
  </r>
  <r>
    <x v="23"/>
    <x v="16"/>
    <x v="16"/>
    <x v="19"/>
    <x v="19"/>
    <x v="21"/>
    <x v="22"/>
    <x v="23"/>
  </r>
  <r>
    <x v="24"/>
    <x v="17"/>
    <x v="17"/>
    <x v="20"/>
    <x v="20"/>
    <x v="22"/>
    <x v="23"/>
    <x v="24"/>
  </r>
  <r>
    <x v="25"/>
    <x v="1"/>
    <x v="1"/>
    <x v="1"/>
    <x v="1"/>
    <x v="14"/>
    <x v="24"/>
    <x v="25"/>
  </r>
  <r>
    <x v="26"/>
    <x v="18"/>
    <x v="18"/>
    <x v="21"/>
    <x v="21"/>
    <x v="23"/>
    <x v="25"/>
    <x v="26"/>
  </r>
  <r>
    <x v="27"/>
    <x v="19"/>
    <x v="19"/>
    <x v="22"/>
    <x v="22"/>
    <x v="24"/>
    <x v="26"/>
    <x v="27"/>
  </r>
  <r>
    <x v="28"/>
    <x v="20"/>
    <x v="20"/>
    <x v="23"/>
    <x v="23"/>
    <x v="25"/>
    <x v="27"/>
    <x v="28"/>
  </r>
  <r>
    <x v="29"/>
    <x v="21"/>
    <x v="21"/>
    <x v="24"/>
    <x v="24"/>
    <x v="26"/>
    <x v="28"/>
    <x v="29"/>
  </r>
  <r>
    <x v="30"/>
    <x v="22"/>
    <x v="22"/>
    <x v="25"/>
    <x v="25"/>
    <x v="27"/>
    <x v="29"/>
    <x v="3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4"/>
    <x v="4"/>
    <x v="4"/>
    <x v="4"/>
    <x v="4"/>
  </r>
  <r>
    <x v="5"/>
    <x v="0"/>
    <x v="0"/>
    <x v="5"/>
    <x v="5"/>
    <x v="5"/>
    <x v="5"/>
    <x v="5"/>
  </r>
  <r>
    <x v="6"/>
    <x v="5"/>
    <x v="5"/>
    <x v="6"/>
    <x v="6"/>
    <x v="6"/>
    <x v="6"/>
    <x v="6"/>
  </r>
  <r>
    <x v="7"/>
    <x v="6"/>
    <x v="6"/>
    <x v="7"/>
    <x v="7"/>
    <x v="7"/>
    <x v="7"/>
    <x v="7"/>
  </r>
  <r>
    <x v="8"/>
    <x v="7"/>
    <x v="7"/>
    <x v="8"/>
    <x v="8"/>
    <x v="8"/>
    <x v="8"/>
    <x v="8"/>
  </r>
  <r>
    <x v="9"/>
    <x v="8"/>
    <x v="8"/>
    <x v="9"/>
    <x v="9"/>
    <x v="9"/>
    <x v="9"/>
    <x v="9"/>
  </r>
  <r>
    <x v="10"/>
    <x v="9"/>
    <x v="9"/>
    <x v="10"/>
    <x v="10"/>
    <x v="10"/>
    <x v="10"/>
    <x v="10"/>
  </r>
  <r>
    <x v="11"/>
    <x v="10"/>
    <x v="10"/>
    <x v="11"/>
    <x v="11"/>
    <x v="11"/>
    <x v="11"/>
    <x v="11"/>
  </r>
  <r>
    <x v="12"/>
    <x v="0"/>
    <x v="0"/>
    <x v="5"/>
    <x v="5"/>
    <x v="12"/>
    <x v="12"/>
    <x v="12"/>
  </r>
  <r>
    <x v="13"/>
    <x v="0"/>
    <x v="0"/>
    <x v="12"/>
    <x v="12"/>
    <x v="13"/>
    <x v="13"/>
    <x v="13"/>
  </r>
  <r>
    <x v="14"/>
    <x v="11"/>
    <x v="11"/>
    <x v="13"/>
    <x v="13"/>
    <x v="14"/>
    <x v="14"/>
    <x v="14"/>
  </r>
  <r>
    <x v="15"/>
    <x v="12"/>
    <x v="12"/>
    <x v="14"/>
    <x v="14"/>
    <x v="15"/>
    <x v="15"/>
    <x v="15"/>
  </r>
  <r>
    <x v="16"/>
    <x v="13"/>
    <x v="13"/>
    <x v="15"/>
    <x v="15"/>
    <x v="16"/>
    <x v="16"/>
    <x v="16"/>
  </r>
  <r>
    <x v="17"/>
    <x v="0"/>
    <x v="14"/>
    <x v="16"/>
    <x v="16"/>
    <x v="17"/>
    <x v="17"/>
    <x v="17"/>
  </r>
  <r>
    <x v="18"/>
    <x v="14"/>
    <x v="15"/>
    <x v="17"/>
    <x v="17"/>
    <x v="18"/>
    <x v="18"/>
    <x v="18"/>
  </r>
  <r>
    <x v="19"/>
    <x v="15"/>
    <x v="16"/>
    <x v="18"/>
    <x v="18"/>
    <x v="19"/>
    <x v="19"/>
    <x v="19"/>
  </r>
  <r>
    <x v="20"/>
    <x v="16"/>
    <x v="17"/>
    <x v="19"/>
    <x v="19"/>
    <x v="20"/>
    <x v="20"/>
    <x v="20"/>
  </r>
  <r>
    <x v="21"/>
    <x v="17"/>
    <x v="18"/>
    <x v="20"/>
    <x v="20"/>
    <x v="21"/>
    <x v="21"/>
    <x v="21"/>
  </r>
  <r>
    <x v="22"/>
    <x v="18"/>
    <x v="19"/>
    <x v="21"/>
    <x v="21"/>
    <x v="22"/>
    <x v="22"/>
    <x v="22"/>
  </r>
  <r>
    <x v="23"/>
    <x v="19"/>
    <x v="20"/>
    <x v="22"/>
    <x v="22"/>
    <x v="23"/>
    <x v="23"/>
    <x v="23"/>
  </r>
  <r>
    <x v="24"/>
    <x v="0"/>
    <x v="0"/>
    <x v="5"/>
    <x v="5"/>
    <x v="5"/>
    <x v="24"/>
    <x v="24"/>
  </r>
  <r>
    <x v="25"/>
    <x v="20"/>
    <x v="21"/>
    <x v="23"/>
    <x v="23"/>
    <x v="24"/>
    <x v="25"/>
    <x v="25"/>
  </r>
  <r>
    <x v="26"/>
    <x v="21"/>
    <x v="22"/>
    <x v="24"/>
    <x v="24"/>
    <x v="25"/>
    <x v="26"/>
    <x v="26"/>
  </r>
  <r>
    <x v="27"/>
    <x v="0"/>
    <x v="0"/>
    <x v="5"/>
    <x v="5"/>
    <x v="26"/>
    <x v="27"/>
    <x v="27"/>
  </r>
  <r>
    <x v="28"/>
    <x v="22"/>
    <x v="23"/>
    <x v="25"/>
    <x v="25"/>
    <x v="27"/>
    <x v="28"/>
    <x v="28"/>
  </r>
  <r>
    <x v="29"/>
    <x v="0"/>
    <x v="0"/>
    <x v="5"/>
    <x v="26"/>
    <x v="28"/>
    <x v="29"/>
    <x v="29"/>
  </r>
  <r>
    <x v="30"/>
    <x v="0"/>
    <x v="0"/>
    <x v="5"/>
    <x v="5"/>
    <x v="5"/>
    <x v="30"/>
    <x v="3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n v="37073.78"/>
  </r>
  <r>
    <x v="1"/>
    <x v="1"/>
    <x v="1"/>
    <x v="0"/>
    <x v="1"/>
    <x v="1"/>
    <x v="1"/>
    <n v="36922.910000000003"/>
  </r>
  <r>
    <x v="2"/>
    <x v="2"/>
    <x v="2"/>
    <x v="1"/>
    <x v="2"/>
    <x v="2"/>
    <x v="2"/>
    <n v="30061.79"/>
  </r>
  <r>
    <x v="3"/>
    <x v="3"/>
    <x v="3"/>
    <x v="2"/>
    <x v="3"/>
    <x v="3"/>
    <x v="3"/>
    <n v="36682.400000000001"/>
  </r>
  <r>
    <x v="4"/>
    <x v="4"/>
    <x v="4"/>
    <x v="3"/>
    <x v="4"/>
    <x v="4"/>
    <x v="4"/>
    <n v="273994.61"/>
  </r>
  <r>
    <x v="5"/>
    <x v="5"/>
    <x v="5"/>
    <x v="4"/>
    <x v="5"/>
    <x v="5"/>
    <x v="5"/>
    <n v="248647.05"/>
  </r>
  <r>
    <x v="6"/>
    <x v="6"/>
    <x v="6"/>
    <x v="5"/>
    <x v="6"/>
    <x v="6"/>
    <x v="6"/>
    <n v="449190.83"/>
  </r>
  <r>
    <x v="7"/>
    <x v="7"/>
    <x v="7"/>
    <x v="6"/>
    <x v="7"/>
    <x v="7"/>
    <x v="7"/>
    <n v="21761.93"/>
  </r>
  <r>
    <x v="8"/>
    <x v="8"/>
    <x v="8"/>
    <x v="7"/>
    <x v="8"/>
    <x v="8"/>
    <x v="8"/>
    <n v="647669.18000000005"/>
  </r>
  <r>
    <x v="9"/>
    <x v="2"/>
    <x v="9"/>
    <x v="8"/>
    <x v="9"/>
    <x v="9"/>
    <x v="9"/>
    <n v="173409.97"/>
  </r>
  <r>
    <x v="10"/>
    <x v="9"/>
    <x v="10"/>
    <x v="9"/>
    <x v="10"/>
    <x v="10"/>
    <x v="10"/>
    <n v="37758.879999999997"/>
  </r>
  <r>
    <x v="11"/>
    <x v="10"/>
    <x v="11"/>
    <x v="10"/>
    <x v="11"/>
    <x v="11"/>
    <x v="11"/>
    <n v="937777.7"/>
  </r>
  <r>
    <x v="12"/>
    <x v="2"/>
    <x v="9"/>
    <x v="8"/>
    <x v="9"/>
    <x v="12"/>
    <x v="12"/>
    <n v="104864.85"/>
  </r>
  <r>
    <x v="13"/>
    <x v="11"/>
    <x v="12"/>
    <x v="11"/>
    <x v="12"/>
    <x v="13"/>
    <x v="13"/>
    <n v="531700.91"/>
  </r>
  <r>
    <x v="14"/>
    <x v="2"/>
    <x v="9"/>
    <x v="8"/>
    <x v="13"/>
    <x v="14"/>
    <x v="14"/>
    <n v="131812.34"/>
  </r>
  <r>
    <x v="15"/>
    <x v="2"/>
    <x v="9"/>
    <x v="8"/>
    <x v="9"/>
    <x v="9"/>
    <x v="15"/>
    <n v="24949.88"/>
  </r>
  <r>
    <x v="16"/>
    <x v="12"/>
    <x v="13"/>
    <x v="12"/>
    <x v="14"/>
    <x v="15"/>
    <x v="16"/>
    <n v="577759.9"/>
  </r>
  <r>
    <x v="17"/>
    <x v="2"/>
    <x v="9"/>
    <x v="13"/>
    <x v="15"/>
    <x v="16"/>
    <x v="17"/>
    <n v="36504.97"/>
  </r>
  <r>
    <x v="18"/>
    <x v="13"/>
    <x v="14"/>
    <x v="14"/>
    <x v="16"/>
    <x v="17"/>
    <x v="18"/>
    <n v="214581.14"/>
  </r>
  <r>
    <x v="19"/>
    <x v="14"/>
    <x v="15"/>
    <x v="15"/>
    <x v="17"/>
    <x v="18"/>
    <x v="19"/>
    <n v="393121.77"/>
  </r>
  <r>
    <x v="20"/>
    <x v="2"/>
    <x v="9"/>
    <x v="8"/>
    <x v="9"/>
    <x v="19"/>
    <x v="20"/>
    <n v="202210.44"/>
  </r>
  <r>
    <x v="21"/>
    <x v="2"/>
    <x v="9"/>
    <x v="16"/>
    <x v="18"/>
    <x v="20"/>
    <x v="21"/>
    <n v="40613.47"/>
  </r>
  <r>
    <x v="22"/>
    <x v="15"/>
    <x v="16"/>
    <x v="17"/>
    <x v="19"/>
    <x v="21"/>
    <x v="22"/>
    <n v="456686.07"/>
  </r>
  <r>
    <x v="23"/>
    <x v="16"/>
    <x v="17"/>
    <x v="18"/>
    <x v="20"/>
    <x v="22"/>
    <x v="23"/>
    <n v="257072.6"/>
  </r>
  <r>
    <x v="24"/>
    <x v="17"/>
    <x v="18"/>
    <x v="19"/>
    <x v="21"/>
    <x v="23"/>
    <x v="24"/>
    <n v="104603.51"/>
  </r>
  <r>
    <x v="25"/>
    <x v="18"/>
    <x v="19"/>
    <x v="20"/>
    <x v="22"/>
    <x v="24"/>
    <x v="25"/>
    <n v="159086.95000000001"/>
  </r>
  <r>
    <x v="26"/>
    <x v="2"/>
    <x v="9"/>
    <x v="8"/>
    <x v="9"/>
    <x v="9"/>
    <x v="26"/>
    <n v="171479.95"/>
  </r>
  <r>
    <x v="27"/>
    <x v="19"/>
    <x v="20"/>
    <x v="21"/>
    <x v="23"/>
    <x v="25"/>
    <x v="27"/>
    <n v="508829.05"/>
  </r>
  <r>
    <x v="28"/>
    <x v="20"/>
    <x v="21"/>
    <x v="22"/>
    <x v="24"/>
    <x v="26"/>
    <x v="28"/>
    <n v="353795.1"/>
  </r>
  <r>
    <x v="29"/>
    <x v="21"/>
    <x v="22"/>
    <x v="23"/>
    <x v="25"/>
    <x v="27"/>
    <x v="29"/>
    <n v="437628.11"/>
  </r>
  <r>
    <x v="30"/>
    <x v="22"/>
    <x v="23"/>
    <x v="24"/>
    <x v="26"/>
    <x v="28"/>
    <x v="30"/>
    <n v="920317.1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1"/>
    <x v="1"/>
    <x v="2"/>
    <x v="2"/>
    <x v="2"/>
    <x v="2"/>
    <x v="2"/>
  </r>
  <r>
    <x v="3"/>
    <x v="2"/>
    <x v="2"/>
    <x v="3"/>
    <x v="3"/>
    <x v="3"/>
    <x v="3"/>
    <x v="3"/>
  </r>
  <r>
    <x v="4"/>
    <x v="3"/>
    <x v="3"/>
    <x v="4"/>
    <x v="4"/>
    <x v="4"/>
    <x v="4"/>
    <x v="4"/>
  </r>
  <r>
    <x v="5"/>
    <x v="4"/>
    <x v="4"/>
    <x v="5"/>
    <x v="5"/>
    <x v="5"/>
    <x v="5"/>
    <x v="5"/>
  </r>
  <r>
    <x v="6"/>
    <x v="1"/>
    <x v="5"/>
    <x v="6"/>
    <x v="6"/>
    <x v="6"/>
    <x v="6"/>
    <x v="6"/>
  </r>
  <r>
    <x v="7"/>
    <x v="5"/>
    <x v="6"/>
    <x v="7"/>
    <x v="7"/>
    <x v="7"/>
    <x v="7"/>
    <x v="7"/>
  </r>
  <r>
    <x v="8"/>
    <x v="6"/>
    <x v="7"/>
    <x v="8"/>
    <x v="8"/>
    <x v="8"/>
    <x v="8"/>
    <x v="8"/>
  </r>
  <r>
    <x v="9"/>
    <x v="7"/>
    <x v="8"/>
    <x v="9"/>
    <x v="9"/>
    <x v="9"/>
    <x v="9"/>
    <x v="9"/>
  </r>
  <r>
    <x v="10"/>
    <x v="8"/>
    <x v="9"/>
    <x v="10"/>
    <x v="10"/>
    <x v="10"/>
    <x v="10"/>
    <x v="10"/>
  </r>
  <r>
    <x v="11"/>
    <x v="9"/>
    <x v="10"/>
    <x v="11"/>
    <x v="11"/>
    <x v="11"/>
    <x v="11"/>
    <x v="11"/>
  </r>
  <r>
    <x v="12"/>
    <x v="10"/>
    <x v="11"/>
    <x v="12"/>
    <x v="12"/>
    <x v="12"/>
    <x v="12"/>
    <x v="12"/>
  </r>
  <r>
    <x v="13"/>
    <x v="1"/>
    <x v="1"/>
    <x v="1"/>
    <x v="1"/>
    <x v="13"/>
    <x v="13"/>
    <x v="13"/>
  </r>
  <r>
    <x v="14"/>
    <x v="11"/>
    <x v="12"/>
    <x v="13"/>
    <x v="13"/>
    <x v="14"/>
    <x v="14"/>
    <x v="14"/>
  </r>
  <r>
    <x v="15"/>
    <x v="12"/>
    <x v="13"/>
    <x v="14"/>
    <x v="14"/>
    <x v="15"/>
    <x v="15"/>
    <x v="15"/>
  </r>
  <r>
    <x v="16"/>
    <x v="1"/>
    <x v="1"/>
    <x v="1"/>
    <x v="1"/>
    <x v="16"/>
    <x v="16"/>
    <x v="16"/>
  </r>
  <r>
    <x v="17"/>
    <x v="13"/>
    <x v="14"/>
    <x v="15"/>
    <x v="15"/>
    <x v="17"/>
    <x v="17"/>
    <x v="17"/>
  </r>
  <r>
    <x v="18"/>
    <x v="1"/>
    <x v="1"/>
    <x v="1"/>
    <x v="16"/>
    <x v="18"/>
    <x v="18"/>
    <x v="18"/>
  </r>
  <r>
    <x v="19"/>
    <x v="1"/>
    <x v="1"/>
    <x v="1"/>
    <x v="1"/>
    <x v="13"/>
    <x v="19"/>
    <x v="19"/>
  </r>
  <r>
    <x v="20"/>
    <x v="1"/>
    <x v="1"/>
    <x v="16"/>
    <x v="17"/>
    <x v="19"/>
    <x v="20"/>
    <x v="20"/>
  </r>
  <r>
    <x v="21"/>
    <x v="14"/>
    <x v="15"/>
    <x v="17"/>
    <x v="18"/>
    <x v="20"/>
    <x v="21"/>
    <x v="21"/>
  </r>
  <r>
    <x v="22"/>
    <x v="15"/>
    <x v="16"/>
    <x v="18"/>
    <x v="19"/>
    <x v="21"/>
    <x v="22"/>
    <x v="22"/>
  </r>
  <r>
    <x v="23"/>
    <x v="16"/>
    <x v="17"/>
    <x v="19"/>
    <x v="20"/>
    <x v="22"/>
    <x v="23"/>
    <x v="23"/>
  </r>
  <r>
    <x v="24"/>
    <x v="17"/>
    <x v="18"/>
    <x v="20"/>
    <x v="21"/>
    <x v="23"/>
    <x v="24"/>
    <x v="24"/>
  </r>
  <r>
    <x v="25"/>
    <x v="18"/>
    <x v="19"/>
    <x v="21"/>
    <x v="22"/>
    <x v="24"/>
    <x v="25"/>
    <x v="25"/>
  </r>
  <r>
    <x v="26"/>
    <x v="1"/>
    <x v="1"/>
    <x v="1"/>
    <x v="1"/>
    <x v="13"/>
    <x v="26"/>
    <x v="26"/>
  </r>
  <r>
    <x v="27"/>
    <x v="19"/>
    <x v="20"/>
    <x v="22"/>
    <x v="23"/>
    <x v="25"/>
    <x v="27"/>
    <x v="27"/>
  </r>
  <r>
    <x v="28"/>
    <x v="20"/>
    <x v="21"/>
    <x v="23"/>
    <x v="24"/>
    <x v="26"/>
    <x v="28"/>
    <x v="28"/>
  </r>
  <r>
    <x v="29"/>
    <x v="21"/>
    <x v="22"/>
    <x v="24"/>
    <x v="25"/>
    <x v="27"/>
    <x v="29"/>
    <x v="29"/>
  </r>
  <r>
    <x v="30"/>
    <x v="22"/>
    <x v="23"/>
    <x v="25"/>
    <x v="26"/>
    <x v="28"/>
    <x v="3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O3:T11" firstHeaderRow="1" firstDataRow="2" firstDataCol="1"/>
  <pivotFields count="8">
    <pivotField axis="axisCol" showAll="0">
      <items count="32">
        <item x="0"/>
        <item x="13"/>
        <item h="1" x="14"/>
        <item x="9"/>
        <item h="1" x="10"/>
        <item h="1" x="29"/>
        <item h="1" x="11"/>
        <item h="1" x="12"/>
        <item h="1" x="1"/>
        <item h="1" x="2"/>
        <item h="1" x="3"/>
        <item h="1" x="4"/>
        <item h="1" x="5"/>
        <item h="1" x="6"/>
        <item h="1" x="7"/>
        <item h="1" x="8"/>
        <item h="1" x="15"/>
        <item h="1" x="16"/>
        <item h="1" x="17"/>
        <item h="1" x="18"/>
        <item h="1" x="19"/>
        <item h="1" x="30"/>
        <item h="1" x="20"/>
        <item h="1" x="21"/>
        <item x="22"/>
        <item h="1" x="23"/>
        <item h="1" x="24"/>
        <item h="1" x="25"/>
        <item h="1" x="26"/>
        <item h="1" x="27"/>
        <item h="1" x="28"/>
        <item t="default"/>
      </items>
    </pivotField>
    <pivotField dataField="1" showAll="0">
      <items count="24">
        <item x="18"/>
        <item x="13"/>
        <item x="20"/>
        <item x="12"/>
        <item x="14"/>
        <item x="2"/>
        <item x="3"/>
        <item x="11"/>
        <item x="1"/>
        <item x="15"/>
        <item x="6"/>
        <item x="16"/>
        <item x="17"/>
        <item x="5"/>
        <item x="10"/>
        <item x="7"/>
        <item x="9"/>
        <item x="22"/>
        <item x="0"/>
        <item x="19"/>
        <item x="21"/>
        <item x="8"/>
        <item x="4"/>
        <item t="default"/>
      </items>
    </pivotField>
    <pivotField dataField="1" showAll="0">
      <items count="25">
        <item x="19"/>
        <item x="14"/>
        <item x="13"/>
        <item x="12"/>
        <item x="21"/>
        <item x="15"/>
        <item x="2"/>
        <item x="3"/>
        <item x="1"/>
        <item x="11"/>
        <item x="16"/>
        <item x="6"/>
        <item x="17"/>
        <item x="18"/>
        <item x="5"/>
        <item x="10"/>
        <item x="23"/>
        <item x="7"/>
        <item x="9"/>
        <item x="20"/>
        <item x="0"/>
        <item x="22"/>
        <item x="8"/>
        <item x="4"/>
        <item t="default"/>
      </items>
    </pivotField>
    <pivotField dataField="1" showAll="0">
      <items count="27">
        <item x="21"/>
        <item x="10"/>
        <item x="16"/>
        <item x="12"/>
        <item x="15"/>
        <item x="14"/>
        <item x="23"/>
        <item x="17"/>
        <item x="2"/>
        <item x="3"/>
        <item x="13"/>
        <item x="1"/>
        <item x="18"/>
        <item x="6"/>
        <item x="19"/>
        <item x="20"/>
        <item x="5"/>
        <item x="25"/>
        <item x="9"/>
        <item x="11"/>
        <item x="7"/>
        <item x="0"/>
        <item x="22"/>
        <item x="8"/>
        <item x="24"/>
        <item x="4"/>
        <item t="default"/>
      </items>
    </pivotField>
    <pivotField dataField="1" showAll="0">
      <items count="28">
        <item x="16"/>
        <item x="15"/>
        <item x="12"/>
        <item x="14"/>
        <item x="10"/>
        <item x="17"/>
        <item x="23"/>
        <item x="21"/>
        <item x="2"/>
        <item x="26"/>
        <item x="3"/>
        <item x="13"/>
        <item x="18"/>
        <item x="1"/>
        <item x="19"/>
        <item x="6"/>
        <item x="9"/>
        <item x="20"/>
        <item x="5"/>
        <item x="7"/>
        <item x="25"/>
        <item x="11"/>
        <item x="22"/>
        <item x="0"/>
        <item x="24"/>
        <item x="8"/>
        <item x="4"/>
        <item t="default"/>
      </items>
    </pivotField>
    <pivotField dataField="1" showAll="0">
      <items count="30">
        <item x="17"/>
        <item x="13"/>
        <item x="16"/>
        <item x="22"/>
        <item x="18"/>
        <item x="15"/>
        <item x="11"/>
        <item x="24"/>
        <item x="26"/>
        <item x="10"/>
        <item x="2"/>
        <item x="3"/>
        <item x="14"/>
        <item x="28"/>
        <item x="1"/>
        <item x="19"/>
        <item x="6"/>
        <item x="20"/>
        <item x="9"/>
        <item x="7"/>
        <item x="21"/>
        <item x="5"/>
        <item x="12"/>
        <item x="27"/>
        <item x="23"/>
        <item x="0"/>
        <item x="25"/>
        <item x="8"/>
        <item x="4"/>
        <item t="default"/>
      </items>
    </pivotField>
    <pivotField dataField="1" showAll="0">
      <items count="32">
        <item x="17"/>
        <item x="30"/>
        <item x="22"/>
        <item x="16"/>
        <item x="13"/>
        <item x="18"/>
        <item x="15"/>
        <item x="11"/>
        <item x="25"/>
        <item x="27"/>
        <item x="2"/>
        <item x="10"/>
        <item x="14"/>
        <item x="3"/>
        <item x="29"/>
        <item x="4"/>
        <item x="1"/>
        <item x="19"/>
        <item x="20"/>
        <item x="6"/>
        <item x="9"/>
        <item x="7"/>
        <item x="21"/>
        <item x="12"/>
        <item x="5"/>
        <item x="28"/>
        <item x="23"/>
        <item x="0"/>
        <item x="8"/>
        <item x="26"/>
        <item x="24"/>
        <item t="default"/>
      </items>
    </pivotField>
    <pivotField dataField="1" showAll="0">
      <items count="32">
        <item x="22"/>
        <item x="30"/>
        <item x="17"/>
        <item x="16"/>
        <item x="18"/>
        <item x="15"/>
        <item x="13"/>
        <item x="11"/>
        <item x="25"/>
        <item x="2"/>
        <item x="27"/>
        <item x="29"/>
        <item x="3"/>
        <item x="4"/>
        <item x="10"/>
        <item x="14"/>
        <item x="20"/>
        <item x="1"/>
        <item x="19"/>
        <item x="6"/>
        <item x="9"/>
        <item x="21"/>
        <item x="7"/>
        <item x="12"/>
        <item x="28"/>
        <item x="5"/>
        <item x="0"/>
        <item x="23"/>
        <item x="8"/>
        <item x="26"/>
        <item x="24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5">
    <i>
      <x/>
    </i>
    <i>
      <x v="1"/>
    </i>
    <i>
      <x v="3"/>
    </i>
    <i>
      <x v="24"/>
    </i>
    <i t="grand">
      <x/>
    </i>
  </colItems>
  <dataFields count="7">
    <dataField name=" 1981-85" fld="1" subtotal="average" baseField="0" baseItem="0"/>
    <dataField name=" 1985-90" fld="2" subtotal="average" baseField="0" baseItem="0"/>
    <dataField name=" 1990-95" fld="3" subtotal="average" baseField="0" baseItem="0"/>
    <dataField name=" 1995-20" fld="4" subtotal="average" baseField="0" baseItem="0"/>
    <dataField name=" 2000-05" fld="5" subtotal="average" baseField="0" baseItem="0"/>
    <dataField name=" 2005-10" fld="6" subtotal="average" baseField="0" baseItem="0"/>
    <dataField name=" 2010-16" fld="7" subtotal="average" baseField="0" baseItem="0"/>
  </dataFields>
  <chartFormats count="6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K9:AQ17" firstHeaderRow="1" firstDataRow="2" firstDataCol="1"/>
  <pivotFields count="8">
    <pivotField axis="axisCol" showAll="0">
      <items count="32">
        <item x="2"/>
        <item x="0"/>
        <item x="1"/>
        <item x="3"/>
        <item x="4"/>
        <item x="2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>
      <items count="24">
        <item x="18"/>
        <item x="13"/>
        <item x="20"/>
        <item x="14"/>
        <item x="12"/>
        <item x="6"/>
        <item x="7"/>
        <item x="1"/>
        <item x="5"/>
        <item x="9"/>
        <item x="15"/>
        <item x="22"/>
        <item x="17"/>
        <item x="16"/>
        <item x="2"/>
        <item x="8"/>
        <item x="10"/>
        <item x="4"/>
        <item x="19"/>
        <item x="3"/>
        <item x="11"/>
        <item x="21"/>
        <item x="0"/>
        <item t="default"/>
      </items>
    </pivotField>
    <pivotField dataField="1" showAll="0">
      <items count="25">
        <item x="19"/>
        <item x="14"/>
        <item x="13"/>
        <item x="21"/>
        <item x="15"/>
        <item x="12"/>
        <item x="6"/>
        <item x="7"/>
        <item x="1"/>
        <item x="5"/>
        <item x="9"/>
        <item x="16"/>
        <item x="18"/>
        <item x="17"/>
        <item x="8"/>
        <item x="23"/>
        <item x="20"/>
        <item x="2"/>
        <item x="10"/>
        <item x="4"/>
        <item x="3"/>
        <item x="11"/>
        <item x="22"/>
        <item x="0"/>
        <item t="default"/>
      </items>
    </pivotField>
    <pivotField dataField="1" showAll="0">
      <items count="27">
        <item x="21"/>
        <item x="5"/>
        <item x="16"/>
        <item x="23"/>
        <item x="15"/>
        <item x="0"/>
        <item x="17"/>
        <item x="14"/>
        <item x="8"/>
        <item x="7"/>
        <item x="1"/>
        <item x="11"/>
        <item x="9"/>
        <item x="18"/>
        <item x="19"/>
        <item x="25"/>
        <item x="3"/>
        <item x="22"/>
        <item x="12"/>
        <item x="10"/>
        <item x="20"/>
        <item x="6"/>
        <item x="2"/>
        <item x="13"/>
        <item x="24"/>
        <item x="4"/>
        <item t="default"/>
      </items>
    </pivotField>
    <pivotField dataField="1" showAll="0">
      <items count="28">
        <item x="21"/>
        <item x="5"/>
        <item x="15"/>
        <item x="16"/>
        <item x="17"/>
        <item x="0"/>
        <item x="23"/>
        <item x="14"/>
        <item x="8"/>
        <item x="1"/>
        <item x="9"/>
        <item x="7"/>
        <item x="11"/>
        <item x="18"/>
        <item x="19"/>
        <item x="3"/>
        <item x="26"/>
        <item x="12"/>
        <item x="22"/>
        <item x="10"/>
        <item x="25"/>
        <item x="20"/>
        <item x="6"/>
        <item x="2"/>
        <item x="24"/>
        <item x="13"/>
        <item x="4"/>
        <item t="default"/>
      </items>
    </pivotField>
    <pivotField dataField="1" showAll="0">
      <items count="30">
        <item x="22"/>
        <item x="17"/>
        <item x="16"/>
        <item x="5"/>
        <item x="0"/>
        <item x="18"/>
        <item x="24"/>
        <item x="15"/>
        <item x="26"/>
        <item x="4"/>
        <item x="8"/>
        <item x="9"/>
        <item x="1"/>
        <item x="12"/>
        <item x="7"/>
        <item x="19"/>
        <item x="20"/>
        <item x="3"/>
        <item x="13"/>
        <item x="21"/>
        <item x="28"/>
        <item x="11"/>
        <item x="23"/>
        <item x="27"/>
        <item x="6"/>
        <item x="2"/>
        <item x="25"/>
        <item x="14"/>
        <item x="10"/>
        <item t="default"/>
      </items>
    </pivotField>
    <pivotField dataField="1" showAll="0">
      <items count="32">
        <item x="30"/>
        <item x="16"/>
        <item x="22"/>
        <item x="17"/>
        <item x="5"/>
        <item x="18"/>
        <item x="0"/>
        <item x="25"/>
        <item x="15"/>
        <item x="27"/>
        <item x="8"/>
        <item x="1"/>
        <item x="12"/>
        <item x="4"/>
        <item x="19"/>
        <item x="20"/>
        <item x="7"/>
        <item x="10"/>
        <item x="9"/>
        <item x="29"/>
        <item x="3"/>
        <item x="21"/>
        <item x="28"/>
        <item x="13"/>
        <item x="6"/>
        <item x="11"/>
        <item x="23"/>
        <item x="2"/>
        <item x="14"/>
        <item x="26"/>
        <item x="24"/>
        <item t="default"/>
      </items>
    </pivotField>
    <pivotField dataField="1" showAll="0">
      <items count="32">
        <item x="30"/>
        <item x="17"/>
        <item x="22"/>
        <item x="16"/>
        <item x="18"/>
        <item x="15"/>
        <item x="5"/>
        <item x="0"/>
        <item x="25"/>
        <item x="8"/>
        <item x="27"/>
        <item x="20"/>
        <item x="1"/>
        <item x="24"/>
        <item x="4"/>
        <item x="10"/>
        <item x="7"/>
        <item x="9"/>
        <item x="12"/>
        <item x="29"/>
        <item x="19"/>
        <item x="28"/>
        <item x="21"/>
        <item x="3"/>
        <item x="2"/>
        <item x="11"/>
        <item x="13"/>
        <item x="23"/>
        <item x="6"/>
        <item x="14"/>
        <item x="26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7">
    <dataField name="Average of 1980-1985" fld="1" subtotal="average" baseField="0" baseItem="0"/>
    <dataField name="Average of 1985-1990" fld="2" subtotal="average" baseField="0" baseItem="0"/>
    <dataField name="Average of 1990-1995" fld="3" subtotal="average" baseField="0" baseItem="0"/>
    <dataField name="Average of 1995-2000" fld="4" subtotal="average" baseField="0" baseItem="0"/>
    <dataField name="Average of 2000-2005" fld="5" subtotal="average" baseField="0" baseItem="0"/>
    <dataField name="Average of 2005-2010" fld="6" subtotal="average" baseField="0" baseItem="0"/>
    <dataField name="Average of 2010-2016" fld="7" subtotal="average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2" dataOnRows="1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K11:AQ19" firstHeaderRow="1" firstDataRow="2" firstDataCol="1"/>
  <pivotFields count="8">
    <pivotField axis="axisCol" showAll="0">
      <items count="32">
        <item x="0"/>
        <item x="9"/>
        <item x="10"/>
        <item x="11"/>
        <item x="12"/>
        <item x="29"/>
        <item x="13"/>
        <item x="14"/>
        <item x="1"/>
        <item x="2"/>
        <item x="3"/>
        <item x="4"/>
        <item x="5"/>
        <item x="6"/>
        <item x="7"/>
        <item x="8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>
      <items count="24">
        <item x="18"/>
        <item x="13"/>
        <item x="14"/>
        <item x="12"/>
        <item x="20"/>
        <item x="2"/>
        <item x="1"/>
        <item x="3"/>
        <item x="6"/>
        <item x="15"/>
        <item x="9"/>
        <item x="16"/>
        <item x="17"/>
        <item x="5"/>
        <item x="19"/>
        <item x="0"/>
        <item x="7"/>
        <item x="11"/>
        <item x="10"/>
        <item x="22"/>
        <item x="8"/>
        <item x="21"/>
        <item x="4"/>
        <item t="default"/>
      </items>
    </pivotField>
    <pivotField dataField="1" showAll="0">
      <items count="25">
        <item x="13"/>
        <item x="19"/>
        <item x="14"/>
        <item x="12"/>
        <item x="21"/>
        <item x="15"/>
        <item x="2"/>
        <item x="1"/>
        <item x="9"/>
        <item x="3"/>
        <item x="6"/>
        <item x="16"/>
        <item x="5"/>
        <item x="18"/>
        <item x="23"/>
        <item x="20"/>
        <item x="10"/>
        <item x="7"/>
        <item x="0"/>
        <item x="17"/>
        <item x="11"/>
        <item x="8"/>
        <item x="22"/>
        <item x="4"/>
        <item t="default"/>
      </items>
    </pivotField>
    <pivotField dataField="1" showAll="0">
      <items count="27">
        <item x="16"/>
        <item x="9"/>
        <item x="14"/>
        <item x="21"/>
        <item x="15"/>
        <item x="12"/>
        <item x="23"/>
        <item x="17"/>
        <item x="3"/>
        <item x="2"/>
        <item x="10"/>
        <item x="1"/>
        <item x="18"/>
        <item x="6"/>
        <item x="7"/>
        <item x="5"/>
        <item x="20"/>
        <item x="13"/>
        <item x="19"/>
        <item x="22"/>
        <item x="11"/>
        <item x="25"/>
        <item x="0"/>
        <item x="8"/>
        <item x="24"/>
        <item x="4"/>
        <item t="default"/>
      </items>
    </pivotField>
    <pivotField dataField="1" showAll="0">
      <items count="28">
        <item x="9"/>
        <item x="21"/>
        <item x="15"/>
        <item x="16"/>
        <item x="23"/>
        <item x="12"/>
        <item x="17"/>
        <item x="14"/>
        <item x="10"/>
        <item x="3"/>
        <item x="2"/>
        <item x="26"/>
        <item x="1"/>
        <item x="18"/>
        <item x="11"/>
        <item x="19"/>
        <item x="5"/>
        <item x="6"/>
        <item x="7"/>
        <item x="22"/>
        <item x="20"/>
        <item x="0"/>
        <item x="13"/>
        <item x="25"/>
        <item x="8"/>
        <item x="24"/>
        <item x="4"/>
        <item t="default"/>
      </items>
    </pivotField>
    <pivotField dataField="1" showAll="0">
      <items count="30">
        <item x="22"/>
        <item x="16"/>
        <item x="18"/>
        <item x="9"/>
        <item x="15"/>
        <item x="17"/>
        <item x="24"/>
        <item x="13"/>
        <item x="26"/>
        <item x="3"/>
        <item x="12"/>
        <item x="10"/>
        <item x="28"/>
        <item x="2"/>
        <item x="1"/>
        <item x="19"/>
        <item x="11"/>
        <item x="6"/>
        <item x="20"/>
        <item x="5"/>
        <item x="7"/>
        <item x="23"/>
        <item x="21"/>
        <item x="0"/>
        <item x="14"/>
        <item x="27"/>
        <item x="25"/>
        <item x="8"/>
        <item x="4"/>
        <item t="default"/>
      </items>
    </pivotField>
    <pivotField dataField="1" showAll="0">
      <items count="32">
        <item x="25"/>
        <item x="22"/>
        <item x="19"/>
        <item x="10"/>
        <item x="9"/>
        <item x="16"/>
        <item x="17"/>
        <item x="15"/>
        <item x="18"/>
        <item x="30"/>
        <item x="12"/>
        <item x="13"/>
        <item x="2"/>
        <item x="29"/>
        <item x="27"/>
        <item x="3"/>
        <item x="11"/>
        <item x="1"/>
        <item x="7"/>
        <item x="4"/>
        <item x="20"/>
        <item x="6"/>
        <item x="21"/>
        <item x="23"/>
        <item x="5"/>
        <item x="14"/>
        <item x="0"/>
        <item x="8"/>
        <item x="28"/>
        <item x="26"/>
        <item x="24"/>
        <item t="default"/>
      </items>
    </pivotField>
    <pivotField dataField="1" showAll="0">
      <items count="31">
        <item x="22"/>
        <item x="15"/>
        <item x="29"/>
        <item x="16"/>
        <item x="18"/>
        <item x="17"/>
        <item x="9"/>
        <item x="13"/>
        <item x="28"/>
        <item x="26"/>
        <item x="2"/>
        <item x="12"/>
        <item x="4"/>
        <item x="19"/>
        <item x="3"/>
        <item x="10"/>
        <item x="20"/>
        <item x="7"/>
        <item x="1"/>
        <item x="11"/>
        <item x="21"/>
        <item x="6"/>
        <item x="5"/>
        <item x="0"/>
        <item x="14"/>
        <item x="27"/>
        <item x="23"/>
        <item x="25"/>
        <item x="8"/>
        <item x="24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7">
    <dataField name="Average of 1980-1985" fld="1" subtotal="average" baseField="0" baseItem="0"/>
    <dataField name="Average of 1985-1990" fld="2" subtotal="average" baseField="3" baseItem="0"/>
    <dataField name="Average of 1990-1995" fld="3" subtotal="average" baseField="0" baseItem="0"/>
    <dataField name="Average of 1995-2000" fld="4" subtotal="average" baseField="0" baseItem="0"/>
    <dataField name="Average of 2000-2005" fld="5" subtotal="average" baseField="0" baseItem="0"/>
    <dataField name="Average of 2005-2010" fld="6" subtotal="average" baseField="0" baseItem="0"/>
    <dataField name="Average of 2010-2016" fld="7" subtotal="average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3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J10:AP18" firstHeaderRow="1" firstDataRow="2" firstDataCol="1"/>
  <pivotFields count="8">
    <pivotField axis="axisCol" showAll="0">
      <items count="32">
        <item x="0"/>
        <item x="13"/>
        <item x="14"/>
        <item x="1"/>
        <item x="2"/>
        <item x="29"/>
        <item x="3"/>
        <item x="4"/>
        <item x="5"/>
        <item x="6"/>
        <item x="7"/>
        <item x="8"/>
        <item x="9"/>
        <item x="10"/>
        <item x="11"/>
        <item x="12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>
      <items count="27">
        <item x="21"/>
        <item x="16"/>
        <item x="12"/>
        <item x="17"/>
        <item x="15"/>
        <item x="14"/>
        <item x="23"/>
        <item x="3"/>
        <item x="6"/>
        <item x="7"/>
        <item x="13"/>
        <item x="5"/>
        <item x="18"/>
        <item x="9"/>
        <item x="20"/>
        <item x="19"/>
        <item x="8"/>
        <item x="1"/>
        <item x="10"/>
        <item x="4"/>
        <item x="22"/>
        <item x="0"/>
        <item x="25"/>
        <item x="24"/>
        <item x="11"/>
        <item x="2"/>
        <item t="default"/>
      </items>
    </pivotField>
    <pivotField dataField="1" showAll="0">
      <items count="27">
        <item x="21"/>
        <item x="16"/>
        <item x="12"/>
        <item x="17"/>
        <item x="15"/>
        <item x="14"/>
        <item x="23"/>
        <item x="3"/>
        <item x="6"/>
        <item x="7"/>
        <item x="13"/>
        <item x="5"/>
        <item x="18"/>
        <item x="9"/>
        <item x="20"/>
        <item x="19"/>
        <item x="8"/>
        <item x="1"/>
        <item x="10"/>
        <item x="4"/>
        <item x="22"/>
        <item x="0"/>
        <item x="25"/>
        <item x="24"/>
        <item x="11"/>
        <item x="2"/>
        <item t="default"/>
      </items>
    </pivotField>
    <pivotField dataField="1" showAll="0">
      <items count="27">
        <item x="21"/>
        <item x="16"/>
        <item x="12"/>
        <item x="17"/>
        <item x="14"/>
        <item x="15"/>
        <item x="23"/>
        <item x="3"/>
        <item x="6"/>
        <item x="7"/>
        <item x="13"/>
        <item x="18"/>
        <item x="5"/>
        <item x="10"/>
        <item x="9"/>
        <item x="19"/>
        <item x="1"/>
        <item x="8"/>
        <item x="20"/>
        <item x="4"/>
        <item x="25"/>
        <item x="22"/>
        <item x="0"/>
        <item x="24"/>
        <item x="11"/>
        <item x="2"/>
        <item t="default"/>
      </items>
    </pivotField>
    <pivotField dataField="1" showAll="0">
      <items count="32">
        <item x="22"/>
        <item x="17"/>
        <item x="13"/>
        <item x="18"/>
        <item x="15"/>
        <item x="30"/>
        <item x="16"/>
        <item x="25"/>
        <item x="3"/>
        <item x="27"/>
        <item x="6"/>
        <item x="7"/>
        <item x="11"/>
        <item x="14"/>
        <item x="2"/>
        <item x="19"/>
        <item x="1"/>
        <item x="5"/>
        <item x="29"/>
        <item x="20"/>
        <item x="9"/>
        <item x="10"/>
        <item x="21"/>
        <item x="8"/>
        <item x="4"/>
        <item x="28"/>
        <item x="0"/>
        <item x="23"/>
        <item x="26"/>
        <item x="12"/>
        <item x="24"/>
        <item t="default"/>
      </items>
    </pivotField>
    <pivotField dataField="1" showAll="0">
      <items count="32">
        <item x="22"/>
        <item x="17"/>
        <item x="13"/>
        <item x="15"/>
        <item x="18"/>
        <item x="30"/>
        <item x="16"/>
        <item x="25"/>
        <item x="3"/>
        <item x="27"/>
        <item x="6"/>
        <item x="7"/>
        <item x="2"/>
        <item x="14"/>
        <item x="11"/>
        <item x="19"/>
        <item x="1"/>
        <item x="5"/>
        <item x="29"/>
        <item x="20"/>
        <item x="10"/>
        <item x="9"/>
        <item x="21"/>
        <item x="8"/>
        <item x="4"/>
        <item x="0"/>
        <item x="23"/>
        <item x="28"/>
        <item x="26"/>
        <item x="12"/>
        <item x="24"/>
        <item t="default"/>
      </items>
    </pivotField>
    <pivotField dataField="1" showAll="0"/>
    <pivotField dataField="1" showAll="0">
      <items count="17">
        <item x="9"/>
        <item x="6"/>
        <item x="15"/>
        <item x="7"/>
        <item x="13"/>
        <item x="3"/>
        <item x="8"/>
        <item x="1"/>
        <item x="5"/>
        <item x="14"/>
        <item x="11"/>
        <item x="0"/>
        <item x="4"/>
        <item x="12"/>
        <item x="10"/>
        <item x="2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7">
    <dataField name="Average of 2005-2010" fld="6" subtotal="average" baseField="0" baseItem="0"/>
    <dataField name="Average of 1980-1985" fld="1" subtotal="average" baseField="0" baseItem="0"/>
    <dataField name="Average of 1985-1990" fld="2" subtotal="average" baseField="0" baseItem="0"/>
    <dataField name="Average of 1990-1995" fld="3" subtotal="average" baseField="0" baseItem="0"/>
    <dataField name="Average of 1995-2000" fld="4" subtotal="average" baseField="0" baseItem="0"/>
    <dataField name="Average of 2000-2005" fld="5" subtotal="average" baseField="0" baseItem="0"/>
    <dataField name="Average of 2010-2016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8" cacheId="5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11:AQ19" firstHeaderRow="1" firstDataRow="2" firstDataCol="1"/>
  <pivotFields count="8">
    <pivotField axis="axisCol" showAll="0">
      <items count="32">
        <item x="10"/>
        <item x="0"/>
        <item x="1"/>
        <item x="11"/>
        <item x="12"/>
        <item x="29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x="30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>
      <items count="24">
        <item x="7"/>
        <item x="11"/>
        <item x="21"/>
        <item x="19"/>
        <item x="8"/>
        <item x="2"/>
        <item x="16"/>
        <item x="3"/>
        <item x="5"/>
        <item x="10"/>
        <item x="12"/>
        <item x="17"/>
        <item x="13"/>
        <item x="14"/>
        <item x="20"/>
        <item x="9"/>
        <item x="18"/>
        <item x="6"/>
        <item x="15"/>
        <item x="4"/>
        <item x="1"/>
        <item x="22"/>
        <item x="0"/>
        <item t="default"/>
      </items>
    </pivotField>
    <pivotField dataField="1" showAll="0">
      <items count="25">
        <item x="10"/>
        <item x="13"/>
        <item x="12"/>
        <item x="2"/>
        <item x="19"/>
        <item x="21"/>
        <item x="15"/>
        <item x="3"/>
        <item x="14"/>
        <item x="7"/>
        <item x="1"/>
        <item x="4"/>
        <item x="5"/>
        <item x="9"/>
        <item x="16"/>
        <item x="17"/>
        <item x="18"/>
        <item x="20"/>
        <item x="23"/>
        <item x="6"/>
        <item x="8"/>
        <item x="11"/>
        <item x="22"/>
        <item x="0"/>
        <item t="default"/>
      </items>
    </pivotField>
    <pivotField dataField="1" showAll="0">
      <items count="27">
        <item x="4"/>
        <item x="0"/>
        <item x="14"/>
        <item x="16"/>
        <item x="1"/>
        <item x="15"/>
        <item x="21"/>
        <item x="23"/>
        <item x="12"/>
        <item x="17"/>
        <item x="2"/>
        <item x="3"/>
        <item x="8"/>
        <item x="6"/>
        <item x="20"/>
        <item x="9"/>
        <item x="10"/>
        <item x="18"/>
        <item x="13"/>
        <item x="7"/>
        <item x="19"/>
        <item x="11"/>
        <item x="25"/>
        <item x="22"/>
        <item x="24"/>
        <item x="5"/>
        <item t="default"/>
      </items>
    </pivotField>
    <pivotField dataField="1" showAll="0">
      <items count="28">
        <item x="26"/>
        <item x="4"/>
        <item x="0"/>
        <item x="23"/>
        <item x="16"/>
        <item x="15"/>
        <item x="21"/>
        <item x="14"/>
        <item x="17"/>
        <item x="12"/>
        <item x="1"/>
        <item x="3"/>
        <item x="6"/>
        <item x="2"/>
        <item x="11"/>
        <item x="18"/>
        <item x="7"/>
        <item x="8"/>
        <item x="13"/>
        <item x="10"/>
        <item x="19"/>
        <item x="20"/>
        <item x="22"/>
        <item x="9"/>
        <item x="25"/>
        <item x="24"/>
        <item x="5"/>
        <item t="default"/>
      </items>
    </pivotField>
    <pivotField dataField="1" showAll="0">
      <items count="30">
        <item x="28"/>
        <item x="4"/>
        <item x="22"/>
        <item x="18"/>
        <item x="24"/>
        <item x="0"/>
        <item x="16"/>
        <item x="15"/>
        <item x="17"/>
        <item x="12"/>
        <item x="13"/>
        <item x="26"/>
        <item x="2"/>
        <item x="1"/>
        <item x="3"/>
        <item x="6"/>
        <item x="11"/>
        <item x="19"/>
        <item x="8"/>
        <item x="23"/>
        <item x="10"/>
        <item x="21"/>
        <item x="20"/>
        <item x="7"/>
        <item x="14"/>
        <item x="27"/>
        <item x="25"/>
        <item x="9"/>
        <item x="5"/>
        <item t="default"/>
      </items>
    </pivotField>
    <pivotField dataField="1" showAll="0">
      <items count="32">
        <item x="29"/>
        <item x="8"/>
        <item x="26"/>
        <item x="11"/>
        <item x="4"/>
        <item x="6"/>
        <item x="19"/>
        <item x="12"/>
        <item x="9"/>
        <item x="1"/>
        <item x="23"/>
        <item x="10"/>
        <item x="25"/>
        <item x="15"/>
        <item x="0"/>
        <item x="18"/>
        <item x="22"/>
        <item x="17"/>
        <item x="16"/>
        <item x="27"/>
        <item x="13"/>
        <item x="3"/>
        <item x="30"/>
        <item x="5"/>
        <item x="2"/>
        <item x="14"/>
        <item x="21"/>
        <item x="20"/>
        <item x="7"/>
        <item x="28"/>
        <item x="24"/>
        <item t="default"/>
      </items>
    </pivotField>
    <pivotField dataField="1" showAll="0">
      <items count="32">
        <item x="26"/>
        <item x="8"/>
        <item x="29"/>
        <item x="11"/>
        <item x="19"/>
        <item x="14"/>
        <item x="12"/>
        <item x="5"/>
        <item x="4"/>
        <item x="6"/>
        <item x="25"/>
        <item x="15"/>
        <item x="27"/>
        <item x="0"/>
        <item x="22"/>
        <item x="18"/>
        <item x="16"/>
        <item x="1"/>
        <item x="21"/>
        <item x="13"/>
        <item x="17"/>
        <item x="30"/>
        <item x="3"/>
        <item x="23"/>
        <item x="10"/>
        <item x="9"/>
        <item x="2"/>
        <item x="20"/>
        <item x="7"/>
        <item x="28"/>
        <item x="24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7">
    <dataField name="Average of 1980-1985" fld="1" subtotal="average" baseField="0" baseItem="0"/>
    <dataField name="Average of 1985-1990" fld="2" subtotal="average" baseField="0" baseItem="0"/>
    <dataField name="Average of 1990-1995" fld="3" subtotal="average" baseField="0" baseItem="0"/>
    <dataField name="Average of 1995-2000" fld="4" subtotal="average" baseField="0" baseItem="0"/>
    <dataField name="Average of 2000-2005" fld="5" subtotal="average" baseField="0" baseItem="0"/>
    <dataField name="Average of 2005-2010" fld="6" subtotal="average" baseField="0" baseItem="0"/>
    <dataField name="Average of 2010-2016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7" cacheId="4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11:AQ19" firstHeaderRow="1" firstDataRow="2" firstDataCol="1"/>
  <pivotFields count="8">
    <pivotField axis="axisCol" showAll="0">
      <items count="32">
        <item x="30"/>
        <item x="4"/>
        <item x="5"/>
        <item x="0"/>
        <item x="1"/>
        <item x="20"/>
        <item x="2"/>
        <item x="3"/>
        <item x="22"/>
        <item x="23"/>
        <item x="24"/>
        <item x="25"/>
        <item x="26"/>
        <item x="27"/>
        <item x="28"/>
        <item x="29"/>
        <item x="6"/>
        <item x="7"/>
        <item x="8"/>
        <item x="9"/>
        <item x="10"/>
        <item x="21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24">
        <item x="10"/>
        <item x="4"/>
        <item x="12"/>
        <item x="6"/>
        <item x="5"/>
        <item x="16"/>
        <item x="17"/>
        <item x="3"/>
        <item x="7"/>
        <item x="15"/>
        <item x="9"/>
        <item x="0"/>
        <item x="19"/>
        <item x="8"/>
        <item x="20"/>
        <item x="18"/>
        <item x="14"/>
        <item x="2"/>
        <item x="22"/>
        <item x="13"/>
        <item x="11"/>
        <item x="21"/>
        <item x="1"/>
        <item t="default"/>
      </items>
    </pivotField>
    <pivotField dataField="1" showAll="0">
      <items count="24">
        <item x="10"/>
        <item x="4"/>
        <item x="6"/>
        <item x="12"/>
        <item x="5"/>
        <item x="16"/>
        <item x="17"/>
        <item x="3"/>
        <item x="7"/>
        <item x="15"/>
        <item x="0"/>
        <item x="9"/>
        <item x="8"/>
        <item x="19"/>
        <item x="20"/>
        <item x="18"/>
        <item x="14"/>
        <item x="2"/>
        <item x="22"/>
        <item x="13"/>
        <item x="11"/>
        <item x="21"/>
        <item x="1"/>
        <item t="default"/>
      </items>
    </pivotField>
    <pivotField dataField="1" showAll="0">
      <items count="27">
        <item x="4"/>
        <item x="8"/>
        <item x="13"/>
        <item x="6"/>
        <item x="9"/>
        <item x="15"/>
        <item x="7"/>
        <item x="2"/>
        <item x="20"/>
        <item x="19"/>
        <item x="5"/>
        <item x="10"/>
        <item x="18"/>
        <item x="0"/>
        <item x="12"/>
        <item x="11"/>
        <item x="22"/>
        <item x="23"/>
        <item x="17"/>
        <item x="21"/>
        <item x="25"/>
        <item x="3"/>
        <item x="16"/>
        <item x="14"/>
        <item x="24"/>
        <item x="1"/>
        <item t="default"/>
      </items>
    </pivotField>
    <pivotField dataField="1" showAll="0">
      <items count="27">
        <item x="4"/>
        <item x="12"/>
        <item x="6"/>
        <item x="8"/>
        <item x="14"/>
        <item x="7"/>
        <item x="2"/>
        <item x="20"/>
        <item x="19"/>
        <item x="5"/>
        <item x="9"/>
        <item x="0"/>
        <item x="18"/>
        <item x="17"/>
        <item x="10"/>
        <item x="11"/>
        <item x="22"/>
        <item x="16"/>
        <item x="23"/>
        <item x="21"/>
        <item x="25"/>
        <item x="3"/>
        <item x="15"/>
        <item x="13"/>
        <item x="24"/>
        <item x="1"/>
        <item t="default"/>
      </items>
    </pivotField>
    <pivotField dataField="1" showAll="0">
      <items count="29">
        <item x="8"/>
        <item x="4"/>
        <item x="6"/>
        <item x="12"/>
        <item x="7"/>
        <item x="15"/>
        <item x="2"/>
        <item x="21"/>
        <item x="17"/>
        <item x="22"/>
        <item x="5"/>
        <item x="1"/>
        <item x="0"/>
        <item x="9"/>
        <item x="19"/>
        <item x="10"/>
        <item x="20"/>
        <item x="25"/>
        <item x="11"/>
        <item x="24"/>
        <item x="18"/>
        <item x="3"/>
        <item x="23"/>
        <item x="16"/>
        <item x="27"/>
        <item x="13"/>
        <item x="26"/>
        <item x="14"/>
        <item t="default"/>
      </items>
    </pivotField>
    <pivotField dataField="1" showAll="0">
      <items count="31">
        <item x="8"/>
        <item x="4"/>
        <item x="9"/>
        <item x="6"/>
        <item x="13"/>
        <item x="7"/>
        <item x="16"/>
        <item x="21"/>
        <item x="2"/>
        <item x="22"/>
        <item x="23"/>
        <item x="18"/>
        <item x="5"/>
        <item x="24"/>
        <item x="0"/>
        <item x="1"/>
        <item x="10"/>
        <item x="11"/>
        <item x="20"/>
        <item x="27"/>
        <item x="12"/>
        <item x="19"/>
        <item x="26"/>
        <item x="3"/>
        <item x="25"/>
        <item x="17"/>
        <item x="29"/>
        <item x="14"/>
        <item x="28"/>
        <item x="15"/>
        <item t="default"/>
      </items>
    </pivotField>
    <pivotField dataField="1" showAll="0">
      <items count="32">
        <item x="8"/>
        <item x="9"/>
        <item x="4"/>
        <item x="13"/>
        <item x="6"/>
        <item x="7"/>
        <item x="16"/>
        <item x="21"/>
        <item x="2"/>
        <item x="23"/>
        <item x="24"/>
        <item x="18"/>
        <item x="5"/>
        <item x="25"/>
        <item x="1"/>
        <item x="10"/>
        <item x="0"/>
        <item x="11"/>
        <item x="20"/>
        <item x="22"/>
        <item x="27"/>
        <item x="28"/>
        <item x="12"/>
        <item x="19"/>
        <item x="30"/>
        <item x="3"/>
        <item x="26"/>
        <item x="17"/>
        <item x="14"/>
        <item x="29"/>
        <item x="15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7">
    <dataField name="Average of 1980-1985" fld="1" subtotal="average" baseField="0" baseItem="0"/>
    <dataField name="Average of 1985-1990" fld="2" subtotal="average" baseField="0" baseItem="0"/>
    <dataField name="Average of 1990-1995" fld="3" subtotal="average" baseField="0" baseItem="0"/>
    <dataField name="Average of 1995-2000" fld="4" subtotal="average" baseField="0" baseItem="0"/>
    <dataField name="Average of 2000-2005" fld="5" subtotal="average" baseField="0" baseItem="0"/>
    <dataField name="Average of 2005-2010" fld="6" subtotal="average" baseField="0" baseItem="0"/>
    <dataField name="Average of 2010-2016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9" cacheId="6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K12:AQ20" firstHeaderRow="1" firstDataRow="2" firstDataCol="1"/>
  <pivotFields count="8">
    <pivotField axis="axisCol" showAll="0">
      <items count="32">
        <item x="16"/>
        <item x="17"/>
        <item x="18"/>
        <item x="19"/>
        <item x="20"/>
        <item x="14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15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4">
        <item x="7"/>
        <item x="1"/>
        <item x="0"/>
        <item x="9"/>
        <item x="3"/>
        <item x="17"/>
        <item x="18"/>
        <item x="13"/>
        <item x="16"/>
        <item x="5"/>
        <item x="4"/>
        <item x="20"/>
        <item x="6"/>
        <item x="15"/>
        <item x="19"/>
        <item x="14"/>
        <item x="21"/>
        <item x="11"/>
        <item x="8"/>
        <item x="12"/>
        <item x="10"/>
        <item x="22"/>
        <item x="2"/>
        <item t="default"/>
      </items>
    </pivotField>
    <pivotField dataField="1" showAll="0">
      <items count="25">
        <item x="7"/>
        <item x="2"/>
        <item x="1"/>
        <item x="0"/>
        <item x="10"/>
        <item x="3"/>
        <item x="18"/>
        <item x="19"/>
        <item x="17"/>
        <item x="14"/>
        <item x="4"/>
        <item x="5"/>
        <item x="21"/>
        <item x="6"/>
        <item x="20"/>
        <item x="15"/>
        <item x="16"/>
        <item x="22"/>
        <item x="12"/>
        <item x="8"/>
        <item x="13"/>
        <item x="11"/>
        <item x="23"/>
        <item x="9"/>
        <item t="default"/>
      </items>
    </pivotField>
    <pivotField dataField="1" showAll="0">
      <items count="26">
        <item x="6"/>
        <item x="13"/>
        <item x="1"/>
        <item x="16"/>
        <item x="0"/>
        <item x="2"/>
        <item x="9"/>
        <item x="19"/>
        <item x="20"/>
        <item x="14"/>
        <item x="3"/>
        <item x="18"/>
        <item x="22"/>
        <item x="4"/>
        <item x="5"/>
        <item x="21"/>
        <item x="17"/>
        <item x="11"/>
        <item x="23"/>
        <item x="15"/>
        <item x="12"/>
        <item x="7"/>
        <item x="24"/>
        <item x="10"/>
        <item x="8"/>
        <item t="default"/>
      </items>
    </pivotField>
    <pivotField dataField="1" showAll="0">
      <items count="28">
        <item x="15"/>
        <item x="2"/>
        <item x="1"/>
        <item x="0"/>
        <item x="3"/>
        <item x="10"/>
        <item x="18"/>
        <item x="7"/>
        <item x="13"/>
        <item x="21"/>
        <item x="22"/>
        <item x="16"/>
        <item x="4"/>
        <item x="20"/>
        <item x="5"/>
        <item x="24"/>
        <item x="6"/>
        <item x="17"/>
        <item x="23"/>
        <item x="25"/>
        <item x="12"/>
        <item x="19"/>
        <item x="14"/>
        <item x="8"/>
        <item x="11"/>
        <item x="26"/>
        <item x="9"/>
        <item t="default"/>
      </items>
    </pivotField>
    <pivotField dataField="1" showAll="0">
      <items count="30">
        <item x="16"/>
        <item x="2"/>
        <item x="1"/>
        <item x="0"/>
        <item x="7"/>
        <item x="3"/>
        <item x="20"/>
        <item x="10"/>
        <item x="12"/>
        <item x="14"/>
        <item x="23"/>
        <item x="19"/>
        <item x="24"/>
        <item x="17"/>
        <item x="22"/>
        <item x="4"/>
        <item x="18"/>
        <item x="26"/>
        <item x="5"/>
        <item x="27"/>
        <item x="6"/>
        <item x="25"/>
        <item x="21"/>
        <item x="13"/>
        <item x="8"/>
        <item x="15"/>
        <item x="11"/>
        <item x="28"/>
        <item x="9"/>
        <item t="default"/>
      </items>
    </pivotField>
    <pivotField dataField="1" showAll="0">
      <items count="32">
        <item x="2"/>
        <item x="7"/>
        <item x="15"/>
        <item x="1"/>
        <item x="0"/>
        <item x="17"/>
        <item x="3"/>
        <item x="10"/>
        <item x="21"/>
        <item x="12"/>
        <item x="24"/>
        <item x="14"/>
        <item x="20"/>
        <item x="25"/>
        <item x="26"/>
        <item x="18"/>
        <item x="23"/>
        <item x="4"/>
        <item x="5"/>
        <item x="19"/>
        <item x="28"/>
        <item x="29"/>
        <item x="6"/>
        <item x="22"/>
        <item x="27"/>
        <item x="13"/>
        <item x="8"/>
        <item x="16"/>
        <item x="11"/>
        <item x="30"/>
        <item x="9"/>
        <item t="default"/>
      </items>
    </pivotField>
    <pivotField dataField="1"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7">
    <dataField name="Average of 1980-1985" fld="1" subtotal="average" baseField="0" baseItem="0"/>
    <dataField name="Average of 1985-1990" fld="2" subtotal="average" baseField="0" baseItem="0"/>
    <dataField name="Average of 1990-1995" fld="3" subtotal="average" baseField="0" baseItem="0"/>
    <dataField name="Average of 1995-2000" fld="4" subtotal="average" baseField="0" baseItem="0"/>
    <dataField name="Average of 2000-2005" fld="5" subtotal="average" baseField="0" baseItem="0"/>
    <dataField name="Average of 2005-2010" fld="6" subtotal="average" baseField="0" baseItem="0"/>
    <dataField name="Average of 2010-2016" fld="7" subtotal="average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0" cacheId="7" dataOnRows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3">
  <location ref="K9:AP17" firstHeaderRow="1" firstDataRow="2" firstDataCol="1"/>
  <pivotFields count="8">
    <pivotField axis="axisCol" subtotalTop="0" showAll="0">
      <items count="32">
        <item x="22"/>
        <item x="20"/>
        <item x="21"/>
        <item x="0"/>
        <item x="1"/>
        <item x="18"/>
        <item x="2"/>
        <item x="3"/>
        <item x="23"/>
        <item x="24"/>
        <item x="25"/>
        <item x="26"/>
        <item x="27"/>
        <item x="28"/>
        <item x="29"/>
        <item x="30"/>
        <item x="4"/>
        <item x="5"/>
        <item x="6"/>
        <item x="7"/>
        <item x="8"/>
        <item x="19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ubtotalTop="0" showAll="0">
      <items count="24">
        <item x="9"/>
        <item x="4"/>
        <item x="5"/>
        <item x="3"/>
        <item x="11"/>
        <item x="17"/>
        <item x="18"/>
        <item x="16"/>
        <item x="14"/>
        <item x="7"/>
        <item x="6"/>
        <item x="8"/>
        <item x="19"/>
        <item x="20"/>
        <item x="21"/>
        <item x="2"/>
        <item x="0"/>
        <item x="10"/>
        <item x="13"/>
        <item x="15"/>
        <item x="12"/>
        <item x="22"/>
        <item x="1"/>
        <item t="default"/>
      </items>
    </pivotField>
    <pivotField dataField="1" subtotalTop="0" showAll="0">
      <items count="25">
        <item x="10"/>
        <item x="5"/>
        <item x="4"/>
        <item x="3"/>
        <item x="6"/>
        <item x="12"/>
        <item x="18"/>
        <item x="19"/>
        <item x="17"/>
        <item x="15"/>
        <item x="8"/>
        <item x="7"/>
        <item x="21"/>
        <item x="9"/>
        <item x="20"/>
        <item x="2"/>
        <item x="22"/>
        <item x="0"/>
        <item x="14"/>
        <item x="11"/>
        <item x="16"/>
        <item x="13"/>
        <item x="23"/>
        <item x="1"/>
        <item t="default"/>
      </items>
    </pivotField>
    <pivotField dataField="1" subtotalTop="0" showAll="0">
      <items count="27">
        <item x="11"/>
        <item x="16"/>
        <item x="2"/>
        <item x="6"/>
        <item x="4"/>
        <item x="5"/>
        <item x="7"/>
        <item x="13"/>
        <item x="20"/>
        <item x="21"/>
        <item x="19"/>
        <item x="9"/>
        <item x="17"/>
        <item x="8"/>
        <item x="23"/>
        <item x="10"/>
        <item x="3"/>
        <item x="22"/>
        <item x="15"/>
        <item x="24"/>
        <item x="0"/>
        <item x="18"/>
        <item x="12"/>
        <item x="14"/>
        <item x="25"/>
        <item x="1"/>
        <item t="default"/>
      </items>
    </pivotField>
    <pivotField dataField="1" subtotalTop="0" showAll="0">
      <items count="28">
        <item x="11"/>
        <item x="17"/>
        <item x="2"/>
        <item x="5"/>
        <item x="6"/>
        <item x="7"/>
        <item x="4"/>
        <item x="13"/>
        <item x="21"/>
        <item x="22"/>
        <item x="16"/>
        <item x="20"/>
        <item x="18"/>
        <item x="9"/>
        <item x="8"/>
        <item x="24"/>
        <item x="10"/>
        <item x="0"/>
        <item x="23"/>
        <item x="3"/>
        <item x="25"/>
        <item x="15"/>
        <item x="12"/>
        <item x="19"/>
        <item x="14"/>
        <item x="26"/>
        <item x="1"/>
        <item t="default"/>
      </items>
    </pivotField>
    <pivotField dataField="1" subtotalTop="0" showAll="0">
      <items count="30">
        <item x="11"/>
        <item x="19"/>
        <item x="6"/>
        <item x="7"/>
        <item x="4"/>
        <item x="5"/>
        <item x="2"/>
        <item x="14"/>
        <item x="16"/>
        <item x="23"/>
        <item x="24"/>
        <item x="1"/>
        <item x="22"/>
        <item x="18"/>
        <item x="20"/>
        <item x="9"/>
        <item x="8"/>
        <item x="26"/>
        <item x="0"/>
        <item x="27"/>
        <item x="25"/>
        <item x="10"/>
        <item x="3"/>
        <item x="17"/>
        <item x="12"/>
        <item x="21"/>
        <item x="15"/>
        <item x="28"/>
        <item x="13"/>
        <item t="default"/>
      </items>
    </pivotField>
    <pivotField dataField="1" subtotalTop="0" showAll="0">
      <items count="32">
        <item x="11"/>
        <item x="19"/>
        <item x="7"/>
        <item x="6"/>
        <item x="5"/>
        <item x="20"/>
        <item x="4"/>
        <item x="2"/>
        <item x="14"/>
        <item x="24"/>
        <item x="16"/>
        <item x="25"/>
        <item x="9"/>
        <item x="21"/>
        <item x="18"/>
        <item x="1"/>
        <item x="23"/>
        <item x="26"/>
        <item x="8"/>
        <item x="28"/>
        <item x="29"/>
        <item x="0"/>
        <item x="10"/>
        <item x="3"/>
        <item x="17"/>
        <item x="27"/>
        <item x="12"/>
        <item x="22"/>
        <item x="15"/>
        <item x="30"/>
        <item x="13"/>
        <item t="default"/>
      </items>
    </pivotField>
    <pivotField dataField="1" subtotalTop="0" showAll="0">
      <items count="32">
        <item x="11"/>
        <item x="19"/>
        <item x="6"/>
        <item x="7"/>
        <item x="4"/>
        <item x="20"/>
        <item x="2"/>
        <item x="5"/>
        <item x="14"/>
        <item x="24"/>
        <item x="16"/>
        <item x="25"/>
        <item x="9"/>
        <item x="18"/>
        <item x="26"/>
        <item x="21"/>
        <item x="23"/>
        <item x="1"/>
        <item x="28"/>
        <item x="8"/>
        <item x="0"/>
        <item x="29"/>
        <item x="3"/>
        <item x="10"/>
        <item x="27"/>
        <item x="17"/>
        <item x="22"/>
        <item x="12"/>
        <item x="15"/>
        <item x="30"/>
        <item x="13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dataFields count="7">
    <dataField name="Average of 1980-1985" fld="1" subtotal="average" baseField="0" baseItem="0"/>
    <dataField name="Average of 1985-1990" fld="2" subtotal="average" baseField="0" baseItem="0"/>
    <dataField name="Average of 1990-1995" fld="3" subtotal="average" baseField="0" baseItem="0"/>
    <dataField name="Average of 1995-2000" fld="4" subtotal="average" baseField="0" baseItem="0"/>
    <dataField name="Average of 2000-2005" fld="5" subtotal="average" baseField="0" baseItem="0"/>
    <dataField name="Average of 2005-2010" fld="6" subtotal="average" baseField="0" baseItem="0"/>
    <dataField name="Average of 2010-2016" fld="7" subtotal="average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33" totalsRowCount="1" dataDxfId="138">
  <autoFilter ref="A1:H32"/>
  <tableColumns count="8">
    <tableColumn id="1" name="State" dataDxfId="137" totalsRowDxfId="136"/>
    <tableColumn id="2" name="1980-1985" totalsRowFunction="custom" dataDxfId="135" totalsRowDxfId="134">
      <totalsRowFormula>SUM(Table1[1980-1985])</totalsRowFormula>
    </tableColumn>
    <tableColumn id="3" name="1985-1990" totalsRowFunction="custom" dataDxfId="133" totalsRowDxfId="132">
      <totalsRowFormula>SUM(Table1[1985-1990])</totalsRowFormula>
    </tableColumn>
    <tableColumn id="4" name="1990-1995" totalsRowFunction="custom" dataDxfId="131" totalsRowDxfId="130">
      <totalsRowFormula>SUM(Table1[1990-1995])</totalsRowFormula>
    </tableColumn>
    <tableColumn id="5" name="1995-2000" totalsRowFunction="custom" dataDxfId="129" totalsRowDxfId="128">
      <totalsRowFormula>SUM(Table1[1995-2000])</totalsRowFormula>
    </tableColumn>
    <tableColumn id="6" name="2000-2005" totalsRowFunction="custom" dataDxfId="127" totalsRowDxfId="126">
      <totalsRowFormula>SUM(Table1[2000-2005])</totalsRowFormula>
    </tableColumn>
    <tableColumn id="7" name="2005-2010" totalsRowFunction="custom" dataDxfId="125" totalsRowDxfId="124">
      <totalsRowFormula>SUM(Table1[2005-2010])</totalsRowFormula>
    </tableColumn>
    <tableColumn id="8" name="2010-2016" totalsRowFunction="custom" dataDxfId="123" totalsRowDxfId="122">
      <totalsRowFormula>SUM(Table1[2010-2016])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33" totalsRowCount="1" dataDxfId="121">
  <autoFilter ref="A1:I32"/>
  <tableColumns count="9">
    <tableColumn id="1" name="State" dataDxfId="120" totalsRowDxfId="119"/>
    <tableColumn id="2" name="1980-1985" totalsRowFunction="custom" dataDxfId="118" totalsRowDxfId="117">
      <totalsRowFormula>SUM(Table2[1980-1985])</totalsRowFormula>
    </tableColumn>
    <tableColumn id="3" name="1985-1990" totalsRowFunction="custom" dataDxfId="116" totalsRowDxfId="115">
      <totalsRowFormula>SUM(Table2[1985-1990])</totalsRowFormula>
    </tableColumn>
    <tableColumn id="4" name="1990-1995" totalsRowFunction="custom" dataDxfId="114" totalsRowDxfId="113">
      <totalsRowFormula>SUM(Table2[1990-1995])</totalsRowFormula>
    </tableColumn>
    <tableColumn id="5" name="1995-2000" totalsRowFunction="custom" dataDxfId="112" totalsRowDxfId="111">
      <totalsRowFormula>SUM(Table2[1995-2000])</totalsRowFormula>
    </tableColumn>
    <tableColumn id="6" name="2000-2005" totalsRowFunction="custom" dataDxfId="110" totalsRowDxfId="109">
      <totalsRowFormula>SUM(Table2[2000-2005])</totalsRowFormula>
    </tableColumn>
    <tableColumn id="7" name="2005-2010" totalsRowFunction="custom" dataDxfId="108" totalsRowDxfId="107">
      <totalsRowFormula>SUM(Table2[2005-2010])</totalsRowFormula>
    </tableColumn>
    <tableColumn id="8" name="2010-2016" totalsRowFunction="custom" dataDxfId="106" totalsRowDxfId="105">
      <totalsRowFormula>SUM(Table2[2010-2016])</totalsRowFormula>
    </tableColumn>
    <tableColumn id="9" name="2010-2017" totalsRowFunction="custom" dataDxfId="104" totalsRowDxfId="103">
      <totalsRowFormula>SUM(Table2[[#Totals],[1980-1985]:[2010-2016]])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33" totalsRowCount="1" dataDxfId="102">
  <autoFilter ref="A1:I32"/>
  <sortState ref="A2:I32">
    <sortCondition descending="1" ref="I1:I32"/>
  </sortState>
  <tableColumns count="9">
    <tableColumn id="1" name="State" dataDxfId="101" totalsRowDxfId="100"/>
    <tableColumn id="2" name="1980-1985" totalsRowFunction="custom" dataDxfId="99" totalsRowDxfId="98">
      <totalsRowFormula>SUM(Table3[1980-1985])</totalsRowFormula>
    </tableColumn>
    <tableColumn id="3" name="1985-1990" totalsRowFunction="custom" dataDxfId="97" totalsRowDxfId="96">
      <totalsRowFormula>SUM(Table3[1985-1990])</totalsRowFormula>
    </tableColumn>
    <tableColumn id="4" name="1990-1995" totalsRowFunction="custom" dataDxfId="95" totalsRowDxfId="94">
      <totalsRowFormula>SUM(Table3[1990-1995])</totalsRowFormula>
    </tableColumn>
    <tableColumn id="5" name="1995-2000" totalsRowFunction="custom" dataDxfId="93" totalsRowDxfId="92">
      <totalsRowFormula>SUM(Table3[1995-2000])</totalsRowFormula>
    </tableColumn>
    <tableColumn id="6" name="2000-2005" totalsRowFunction="custom" dataDxfId="91" totalsRowDxfId="90">
      <totalsRowFormula>SUM(Table3[2000-2005])</totalsRowFormula>
    </tableColumn>
    <tableColumn id="7" name="2005-2010" totalsRowFunction="custom" dataDxfId="89" totalsRowDxfId="88">
      <totalsRowFormula>SUM(Table3[2005-2010])</totalsRowFormula>
    </tableColumn>
    <tableColumn id="8" name="2010-2016" totalsRowFunction="custom" dataDxfId="87" totalsRowDxfId="86">
      <totalsRowFormula>SUM(Table3[2010-2016])</totalsRowFormula>
    </tableColumn>
    <tableColumn id="9" name="TOTAL" dataDxfId="85" totalsRowDxfId="84">
      <calculatedColumnFormula>SUM(Table3[[#This Row],[1980-1985]:[2010-2016]])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33" totalsRowCount="1" dataDxfId="83">
  <autoFilter ref="A1:I32"/>
  <tableColumns count="9">
    <tableColumn id="1" name="State" dataDxfId="82" totalsRowDxfId="81"/>
    <tableColumn id="2" name="1980-1985" totalsRowFunction="custom" dataDxfId="80" totalsRowDxfId="79">
      <totalsRowFormula>SUM(Table4[1980-1985])</totalsRowFormula>
    </tableColumn>
    <tableColumn id="3" name="1985-1990" totalsRowFunction="custom" dataDxfId="78" totalsRowDxfId="77">
      <totalsRowFormula>SUM(Table4[1985-1990])</totalsRowFormula>
    </tableColumn>
    <tableColumn id="4" name="1990-1995" totalsRowFunction="custom" dataDxfId="76" totalsRowDxfId="75">
      <totalsRowFormula>SUM(Table4[1990-1995])</totalsRowFormula>
    </tableColumn>
    <tableColumn id="5" name="1995-2000" totalsRowFunction="custom" dataDxfId="74" totalsRowDxfId="73">
      <totalsRowFormula>SUM(Table4[1995-2000])</totalsRowFormula>
    </tableColumn>
    <tableColumn id="6" name="2000-2005" totalsRowFunction="custom" dataDxfId="72" totalsRowDxfId="71">
      <totalsRowFormula>SUM(Table4[2000-2005])</totalsRowFormula>
    </tableColumn>
    <tableColumn id="7" name="2005-2010" totalsRowFunction="custom" dataDxfId="70" totalsRowDxfId="69">
      <totalsRowFormula>SUM(Table4[2005-2010])</totalsRowFormula>
    </tableColumn>
    <tableColumn id="8" name="2010-2016" totalsRowFunction="custom" dataDxfId="68" totalsRowDxfId="67">
      <totalsRowFormula>SUM(Table4[2010-2016])</totalsRowFormula>
    </tableColumn>
    <tableColumn id="9" name="total" dataDxfId="66" totalsRowDxfId="65">
      <calculatedColumnFormula>SUM(Table4[[#This Row],[1980-1985]:[2010-2016]])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I33" totalsRowCount="1" dataDxfId="64">
  <autoFilter ref="A1:I32"/>
  <tableColumns count="9">
    <tableColumn id="1" name="State" dataDxfId="63" totalsRowDxfId="62"/>
    <tableColumn id="2" name="1980-1985" totalsRowFunction="custom" dataDxfId="61" totalsRowDxfId="60">
      <totalsRowFormula>SUM(Table6[1980-1985])</totalsRowFormula>
    </tableColumn>
    <tableColumn id="3" name="1985-1990" totalsRowFunction="custom" dataDxfId="59" totalsRowDxfId="58">
      <totalsRowFormula>SUM(Table6[1985-1990])</totalsRowFormula>
    </tableColumn>
    <tableColumn id="4" name="1990-1995" totalsRowFunction="custom" dataDxfId="57" totalsRowDxfId="56">
      <totalsRowFormula>SUM(Table6[1990-1995])</totalsRowFormula>
    </tableColumn>
    <tableColumn id="5" name="1995-2000" totalsRowFunction="custom" dataDxfId="55" totalsRowDxfId="54">
      <totalsRowFormula>SUM(Table6[1995-2000])</totalsRowFormula>
    </tableColumn>
    <tableColumn id="6" name="2000-2005" totalsRowFunction="custom" dataDxfId="53" totalsRowDxfId="52">
      <totalsRowFormula>SUM(Table6[2000-2005])</totalsRowFormula>
    </tableColumn>
    <tableColumn id="7" name="2005-2010" totalsRowFunction="custom" dataDxfId="51" totalsRowDxfId="50">
      <totalsRowFormula>SUM(Table6[2005-2010])</totalsRowFormula>
    </tableColumn>
    <tableColumn id="8" name="2010-2016" totalsRowFunction="custom" dataDxfId="49" totalsRowDxfId="48">
      <totalsRowFormula>SUM(Table6[2010-2016])</totalsRowFormula>
    </tableColumn>
    <tableColumn id="9" name="total" dataDxfId="47" totalsRowDxfId="46">
      <calculatedColumnFormula>SUM(Table6[[#This Row],[1980-1985]:[2010-2016]])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H32" totalsRowShown="0" dataDxfId="45">
  <autoFilter ref="A1:H32"/>
  <tableColumns count="8">
    <tableColumn id="1" name="State" dataDxfId="44"/>
    <tableColumn id="2" name="1980-1985" dataDxfId="43"/>
    <tableColumn id="3" name="1985-1990" dataDxfId="42"/>
    <tableColumn id="4" name="1990-1995" dataDxfId="41"/>
    <tableColumn id="5" name="1995-2000" dataDxfId="40"/>
    <tableColumn id="6" name="2000-2005" dataDxfId="39"/>
    <tableColumn id="7" name="2005-2010" dataDxfId="38"/>
    <tableColumn id="8" name="2010-2016" dataDxfId="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I33" totalsRowCount="1" headerRowDxfId="36" dataDxfId="35">
  <autoFilter ref="A1:I32"/>
  <tableColumns count="9">
    <tableColumn id="1" name="State" dataDxfId="34" totalsRowDxfId="33"/>
    <tableColumn id="2" name="1980-1985" totalsRowFunction="custom" dataDxfId="32" totalsRowDxfId="31">
      <totalsRowFormula>SUM(Table7[1980-1985])</totalsRowFormula>
    </tableColumn>
    <tableColumn id="3" name="1985-1990" totalsRowFunction="custom" dataDxfId="30" totalsRowDxfId="29">
      <totalsRowFormula>SUM(Table7[1985-1990])</totalsRowFormula>
    </tableColumn>
    <tableColumn id="4" name="1990-1995" totalsRowFunction="custom" dataDxfId="28" totalsRowDxfId="27">
      <totalsRowFormula>SUM(Table7[1990-1995])</totalsRowFormula>
    </tableColumn>
    <tableColumn id="5" name="1995-2000" totalsRowFunction="custom" dataDxfId="26" totalsRowDxfId="25">
      <totalsRowFormula>SUM(Table7[1995-2000])</totalsRowFormula>
    </tableColumn>
    <tableColumn id="6" name="2000-2005" totalsRowFunction="custom" dataDxfId="24" totalsRowDxfId="23">
      <totalsRowFormula>SUM(Table7[2000-2005])</totalsRowFormula>
    </tableColumn>
    <tableColumn id="7" name="2005-2010" totalsRowFunction="custom" dataDxfId="22" totalsRowDxfId="21">
      <totalsRowFormula>SUM(Table7[2005-2010])</totalsRowFormula>
    </tableColumn>
    <tableColumn id="8" name="2010-2016" totalsRowFunction="custom" dataDxfId="20" totalsRowDxfId="19">
      <totalsRowFormula>SUM(Table7[2010-2016])</totalsRowFormula>
    </tableColumn>
    <tableColumn id="9" name="total" totalsRowFunction="custom" dataDxfId="18" totalsRowDxfId="17">
      <calculatedColumnFormula>SUM(Table7[[#This Row],[1980-1985]:[2010-2016]])</calculatedColumnFormula>
      <totalsRowFormula>SUM(Table7[[#Totals],[1980-1985]:[2010-2016]])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H33" totalsRowCount="1" dataDxfId="16">
  <autoFilter ref="A1:H32"/>
  <tableColumns count="8">
    <tableColumn id="1" name="State" dataDxfId="15" totalsRowDxfId="14"/>
    <tableColumn id="2" name="1980-1985" dataDxfId="13" totalsRowDxfId="12"/>
    <tableColumn id="3" name="1985-1990" dataDxfId="11" totalsRowDxfId="10"/>
    <tableColumn id="4" name="1990-1995" dataDxfId="9" totalsRowDxfId="8"/>
    <tableColumn id="5" name="1995-2000" dataDxfId="7" totalsRowDxfId="6"/>
    <tableColumn id="6" name="2000-2005" dataDxfId="5" totalsRowDxfId="4"/>
    <tableColumn id="7" name="2005-2010" dataDxfId="3" totalsRowDxfId="2"/>
    <tableColumn id="8" name="2010-2016" totalsRowFunction="custom" dataDxfId="1" totalsRowDxfId="0">
      <totalsRowFormula>SUM(Table8[2010-2016])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tabSelected="1" zoomScale="75" zoomScaleNormal="75" workbookViewId="0">
      <selection sqref="A1:XFD1048576"/>
    </sheetView>
  </sheetViews>
  <sheetFormatPr defaultRowHeight="15" x14ac:dyDescent="0.25"/>
  <cols>
    <col min="1" max="16384" width="9.140625" style="23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12" sqref="E12:L12"/>
    </sheetView>
  </sheetViews>
  <sheetFormatPr defaultRowHeight="15" x14ac:dyDescent="0.25"/>
  <sheetData>
    <row r="1" spans="1:12" x14ac:dyDescent="0.25">
      <c r="A1" t="s">
        <v>31</v>
      </c>
    </row>
    <row r="2" spans="1:12" x14ac:dyDescent="0.25">
      <c r="A2" s="3" t="s">
        <v>32</v>
      </c>
      <c r="C2" t="s">
        <v>31</v>
      </c>
    </row>
    <row r="3" spans="1:12" x14ac:dyDescent="0.25">
      <c r="A3" s="3" t="s">
        <v>33</v>
      </c>
      <c r="C3" t="s">
        <v>68</v>
      </c>
    </row>
    <row r="4" spans="1:12" x14ac:dyDescent="0.25">
      <c r="A4" s="3" t="s">
        <v>34</v>
      </c>
      <c r="C4" t="s">
        <v>69</v>
      </c>
    </row>
    <row r="5" spans="1:12" x14ac:dyDescent="0.25">
      <c r="A5" s="3" t="s">
        <v>35</v>
      </c>
      <c r="C5" t="s">
        <v>70</v>
      </c>
    </row>
    <row r="6" spans="1:12" x14ac:dyDescent="0.25">
      <c r="A6" s="3" t="s">
        <v>36</v>
      </c>
      <c r="C6" t="s">
        <v>71</v>
      </c>
    </row>
    <row r="7" spans="1:12" x14ac:dyDescent="0.25">
      <c r="A7" s="4" t="s">
        <v>37</v>
      </c>
      <c r="C7" t="s">
        <v>72</v>
      </c>
    </row>
    <row r="8" spans="1:12" x14ac:dyDescent="0.25">
      <c r="A8" s="4" t="s">
        <v>38</v>
      </c>
      <c r="C8" t="s">
        <v>73</v>
      </c>
    </row>
    <row r="9" spans="1:12" x14ac:dyDescent="0.25">
      <c r="A9" s="4" t="s">
        <v>39</v>
      </c>
      <c r="C9" t="s">
        <v>74</v>
      </c>
    </row>
    <row r="10" spans="1:12" x14ac:dyDescent="0.25">
      <c r="A10" s="4" t="s">
        <v>40</v>
      </c>
    </row>
    <row r="11" spans="1:12" x14ac:dyDescent="0.25">
      <c r="A11" s="4" t="s">
        <v>41</v>
      </c>
    </row>
    <row r="12" spans="1:12" x14ac:dyDescent="0.25">
      <c r="A12" s="6" t="s">
        <v>42</v>
      </c>
      <c r="E12" t="s">
        <v>31</v>
      </c>
      <c r="F12" t="s">
        <v>68</v>
      </c>
      <c r="G12" t="s">
        <v>69</v>
      </c>
      <c r="H12" t="s">
        <v>70</v>
      </c>
      <c r="I12" t="s">
        <v>71</v>
      </c>
      <c r="J12" t="s">
        <v>72</v>
      </c>
      <c r="K12" t="s">
        <v>73</v>
      </c>
      <c r="L12" t="s">
        <v>74</v>
      </c>
    </row>
    <row r="13" spans="1:12" x14ac:dyDescent="0.25">
      <c r="A13" s="6" t="s">
        <v>43</v>
      </c>
    </row>
    <row r="14" spans="1:12" x14ac:dyDescent="0.25">
      <c r="A14" s="6" t="s">
        <v>44</v>
      </c>
    </row>
    <row r="15" spans="1:12" x14ac:dyDescent="0.25">
      <c r="A15" s="6" t="s">
        <v>45</v>
      </c>
    </row>
    <row r="16" spans="1:12" x14ac:dyDescent="0.25">
      <c r="A16" s="6" t="s">
        <v>46</v>
      </c>
    </row>
    <row r="17" spans="1:1" x14ac:dyDescent="0.25">
      <c r="A17" s="7" t="s">
        <v>47</v>
      </c>
    </row>
    <row r="18" spans="1:1" x14ac:dyDescent="0.25">
      <c r="A18" s="7" t="s">
        <v>48</v>
      </c>
    </row>
    <row r="19" spans="1:1" x14ac:dyDescent="0.25">
      <c r="A19" s="7" t="s">
        <v>49</v>
      </c>
    </row>
    <row r="20" spans="1:1" x14ac:dyDescent="0.25">
      <c r="A20" s="7" t="s">
        <v>50</v>
      </c>
    </row>
    <row r="21" spans="1:1" x14ac:dyDescent="0.25">
      <c r="A21" s="7" t="s">
        <v>51</v>
      </c>
    </row>
    <row r="22" spans="1:1" x14ac:dyDescent="0.25">
      <c r="A22" s="8" t="s">
        <v>52</v>
      </c>
    </row>
    <row r="23" spans="1:1" x14ac:dyDescent="0.25">
      <c r="A23" s="8" t="s">
        <v>53</v>
      </c>
    </row>
    <row r="24" spans="1:1" x14ac:dyDescent="0.25">
      <c r="A24" s="8" t="s">
        <v>54</v>
      </c>
    </row>
    <row r="25" spans="1:1" x14ac:dyDescent="0.25">
      <c r="A25" s="8" t="s">
        <v>55</v>
      </c>
    </row>
    <row r="26" spans="1:1" x14ac:dyDescent="0.25">
      <c r="A26" s="8" t="s">
        <v>56</v>
      </c>
    </row>
    <row r="27" spans="1:1" x14ac:dyDescent="0.25">
      <c r="A27" s="9" t="s">
        <v>57</v>
      </c>
    </row>
    <row r="28" spans="1:1" x14ac:dyDescent="0.25">
      <c r="A28" s="9" t="s">
        <v>58</v>
      </c>
    </row>
    <row r="29" spans="1:1" x14ac:dyDescent="0.25">
      <c r="A29" s="9" t="s">
        <v>59</v>
      </c>
    </row>
    <row r="30" spans="1:1" x14ac:dyDescent="0.25">
      <c r="A30" s="9" t="s">
        <v>60</v>
      </c>
    </row>
    <row r="31" spans="1:1" x14ac:dyDescent="0.25">
      <c r="A31" s="9" t="s">
        <v>61</v>
      </c>
    </row>
    <row r="32" spans="1:1" x14ac:dyDescent="0.25">
      <c r="A32" s="5" t="s">
        <v>62</v>
      </c>
    </row>
    <row r="33" spans="1:1" x14ac:dyDescent="0.25">
      <c r="A33" s="5" t="s">
        <v>63</v>
      </c>
    </row>
    <row r="34" spans="1:1" x14ac:dyDescent="0.25">
      <c r="A34" s="5" t="s">
        <v>64</v>
      </c>
    </row>
    <row r="35" spans="1:1" x14ac:dyDescent="0.25">
      <c r="A35" s="5" t="s">
        <v>65</v>
      </c>
    </row>
    <row r="36" spans="1:1" x14ac:dyDescent="0.25">
      <c r="A36" s="5" t="s">
        <v>66</v>
      </c>
    </row>
    <row r="37" spans="1:1" x14ac:dyDescent="0.25">
      <c r="A37" s="5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G7" workbookViewId="0">
      <selection activeCell="N15" sqref="N15"/>
    </sheetView>
  </sheetViews>
  <sheetFormatPr defaultRowHeight="15" x14ac:dyDescent="0.25"/>
  <cols>
    <col min="1" max="1" width="21.85546875" customWidth="1"/>
    <col min="2" max="8" width="11.85546875" customWidth="1"/>
    <col min="15" max="15" width="8.140625" customWidth="1"/>
    <col min="16" max="16" width="16.28515625" customWidth="1"/>
    <col min="17" max="17" width="17.7109375" customWidth="1"/>
    <col min="18" max="18" width="7" customWidth="1"/>
    <col min="19" max="19" width="6.85546875" customWidth="1"/>
    <col min="20" max="20" width="12" customWidth="1"/>
    <col min="21" max="21" width="7" customWidth="1"/>
    <col min="22" max="22" width="6" customWidth="1"/>
    <col min="23" max="23" width="7.5703125" customWidth="1"/>
    <col min="24" max="24" width="8.140625" customWidth="1"/>
    <col min="25" max="25" width="16.85546875" customWidth="1"/>
    <col min="26" max="26" width="17" customWidth="1"/>
    <col min="27" max="27" width="10" customWidth="1"/>
    <col min="28" max="28" width="9.7109375" customWidth="1"/>
    <col min="29" max="29" width="7" customWidth="1"/>
    <col min="30" max="30" width="15.85546875" customWidth="1"/>
    <col min="31" max="31" width="12.140625" customWidth="1"/>
    <col min="32" max="32" width="8.5703125" customWidth="1"/>
    <col min="33" max="33" width="10.7109375" customWidth="1"/>
    <col min="34" max="34" width="8.85546875" customWidth="1"/>
    <col min="35" max="35" width="9.28515625" customWidth="1"/>
    <col min="36" max="36" width="7.140625" customWidth="1"/>
    <col min="37" max="37" width="11.140625" customWidth="1"/>
    <col min="38" max="38" width="7.140625" customWidth="1"/>
    <col min="39" max="39" width="9.5703125" customWidth="1"/>
    <col min="40" max="40" width="6.85546875" customWidth="1"/>
    <col min="41" max="41" width="11" customWidth="1"/>
    <col min="42" max="42" width="10" customWidth="1"/>
    <col min="43" max="43" width="7.28515625" customWidth="1"/>
    <col min="44" max="44" width="13.28515625" customWidth="1"/>
    <col min="45" max="45" width="12" customWidth="1"/>
    <col min="46" max="46" width="12.140625" customWidth="1"/>
    <col min="47" max="47" width="12" customWidth="1"/>
    <col min="48" max="169" width="20" customWidth="1"/>
    <col min="170" max="174" width="25" customWidth="1"/>
    <col min="175" max="175" width="11.85546875" customWidth="1"/>
    <col min="176" max="176" width="8.85546875" customWidth="1"/>
    <col min="177" max="177" width="11.85546875" customWidth="1"/>
    <col min="178" max="178" width="8.85546875" customWidth="1"/>
    <col min="179" max="179" width="11.85546875" customWidth="1"/>
    <col min="180" max="180" width="8.85546875" customWidth="1"/>
    <col min="181" max="181" width="11.85546875" customWidth="1"/>
    <col min="182" max="182" width="8.85546875" customWidth="1"/>
    <col min="183" max="183" width="11.85546875" customWidth="1"/>
    <col min="184" max="184" width="8.85546875" customWidth="1"/>
    <col min="185" max="185" width="11.85546875" customWidth="1"/>
    <col min="186" max="186" width="8.85546875" customWidth="1"/>
    <col min="187" max="187" width="11.85546875" customWidth="1"/>
    <col min="188" max="188" width="8.85546875" customWidth="1"/>
    <col min="189" max="189" width="11.85546875" customWidth="1"/>
    <col min="190" max="190" width="8.85546875" customWidth="1"/>
    <col min="191" max="191" width="11.85546875" customWidth="1"/>
    <col min="192" max="192" width="8.85546875" customWidth="1"/>
    <col min="193" max="193" width="11.85546875" customWidth="1"/>
    <col min="194" max="194" width="8.85546875" customWidth="1"/>
    <col min="195" max="195" width="11.85546875" customWidth="1"/>
    <col min="196" max="196" width="8.85546875" customWidth="1"/>
    <col min="197" max="197" width="11.85546875" customWidth="1"/>
    <col min="198" max="198" width="8.85546875" customWidth="1"/>
    <col min="199" max="199" width="11.85546875" bestFit="1" customWidth="1"/>
    <col min="200" max="200" width="9.140625" customWidth="1"/>
    <col min="201" max="201" width="12.140625" customWidth="1"/>
    <col min="202" max="202" width="23" bestFit="1" customWidth="1"/>
    <col min="203" max="203" width="23" customWidth="1"/>
    <col min="204" max="204" width="23" bestFit="1" customWidth="1"/>
    <col min="205" max="205" width="7.85546875" customWidth="1"/>
    <col min="206" max="206" width="10.85546875" bestFit="1" customWidth="1"/>
    <col min="207" max="207" width="7.85546875" customWidth="1"/>
    <col min="208" max="208" width="10.85546875" bestFit="1" customWidth="1"/>
    <col min="209" max="209" width="7.85546875" customWidth="1"/>
    <col min="210" max="210" width="10.85546875" bestFit="1" customWidth="1"/>
    <col min="211" max="211" width="7.85546875" customWidth="1"/>
    <col min="212" max="212" width="10.85546875" bestFit="1" customWidth="1"/>
    <col min="213" max="213" width="7.85546875" customWidth="1"/>
    <col min="214" max="214" width="10.85546875" bestFit="1" customWidth="1"/>
    <col min="215" max="215" width="7.85546875" customWidth="1"/>
    <col min="216" max="216" width="10.85546875" bestFit="1" customWidth="1"/>
    <col min="217" max="217" width="7.85546875" customWidth="1"/>
    <col min="218" max="218" width="10.85546875" bestFit="1" customWidth="1"/>
    <col min="219" max="219" width="7.85546875" customWidth="1"/>
    <col min="220" max="220" width="10.85546875" bestFit="1" customWidth="1"/>
    <col min="221" max="221" width="7.85546875" customWidth="1"/>
    <col min="222" max="222" width="10.85546875" bestFit="1" customWidth="1"/>
    <col min="223" max="223" width="7.85546875" customWidth="1"/>
    <col min="224" max="224" width="10.85546875" bestFit="1" customWidth="1"/>
    <col min="225" max="225" width="7.85546875" customWidth="1"/>
    <col min="226" max="226" width="10.85546875" bestFit="1" customWidth="1"/>
    <col min="227" max="227" width="7.85546875" customWidth="1"/>
    <col min="228" max="228" width="10.85546875" bestFit="1" customWidth="1"/>
    <col min="229" max="229" width="7.85546875" customWidth="1"/>
    <col min="230" max="230" width="10.85546875" bestFit="1" customWidth="1"/>
    <col min="231" max="231" width="7.85546875" customWidth="1"/>
    <col min="232" max="232" width="10.85546875" bestFit="1" customWidth="1"/>
    <col min="233" max="233" width="8.85546875" customWidth="1"/>
    <col min="234" max="234" width="11.85546875" bestFit="1" customWidth="1"/>
    <col min="235" max="235" width="8.85546875" customWidth="1"/>
    <col min="236" max="236" width="11.85546875" bestFit="1" customWidth="1"/>
    <col min="237" max="237" width="8.85546875" customWidth="1"/>
    <col min="238" max="238" width="11.85546875" bestFit="1" customWidth="1"/>
    <col min="239" max="239" width="8.85546875" customWidth="1"/>
    <col min="240" max="240" width="11.85546875" bestFit="1" customWidth="1"/>
    <col min="241" max="241" width="8.85546875" customWidth="1"/>
    <col min="242" max="242" width="11.85546875" bestFit="1" customWidth="1"/>
    <col min="243" max="243" width="8.85546875" customWidth="1"/>
    <col min="244" max="244" width="11.85546875" bestFit="1" customWidth="1"/>
    <col min="245" max="245" width="8.85546875" customWidth="1"/>
    <col min="246" max="246" width="11.85546875" bestFit="1" customWidth="1"/>
    <col min="247" max="247" width="8.85546875" customWidth="1"/>
    <col min="248" max="248" width="11.85546875" bestFit="1" customWidth="1"/>
    <col min="249" max="249" width="8.85546875" customWidth="1"/>
    <col min="250" max="250" width="11.85546875" bestFit="1" customWidth="1"/>
    <col min="251" max="251" width="8.85546875" customWidth="1"/>
    <col min="252" max="252" width="11.85546875" bestFit="1" customWidth="1"/>
    <col min="253" max="253" width="8.85546875" customWidth="1"/>
    <col min="254" max="254" width="11.85546875" bestFit="1" customWidth="1"/>
    <col min="255" max="255" width="8.85546875" customWidth="1"/>
    <col min="256" max="256" width="11.85546875" bestFit="1" customWidth="1"/>
    <col min="257" max="257" width="8.85546875" customWidth="1"/>
    <col min="258" max="258" width="11.85546875" bestFit="1" customWidth="1"/>
    <col min="259" max="259" width="8.85546875" customWidth="1"/>
    <col min="260" max="260" width="11.85546875" bestFit="1" customWidth="1"/>
    <col min="262" max="262" width="12.140625" bestFit="1" customWidth="1"/>
    <col min="263" max="266" width="23" bestFit="1" customWidth="1"/>
  </cols>
  <sheetData>
    <row r="1" spans="1:20" x14ac:dyDescent="0.25">
      <c r="A1" t="s">
        <v>31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</row>
    <row r="2" spans="1:20" x14ac:dyDescent="0.25">
      <c r="A2" s="1" t="s">
        <v>0</v>
      </c>
      <c r="B2" s="1">
        <v>11081</v>
      </c>
      <c r="C2" s="1">
        <v>22766</v>
      </c>
      <c r="D2" s="1">
        <v>46323</v>
      </c>
      <c r="E2" s="1">
        <v>93036</v>
      </c>
      <c r="F2" s="1">
        <v>180839</v>
      </c>
      <c r="G2" s="1">
        <v>345708</v>
      </c>
      <c r="H2" s="1">
        <v>705704</v>
      </c>
    </row>
    <row r="3" spans="1:20" x14ac:dyDescent="0.25">
      <c r="A3" s="1" t="s">
        <v>1</v>
      </c>
      <c r="B3" s="1">
        <v>4300</v>
      </c>
      <c r="C3" s="1">
        <v>8487</v>
      </c>
      <c r="D3" s="1">
        <v>19101</v>
      </c>
      <c r="E3" s="1">
        <v>38708</v>
      </c>
      <c r="F3" s="1">
        <v>60033</v>
      </c>
      <c r="G3" s="1">
        <v>115477</v>
      </c>
      <c r="H3" s="1">
        <v>305073</v>
      </c>
      <c r="P3" s="12" t="s">
        <v>76</v>
      </c>
    </row>
    <row r="4" spans="1:20" x14ac:dyDescent="0.25">
      <c r="A4" s="1" t="s">
        <v>2</v>
      </c>
      <c r="B4" s="1">
        <v>1852</v>
      </c>
      <c r="C4" s="1">
        <v>4018</v>
      </c>
      <c r="D4" s="1">
        <v>8606</v>
      </c>
      <c r="E4" s="1">
        <v>17317</v>
      </c>
      <c r="F4" s="1">
        <v>33731</v>
      </c>
      <c r="G4" s="1">
        <v>55815</v>
      </c>
      <c r="H4" s="1">
        <v>128680</v>
      </c>
      <c r="O4" s="12" t="s">
        <v>84</v>
      </c>
      <c r="P4" t="s">
        <v>0</v>
      </c>
      <c r="Q4" t="s">
        <v>13</v>
      </c>
      <c r="R4" t="s">
        <v>9</v>
      </c>
      <c r="S4" t="s">
        <v>22</v>
      </c>
      <c r="T4" t="s">
        <v>75</v>
      </c>
    </row>
    <row r="5" spans="1:20" x14ac:dyDescent="0.25">
      <c r="A5" s="1" t="s">
        <v>3</v>
      </c>
      <c r="B5" s="1">
        <v>2847</v>
      </c>
      <c r="C5" s="1">
        <v>6162</v>
      </c>
      <c r="D5" s="1">
        <v>12560</v>
      </c>
      <c r="E5" s="1">
        <v>25444</v>
      </c>
      <c r="F5" s="1">
        <v>44561</v>
      </c>
      <c r="G5" s="1">
        <v>85655</v>
      </c>
      <c r="H5" s="1">
        <v>207503</v>
      </c>
      <c r="O5" s="13" t="s">
        <v>94</v>
      </c>
      <c r="P5" s="14">
        <v>11081</v>
      </c>
      <c r="Q5" s="14"/>
      <c r="R5" s="14">
        <v>10154</v>
      </c>
      <c r="S5" s="14">
        <v>278</v>
      </c>
      <c r="T5" s="14">
        <v>7171</v>
      </c>
    </row>
    <row r="6" spans="1:20" x14ac:dyDescent="0.25">
      <c r="A6" s="1" t="s">
        <v>4</v>
      </c>
      <c r="B6" s="1"/>
      <c r="C6" s="1"/>
      <c r="D6" s="1"/>
      <c r="E6" s="1"/>
      <c r="F6" s="1"/>
      <c r="G6" s="1">
        <v>90857</v>
      </c>
      <c r="H6" s="1">
        <v>219306</v>
      </c>
      <c r="J6" t="s">
        <v>31</v>
      </c>
      <c r="K6" t="s">
        <v>0</v>
      </c>
      <c r="O6" s="13" t="s">
        <v>95</v>
      </c>
      <c r="P6" s="14">
        <v>22766</v>
      </c>
      <c r="Q6" s="14"/>
      <c r="R6" s="14">
        <v>19783</v>
      </c>
      <c r="S6" s="14">
        <v>689</v>
      </c>
      <c r="T6" s="14">
        <v>14412.666666666666</v>
      </c>
    </row>
    <row r="7" spans="1:20" x14ac:dyDescent="0.25">
      <c r="A7" s="1" t="s">
        <v>5</v>
      </c>
      <c r="B7" s="1">
        <v>9067</v>
      </c>
      <c r="C7" s="1">
        <v>17579</v>
      </c>
      <c r="D7" s="1">
        <v>35275</v>
      </c>
      <c r="E7" s="1">
        <v>67692</v>
      </c>
      <c r="F7" s="1">
        <v>129189</v>
      </c>
      <c r="G7" s="1">
        <v>244092</v>
      </c>
      <c r="H7" s="1">
        <v>638309</v>
      </c>
      <c r="J7" t="s">
        <v>68</v>
      </c>
      <c r="K7">
        <v>11081</v>
      </c>
      <c r="O7" s="13" t="s">
        <v>103</v>
      </c>
      <c r="P7" s="14">
        <v>46323</v>
      </c>
      <c r="Q7" s="14">
        <v>2610</v>
      </c>
      <c r="R7" s="14">
        <v>37753</v>
      </c>
      <c r="S7" s="14">
        <v>1525</v>
      </c>
      <c r="T7" s="14">
        <v>22052.75</v>
      </c>
    </row>
    <row r="8" spans="1:20" x14ac:dyDescent="0.25">
      <c r="A8" s="1" t="s">
        <v>6</v>
      </c>
      <c r="B8" s="1">
        <v>5831</v>
      </c>
      <c r="C8" s="1">
        <v>11792</v>
      </c>
      <c r="D8" s="1">
        <v>22841</v>
      </c>
      <c r="E8" s="1">
        <v>48194</v>
      </c>
      <c r="F8" s="1">
        <v>83293</v>
      </c>
      <c r="G8" s="1">
        <v>141353</v>
      </c>
      <c r="H8" s="1">
        <v>408182</v>
      </c>
      <c r="J8" t="s">
        <v>69</v>
      </c>
      <c r="K8">
        <v>22766</v>
      </c>
      <c r="O8" s="13" t="s">
        <v>104</v>
      </c>
      <c r="P8" s="14">
        <v>93036</v>
      </c>
      <c r="Q8" s="14">
        <v>4768</v>
      </c>
      <c r="R8" s="14">
        <v>60759</v>
      </c>
      <c r="S8" s="14">
        <v>6869</v>
      </c>
      <c r="T8" s="14">
        <v>41358</v>
      </c>
    </row>
    <row r="9" spans="1:20" x14ac:dyDescent="0.25">
      <c r="A9" s="1" t="s">
        <v>7</v>
      </c>
      <c r="B9" s="1">
        <v>10051</v>
      </c>
      <c r="C9" s="1">
        <v>19616</v>
      </c>
      <c r="D9" s="1">
        <v>38392</v>
      </c>
      <c r="E9" s="1">
        <v>71825</v>
      </c>
      <c r="F9" s="1">
        <v>106209</v>
      </c>
      <c r="G9" s="1">
        <v>184519</v>
      </c>
      <c r="H9" s="1">
        <v>573337</v>
      </c>
      <c r="J9" t="s">
        <v>70</v>
      </c>
      <c r="K9">
        <v>46323</v>
      </c>
      <c r="O9" s="13" t="s">
        <v>105</v>
      </c>
      <c r="P9" s="14">
        <v>180839</v>
      </c>
      <c r="Q9" s="14">
        <v>8227</v>
      </c>
      <c r="R9" s="14">
        <v>88756</v>
      </c>
      <c r="S9" s="14">
        <v>8626</v>
      </c>
      <c r="T9" s="14">
        <v>71612</v>
      </c>
    </row>
    <row r="10" spans="1:20" x14ac:dyDescent="0.25">
      <c r="A10" s="1" t="s">
        <v>8</v>
      </c>
      <c r="B10" s="1">
        <v>18593</v>
      </c>
      <c r="C10" s="1">
        <v>36912</v>
      </c>
      <c r="D10" s="1">
        <v>72847</v>
      </c>
      <c r="E10" s="1">
        <v>142618</v>
      </c>
      <c r="F10" s="1">
        <v>265607</v>
      </c>
      <c r="G10" s="1">
        <v>441257</v>
      </c>
      <c r="H10" s="1">
        <v>1097874</v>
      </c>
      <c r="J10" t="s">
        <v>71</v>
      </c>
      <c r="K10">
        <v>93036</v>
      </c>
      <c r="O10" s="13" t="s">
        <v>106</v>
      </c>
      <c r="P10" s="14">
        <v>345708</v>
      </c>
      <c r="Q10" s="14">
        <v>17801</v>
      </c>
      <c r="R10" s="14">
        <v>161254</v>
      </c>
      <c r="S10" s="14">
        <v>13711</v>
      </c>
      <c r="T10" s="14">
        <v>134618.5</v>
      </c>
    </row>
    <row r="11" spans="1:20" x14ac:dyDescent="0.25">
      <c r="A11" s="1" t="s">
        <v>9</v>
      </c>
      <c r="B11" s="1">
        <v>10154</v>
      </c>
      <c r="C11" s="1">
        <v>19783</v>
      </c>
      <c r="D11" s="1">
        <v>37753</v>
      </c>
      <c r="E11" s="1">
        <v>60759</v>
      </c>
      <c r="F11" s="1">
        <v>88756</v>
      </c>
      <c r="G11" s="1">
        <v>161254</v>
      </c>
      <c r="H11" s="1">
        <v>513369</v>
      </c>
      <c r="J11" t="s">
        <v>72</v>
      </c>
      <c r="K11">
        <v>180839</v>
      </c>
      <c r="O11" s="13" t="s">
        <v>107</v>
      </c>
      <c r="P11" s="14">
        <v>705704</v>
      </c>
      <c r="Q11" s="14">
        <v>50576</v>
      </c>
      <c r="R11" s="14">
        <v>513369</v>
      </c>
      <c r="S11" s="14">
        <v>28024</v>
      </c>
      <c r="T11" s="14">
        <v>324418.25</v>
      </c>
    </row>
    <row r="12" spans="1:20" x14ac:dyDescent="0.25">
      <c r="A12" s="1" t="s">
        <v>10</v>
      </c>
      <c r="B12" s="1"/>
      <c r="C12" s="1"/>
      <c r="D12" s="1"/>
      <c r="E12" s="1"/>
      <c r="F12" s="1">
        <v>32961</v>
      </c>
      <c r="G12" s="1">
        <v>76018</v>
      </c>
      <c r="H12" s="1">
        <v>248337</v>
      </c>
      <c r="J12" t="s">
        <v>73</v>
      </c>
      <c r="K12">
        <v>345708</v>
      </c>
    </row>
    <row r="13" spans="1:20" x14ac:dyDescent="0.25">
      <c r="A13" s="1" t="s">
        <v>11</v>
      </c>
      <c r="B13" s="1"/>
      <c r="C13" s="1"/>
      <c r="D13" s="1">
        <v>2519</v>
      </c>
      <c r="E13" s="1">
        <v>6231</v>
      </c>
      <c r="F13" s="1">
        <v>11673</v>
      </c>
      <c r="G13" s="1">
        <v>19625</v>
      </c>
      <c r="H13" s="1">
        <v>51913</v>
      </c>
      <c r="J13" t="s">
        <v>74</v>
      </c>
      <c r="K13">
        <v>705704</v>
      </c>
    </row>
    <row r="14" spans="1:20" x14ac:dyDescent="0.25">
      <c r="A14" s="1" t="s">
        <v>12</v>
      </c>
      <c r="B14" s="1">
        <v>9597</v>
      </c>
      <c r="C14" s="1">
        <v>19255</v>
      </c>
      <c r="D14" s="1">
        <v>38271</v>
      </c>
      <c r="E14" s="1">
        <v>78900</v>
      </c>
      <c r="F14" s="1">
        <v>147633</v>
      </c>
      <c r="G14" s="1">
        <v>228348</v>
      </c>
      <c r="H14" s="1">
        <v>617032</v>
      </c>
    </row>
    <row r="15" spans="1:20" x14ac:dyDescent="0.25">
      <c r="A15" s="1" t="s">
        <v>13</v>
      </c>
      <c r="B15" s="1"/>
      <c r="C15" s="1"/>
      <c r="D15" s="1">
        <v>2610</v>
      </c>
      <c r="E15" s="1">
        <v>4768</v>
      </c>
      <c r="F15" s="1">
        <v>8227</v>
      </c>
      <c r="G15" s="1">
        <v>17801</v>
      </c>
      <c r="H15" s="1">
        <v>50576</v>
      </c>
    </row>
    <row r="16" spans="1:20" x14ac:dyDescent="0.25">
      <c r="A16" s="1" t="s">
        <v>14</v>
      </c>
      <c r="B16" s="1">
        <v>4174</v>
      </c>
      <c r="C16" s="1">
        <v>8708</v>
      </c>
      <c r="D16" s="1">
        <v>16206</v>
      </c>
      <c r="E16" s="1">
        <v>25969</v>
      </c>
      <c r="F16" s="1">
        <v>50458</v>
      </c>
      <c r="G16" s="1">
        <v>83177</v>
      </c>
      <c r="H16" s="1">
        <v>255724</v>
      </c>
    </row>
    <row r="17" spans="1:8" x14ac:dyDescent="0.25">
      <c r="A17" s="1" t="s">
        <v>15</v>
      </c>
      <c r="B17" s="1">
        <v>805</v>
      </c>
      <c r="C17" s="1">
        <v>1681</v>
      </c>
      <c r="D17" s="1">
        <v>3122</v>
      </c>
      <c r="E17" s="1">
        <v>5854</v>
      </c>
      <c r="F17" s="1">
        <v>10575</v>
      </c>
      <c r="G17" s="1">
        <v>19219</v>
      </c>
      <c r="H17" s="1">
        <v>47974</v>
      </c>
    </row>
    <row r="18" spans="1:8" x14ac:dyDescent="0.25">
      <c r="A18" s="1" t="s">
        <v>16</v>
      </c>
      <c r="B18" s="1">
        <v>620</v>
      </c>
      <c r="C18" s="1">
        <v>1351</v>
      </c>
      <c r="D18" s="1">
        <v>2710</v>
      </c>
      <c r="E18" s="1">
        <v>4618</v>
      </c>
      <c r="F18" s="1">
        <v>8248</v>
      </c>
      <c r="G18" s="1">
        <v>14365</v>
      </c>
      <c r="H18" s="1">
        <v>45125</v>
      </c>
    </row>
    <row r="19" spans="1:8" x14ac:dyDescent="0.25">
      <c r="A19" s="1" t="s">
        <v>17</v>
      </c>
      <c r="B19" s="1"/>
      <c r="C19" s="1">
        <v>1128</v>
      </c>
      <c r="D19" s="1">
        <v>2520</v>
      </c>
      <c r="E19" s="1">
        <v>4449</v>
      </c>
      <c r="F19" s="1">
        <v>7670</v>
      </c>
      <c r="G19" s="1">
        <v>13424</v>
      </c>
      <c r="H19" s="1">
        <v>35850</v>
      </c>
    </row>
    <row r="20" spans="1:8" x14ac:dyDescent="0.25">
      <c r="A20" s="1" t="s">
        <v>18</v>
      </c>
      <c r="B20" s="1">
        <v>879</v>
      </c>
      <c r="C20" s="1">
        <v>2024</v>
      </c>
      <c r="D20" s="1">
        <v>3895</v>
      </c>
      <c r="E20" s="1">
        <v>6352</v>
      </c>
      <c r="F20" s="1">
        <v>10431</v>
      </c>
      <c r="G20" s="1">
        <v>17926</v>
      </c>
      <c r="H20" s="1">
        <v>46268</v>
      </c>
    </row>
    <row r="21" spans="1:8" x14ac:dyDescent="0.25">
      <c r="A21" s="1" t="s">
        <v>19</v>
      </c>
      <c r="B21" s="1">
        <v>5160</v>
      </c>
      <c r="C21" s="1">
        <v>9866</v>
      </c>
      <c r="D21" s="1">
        <v>20044</v>
      </c>
      <c r="E21" s="1">
        <v>37489</v>
      </c>
      <c r="F21" s="1">
        <v>67830</v>
      </c>
      <c r="G21" s="1">
        <v>118529</v>
      </c>
      <c r="H21" s="1">
        <v>342158</v>
      </c>
    </row>
    <row r="22" spans="1:8" x14ac:dyDescent="0.25">
      <c r="A22" s="1" t="s">
        <v>20</v>
      </c>
      <c r="B22" s="1">
        <v>6095</v>
      </c>
      <c r="C22" s="1">
        <v>11968</v>
      </c>
      <c r="D22" s="1">
        <v>25346</v>
      </c>
      <c r="E22" s="1">
        <v>46966</v>
      </c>
      <c r="F22" s="1">
        <v>88469</v>
      </c>
      <c r="G22" s="1">
        <v>133363</v>
      </c>
      <c r="H22" s="1">
        <v>284278</v>
      </c>
    </row>
    <row r="23" spans="1:8" x14ac:dyDescent="0.25">
      <c r="A23" s="1" t="s">
        <v>21</v>
      </c>
      <c r="B23" s="1">
        <v>7322</v>
      </c>
      <c r="C23" s="1">
        <v>15037</v>
      </c>
      <c r="D23" s="1">
        <v>32733</v>
      </c>
      <c r="E23" s="1">
        <v>65126</v>
      </c>
      <c r="F23" s="1">
        <v>112807</v>
      </c>
      <c r="G23" s="1">
        <v>188551</v>
      </c>
      <c r="H23" s="1">
        <v>557965</v>
      </c>
    </row>
    <row r="24" spans="1:8" x14ac:dyDescent="0.25">
      <c r="A24" s="1" t="s">
        <v>22</v>
      </c>
      <c r="B24" s="1">
        <v>278</v>
      </c>
      <c r="C24" s="1">
        <v>689</v>
      </c>
      <c r="D24" s="1">
        <v>1525</v>
      </c>
      <c r="E24" s="1">
        <v>6869</v>
      </c>
      <c r="F24" s="1">
        <v>8626</v>
      </c>
      <c r="G24" s="1">
        <v>13711</v>
      </c>
      <c r="H24" s="1">
        <v>28024</v>
      </c>
    </row>
    <row r="25" spans="1:8" x14ac:dyDescent="0.25">
      <c r="A25" s="1" t="s">
        <v>23</v>
      </c>
      <c r="B25" s="1">
        <v>11686</v>
      </c>
      <c r="C25" s="1">
        <v>21396</v>
      </c>
      <c r="D25" s="1">
        <v>47463</v>
      </c>
      <c r="E25" s="1">
        <v>87774</v>
      </c>
      <c r="F25" s="1">
        <v>154956</v>
      </c>
      <c r="G25" s="1">
        <v>286092</v>
      </c>
      <c r="H25" s="1">
        <v>799698</v>
      </c>
    </row>
    <row r="26" spans="1:8" x14ac:dyDescent="0.25">
      <c r="A26" s="1" t="s">
        <v>24</v>
      </c>
      <c r="B26" s="1"/>
      <c r="C26" s="1"/>
      <c r="D26" s="1"/>
      <c r="E26" s="1"/>
      <c r="F26" s="1"/>
      <c r="G26" s="1"/>
      <c r="H26" s="1"/>
    </row>
    <row r="27" spans="1:8" x14ac:dyDescent="0.25">
      <c r="A27" s="1" t="s">
        <v>25</v>
      </c>
      <c r="B27" s="1">
        <v>804</v>
      </c>
      <c r="C27" s="1">
        <v>1969</v>
      </c>
      <c r="D27" s="1">
        <v>3612</v>
      </c>
      <c r="E27" s="1">
        <v>6823</v>
      </c>
      <c r="F27" s="1">
        <v>12886</v>
      </c>
      <c r="G27" s="1">
        <v>20706</v>
      </c>
      <c r="H27" s="1">
        <v>54262</v>
      </c>
    </row>
    <row r="28" spans="1:8" x14ac:dyDescent="0.25">
      <c r="A28" s="1" t="s">
        <v>26</v>
      </c>
      <c r="B28" s="1">
        <v>18402</v>
      </c>
      <c r="C28" s="1">
        <v>36173</v>
      </c>
      <c r="D28" s="1">
        <v>78958</v>
      </c>
      <c r="E28" s="1">
        <v>136507</v>
      </c>
      <c r="F28" s="1">
        <v>245436</v>
      </c>
      <c r="G28" s="1">
        <v>447639</v>
      </c>
      <c r="H28" s="1">
        <v>1217728</v>
      </c>
    </row>
    <row r="29" spans="1:8" x14ac:dyDescent="0.25">
      <c r="A29" s="1" t="s">
        <v>27</v>
      </c>
      <c r="B29" s="1"/>
      <c r="C29" s="1"/>
      <c r="D29" s="1"/>
      <c r="E29" s="1"/>
      <c r="F29" s="1">
        <v>21828</v>
      </c>
      <c r="G29" s="1">
        <v>50341</v>
      </c>
      <c r="H29" s="1">
        <v>134331</v>
      </c>
    </row>
    <row r="30" spans="1:8" x14ac:dyDescent="0.25">
      <c r="A30" s="1" t="s">
        <v>28</v>
      </c>
      <c r="B30" s="1">
        <v>10381</v>
      </c>
      <c r="C30" s="1">
        <v>19585</v>
      </c>
      <c r="D30" s="1">
        <v>36121</v>
      </c>
      <c r="E30" s="1">
        <v>76928</v>
      </c>
      <c r="F30" s="1">
        <v>154451</v>
      </c>
      <c r="G30" s="1">
        <v>257501</v>
      </c>
      <c r="H30" s="1">
        <v>628685</v>
      </c>
    </row>
    <row r="31" spans="1:8" x14ac:dyDescent="0.25">
      <c r="A31" s="1" t="s">
        <v>29</v>
      </c>
      <c r="B31" s="1"/>
      <c r="C31" s="1"/>
      <c r="D31" s="1"/>
      <c r="E31" s="1">
        <v>21533</v>
      </c>
      <c r="F31" s="1">
        <v>50802</v>
      </c>
      <c r="G31" s="1">
        <v>87555</v>
      </c>
      <c r="H31" s="1">
        <v>191756</v>
      </c>
    </row>
    <row r="32" spans="1:8" x14ac:dyDescent="0.25">
      <c r="A32" s="1" t="s">
        <v>30</v>
      </c>
      <c r="B32" s="1"/>
      <c r="C32" s="1"/>
      <c r="D32" s="1"/>
      <c r="E32" s="1"/>
      <c r="F32" s="1"/>
      <c r="G32" s="1">
        <v>13691</v>
      </c>
      <c r="H32" s="1">
        <v>28772</v>
      </c>
    </row>
    <row r="33" spans="1:8" x14ac:dyDescent="0.25">
      <c r="A33" s="1"/>
      <c r="B33" s="1">
        <f>SUM(Table1[1980-1985])</f>
        <v>149979</v>
      </c>
      <c r="C33" s="1">
        <f>SUM(Table1[1985-1990])</f>
        <v>297945</v>
      </c>
      <c r="D33" s="1">
        <f>SUM(Table1[1990-1995])</f>
        <v>611353</v>
      </c>
      <c r="E33" s="1">
        <f>SUM(Table1[1995-2000])</f>
        <v>1188749</v>
      </c>
      <c r="F33" s="1">
        <f>SUM(Table1[2000-2005])</f>
        <v>2198185</v>
      </c>
      <c r="G33" s="1">
        <f>SUM(Table1[2005-2010])</f>
        <v>3973569</v>
      </c>
      <c r="H33" s="1">
        <f>SUM(Table1[2010-2016])</f>
        <v>10463793</v>
      </c>
    </row>
    <row r="34" spans="1:8" x14ac:dyDescent="0.25">
      <c r="B34" s="10" t="s">
        <v>68</v>
      </c>
      <c r="C34" s="10" t="s">
        <v>69</v>
      </c>
      <c r="D34" s="10" t="s">
        <v>70</v>
      </c>
      <c r="E34" s="10" t="s">
        <v>71</v>
      </c>
      <c r="F34" s="10" t="s">
        <v>72</v>
      </c>
      <c r="G34" s="10" t="s">
        <v>73</v>
      </c>
      <c r="H34" s="11" t="s">
        <v>74</v>
      </c>
    </row>
    <row r="37" spans="1:8" x14ac:dyDescent="0.25">
      <c r="B37" t="s">
        <v>85</v>
      </c>
      <c r="C37">
        <v>149979</v>
      </c>
    </row>
    <row r="38" spans="1:8" x14ac:dyDescent="0.25">
      <c r="B38" t="s">
        <v>69</v>
      </c>
      <c r="C38">
        <v>297945</v>
      </c>
    </row>
    <row r="39" spans="1:8" x14ac:dyDescent="0.25">
      <c r="B39" t="s">
        <v>70</v>
      </c>
      <c r="C39">
        <v>611353</v>
      </c>
    </row>
    <row r="40" spans="1:8" x14ac:dyDescent="0.25">
      <c r="B40" t="s">
        <v>71</v>
      </c>
      <c r="C40">
        <v>1188749</v>
      </c>
    </row>
    <row r="41" spans="1:8" x14ac:dyDescent="0.25">
      <c r="B41" t="s">
        <v>72</v>
      </c>
      <c r="C41">
        <v>2198185</v>
      </c>
    </row>
    <row r="42" spans="1:8" x14ac:dyDescent="0.25">
      <c r="B42" t="s">
        <v>73</v>
      </c>
      <c r="C42">
        <v>3973569</v>
      </c>
    </row>
    <row r="43" spans="1:8" x14ac:dyDescent="0.25">
      <c r="B43" t="s">
        <v>74</v>
      </c>
      <c r="C43">
        <v>10463793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16" workbookViewId="0">
      <selection activeCell="I33" sqref="I33"/>
    </sheetView>
  </sheetViews>
  <sheetFormatPr defaultRowHeight="15" x14ac:dyDescent="0.25"/>
  <cols>
    <col min="1" max="1" width="17.7109375" bestFit="1" customWidth="1"/>
    <col min="2" max="8" width="11.85546875" customWidth="1"/>
    <col min="11" max="11" width="20" customWidth="1"/>
    <col min="12" max="12" width="16.28515625" customWidth="1"/>
    <col min="13" max="13" width="17.7109375" customWidth="1"/>
    <col min="14" max="14" width="9" customWidth="1"/>
    <col min="15" max="15" width="10" customWidth="1"/>
    <col min="16" max="16" width="12.140625" customWidth="1"/>
    <col min="17" max="18" width="9" customWidth="1"/>
    <col min="19" max="19" width="10" customWidth="1"/>
    <col min="20" max="20" width="9" customWidth="1"/>
    <col min="21" max="21" width="16.85546875" customWidth="1"/>
    <col min="22" max="22" width="17" customWidth="1"/>
    <col min="23" max="24" width="10" customWidth="1"/>
    <col min="25" max="25" width="9" customWidth="1"/>
    <col min="26" max="26" width="15.85546875" customWidth="1"/>
    <col min="27" max="27" width="12.140625" customWidth="1"/>
    <col min="28" max="28" width="9" customWidth="1"/>
    <col min="29" max="29" width="10.7109375" customWidth="1"/>
    <col min="30" max="30" width="8.85546875" customWidth="1"/>
    <col min="31" max="31" width="9.28515625" customWidth="1"/>
    <col min="32" max="32" width="9" customWidth="1"/>
    <col min="33" max="33" width="11.140625" customWidth="1"/>
    <col min="34" max="34" width="9" customWidth="1"/>
    <col min="35" max="35" width="10" customWidth="1"/>
    <col min="36" max="36" width="8" customWidth="1"/>
    <col min="37" max="37" width="11" customWidth="1"/>
    <col min="38" max="38" width="10" customWidth="1"/>
    <col min="39" max="39" width="9" customWidth="1"/>
    <col min="40" max="40" width="13.28515625" customWidth="1"/>
    <col min="41" max="41" width="12" customWidth="1"/>
    <col min="42" max="42" width="12.140625" customWidth="1"/>
    <col min="43" max="43" width="12" customWidth="1"/>
    <col min="44" max="46" width="20" bestFit="1" customWidth="1"/>
    <col min="47" max="47" width="20" customWidth="1"/>
    <col min="48" max="50" width="20" bestFit="1" customWidth="1"/>
    <col min="51" max="51" width="20" customWidth="1"/>
    <col min="52" max="52" width="20" bestFit="1" customWidth="1"/>
    <col min="53" max="53" width="20" customWidth="1"/>
    <col min="54" max="54" width="20" bestFit="1" customWidth="1"/>
    <col min="55" max="55" width="20" customWidth="1"/>
    <col min="56" max="58" width="20" bestFit="1" customWidth="1"/>
    <col min="59" max="59" width="20" customWidth="1"/>
    <col min="60" max="62" width="20" bestFit="1" customWidth="1"/>
    <col min="63" max="63" width="20" customWidth="1"/>
    <col min="64" max="64" width="20" bestFit="1" customWidth="1"/>
    <col min="65" max="65" width="20" customWidth="1"/>
    <col min="66" max="66" width="20" bestFit="1" customWidth="1"/>
    <col min="67" max="67" width="20" customWidth="1"/>
    <col min="68" max="70" width="20" bestFit="1" customWidth="1"/>
    <col min="71" max="71" width="20" customWidth="1"/>
    <col min="72" max="72" width="20" bestFit="1" customWidth="1"/>
    <col min="73" max="75" width="20" customWidth="1"/>
    <col min="76" max="76" width="20" bestFit="1" customWidth="1"/>
    <col min="77" max="77" width="20" customWidth="1"/>
    <col min="78" max="78" width="20" bestFit="1" customWidth="1"/>
    <col min="79" max="79" width="20" customWidth="1"/>
    <col min="80" max="82" width="20" bestFit="1" customWidth="1"/>
    <col min="83" max="83" width="20" customWidth="1"/>
    <col min="84" max="86" width="20" bestFit="1" customWidth="1"/>
    <col min="87" max="87" width="20" customWidth="1"/>
    <col min="88" max="88" width="20" bestFit="1" customWidth="1"/>
    <col min="89" max="89" width="20" customWidth="1"/>
    <col min="90" max="90" width="20" bestFit="1" customWidth="1"/>
    <col min="91" max="91" width="20" customWidth="1"/>
    <col min="92" max="94" width="20" bestFit="1" customWidth="1"/>
    <col min="95" max="95" width="20" customWidth="1"/>
    <col min="96" max="98" width="20" bestFit="1" customWidth="1"/>
    <col min="99" max="99" width="20" customWidth="1"/>
    <col min="100" max="100" width="20" bestFit="1" customWidth="1"/>
    <col min="101" max="101" width="20" customWidth="1"/>
    <col min="102" max="102" width="20" bestFit="1" customWidth="1"/>
    <col min="103" max="107" width="20" customWidth="1"/>
    <col min="108" max="112" width="20" bestFit="1" customWidth="1"/>
    <col min="113" max="113" width="20" customWidth="1"/>
    <col min="114" max="118" width="20" bestFit="1" customWidth="1"/>
    <col min="119" max="119" width="20" customWidth="1"/>
    <col min="120" max="124" width="20" bestFit="1" customWidth="1"/>
    <col min="125" max="125" width="20" customWidth="1"/>
    <col min="126" max="130" width="20" bestFit="1" customWidth="1"/>
    <col min="131" max="131" width="20" customWidth="1"/>
    <col min="132" max="135" width="20" bestFit="1" customWidth="1"/>
    <col min="136" max="139" width="20" customWidth="1"/>
    <col min="140" max="142" width="20" bestFit="1" customWidth="1"/>
    <col min="143" max="143" width="20" customWidth="1"/>
    <col min="144" max="148" width="20" bestFit="1" customWidth="1"/>
    <col min="149" max="149" width="20" customWidth="1"/>
    <col min="150" max="154" width="20" bestFit="1" customWidth="1"/>
    <col min="155" max="155" width="20" customWidth="1"/>
    <col min="156" max="160" width="20" bestFit="1" customWidth="1"/>
    <col min="161" max="161" width="20" customWidth="1"/>
    <col min="162" max="166" width="20" bestFit="1" customWidth="1"/>
    <col min="167" max="171" width="20" customWidth="1"/>
    <col min="172" max="172" width="20" bestFit="1" customWidth="1"/>
    <col min="173" max="173" width="20" customWidth="1"/>
    <col min="174" max="178" width="20" bestFit="1" customWidth="1"/>
    <col min="179" max="179" width="20" customWidth="1"/>
    <col min="180" max="184" width="20" bestFit="1" customWidth="1"/>
    <col min="185" max="185" width="20" customWidth="1"/>
    <col min="186" max="190" width="20" bestFit="1" customWidth="1"/>
    <col min="191" max="191" width="20" customWidth="1"/>
    <col min="192" max="196" width="20" bestFit="1" customWidth="1"/>
    <col min="197" max="203" width="20" customWidth="1"/>
    <col min="204" max="227" width="20" bestFit="1" customWidth="1"/>
    <col min="228" max="228" width="25" bestFit="1" customWidth="1"/>
    <col min="229" max="233" width="23" bestFit="1" customWidth="1"/>
    <col min="234" max="234" width="21.5703125" bestFit="1" customWidth="1"/>
  </cols>
  <sheetData>
    <row r="1" spans="1:43" x14ac:dyDescent="0.25">
      <c r="A1" t="s">
        <v>31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108</v>
      </c>
    </row>
    <row r="2" spans="1:43" x14ac:dyDescent="0.25">
      <c r="A2" s="1" t="s">
        <v>13</v>
      </c>
      <c r="B2" s="1"/>
      <c r="C2" s="1"/>
      <c r="D2" s="1">
        <v>887</v>
      </c>
      <c r="E2" s="1">
        <v>1425</v>
      </c>
      <c r="F2" s="1">
        <v>2357</v>
      </c>
      <c r="G2" s="1">
        <v>5405.79</v>
      </c>
      <c r="H2" s="1">
        <v>14069.93</v>
      </c>
      <c r="I2" s="1"/>
    </row>
    <row r="3" spans="1:43" x14ac:dyDescent="0.25">
      <c r="A3" s="1" t="s">
        <v>14</v>
      </c>
      <c r="B3" s="1">
        <v>1408</v>
      </c>
      <c r="C3" s="1">
        <v>2188</v>
      </c>
      <c r="D3" s="1">
        <v>3515</v>
      </c>
      <c r="E3" s="1">
        <v>4522</v>
      </c>
      <c r="F3" s="1">
        <v>11404</v>
      </c>
      <c r="G3" s="1">
        <v>12963.67</v>
      </c>
      <c r="H3" s="1">
        <v>41142.93</v>
      </c>
      <c r="I3" s="1"/>
    </row>
    <row r="4" spans="1:43" x14ac:dyDescent="0.25">
      <c r="A4" s="1" t="s">
        <v>0</v>
      </c>
      <c r="B4" s="1">
        <v>2523</v>
      </c>
      <c r="C4" s="1">
        <v>4340</v>
      </c>
      <c r="D4" s="1">
        <v>9643</v>
      </c>
      <c r="E4" s="1">
        <v>18503</v>
      </c>
      <c r="F4" s="1">
        <v>45848</v>
      </c>
      <c r="G4" s="1">
        <v>90069.53</v>
      </c>
      <c r="H4" s="1">
        <v>127943.93</v>
      </c>
      <c r="I4" s="1"/>
    </row>
    <row r="5" spans="1:43" x14ac:dyDescent="0.25">
      <c r="A5" s="1" t="s">
        <v>9</v>
      </c>
      <c r="B5" s="1">
        <v>3581</v>
      </c>
      <c r="C5" s="1">
        <v>5634</v>
      </c>
      <c r="D5" s="1">
        <v>5507</v>
      </c>
      <c r="E5" s="1">
        <v>8342</v>
      </c>
      <c r="F5" s="1">
        <v>18554</v>
      </c>
      <c r="G5" s="1">
        <v>38252.54</v>
      </c>
      <c r="H5" s="1">
        <v>120246.73</v>
      </c>
      <c r="I5" s="1"/>
    </row>
    <row r="6" spans="1:43" x14ac:dyDescent="0.25">
      <c r="A6" s="1" t="s">
        <v>10</v>
      </c>
      <c r="B6" s="1"/>
      <c r="C6" s="1"/>
      <c r="D6" s="1"/>
      <c r="E6" s="1"/>
      <c r="F6" s="1">
        <v>7202</v>
      </c>
      <c r="G6" s="1">
        <v>17858.55</v>
      </c>
      <c r="H6" s="1">
        <v>46126.17</v>
      </c>
      <c r="I6" s="1"/>
    </row>
    <row r="7" spans="1:43" x14ac:dyDescent="0.25">
      <c r="A7" s="1" t="s">
        <v>11</v>
      </c>
      <c r="B7" s="1"/>
      <c r="C7" s="1"/>
      <c r="D7" s="1">
        <v>626</v>
      </c>
      <c r="E7" s="1">
        <v>811</v>
      </c>
      <c r="F7" s="1">
        <v>2157</v>
      </c>
      <c r="G7" s="1">
        <v>4535.99</v>
      </c>
      <c r="H7" s="1">
        <v>11299.13</v>
      </c>
      <c r="I7" s="1"/>
    </row>
    <row r="8" spans="1:43" x14ac:dyDescent="0.25">
      <c r="A8" s="1" t="s">
        <v>12</v>
      </c>
      <c r="B8" s="1">
        <v>3245</v>
      </c>
      <c r="C8" s="1">
        <v>4630</v>
      </c>
      <c r="D8" s="1">
        <v>8262</v>
      </c>
      <c r="E8" s="1">
        <v>14608</v>
      </c>
      <c r="F8" s="1">
        <v>35178</v>
      </c>
      <c r="G8" s="1">
        <v>52731.92</v>
      </c>
      <c r="H8" s="1">
        <v>160345.60999999999</v>
      </c>
      <c r="I8" s="1"/>
    </row>
    <row r="9" spans="1:43" x14ac:dyDescent="0.25">
      <c r="A9" s="1" t="s">
        <v>1</v>
      </c>
      <c r="B9" s="1">
        <v>1465</v>
      </c>
      <c r="C9" s="1">
        <v>2233</v>
      </c>
      <c r="D9" s="1">
        <v>2841</v>
      </c>
      <c r="E9" s="1">
        <v>5991</v>
      </c>
      <c r="F9" s="1">
        <v>13330</v>
      </c>
      <c r="G9" s="1">
        <v>23156.99</v>
      </c>
      <c r="H9" s="1">
        <v>48000.86</v>
      </c>
      <c r="I9" s="1"/>
      <c r="L9" s="12" t="s">
        <v>76</v>
      </c>
    </row>
    <row r="10" spans="1:43" x14ac:dyDescent="0.25">
      <c r="A10" s="1" t="s">
        <v>2</v>
      </c>
      <c r="B10" s="1">
        <v>559</v>
      </c>
      <c r="C10" s="1">
        <v>981</v>
      </c>
      <c r="D10" s="1">
        <v>2609</v>
      </c>
      <c r="E10" s="1">
        <v>3411</v>
      </c>
      <c r="F10" s="1">
        <v>8257</v>
      </c>
      <c r="G10" s="1">
        <v>12823.13</v>
      </c>
      <c r="H10" s="1">
        <v>24075.279999999999</v>
      </c>
      <c r="I10" s="1"/>
      <c r="K10" s="12" t="s">
        <v>84</v>
      </c>
      <c r="L10" t="s">
        <v>0</v>
      </c>
      <c r="M10" t="s">
        <v>13</v>
      </c>
      <c r="N10" t="s">
        <v>14</v>
      </c>
      <c r="O10" t="s">
        <v>9</v>
      </c>
      <c r="P10" t="s">
        <v>10</v>
      </c>
      <c r="Q10" t="s">
        <v>29</v>
      </c>
      <c r="R10" t="s">
        <v>11</v>
      </c>
      <c r="S10" t="s">
        <v>12</v>
      </c>
      <c r="T10" t="s">
        <v>1</v>
      </c>
      <c r="U10" t="s">
        <v>2</v>
      </c>
      <c r="V10" t="s">
        <v>3</v>
      </c>
      <c r="W10" t="s">
        <v>4</v>
      </c>
      <c r="X10" t="s">
        <v>5</v>
      </c>
      <c r="Y10" t="s">
        <v>6</v>
      </c>
      <c r="Z10" t="s">
        <v>7</v>
      </c>
      <c r="AA10" t="s">
        <v>8</v>
      </c>
      <c r="AB10" t="s">
        <v>15</v>
      </c>
      <c r="AC10" t="s">
        <v>16</v>
      </c>
      <c r="AD10" t="s">
        <v>17</v>
      </c>
      <c r="AE10" t="s">
        <v>18</v>
      </c>
      <c r="AF10" t="s">
        <v>19</v>
      </c>
      <c r="AG10" t="s">
        <v>30</v>
      </c>
      <c r="AH10" t="s">
        <v>20</v>
      </c>
      <c r="AI10" t="s">
        <v>21</v>
      </c>
      <c r="AJ10" t="s">
        <v>22</v>
      </c>
      <c r="AK10" t="s">
        <v>23</v>
      </c>
      <c r="AL10" t="s">
        <v>24</v>
      </c>
      <c r="AM10" t="s">
        <v>25</v>
      </c>
      <c r="AN10" t="s">
        <v>26</v>
      </c>
      <c r="AO10" t="s">
        <v>27</v>
      </c>
      <c r="AP10" t="s">
        <v>28</v>
      </c>
      <c r="AQ10" t="s">
        <v>75</v>
      </c>
    </row>
    <row r="11" spans="1:43" x14ac:dyDescent="0.25">
      <c r="A11" s="1" t="s">
        <v>3</v>
      </c>
      <c r="B11" s="1">
        <v>1020</v>
      </c>
      <c r="C11" s="1">
        <v>2007</v>
      </c>
      <c r="D11" s="1">
        <v>3915</v>
      </c>
      <c r="E11" s="1">
        <v>5587</v>
      </c>
      <c r="F11" s="1">
        <v>10556</v>
      </c>
      <c r="G11" s="1">
        <v>26631.66</v>
      </c>
      <c r="H11" s="1">
        <v>48415.66</v>
      </c>
      <c r="I11" s="1"/>
      <c r="K11" s="13" t="s">
        <v>77</v>
      </c>
      <c r="L11" s="14">
        <v>2523</v>
      </c>
      <c r="M11" s="14"/>
      <c r="N11" s="14">
        <v>1408</v>
      </c>
      <c r="O11" s="14">
        <v>3581</v>
      </c>
      <c r="P11" s="14"/>
      <c r="Q11" s="14"/>
      <c r="R11" s="14"/>
      <c r="S11" s="14">
        <v>3245</v>
      </c>
      <c r="T11" s="14">
        <v>1465</v>
      </c>
      <c r="U11" s="14">
        <v>559</v>
      </c>
      <c r="V11" s="14">
        <v>1020</v>
      </c>
      <c r="W11" s="14"/>
      <c r="X11" s="14">
        <v>2631</v>
      </c>
      <c r="Y11" s="14">
        <v>1494</v>
      </c>
      <c r="Z11" s="14">
        <v>3233</v>
      </c>
      <c r="AA11" s="14">
        <v>4749</v>
      </c>
      <c r="AB11" s="14">
        <v>317</v>
      </c>
      <c r="AC11" s="14">
        <v>185</v>
      </c>
      <c r="AD11" s="14"/>
      <c r="AE11" s="14">
        <v>230</v>
      </c>
      <c r="AF11" s="14">
        <v>1541</v>
      </c>
      <c r="AG11" s="14"/>
      <c r="AH11" s="14">
        <v>2480</v>
      </c>
      <c r="AI11" s="14">
        <v>2455</v>
      </c>
      <c r="AJ11" s="14">
        <v>73</v>
      </c>
      <c r="AK11" s="14">
        <v>3477</v>
      </c>
      <c r="AL11" s="14"/>
      <c r="AM11" s="14">
        <v>229</v>
      </c>
      <c r="AN11" s="14">
        <v>6364</v>
      </c>
      <c r="AO11" s="14"/>
      <c r="AP11" s="14">
        <v>2444</v>
      </c>
      <c r="AQ11" s="14">
        <v>2077.409090909091</v>
      </c>
    </row>
    <row r="12" spans="1:43" x14ac:dyDescent="0.25">
      <c r="A12" s="1" t="s">
        <v>4</v>
      </c>
      <c r="B12" s="1"/>
      <c r="C12" s="1"/>
      <c r="D12" s="1"/>
      <c r="E12" s="1"/>
      <c r="F12" s="1"/>
      <c r="G12" s="1">
        <v>24064.82</v>
      </c>
      <c r="H12" s="1">
        <v>47825.22</v>
      </c>
      <c r="I12" s="1"/>
      <c r="K12" s="13" t="s">
        <v>80</v>
      </c>
      <c r="L12" s="14">
        <v>4340</v>
      </c>
      <c r="M12" s="14"/>
      <c r="N12" s="14">
        <v>2188</v>
      </c>
      <c r="O12" s="14">
        <v>5634</v>
      </c>
      <c r="P12" s="14"/>
      <c r="Q12" s="14"/>
      <c r="R12" s="14"/>
      <c r="S12" s="14">
        <v>4630</v>
      </c>
      <c r="T12" s="14">
        <v>2233</v>
      </c>
      <c r="U12" s="14">
        <v>981</v>
      </c>
      <c r="V12" s="14">
        <v>2007</v>
      </c>
      <c r="W12" s="14"/>
      <c r="X12" s="14">
        <v>4124</v>
      </c>
      <c r="Y12" s="14">
        <v>2551</v>
      </c>
      <c r="Z12" s="14">
        <v>4532</v>
      </c>
      <c r="AA12" s="14">
        <v>7495</v>
      </c>
      <c r="AB12" s="14">
        <v>534</v>
      </c>
      <c r="AC12" s="14">
        <v>386</v>
      </c>
      <c r="AD12" s="14">
        <v>234</v>
      </c>
      <c r="AE12" s="14">
        <v>493</v>
      </c>
      <c r="AF12" s="14">
        <v>2705</v>
      </c>
      <c r="AG12" s="14"/>
      <c r="AH12" s="14">
        <v>4081</v>
      </c>
      <c r="AI12" s="14">
        <v>3858</v>
      </c>
      <c r="AJ12" s="14">
        <v>203</v>
      </c>
      <c r="AK12" s="14">
        <v>4301</v>
      </c>
      <c r="AL12" s="14"/>
      <c r="AM12" s="14">
        <v>452</v>
      </c>
      <c r="AN12" s="14">
        <v>9131</v>
      </c>
      <c r="AO12" s="14"/>
      <c r="AP12" s="14">
        <v>4153</v>
      </c>
      <c r="AQ12" s="14">
        <v>3097.6521739130435</v>
      </c>
    </row>
    <row r="13" spans="1:43" x14ac:dyDescent="0.25">
      <c r="A13" s="1" t="s">
        <v>5</v>
      </c>
      <c r="B13" s="1">
        <v>2631</v>
      </c>
      <c r="C13" s="1">
        <v>4124</v>
      </c>
      <c r="D13" s="1">
        <v>7286</v>
      </c>
      <c r="E13" s="1">
        <v>10441</v>
      </c>
      <c r="F13" s="1">
        <v>28868</v>
      </c>
      <c r="G13" s="1">
        <v>56043.12</v>
      </c>
      <c r="H13" s="1">
        <v>129480.94</v>
      </c>
      <c r="I13" s="1"/>
      <c r="K13" s="13" t="s">
        <v>79</v>
      </c>
      <c r="L13" s="14">
        <v>9643</v>
      </c>
      <c r="M13" s="14">
        <v>887</v>
      </c>
      <c r="N13" s="14">
        <v>3515</v>
      </c>
      <c r="O13" s="14">
        <v>5507</v>
      </c>
      <c r="P13" s="14"/>
      <c r="Q13" s="14"/>
      <c r="R13" s="14">
        <v>626</v>
      </c>
      <c r="S13" s="14">
        <v>8262</v>
      </c>
      <c r="T13" s="14">
        <v>2841</v>
      </c>
      <c r="U13" s="14">
        <v>2609</v>
      </c>
      <c r="V13" s="14">
        <v>3915</v>
      </c>
      <c r="W13" s="14"/>
      <c r="X13" s="14">
        <v>7286</v>
      </c>
      <c r="Y13" s="14">
        <v>3785</v>
      </c>
      <c r="Z13" s="14">
        <v>6741</v>
      </c>
      <c r="AA13" s="14">
        <v>14577</v>
      </c>
      <c r="AB13" s="14">
        <v>1095</v>
      </c>
      <c r="AC13" s="14">
        <v>681</v>
      </c>
      <c r="AD13" s="14">
        <v>638</v>
      </c>
      <c r="AE13" s="14">
        <v>1055</v>
      </c>
      <c r="AF13" s="14">
        <v>4652</v>
      </c>
      <c r="AG13" s="14"/>
      <c r="AH13" s="14">
        <v>5121</v>
      </c>
      <c r="AI13" s="14">
        <v>7531</v>
      </c>
      <c r="AJ13" s="14">
        <v>347</v>
      </c>
      <c r="AK13" s="14">
        <v>6207</v>
      </c>
      <c r="AL13" s="14"/>
      <c r="AM13" s="14">
        <v>669</v>
      </c>
      <c r="AN13" s="14">
        <v>17655</v>
      </c>
      <c r="AO13" s="14"/>
      <c r="AP13" s="14">
        <v>5469</v>
      </c>
      <c r="AQ13" s="14">
        <v>4852.5600000000004</v>
      </c>
    </row>
    <row r="14" spans="1:43" x14ac:dyDescent="0.25">
      <c r="A14" s="1" t="s">
        <v>6</v>
      </c>
      <c r="B14" s="1">
        <v>1494</v>
      </c>
      <c r="C14" s="1">
        <v>2551</v>
      </c>
      <c r="D14" s="1">
        <v>3785</v>
      </c>
      <c r="E14" s="1">
        <v>6544</v>
      </c>
      <c r="F14" s="1">
        <v>12331</v>
      </c>
      <c r="G14" s="1">
        <v>17857.740000000002</v>
      </c>
      <c r="H14" s="1">
        <v>54386.9</v>
      </c>
      <c r="I14" s="1"/>
      <c r="K14" s="13" t="s">
        <v>78</v>
      </c>
      <c r="L14" s="14">
        <v>18503</v>
      </c>
      <c r="M14" s="14">
        <v>1425</v>
      </c>
      <c r="N14" s="14">
        <v>4522</v>
      </c>
      <c r="O14" s="14">
        <v>8342</v>
      </c>
      <c r="P14" s="14"/>
      <c r="Q14" s="14">
        <v>8939</v>
      </c>
      <c r="R14" s="14">
        <v>811</v>
      </c>
      <c r="S14" s="14">
        <v>14608</v>
      </c>
      <c r="T14" s="14">
        <v>5991</v>
      </c>
      <c r="U14" s="14">
        <v>3411</v>
      </c>
      <c r="V14" s="14">
        <v>5587</v>
      </c>
      <c r="W14" s="14"/>
      <c r="X14" s="14">
        <v>10441</v>
      </c>
      <c r="Y14" s="14">
        <v>6544</v>
      </c>
      <c r="Z14" s="14">
        <v>9153</v>
      </c>
      <c r="AA14" s="14">
        <v>26505</v>
      </c>
      <c r="AB14" s="14">
        <v>1583</v>
      </c>
      <c r="AC14" s="14">
        <v>992</v>
      </c>
      <c r="AD14" s="14">
        <v>1015</v>
      </c>
      <c r="AE14" s="14">
        <v>1408</v>
      </c>
      <c r="AF14" s="14">
        <v>6860</v>
      </c>
      <c r="AG14" s="14"/>
      <c r="AH14" s="14">
        <v>7989</v>
      </c>
      <c r="AI14" s="14">
        <v>14380</v>
      </c>
      <c r="AJ14" s="14">
        <v>605</v>
      </c>
      <c r="AK14" s="14">
        <v>10422</v>
      </c>
      <c r="AL14" s="14"/>
      <c r="AM14" s="14">
        <v>1432</v>
      </c>
      <c r="AN14" s="14">
        <v>22727</v>
      </c>
      <c r="AO14" s="14"/>
      <c r="AP14" s="14">
        <v>12877</v>
      </c>
      <c r="AQ14" s="14">
        <v>7964.3076923076924</v>
      </c>
    </row>
    <row r="15" spans="1:43" x14ac:dyDescent="0.25">
      <c r="A15" s="1" t="s">
        <v>7</v>
      </c>
      <c r="B15" s="1">
        <v>3233</v>
      </c>
      <c r="C15" s="1">
        <v>4532</v>
      </c>
      <c r="D15" s="1">
        <v>6741</v>
      </c>
      <c r="E15" s="1">
        <v>9153</v>
      </c>
      <c r="F15" s="1">
        <v>25502</v>
      </c>
      <c r="G15" s="1">
        <v>50581.93</v>
      </c>
      <c r="H15" s="1">
        <v>135709.15</v>
      </c>
      <c r="I15" s="1"/>
      <c r="K15" s="13" t="s">
        <v>83</v>
      </c>
      <c r="L15" s="14">
        <v>45848</v>
      </c>
      <c r="M15" s="14">
        <v>2357</v>
      </c>
      <c r="N15" s="14">
        <v>11404</v>
      </c>
      <c r="O15" s="14">
        <v>18554</v>
      </c>
      <c r="P15" s="14">
        <v>7202</v>
      </c>
      <c r="Q15" s="14">
        <v>26548</v>
      </c>
      <c r="R15" s="14">
        <v>2157</v>
      </c>
      <c r="S15" s="14">
        <v>35178</v>
      </c>
      <c r="T15" s="14">
        <v>13330</v>
      </c>
      <c r="U15" s="14">
        <v>8257</v>
      </c>
      <c r="V15" s="14">
        <v>10556</v>
      </c>
      <c r="W15" s="14"/>
      <c r="X15" s="14">
        <v>28868</v>
      </c>
      <c r="Y15" s="14">
        <v>12331</v>
      </c>
      <c r="Z15" s="14">
        <v>25502</v>
      </c>
      <c r="AA15" s="14">
        <v>55724</v>
      </c>
      <c r="AB15" s="14">
        <v>3577</v>
      </c>
      <c r="AC15" s="14">
        <v>1896</v>
      </c>
      <c r="AD15" s="14">
        <v>1706</v>
      </c>
      <c r="AE15" s="14">
        <v>2556</v>
      </c>
      <c r="AF15" s="14">
        <v>15875</v>
      </c>
      <c r="AG15" s="14"/>
      <c r="AH15" s="14">
        <v>16320</v>
      </c>
      <c r="AI15" s="14">
        <v>26053</v>
      </c>
      <c r="AJ15" s="14">
        <v>1412</v>
      </c>
      <c r="AK15" s="14">
        <v>31534</v>
      </c>
      <c r="AL15" s="14"/>
      <c r="AM15" s="14">
        <v>3134</v>
      </c>
      <c r="AN15" s="14">
        <v>54855</v>
      </c>
      <c r="AO15" s="14">
        <v>5010</v>
      </c>
      <c r="AP15" s="14">
        <v>31888</v>
      </c>
      <c r="AQ15" s="14">
        <v>17844</v>
      </c>
    </row>
    <row r="16" spans="1:43" x14ac:dyDescent="0.25">
      <c r="A16" s="1" t="s">
        <v>8</v>
      </c>
      <c r="B16" s="1">
        <v>4749</v>
      </c>
      <c r="C16" s="1">
        <v>7495</v>
      </c>
      <c r="D16" s="1">
        <v>14577</v>
      </c>
      <c r="E16" s="1">
        <v>26505</v>
      </c>
      <c r="F16" s="1">
        <v>55724</v>
      </c>
      <c r="G16" s="1">
        <v>92202.7</v>
      </c>
      <c r="H16" s="1">
        <v>177557.58</v>
      </c>
      <c r="I16" s="1"/>
      <c r="K16" s="13" t="s">
        <v>82</v>
      </c>
      <c r="L16" s="14">
        <v>90069.53</v>
      </c>
      <c r="M16" s="14">
        <v>5405.79</v>
      </c>
      <c r="N16" s="14">
        <v>12963.67</v>
      </c>
      <c r="O16" s="14">
        <v>38252.54</v>
      </c>
      <c r="P16" s="14">
        <v>17858.55</v>
      </c>
      <c r="Q16" s="14">
        <v>37849.79</v>
      </c>
      <c r="R16" s="14">
        <v>4535.99</v>
      </c>
      <c r="S16" s="14">
        <v>52731.92</v>
      </c>
      <c r="T16" s="14">
        <v>23156.99</v>
      </c>
      <c r="U16" s="14">
        <v>12823.13</v>
      </c>
      <c r="V16" s="14">
        <v>26631.66</v>
      </c>
      <c r="W16" s="14">
        <v>24064.82</v>
      </c>
      <c r="X16" s="14">
        <v>56043.12</v>
      </c>
      <c r="Y16" s="14">
        <v>17857.740000000002</v>
      </c>
      <c r="Z16" s="14">
        <v>50581.93</v>
      </c>
      <c r="AA16" s="14">
        <v>92202.7</v>
      </c>
      <c r="AB16" s="14">
        <v>6868.92</v>
      </c>
      <c r="AC16" s="14">
        <v>2663.92</v>
      </c>
      <c r="AD16" s="14">
        <v>3194.07</v>
      </c>
      <c r="AE16" s="14">
        <v>4929.6099999999997</v>
      </c>
      <c r="AF16" s="14">
        <v>21569.79</v>
      </c>
      <c r="AG16" s="14">
        <v>2114.48</v>
      </c>
      <c r="AH16" s="14">
        <v>21571.73</v>
      </c>
      <c r="AI16" s="14">
        <v>38543.25</v>
      </c>
      <c r="AJ16" s="14">
        <v>2675.09</v>
      </c>
      <c r="AK16" s="14">
        <v>59878.81</v>
      </c>
      <c r="AL16" s="14"/>
      <c r="AM16" s="14">
        <v>5695.31</v>
      </c>
      <c r="AN16" s="14">
        <v>114757.92</v>
      </c>
      <c r="AO16" s="14">
        <v>11945.09</v>
      </c>
      <c r="AP16" s="14">
        <v>43796.95</v>
      </c>
      <c r="AQ16" s="14">
        <v>30107.826999999994</v>
      </c>
    </row>
    <row r="17" spans="1:43" x14ac:dyDescent="0.25">
      <c r="A17" s="1" t="s">
        <v>15</v>
      </c>
      <c r="B17" s="1">
        <v>317</v>
      </c>
      <c r="C17" s="1">
        <v>534</v>
      </c>
      <c r="D17" s="1">
        <v>1095</v>
      </c>
      <c r="E17" s="1">
        <v>1583</v>
      </c>
      <c r="F17" s="1">
        <v>3577</v>
      </c>
      <c r="G17" s="1">
        <v>6868.92</v>
      </c>
      <c r="H17" s="1">
        <v>10899.93</v>
      </c>
      <c r="I17" s="1"/>
      <c r="K17" s="13" t="s">
        <v>81</v>
      </c>
      <c r="L17" s="14">
        <v>127943.93</v>
      </c>
      <c r="M17" s="14">
        <v>14069.93</v>
      </c>
      <c r="N17" s="14">
        <v>41142.93</v>
      </c>
      <c r="O17" s="14">
        <v>120246.73</v>
      </c>
      <c r="P17" s="14">
        <v>46126.17</v>
      </c>
      <c r="Q17" s="14">
        <v>59943.82</v>
      </c>
      <c r="R17" s="14">
        <v>11299.13</v>
      </c>
      <c r="S17" s="14">
        <v>160345.60999999999</v>
      </c>
      <c r="T17" s="14">
        <v>48000.86</v>
      </c>
      <c r="U17" s="14">
        <v>24075.279999999999</v>
      </c>
      <c r="V17" s="14">
        <v>48415.66</v>
      </c>
      <c r="W17" s="14">
        <v>47825.22</v>
      </c>
      <c r="X17" s="14">
        <v>129480.94</v>
      </c>
      <c r="Y17" s="14">
        <v>54386.9</v>
      </c>
      <c r="Z17" s="14">
        <v>135709.15</v>
      </c>
      <c r="AA17" s="14">
        <v>177557.58</v>
      </c>
      <c r="AB17" s="14">
        <v>10899.93</v>
      </c>
      <c r="AC17" s="14">
        <v>8203.17</v>
      </c>
      <c r="AD17" s="14">
        <v>5787</v>
      </c>
      <c r="AE17" s="14">
        <v>9587.01</v>
      </c>
      <c r="AF17" s="14">
        <v>68163.17</v>
      </c>
      <c r="AG17" s="14">
        <v>3822.6</v>
      </c>
      <c r="AH17" s="14">
        <v>35631.760000000002</v>
      </c>
      <c r="AI17" s="14">
        <v>108774.58</v>
      </c>
      <c r="AJ17" s="14">
        <v>6261.36</v>
      </c>
      <c r="AK17" s="14">
        <v>152028.78</v>
      </c>
      <c r="AL17" s="14">
        <v>41607.19</v>
      </c>
      <c r="AM17" s="14">
        <v>16504.439999999999</v>
      </c>
      <c r="AN17" s="14">
        <v>279950.84000000003</v>
      </c>
      <c r="AO17" s="14">
        <v>29466.560000000001</v>
      </c>
      <c r="AP17" s="14">
        <v>96984.49</v>
      </c>
      <c r="AQ17" s="14">
        <v>68394.926451612904</v>
      </c>
    </row>
    <row r="18" spans="1:43" x14ac:dyDescent="0.25">
      <c r="A18" s="1" t="s">
        <v>16</v>
      </c>
      <c r="B18" s="1">
        <v>185</v>
      </c>
      <c r="C18" s="1">
        <v>386</v>
      </c>
      <c r="D18" s="1">
        <v>681</v>
      </c>
      <c r="E18" s="1">
        <v>992</v>
      </c>
      <c r="F18" s="1">
        <v>1896</v>
      </c>
      <c r="G18" s="1">
        <v>2663.92</v>
      </c>
      <c r="H18" s="1">
        <v>8203.17</v>
      </c>
      <c r="I18" s="1"/>
    </row>
    <row r="19" spans="1:43" x14ac:dyDescent="0.25">
      <c r="A19" s="1" t="s">
        <v>17</v>
      </c>
      <c r="B19" s="1"/>
      <c r="C19" s="1">
        <v>234</v>
      </c>
      <c r="D19" s="1">
        <v>638</v>
      </c>
      <c r="E19" s="1">
        <v>1015</v>
      </c>
      <c r="F19" s="1">
        <v>1706</v>
      </c>
      <c r="G19" s="1">
        <v>3194.07</v>
      </c>
      <c r="H19" s="1">
        <v>5787</v>
      </c>
      <c r="I19" s="1"/>
    </row>
    <row r="20" spans="1:43" x14ac:dyDescent="0.25">
      <c r="A20" s="1" t="s">
        <v>18</v>
      </c>
      <c r="B20" s="1">
        <v>230</v>
      </c>
      <c r="C20" s="1">
        <v>493</v>
      </c>
      <c r="D20" s="1">
        <v>1055</v>
      </c>
      <c r="E20" s="1">
        <v>1408</v>
      </c>
      <c r="F20" s="1">
        <v>2556</v>
      </c>
      <c r="G20" s="1">
        <v>4929.6099999999997</v>
      </c>
      <c r="H20" s="1">
        <v>9587.01</v>
      </c>
      <c r="I20" s="1"/>
    </row>
    <row r="21" spans="1:43" x14ac:dyDescent="0.25">
      <c r="A21" s="1" t="s">
        <v>19</v>
      </c>
      <c r="B21" s="1">
        <v>1541</v>
      </c>
      <c r="C21" s="1">
        <v>2705</v>
      </c>
      <c r="D21" s="1">
        <v>4652</v>
      </c>
      <c r="E21" s="1">
        <v>6860</v>
      </c>
      <c r="F21" s="1">
        <v>15875</v>
      </c>
      <c r="G21" s="1">
        <v>21569.79</v>
      </c>
      <c r="H21" s="1">
        <v>68163.17</v>
      </c>
      <c r="I21" s="1"/>
    </row>
    <row r="22" spans="1:43" x14ac:dyDescent="0.25">
      <c r="A22" s="1" t="s">
        <v>20</v>
      </c>
      <c r="B22" s="1">
        <v>2480</v>
      </c>
      <c r="C22" s="1">
        <v>4081</v>
      </c>
      <c r="D22" s="1">
        <v>5121</v>
      </c>
      <c r="E22" s="1">
        <v>7989</v>
      </c>
      <c r="F22" s="1">
        <v>16320</v>
      </c>
      <c r="G22" s="1">
        <v>21571.73</v>
      </c>
      <c r="H22" s="1">
        <v>35631.760000000002</v>
      </c>
      <c r="I22" s="1"/>
    </row>
    <row r="23" spans="1:43" x14ac:dyDescent="0.25">
      <c r="A23" s="1" t="s">
        <v>21</v>
      </c>
      <c r="B23" s="1">
        <v>2455</v>
      </c>
      <c r="C23" s="1">
        <v>3858</v>
      </c>
      <c r="D23" s="1">
        <v>7531</v>
      </c>
      <c r="E23" s="1">
        <v>14380</v>
      </c>
      <c r="F23" s="1">
        <v>26053</v>
      </c>
      <c r="G23" s="1">
        <v>38543.25</v>
      </c>
      <c r="H23" s="1">
        <v>108774.58</v>
      </c>
      <c r="I23" s="1"/>
    </row>
    <row r="24" spans="1:43" x14ac:dyDescent="0.25">
      <c r="A24" s="1" t="s">
        <v>22</v>
      </c>
      <c r="B24" s="1">
        <v>73</v>
      </c>
      <c r="C24" s="1">
        <v>203</v>
      </c>
      <c r="D24" s="1">
        <v>347</v>
      </c>
      <c r="E24" s="1">
        <v>605</v>
      </c>
      <c r="F24" s="1">
        <v>1412</v>
      </c>
      <c r="G24" s="1">
        <v>2675.09</v>
      </c>
      <c r="H24" s="1">
        <v>6261.36</v>
      </c>
      <c r="I24" s="1"/>
    </row>
    <row r="25" spans="1:43" x14ac:dyDescent="0.25">
      <c r="A25" s="1" t="s">
        <v>23</v>
      </c>
      <c r="B25" s="1">
        <v>3477</v>
      </c>
      <c r="C25" s="1">
        <v>4301</v>
      </c>
      <c r="D25" s="1">
        <v>6207</v>
      </c>
      <c r="E25" s="1">
        <v>10422</v>
      </c>
      <c r="F25" s="1">
        <v>31534</v>
      </c>
      <c r="G25" s="1">
        <v>59878.81</v>
      </c>
      <c r="H25" s="1">
        <v>152028.78</v>
      </c>
      <c r="I25" s="1"/>
    </row>
    <row r="26" spans="1:43" x14ac:dyDescent="0.25">
      <c r="A26" s="1" t="s">
        <v>24</v>
      </c>
      <c r="B26" s="1"/>
      <c r="C26" s="1"/>
      <c r="D26" s="1"/>
      <c r="E26" s="1"/>
      <c r="F26" s="1"/>
      <c r="G26" s="1"/>
      <c r="H26" s="1">
        <v>41607.19</v>
      </c>
      <c r="I26" s="1"/>
    </row>
    <row r="27" spans="1:43" x14ac:dyDescent="0.25">
      <c r="A27" s="1" t="s">
        <v>25</v>
      </c>
      <c r="B27" s="1">
        <v>229</v>
      </c>
      <c r="C27" s="1">
        <v>452</v>
      </c>
      <c r="D27" s="1">
        <v>669</v>
      </c>
      <c r="E27" s="1">
        <v>1432</v>
      </c>
      <c r="F27" s="1">
        <v>3134</v>
      </c>
      <c r="G27" s="1">
        <v>5695.31</v>
      </c>
      <c r="H27" s="1">
        <v>16504.439999999999</v>
      </c>
      <c r="I27" s="1"/>
    </row>
    <row r="28" spans="1:43" x14ac:dyDescent="0.25">
      <c r="A28" s="1" t="s">
        <v>26</v>
      </c>
      <c r="B28" s="1">
        <v>6364</v>
      </c>
      <c r="C28" s="1">
        <v>9131</v>
      </c>
      <c r="D28" s="1">
        <v>17655</v>
      </c>
      <c r="E28" s="1">
        <v>22727</v>
      </c>
      <c r="F28" s="1">
        <v>54855</v>
      </c>
      <c r="G28" s="1">
        <v>114757.92</v>
      </c>
      <c r="H28" s="1">
        <v>279950.84000000003</v>
      </c>
      <c r="I28" s="1"/>
    </row>
    <row r="29" spans="1:43" x14ac:dyDescent="0.25">
      <c r="A29" s="1" t="s">
        <v>27</v>
      </c>
      <c r="B29" s="1"/>
      <c r="C29" s="1"/>
      <c r="D29" s="1"/>
      <c r="E29" s="1"/>
      <c r="F29" s="1">
        <v>5010</v>
      </c>
      <c r="G29" s="1">
        <v>11945.09</v>
      </c>
      <c r="H29" s="1">
        <v>29466.560000000001</v>
      </c>
      <c r="I29" s="1"/>
    </row>
    <row r="30" spans="1:43" x14ac:dyDescent="0.25">
      <c r="A30" s="1" t="s">
        <v>28</v>
      </c>
      <c r="B30" s="1">
        <v>2444</v>
      </c>
      <c r="C30" s="1">
        <v>4153</v>
      </c>
      <c r="D30" s="1">
        <v>5469</v>
      </c>
      <c r="E30" s="1">
        <v>12877</v>
      </c>
      <c r="F30" s="1">
        <v>31888</v>
      </c>
      <c r="G30" s="1">
        <v>43796.95</v>
      </c>
      <c r="H30" s="1">
        <v>96984.49</v>
      </c>
      <c r="I30" s="1"/>
    </row>
    <row r="31" spans="1:43" x14ac:dyDescent="0.25">
      <c r="A31" s="1" t="s">
        <v>29</v>
      </c>
      <c r="B31" s="1"/>
      <c r="C31" s="1"/>
      <c r="D31" s="1"/>
      <c r="E31" s="1">
        <v>8939</v>
      </c>
      <c r="F31" s="1">
        <v>26548</v>
      </c>
      <c r="G31" s="1">
        <v>37849.79</v>
      </c>
      <c r="H31" s="1">
        <v>59943.82</v>
      </c>
      <c r="I31" s="1"/>
    </row>
    <row r="32" spans="1:43" x14ac:dyDescent="0.25">
      <c r="A32" s="1" t="s">
        <v>30</v>
      </c>
      <c r="B32" s="1"/>
      <c r="C32" s="1"/>
      <c r="D32" s="1"/>
      <c r="E32" s="1"/>
      <c r="F32" s="1"/>
      <c r="G32" s="1">
        <v>2114.48</v>
      </c>
      <c r="H32" s="1">
        <v>3822.6</v>
      </c>
      <c r="I32" s="1"/>
    </row>
    <row r="33" spans="1:9" x14ac:dyDescent="0.25">
      <c r="A33" s="1"/>
      <c r="B33" s="1">
        <f>SUM(Table2[1980-1985])</f>
        <v>45703</v>
      </c>
      <c r="C33" s="1">
        <f>SUM(Table2[1985-1990])</f>
        <v>71246</v>
      </c>
      <c r="D33" s="1">
        <f>SUM(Table2[1990-1995])</f>
        <v>121314</v>
      </c>
      <c r="E33" s="1">
        <f>SUM(Table2[1995-2000])</f>
        <v>207072</v>
      </c>
      <c r="F33" s="1">
        <f>SUM(Table2[2000-2005])</f>
        <v>499632</v>
      </c>
      <c r="G33" s="1">
        <f>SUM(Table2[2005-2010])</f>
        <v>903234.81</v>
      </c>
      <c r="H33" s="1">
        <f>SUM(Table2[2010-2016])</f>
        <v>2120242.7200000002</v>
      </c>
      <c r="I33" s="1">
        <f>SUM(Table2[[#Totals],[1980-1985]:[2010-2016]])</f>
        <v>3968444.5300000003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topLeftCell="B34" workbookViewId="0">
      <selection activeCell="C44" sqref="C44:C51"/>
    </sheetView>
  </sheetViews>
  <sheetFormatPr defaultRowHeight="15" x14ac:dyDescent="0.25"/>
  <cols>
    <col min="1" max="1" width="17.7109375" bestFit="1" customWidth="1"/>
    <col min="2" max="8" width="11.85546875" customWidth="1"/>
    <col min="11" max="11" width="20" customWidth="1"/>
    <col min="12" max="12" width="16.28515625" customWidth="1"/>
    <col min="13" max="13" width="17.7109375" customWidth="1"/>
    <col min="14" max="14" width="7" customWidth="1"/>
    <col min="15" max="15" width="8" customWidth="1"/>
    <col min="16" max="16" width="12.140625" customWidth="1"/>
    <col min="17" max="18" width="7" customWidth="1"/>
    <col min="19" max="19" width="8" customWidth="1"/>
    <col min="20" max="20" width="8.140625" customWidth="1"/>
    <col min="21" max="21" width="16.85546875" customWidth="1"/>
    <col min="22" max="22" width="17" customWidth="1"/>
    <col min="23" max="23" width="10" customWidth="1"/>
    <col min="24" max="24" width="9.7109375" customWidth="1"/>
    <col min="25" max="25" width="8" customWidth="1"/>
    <col min="26" max="26" width="15.85546875" customWidth="1"/>
    <col min="27" max="27" width="12.140625" customWidth="1"/>
    <col min="28" max="28" width="8.5703125" customWidth="1"/>
    <col min="29" max="29" width="10.7109375" customWidth="1"/>
    <col min="30" max="30" width="8.85546875" customWidth="1"/>
    <col min="31" max="31" width="9.28515625" customWidth="1"/>
    <col min="32" max="32" width="8" customWidth="1"/>
    <col min="33" max="33" width="11.140625" customWidth="1"/>
    <col min="34" max="34" width="8" customWidth="1"/>
    <col min="35" max="35" width="9.5703125" customWidth="1"/>
    <col min="36" max="36" width="6.85546875" customWidth="1"/>
    <col min="37" max="37" width="11" customWidth="1"/>
    <col min="38" max="38" width="10" customWidth="1"/>
    <col min="39" max="39" width="7.28515625" customWidth="1"/>
    <col min="40" max="40" width="13.28515625" customWidth="1"/>
    <col min="41" max="41" width="12" customWidth="1"/>
    <col min="42" max="42" width="12.140625" customWidth="1"/>
    <col min="43" max="43" width="12" customWidth="1"/>
    <col min="44" max="73" width="20" bestFit="1" customWidth="1"/>
    <col min="74" max="75" width="25" bestFit="1" customWidth="1"/>
  </cols>
  <sheetData>
    <row r="1" spans="1:43" x14ac:dyDescent="0.25">
      <c r="A1" t="s">
        <v>31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98</v>
      </c>
    </row>
    <row r="2" spans="1:43" x14ac:dyDescent="0.25">
      <c r="A2" s="1" t="s">
        <v>8</v>
      </c>
      <c r="B2" s="1">
        <v>3293.5</v>
      </c>
      <c r="C2" s="1">
        <v>6434</v>
      </c>
      <c r="D2" s="1">
        <v>10980.1</v>
      </c>
      <c r="E2" s="1">
        <v>34715.300000000003</v>
      </c>
      <c r="F2" s="1">
        <v>70713.5</v>
      </c>
      <c r="G2" s="1">
        <v>66520</v>
      </c>
      <c r="H2" s="1">
        <v>146570</v>
      </c>
      <c r="I2" s="1">
        <f>SUM(Table3[[#This Row],[1980-1985]:[2010-2016]])</f>
        <v>339226.4</v>
      </c>
    </row>
    <row r="3" spans="1:43" x14ac:dyDescent="0.25">
      <c r="A3" s="1" t="s">
        <v>26</v>
      </c>
      <c r="B3" s="1">
        <v>4161</v>
      </c>
      <c r="C3" s="1">
        <v>7766</v>
      </c>
      <c r="D3" s="1">
        <v>17547.400000000001</v>
      </c>
      <c r="E3" s="1">
        <v>40644</v>
      </c>
      <c r="F3" s="1">
        <v>59227.6</v>
      </c>
      <c r="G3" s="1">
        <v>72690</v>
      </c>
      <c r="H3" s="1">
        <v>135540</v>
      </c>
      <c r="I3" s="1">
        <f>SUM(Table3[[#This Row],[1980-1985]:[2010-2016]])</f>
        <v>337576</v>
      </c>
    </row>
    <row r="4" spans="1:43" x14ac:dyDescent="0.25">
      <c r="A4" s="1" t="s">
        <v>28</v>
      </c>
      <c r="B4" s="1">
        <v>1920.7</v>
      </c>
      <c r="C4" s="1">
        <v>3031</v>
      </c>
      <c r="D4" s="1">
        <v>7427.1</v>
      </c>
      <c r="E4" s="1">
        <v>28876.400000000001</v>
      </c>
      <c r="F4" s="1">
        <v>56814.3</v>
      </c>
      <c r="G4" s="1">
        <v>70940</v>
      </c>
      <c r="H4" s="1">
        <v>121590</v>
      </c>
      <c r="I4" s="1">
        <f>SUM(Table3[[#This Row],[1980-1985]:[2010-2016]])</f>
        <v>290599.5</v>
      </c>
    </row>
    <row r="5" spans="1:43" x14ac:dyDescent="0.25">
      <c r="A5" s="1" t="s">
        <v>0</v>
      </c>
      <c r="B5" s="1">
        <v>1722.6</v>
      </c>
      <c r="C5" s="1">
        <v>3452</v>
      </c>
      <c r="D5" s="1">
        <v>7843.4</v>
      </c>
      <c r="E5" s="1">
        <v>18338.099999999999</v>
      </c>
      <c r="F5" s="1">
        <v>37299</v>
      </c>
      <c r="G5" s="1">
        <v>49150</v>
      </c>
      <c r="H5" s="1">
        <v>100650</v>
      </c>
      <c r="I5" s="1">
        <f>SUM(Table3[[#This Row],[1980-1985]:[2010-2016]])</f>
        <v>218455.1</v>
      </c>
    </row>
    <row r="6" spans="1:43" x14ac:dyDescent="0.25">
      <c r="A6" s="1" t="s">
        <v>23</v>
      </c>
      <c r="B6" s="1">
        <v>1510.3</v>
      </c>
      <c r="C6" s="1">
        <v>3052</v>
      </c>
      <c r="D6" s="1">
        <v>7029.3</v>
      </c>
      <c r="E6" s="1">
        <v>15982</v>
      </c>
      <c r="F6" s="1">
        <v>27715.4</v>
      </c>
      <c r="G6" s="1">
        <v>30260</v>
      </c>
      <c r="H6" s="1">
        <v>130200</v>
      </c>
      <c r="I6" s="1">
        <f>SUM(Table3[[#This Row],[1980-1985]:[2010-2016]])</f>
        <v>215749</v>
      </c>
    </row>
    <row r="7" spans="1:43" x14ac:dyDescent="0.25">
      <c r="A7" s="1" t="s">
        <v>12</v>
      </c>
      <c r="B7" s="1">
        <v>1794.8</v>
      </c>
      <c r="C7" s="1">
        <v>4077</v>
      </c>
      <c r="D7" s="1">
        <v>6666.3</v>
      </c>
      <c r="E7" s="1">
        <v>19689.400000000001</v>
      </c>
      <c r="F7" s="1">
        <v>38438.400000000001</v>
      </c>
      <c r="G7" s="1">
        <v>42280</v>
      </c>
      <c r="H7" s="1">
        <v>101440</v>
      </c>
      <c r="I7" s="1">
        <f>SUM(Table3[[#This Row],[1980-1985]:[2010-2016]])</f>
        <v>214385.9</v>
      </c>
    </row>
    <row r="8" spans="1:43" x14ac:dyDescent="0.25">
      <c r="A8" s="1" t="s">
        <v>5</v>
      </c>
      <c r="B8" s="1">
        <v>1474.8</v>
      </c>
      <c r="C8" s="1">
        <v>2704</v>
      </c>
      <c r="D8" s="1">
        <v>5629.2</v>
      </c>
      <c r="E8" s="1">
        <v>12399.2</v>
      </c>
      <c r="F8" s="1">
        <v>23469.1</v>
      </c>
      <c r="G8" s="1">
        <v>33310</v>
      </c>
      <c r="H8" s="1">
        <v>93840</v>
      </c>
      <c r="I8" s="1">
        <f>SUM(Table3[[#This Row],[1980-1985]:[2010-2016]])</f>
        <v>172826.3</v>
      </c>
    </row>
    <row r="9" spans="1:43" x14ac:dyDescent="0.25">
      <c r="A9" s="1" t="s">
        <v>21</v>
      </c>
      <c r="B9" s="1">
        <v>1468.3</v>
      </c>
      <c r="C9" s="1">
        <v>3030</v>
      </c>
      <c r="D9" s="1">
        <v>5728.6</v>
      </c>
      <c r="E9" s="1">
        <v>18144.900000000001</v>
      </c>
      <c r="F9" s="1">
        <v>29691.599999999999</v>
      </c>
      <c r="G9" s="1">
        <v>29800</v>
      </c>
      <c r="H9" s="1">
        <v>75250</v>
      </c>
      <c r="I9" s="1">
        <f>SUM(Table3[[#This Row],[1980-1985]:[2010-2016]])</f>
        <v>163113.4</v>
      </c>
    </row>
    <row r="10" spans="1:43" x14ac:dyDescent="0.25">
      <c r="A10" s="1" t="s">
        <v>6</v>
      </c>
      <c r="B10" s="1">
        <v>896</v>
      </c>
      <c r="C10" s="1">
        <v>2227</v>
      </c>
      <c r="D10" s="1">
        <v>4377.8</v>
      </c>
      <c r="E10" s="1">
        <v>12807.9</v>
      </c>
      <c r="F10" s="1">
        <v>22127.200000000001</v>
      </c>
      <c r="G10" s="1">
        <v>28320</v>
      </c>
      <c r="H10" s="1">
        <v>86180</v>
      </c>
      <c r="I10" s="1">
        <f>SUM(Table3[[#This Row],[1980-1985]:[2010-2016]])</f>
        <v>156935.9</v>
      </c>
      <c r="K10" s="16"/>
      <c r="L10" s="17"/>
      <c r="M10" s="18"/>
    </row>
    <row r="11" spans="1:43" x14ac:dyDescent="0.25">
      <c r="A11" s="1" t="s">
        <v>9</v>
      </c>
      <c r="B11" s="1">
        <v>1903.5</v>
      </c>
      <c r="C11" s="1">
        <v>3141</v>
      </c>
      <c r="D11" s="1">
        <v>7223.9</v>
      </c>
      <c r="E11" s="1">
        <v>11929.2</v>
      </c>
      <c r="F11" s="1">
        <v>19154.599999999999</v>
      </c>
      <c r="G11" s="1">
        <v>16210</v>
      </c>
      <c r="H11" s="1">
        <v>71180</v>
      </c>
      <c r="I11" s="1">
        <f>SUM(Table3[[#This Row],[1980-1985]:[2010-2016]])</f>
        <v>130742.2</v>
      </c>
      <c r="L11" s="12" t="s">
        <v>76</v>
      </c>
    </row>
    <row r="12" spans="1:43" x14ac:dyDescent="0.25">
      <c r="A12" s="1" t="s">
        <v>7</v>
      </c>
      <c r="B12" s="1">
        <v>1725.8</v>
      </c>
      <c r="C12" s="1">
        <v>3396</v>
      </c>
      <c r="D12" s="1">
        <v>5279</v>
      </c>
      <c r="E12" s="1">
        <v>13418.4</v>
      </c>
      <c r="F12" s="1">
        <v>24231.5</v>
      </c>
      <c r="G12" s="1">
        <v>20730</v>
      </c>
      <c r="H12" s="1">
        <v>60650</v>
      </c>
      <c r="I12" s="1">
        <f>SUM(Table3[[#This Row],[1980-1985]:[2010-2016]])</f>
        <v>129430.7</v>
      </c>
      <c r="K12" s="12" t="s">
        <v>84</v>
      </c>
      <c r="L12" t="s">
        <v>0</v>
      </c>
      <c r="M12" t="s">
        <v>13</v>
      </c>
      <c r="N12" t="s">
        <v>14</v>
      </c>
      <c r="O12" t="s">
        <v>9</v>
      </c>
      <c r="P12" t="s">
        <v>10</v>
      </c>
      <c r="Q12" t="s">
        <v>29</v>
      </c>
      <c r="R12" t="s">
        <v>11</v>
      </c>
      <c r="S12" t="s">
        <v>12</v>
      </c>
      <c r="T12" t="s">
        <v>1</v>
      </c>
      <c r="U12" t="s">
        <v>2</v>
      </c>
      <c r="V12" t="s">
        <v>3</v>
      </c>
      <c r="W12" t="s">
        <v>4</v>
      </c>
      <c r="X12" t="s">
        <v>5</v>
      </c>
      <c r="Y12" t="s">
        <v>6</v>
      </c>
      <c r="Z12" t="s">
        <v>7</v>
      </c>
      <c r="AA12" t="s">
        <v>8</v>
      </c>
      <c r="AB12" t="s">
        <v>15</v>
      </c>
      <c r="AC12" t="s">
        <v>16</v>
      </c>
      <c r="AD12" t="s">
        <v>17</v>
      </c>
      <c r="AE12" t="s">
        <v>18</v>
      </c>
      <c r="AF12" t="s">
        <v>19</v>
      </c>
      <c r="AG12" t="s">
        <v>30</v>
      </c>
      <c r="AH12" t="s">
        <v>20</v>
      </c>
      <c r="AI12" t="s">
        <v>21</v>
      </c>
      <c r="AJ12" t="s">
        <v>22</v>
      </c>
      <c r="AK12" t="s">
        <v>23</v>
      </c>
      <c r="AL12" t="s">
        <v>24</v>
      </c>
      <c r="AM12" t="s">
        <v>25</v>
      </c>
      <c r="AN12" t="s">
        <v>26</v>
      </c>
      <c r="AO12" t="s">
        <v>27</v>
      </c>
      <c r="AP12" t="s">
        <v>28</v>
      </c>
      <c r="AQ12" t="s">
        <v>75</v>
      </c>
    </row>
    <row r="13" spans="1:43" x14ac:dyDescent="0.25">
      <c r="A13" s="1" t="s">
        <v>20</v>
      </c>
      <c r="B13" s="1">
        <v>1262.2</v>
      </c>
      <c r="C13" s="1">
        <v>3619</v>
      </c>
      <c r="D13" s="1">
        <v>6923.3</v>
      </c>
      <c r="E13" s="1">
        <v>12280.9</v>
      </c>
      <c r="F13" s="1">
        <v>22181.8</v>
      </c>
      <c r="G13" s="1">
        <v>24500</v>
      </c>
      <c r="H13" s="1">
        <v>56070</v>
      </c>
      <c r="I13" s="1">
        <f>SUM(Table3[[#This Row],[1980-1985]:[2010-2016]])</f>
        <v>126837.2</v>
      </c>
      <c r="K13" s="13" t="s">
        <v>77</v>
      </c>
      <c r="L13" s="14">
        <v>1722.6</v>
      </c>
      <c r="M13" s="14"/>
      <c r="N13" s="14">
        <v>1038.2</v>
      </c>
      <c r="O13" s="14">
        <v>1903.5</v>
      </c>
      <c r="P13" s="14"/>
      <c r="Q13" s="14"/>
      <c r="R13" s="14"/>
      <c r="S13" s="14">
        <v>1794.8</v>
      </c>
      <c r="T13" s="14">
        <v>770.7</v>
      </c>
      <c r="U13" s="14">
        <v>233.2</v>
      </c>
      <c r="V13" s="14">
        <v>868.9</v>
      </c>
      <c r="W13" s="14"/>
      <c r="X13" s="14">
        <v>1474.8</v>
      </c>
      <c r="Y13" s="14">
        <v>896</v>
      </c>
      <c r="Z13" s="14">
        <v>1725.8</v>
      </c>
      <c r="AA13" s="14">
        <v>3293.5</v>
      </c>
      <c r="AB13" s="14">
        <v>78.5</v>
      </c>
      <c r="AC13" s="14">
        <v>35.9</v>
      </c>
      <c r="AD13" s="14"/>
      <c r="AE13" s="14">
        <v>59.7</v>
      </c>
      <c r="AF13" s="14">
        <v>1008.1</v>
      </c>
      <c r="AG13" s="14"/>
      <c r="AH13" s="14">
        <v>1262.2</v>
      </c>
      <c r="AI13" s="14">
        <v>1468.3</v>
      </c>
      <c r="AJ13" s="14">
        <v>12.7</v>
      </c>
      <c r="AK13" s="14">
        <v>1510.3</v>
      </c>
      <c r="AL13" s="14"/>
      <c r="AM13" s="14">
        <v>80.099999999999994</v>
      </c>
      <c r="AN13" s="14">
        <v>4161</v>
      </c>
      <c r="AO13" s="14"/>
      <c r="AP13" s="14">
        <v>1920.7</v>
      </c>
      <c r="AQ13" s="14">
        <v>1241.7954545454543</v>
      </c>
    </row>
    <row r="14" spans="1:43" x14ac:dyDescent="0.25">
      <c r="A14" s="1" t="s">
        <v>1</v>
      </c>
      <c r="B14" s="1">
        <v>770.7</v>
      </c>
      <c r="C14" s="1">
        <v>1298</v>
      </c>
      <c r="D14" s="1">
        <v>2219</v>
      </c>
      <c r="E14" s="1">
        <v>7585.9</v>
      </c>
      <c r="F14" s="1">
        <v>10614.8</v>
      </c>
      <c r="G14" s="1">
        <v>17020</v>
      </c>
      <c r="H14" s="1">
        <v>65130</v>
      </c>
      <c r="I14" s="1">
        <f>SUM(Table3[[#This Row],[1980-1985]:[2010-2016]])</f>
        <v>104638.39999999999</v>
      </c>
      <c r="K14" s="13" t="s">
        <v>80</v>
      </c>
      <c r="L14" s="14">
        <v>3452</v>
      </c>
      <c r="M14" s="14"/>
      <c r="N14" s="14">
        <v>1649</v>
      </c>
      <c r="O14" s="14">
        <v>3141</v>
      </c>
      <c r="P14" s="14"/>
      <c r="Q14" s="14"/>
      <c r="R14" s="14"/>
      <c r="S14" s="14">
        <v>4077</v>
      </c>
      <c r="T14" s="14">
        <v>1298</v>
      </c>
      <c r="U14" s="14">
        <v>733</v>
      </c>
      <c r="V14" s="14">
        <v>1842</v>
      </c>
      <c r="W14" s="14"/>
      <c r="X14" s="14">
        <v>2704</v>
      </c>
      <c r="Y14" s="14">
        <v>2227</v>
      </c>
      <c r="Z14" s="14">
        <v>3396</v>
      </c>
      <c r="AA14" s="14">
        <v>6434</v>
      </c>
      <c r="AB14" s="14">
        <v>144</v>
      </c>
      <c r="AC14" s="14">
        <v>39.5</v>
      </c>
      <c r="AD14" s="14">
        <v>129</v>
      </c>
      <c r="AE14" s="14">
        <v>267</v>
      </c>
      <c r="AF14" s="14">
        <v>2328</v>
      </c>
      <c r="AG14" s="14"/>
      <c r="AH14" s="14">
        <v>3619</v>
      </c>
      <c r="AI14" s="14">
        <v>3030</v>
      </c>
      <c r="AJ14" s="14">
        <v>63</v>
      </c>
      <c r="AK14" s="14">
        <v>3052</v>
      </c>
      <c r="AL14" s="14"/>
      <c r="AM14" s="14">
        <v>265</v>
      </c>
      <c r="AN14" s="14">
        <v>7766</v>
      </c>
      <c r="AO14" s="14"/>
      <c r="AP14" s="14">
        <v>3031</v>
      </c>
      <c r="AQ14" s="14">
        <v>2377.6739130434785</v>
      </c>
    </row>
    <row r="15" spans="1:43" x14ac:dyDescent="0.25">
      <c r="A15" s="1" t="s">
        <v>19</v>
      </c>
      <c r="B15" s="1">
        <v>1008.1</v>
      </c>
      <c r="C15" s="1">
        <v>2328</v>
      </c>
      <c r="D15" s="1">
        <v>4329.8999999999996</v>
      </c>
      <c r="E15" s="1">
        <v>11462</v>
      </c>
      <c r="F15" s="1">
        <v>15049.5</v>
      </c>
      <c r="G15" s="1">
        <v>740</v>
      </c>
      <c r="H15" s="1">
        <v>24210</v>
      </c>
      <c r="I15" s="1">
        <f>SUM(Table3[[#This Row],[1980-1985]:[2010-2016]])</f>
        <v>59127.5</v>
      </c>
      <c r="K15" s="13" t="s">
        <v>79</v>
      </c>
      <c r="L15" s="14">
        <v>7843.4</v>
      </c>
      <c r="M15" s="14">
        <v>85.5</v>
      </c>
      <c r="N15" s="14">
        <v>1723</v>
      </c>
      <c r="O15" s="14">
        <v>7223.9</v>
      </c>
      <c r="P15" s="14"/>
      <c r="Q15" s="14"/>
      <c r="R15" s="14">
        <v>415.8</v>
      </c>
      <c r="S15" s="14">
        <v>6666.3</v>
      </c>
      <c r="T15" s="14">
        <v>2219</v>
      </c>
      <c r="U15" s="14">
        <v>1586.4</v>
      </c>
      <c r="V15" s="14">
        <v>1377.7</v>
      </c>
      <c r="W15" s="14"/>
      <c r="X15" s="14">
        <v>5629.2</v>
      </c>
      <c r="Y15" s="14">
        <v>4377.8</v>
      </c>
      <c r="Z15" s="14">
        <v>5279</v>
      </c>
      <c r="AA15" s="14">
        <v>10980.1</v>
      </c>
      <c r="AB15" s="14">
        <v>168.6</v>
      </c>
      <c r="AC15" s="14">
        <v>329.4</v>
      </c>
      <c r="AD15" s="14">
        <v>15.9</v>
      </c>
      <c r="AE15" s="14">
        <v>748.8</v>
      </c>
      <c r="AF15" s="14">
        <v>4329.8999999999996</v>
      </c>
      <c r="AG15" s="14"/>
      <c r="AH15" s="14">
        <v>6923.3</v>
      </c>
      <c r="AI15" s="14">
        <v>5728.6</v>
      </c>
      <c r="AJ15" s="14">
        <v>171.8</v>
      </c>
      <c r="AK15" s="14">
        <v>7029.3</v>
      </c>
      <c r="AL15" s="14"/>
      <c r="AM15" s="14">
        <v>423.5</v>
      </c>
      <c r="AN15" s="14">
        <v>17547.400000000001</v>
      </c>
      <c r="AO15" s="14"/>
      <c r="AP15" s="14">
        <v>7427.1</v>
      </c>
      <c r="AQ15" s="14">
        <v>4250.0280000000002</v>
      </c>
    </row>
    <row r="16" spans="1:43" x14ac:dyDescent="0.25">
      <c r="A16" s="1" t="s">
        <v>3</v>
      </c>
      <c r="B16" s="1">
        <v>868.9</v>
      </c>
      <c r="C16" s="1">
        <v>1842</v>
      </c>
      <c r="D16" s="1">
        <v>1377.7</v>
      </c>
      <c r="E16" s="1">
        <v>3099.4</v>
      </c>
      <c r="F16" s="1">
        <v>5154.5</v>
      </c>
      <c r="G16" s="1">
        <v>10220</v>
      </c>
      <c r="H16" s="1">
        <v>28090</v>
      </c>
      <c r="I16" s="1">
        <f>SUM(Table3[[#This Row],[1980-1985]:[2010-2016]])</f>
        <v>50652.5</v>
      </c>
      <c r="K16" s="13" t="s">
        <v>78</v>
      </c>
      <c r="L16" s="14">
        <v>18338.099999999999</v>
      </c>
      <c r="M16" s="14">
        <v>345.6</v>
      </c>
      <c r="N16" s="14">
        <v>2812.1</v>
      </c>
      <c r="O16" s="14">
        <v>11929.2</v>
      </c>
      <c r="P16" s="14"/>
      <c r="Q16" s="14">
        <v>4313.1000000000004</v>
      </c>
      <c r="R16" s="14">
        <v>936</v>
      </c>
      <c r="S16" s="14">
        <v>19689.400000000001</v>
      </c>
      <c r="T16" s="14">
        <v>7585.9</v>
      </c>
      <c r="U16" s="14">
        <v>4146.7</v>
      </c>
      <c r="V16" s="14">
        <v>3099.4</v>
      </c>
      <c r="W16" s="14"/>
      <c r="X16" s="14">
        <v>12399.2</v>
      </c>
      <c r="Y16" s="14">
        <v>12807.9</v>
      </c>
      <c r="Z16" s="14">
        <v>13418.4</v>
      </c>
      <c r="AA16" s="14">
        <v>34715.300000000003</v>
      </c>
      <c r="AB16" s="14">
        <v>1221.7</v>
      </c>
      <c r="AC16" s="14">
        <v>557.9</v>
      </c>
      <c r="AD16" s="14">
        <v>631.6</v>
      </c>
      <c r="AE16" s="14">
        <v>1111.3</v>
      </c>
      <c r="AF16" s="14">
        <v>11462</v>
      </c>
      <c r="AG16" s="14"/>
      <c r="AH16" s="14">
        <v>12280.9</v>
      </c>
      <c r="AI16" s="14">
        <v>18144.900000000001</v>
      </c>
      <c r="AJ16" s="14">
        <v>402.4</v>
      </c>
      <c r="AK16" s="14">
        <v>15982</v>
      </c>
      <c r="AL16" s="14"/>
      <c r="AM16" s="14">
        <v>760.1</v>
      </c>
      <c r="AN16" s="14">
        <v>40644</v>
      </c>
      <c r="AO16" s="14"/>
      <c r="AP16" s="14">
        <v>28876.400000000001</v>
      </c>
      <c r="AQ16" s="14">
        <v>10715.826923076924</v>
      </c>
    </row>
    <row r="17" spans="1:43" x14ac:dyDescent="0.25">
      <c r="A17" s="1" t="s">
        <v>14</v>
      </c>
      <c r="B17" s="1">
        <v>1038.2</v>
      </c>
      <c r="C17" s="1">
        <v>1649</v>
      </c>
      <c r="D17" s="1">
        <v>1723</v>
      </c>
      <c r="E17" s="1">
        <v>2812.1</v>
      </c>
      <c r="F17" s="1">
        <v>7368.1</v>
      </c>
      <c r="G17" s="1">
        <v>770</v>
      </c>
      <c r="H17" s="1">
        <v>29880</v>
      </c>
      <c r="I17" s="1">
        <f>SUM(Table3[[#This Row],[1980-1985]:[2010-2016]])</f>
        <v>45240.4</v>
      </c>
      <c r="K17" s="13" t="s">
        <v>83</v>
      </c>
      <c r="L17" s="14">
        <v>37299</v>
      </c>
      <c r="M17" s="14">
        <v>1334.8</v>
      </c>
      <c r="N17" s="14">
        <v>7368.1</v>
      </c>
      <c r="O17" s="14">
        <v>19154.599999999999</v>
      </c>
      <c r="P17" s="14">
        <v>5413.2</v>
      </c>
      <c r="Q17" s="14">
        <v>9662.7000000000007</v>
      </c>
      <c r="R17" s="14">
        <v>2205.6999999999998</v>
      </c>
      <c r="S17" s="14">
        <v>38438.400000000001</v>
      </c>
      <c r="T17" s="14">
        <v>10614.8</v>
      </c>
      <c r="U17" s="14">
        <v>9886.1</v>
      </c>
      <c r="V17" s="14">
        <v>5154.5</v>
      </c>
      <c r="W17" s="14"/>
      <c r="X17" s="14">
        <v>23469.1</v>
      </c>
      <c r="Y17" s="14">
        <v>22127.200000000001</v>
      </c>
      <c r="Z17" s="14">
        <v>24231.5</v>
      </c>
      <c r="AA17" s="14">
        <v>70713.5</v>
      </c>
      <c r="AB17" s="14">
        <v>1564.7</v>
      </c>
      <c r="AC17" s="14">
        <v>1140.5</v>
      </c>
      <c r="AD17" s="14">
        <v>1657.7</v>
      </c>
      <c r="AE17" s="14">
        <v>1224.9000000000001</v>
      </c>
      <c r="AF17" s="14">
        <v>15049.5</v>
      </c>
      <c r="AG17" s="14"/>
      <c r="AH17" s="14">
        <v>22181.8</v>
      </c>
      <c r="AI17" s="14">
        <v>29691.599999999999</v>
      </c>
      <c r="AJ17" s="14">
        <v>367.3</v>
      </c>
      <c r="AK17" s="14">
        <v>27715.4</v>
      </c>
      <c r="AL17" s="14"/>
      <c r="AM17" s="14">
        <v>2103.4</v>
      </c>
      <c r="AN17" s="14">
        <v>59227.6</v>
      </c>
      <c r="AO17" s="14">
        <v>5030.6000000000004</v>
      </c>
      <c r="AP17" s="14">
        <v>56814.3</v>
      </c>
      <c r="AQ17" s="14">
        <v>18244.375</v>
      </c>
    </row>
    <row r="18" spans="1:43" x14ac:dyDescent="0.25">
      <c r="A18" s="1" t="s">
        <v>4</v>
      </c>
      <c r="B18" s="1"/>
      <c r="C18" s="1"/>
      <c r="D18" s="1"/>
      <c r="E18" s="1"/>
      <c r="F18" s="1"/>
      <c r="G18" s="1">
        <v>21930</v>
      </c>
      <c r="H18" s="1">
        <v>22460</v>
      </c>
      <c r="I18" s="1">
        <f>SUM(Table3[[#This Row],[1980-1985]:[2010-2016]])</f>
        <v>44390</v>
      </c>
      <c r="K18" s="13" t="s">
        <v>82</v>
      </c>
      <c r="L18" s="14">
        <v>49150</v>
      </c>
      <c r="M18" s="14">
        <v>960</v>
      </c>
      <c r="N18" s="14">
        <v>770</v>
      </c>
      <c r="O18" s="14">
        <v>16210</v>
      </c>
      <c r="P18" s="14">
        <v>3320</v>
      </c>
      <c r="Q18" s="14">
        <v>8570</v>
      </c>
      <c r="R18" s="14">
        <v>3680</v>
      </c>
      <c r="S18" s="14">
        <v>42280</v>
      </c>
      <c r="T18" s="14">
        <v>17020</v>
      </c>
      <c r="U18" s="14">
        <v>7250</v>
      </c>
      <c r="V18" s="14">
        <v>10220</v>
      </c>
      <c r="W18" s="14">
        <v>21930</v>
      </c>
      <c r="X18" s="14">
        <v>33310</v>
      </c>
      <c r="Y18" s="14">
        <v>28320</v>
      </c>
      <c r="Z18" s="14">
        <v>20730</v>
      </c>
      <c r="AA18" s="14">
        <v>66520</v>
      </c>
      <c r="AB18" s="14">
        <v>1600</v>
      </c>
      <c r="AC18" s="14">
        <v>1140</v>
      </c>
      <c r="AD18" s="14">
        <v>1380</v>
      </c>
      <c r="AE18" s="14">
        <v>1730</v>
      </c>
      <c r="AF18" s="14">
        <v>740</v>
      </c>
      <c r="AG18" s="14">
        <v>1960</v>
      </c>
      <c r="AH18" s="14">
        <v>24500</v>
      </c>
      <c r="AI18" s="14">
        <v>29800</v>
      </c>
      <c r="AJ18" s="14">
        <v>710</v>
      </c>
      <c r="AK18" s="14">
        <v>30260</v>
      </c>
      <c r="AL18" s="14"/>
      <c r="AM18" s="14">
        <v>200</v>
      </c>
      <c r="AN18" s="14">
        <v>72690</v>
      </c>
      <c r="AO18" s="14">
        <v>9130</v>
      </c>
      <c r="AP18" s="14">
        <v>70940</v>
      </c>
      <c r="AQ18" s="14">
        <v>19234</v>
      </c>
    </row>
    <row r="19" spans="1:43" x14ac:dyDescent="0.25">
      <c r="A19" s="1" t="s">
        <v>2</v>
      </c>
      <c r="B19" s="1">
        <v>233.2</v>
      </c>
      <c r="C19" s="1">
        <v>733</v>
      </c>
      <c r="D19" s="1">
        <v>1586.4</v>
      </c>
      <c r="E19" s="1">
        <v>4146.7</v>
      </c>
      <c r="F19" s="1">
        <v>9886.1</v>
      </c>
      <c r="G19" s="1">
        <v>7250</v>
      </c>
      <c r="H19" s="1">
        <v>17560</v>
      </c>
      <c r="I19" s="1">
        <f>SUM(Table3[[#This Row],[1980-1985]:[2010-2016]])</f>
        <v>41395.4</v>
      </c>
      <c r="K19" s="13" t="s">
        <v>81</v>
      </c>
      <c r="L19" s="14">
        <v>100650</v>
      </c>
      <c r="M19" s="14">
        <v>6890</v>
      </c>
      <c r="N19" s="14">
        <v>29880</v>
      </c>
      <c r="O19" s="14">
        <v>71180</v>
      </c>
      <c r="P19" s="14">
        <v>20720</v>
      </c>
      <c r="Q19" s="14">
        <v>8810</v>
      </c>
      <c r="R19" s="14">
        <v>8400</v>
      </c>
      <c r="S19" s="14">
        <v>101440</v>
      </c>
      <c r="T19" s="14">
        <v>65130</v>
      </c>
      <c r="U19" s="14">
        <v>17560</v>
      </c>
      <c r="V19" s="14">
        <v>28090</v>
      </c>
      <c r="W19" s="14">
        <v>22460</v>
      </c>
      <c r="X19" s="14">
        <v>93840</v>
      </c>
      <c r="Y19" s="14">
        <v>86180</v>
      </c>
      <c r="Z19" s="14">
        <v>60650</v>
      </c>
      <c r="AA19" s="14">
        <v>146570</v>
      </c>
      <c r="AB19" s="14">
        <v>2860</v>
      </c>
      <c r="AC19" s="14">
        <v>3540</v>
      </c>
      <c r="AD19" s="14">
        <v>4300</v>
      </c>
      <c r="AE19" s="14">
        <v>3970</v>
      </c>
      <c r="AF19" s="14">
        <v>24210</v>
      </c>
      <c r="AG19" s="14">
        <v>3450</v>
      </c>
      <c r="AH19" s="14">
        <v>56070</v>
      </c>
      <c r="AI19" s="14">
        <v>75250</v>
      </c>
      <c r="AJ19" s="14">
        <v>1590</v>
      </c>
      <c r="AK19" s="14">
        <v>130200</v>
      </c>
      <c r="AL19" s="14"/>
      <c r="AM19" s="14">
        <v>2860</v>
      </c>
      <c r="AN19" s="14">
        <v>135540</v>
      </c>
      <c r="AO19" s="14">
        <v>15920</v>
      </c>
      <c r="AP19" s="14">
        <v>121590</v>
      </c>
      <c r="AQ19" s="14">
        <v>48326.666666666664</v>
      </c>
    </row>
    <row r="20" spans="1:43" x14ac:dyDescent="0.25">
      <c r="A20" s="1" t="s">
        <v>29</v>
      </c>
      <c r="B20" s="1"/>
      <c r="C20" s="1"/>
      <c r="D20" s="1"/>
      <c r="E20" s="1">
        <v>4313.1000000000004</v>
      </c>
      <c r="F20" s="1">
        <v>9662.7000000000007</v>
      </c>
      <c r="G20" s="1">
        <v>8570</v>
      </c>
      <c r="H20" s="1">
        <v>8810</v>
      </c>
      <c r="I20" s="1">
        <f>SUM(Table3[[#This Row],[1980-1985]:[2010-2016]])</f>
        <v>31355.800000000003</v>
      </c>
    </row>
    <row r="21" spans="1:43" x14ac:dyDescent="0.25">
      <c r="A21" s="1" t="s">
        <v>27</v>
      </c>
      <c r="B21" s="1"/>
      <c r="C21" s="1"/>
      <c r="D21" s="1"/>
      <c r="E21" s="1"/>
      <c r="F21" s="1">
        <v>5030.6000000000004</v>
      </c>
      <c r="G21" s="1">
        <v>9130</v>
      </c>
      <c r="H21" s="1">
        <v>15920</v>
      </c>
      <c r="I21" s="1">
        <f>SUM(Table3[[#This Row],[1980-1985]:[2010-2016]])</f>
        <v>30080.6</v>
      </c>
    </row>
    <row r="22" spans="1:43" x14ac:dyDescent="0.25">
      <c r="A22" s="1" t="s">
        <v>10</v>
      </c>
      <c r="B22" s="1"/>
      <c r="C22" s="1"/>
      <c r="D22" s="1"/>
      <c r="E22" s="1"/>
      <c r="F22" s="1">
        <v>5413.2</v>
      </c>
      <c r="G22" s="1">
        <v>3320</v>
      </c>
      <c r="H22" s="1">
        <v>20720</v>
      </c>
      <c r="I22" s="1">
        <f>SUM(Table3[[#This Row],[1980-1985]:[2010-2016]])</f>
        <v>29453.200000000001</v>
      </c>
    </row>
    <row r="23" spans="1:43" x14ac:dyDescent="0.25">
      <c r="A23" s="1" t="s">
        <v>11</v>
      </c>
      <c r="B23" s="1"/>
      <c r="C23" s="1"/>
      <c r="D23" s="1">
        <v>415.8</v>
      </c>
      <c r="E23" s="1">
        <v>936</v>
      </c>
      <c r="F23" s="1">
        <v>2205.6999999999998</v>
      </c>
      <c r="G23" s="1">
        <v>3680</v>
      </c>
      <c r="H23" s="1">
        <v>8400</v>
      </c>
      <c r="I23" s="1">
        <f>SUM(Table3[[#This Row],[1980-1985]:[2010-2016]])</f>
        <v>15637.5</v>
      </c>
    </row>
    <row r="24" spans="1:43" x14ac:dyDescent="0.25">
      <c r="A24" s="1" t="s">
        <v>13</v>
      </c>
      <c r="B24" s="1"/>
      <c r="C24" s="1"/>
      <c r="D24" s="1">
        <v>85.5</v>
      </c>
      <c r="E24" s="1">
        <v>345.6</v>
      </c>
      <c r="F24" s="1">
        <v>1334.8</v>
      </c>
      <c r="G24" s="1">
        <v>960</v>
      </c>
      <c r="H24" s="1">
        <v>6890</v>
      </c>
      <c r="I24" s="1">
        <f>SUM(Table3[[#This Row],[1980-1985]:[2010-2016]])</f>
        <v>9615.9</v>
      </c>
    </row>
    <row r="25" spans="1:43" x14ac:dyDescent="0.25">
      <c r="A25" s="1" t="s">
        <v>18</v>
      </c>
      <c r="B25" s="1">
        <v>59.7</v>
      </c>
      <c r="C25" s="1">
        <v>267</v>
      </c>
      <c r="D25" s="1">
        <v>748.8</v>
      </c>
      <c r="E25" s="1">
        <v>1111.3</v>
      </c>
      <c r="F25" s="1">
        <v>1224.9000000000001</v>
      </c>
      <c r="G25" s="1">
        <v>1730</v>
      </c>
      <c r="H25" s="1">
        <v>3970</v>
      </c>
      <c r="I25" s="1">
        <f>SUM(Table3[[#This Row],[1980-1985]:[2010-2016]])</f>
        <v>9111.7000000000007</v>
      </c>
    </row>
    <row r="26" spans="1:43" x14ac:dyDescent="0.25">
      <c r="A26" s="1" t="s">
        <v>17</v>
      </c>
      <c r="B26" s="1"/>
      <c r="C26" s="1">
        <v>129</v>
      </c>
      <c r="D26" s="1">
        <v>15.9</v>
      </c>
      <c r="E26" s="1">
        <v>631.6</v>
      </c>
      <c r="F26" s="1">
        <v>1657.7</v>
      </c>
      <c r="G26" s="1">
        <v>1380</v>
      </c>
      <c r="H26" s="1">
        <v>4300</v>
      </c>
      <c r="I26" s="1">
        <f>SUM(Table3[[#This Row],[1980-1985]:[2010-2016]])</f>
        <v>8114.2</v>
      </c>
    </row>
    <row r="27" spans="1:43" x14ac:dyDescent="0.25">
      <c r="A27" s="1" t="s">
        <v>15</v>
      </c>
      <c r="B27" s="1">
        <v>78.5</v>
      </c>
      <c r="C27" s="1">
        <v>144</v>
      </c>
      <c r="D27" s="1">
        <v>168.6</v>
      </c>
      <c r="E27" s="1">
        <v>1221.7</v>
      </c>
      <c r="F27" s="1">
        <v>1564.7</v>
      </c>
      <c r="G27" s="1">
        <v>1600</v>
      </c>
      <c r="H27" s="1">
        <v>2860</v>
      </c>
      <c r="I27" s="1">
        <f>SUM(Table3[[#This Row],[1980-1985]:[2010-2016]])</f>
        <v>7637.5</v>
      </c>
    </row>
    <row r="28" spans="1:43" x14ac:dyDescent="0.25">
      <c r="A28" s="1" t="s">
        <v>16</v>
      </c>
      <c r="B28" s="1">
        <v>35.9</v>
      </c>
      <c r="C28" s="1">
        <v>39.5</v>
      </c>
      <c r="D28" s="1">
        <v>329.4</v>
      </c>
      <c r="E28" s="1">
        <v>557.9</v>
      </c>
      <c r="F28" s="1">
        <v>1140.5</v>
      </c>
      <c r="G28" s="1">
        <v>1140</v>
      </c>
      <c r="H28" s="1">
        <v>3540</v>
      </c>
      <c r="I28" s="1">
        <f>SUM(Table3[[#This Row],[1980-1985]:[2010-2016]])</f>
        <v>6783.2</v>
      </c>
    </row>
    <row r="29" spans="1:43" x14ac:dyDescent="0.25">
      <c r="A29" s="1" t="s">
        <v>25</v>
      </c>
      <c r="B29" s="1">
        <v>80.099999999999994</v>
      </c>
      <c r="C29" s="1">
        <v>265</v>
      </c>
      <c r="D29" s="1">
        <v>423.5</v>
      </c>
      <c r="E29" s="1">
        <v>760.1</v>
      </c>
      <c r="F29" s="1">
        <v>2103.4</v>
      </c>
      <c r="G29" s="1">
        <v>200</v>
      </c>
      <c r="H29" s="1">
        <v>2860</v>
      </c>
      <c r="I29" s="1">
        <f>SUM(Table3[[#This Row],[1980-1985]:[2010-2016]])</f>
        <v>6692.1</v>
      </c>
    </row>
    <row r="30" spans="1:43" x14ac:dyDescent="0.25">
      <c r="A30" s="1" t="s">
        <v>30</v>
      </c>
      <c r="B30" s="1"/>
      <c r="C30" s="1"/>
      <c r="D30" s="1"/>
      <c r="E30" s="1"/>
      <c r="F30" s="1"/>
      <c r="G30" s="1">
        <v>1960</v>
      </c>
      <c r="H30" s="1">
        <v>3450</v>
      </c>
      <c r="I30" s="1">
        <f>SUM(Table3[[#This Row],[1980-1985]:[2010-2016]])</f>
        <v>5410</v>
      </c>
    </row>
    <row r="31" spans="1:43" x14ac:dyDescent="0.25">
      <c r="A31" s="1" t="s">
        <v>22</v>
      </c>
      <c r="B31" s="1">
        <v>12.7</v>
      </c>
      <c r="C31" s="1">
        <v>63</v>
      </c>
      <c r="D31" s="1">
        <v>171.8</v>
      </c>
      <c r="E31" s="1">
        <v>402.4</v>
      </c>
      <c r="F31" s="1">
        <v>367.3</v>
      </c>
      <c r="G31" s="1">
        <v>710</v>
      </c>
      <c r="H31" s="1">
        <v>1590</v>
      </c>
      <c r="I31" s="1">
        <f>SUM(Table3[[#This Row],[1980-1985]:[2010-2016]])</f>
        <v>3317.2</v>
      </c>
    </row>
    <row r="32" spans="1:43" x14ac:dyDescent="0.25">
      <c r="A32" s="1" t="s">
        <v>24</v>
      </c>
      <c r="B32" s="1"/>
      <c r="C32" s="1"/>
      <c r="D32" s="1"/>
      <c r="E32" s="1"/>
      <c r="F32" s="1"/>
      <c r="G32" s="1"/>
      <c r="H32" s="1"/>
      <c r="I32" s="1">
        <f>SUM(Table3[[#This Row],[1980-1985]:[2010-2016]])</f>
        <v>0</v>
      </c>
    </row>
    <row r="33" spans="1:9" x14ac:dyDescent="0.25">
      <c r="A33" s="1"/>
      <c r="B33" s="1">
        <f>SUM(Table3[1980-1985])</f>
        <v>27319.500000000004</v>
      </c>
      <c r="C33" s="1">
        <f>SUM(Table3[1985-1990])</f>
        <v>54686.5</v>
      </c>
      <c r="D33" s="1">
        <f>SUM(Table3[1990-1995])</f>
        <v>106250.7</v>
      </c>
      <c r="E33" s="1">
        <f>SUM(Table3[1995-2000])</f>
        <v>278611.49999999994</v>
      </c>
      <c r="F33" s="1">
        <f>SUM(Table3[2000-2005])</f>
        <v>510842.49999999994</v>
      </c>
      <c r="G33" s="1">
        <f>SUM(Table3[2005-2010])</f>
        <v>577020</v>
      </c>
      <c r="H33" s="1">
        <f>SUM(Table3[2010-2016])</f>
        <v>1449800</v>
      </c>
      <c r="I33" s="1"/>
    </row>
    <row r="44" spans="1:9" x14ac:dyDescent="0.25">
      <c r="C44" t="s">
        <v>31</v>
      </c>
      <c r="D44" t="s">
        <v>86</v>
      </c>
      <c r="E44" t="s">
        <v>87</v>
      </c>
    </row>
    <row r="45" spans="1:9" x14ac:dyDescent="0.25">
      <c r="C45" t="s">
        <v>85</v>
      </c>
      <c r="D45">
        <v>45703</v>
      </c>
      <c r="E45">
        <v>27319.5</v>
      </c>
    </row>
    <row r="46" spans="1:9" x14ac:dyDescent="0.25">
      <c r="C46" t="s">
        <v>88</v>
      </c>
      <c r="D46">
        <v>71246</v>
      </c>
      <c r="E46">
        <v>54686.5</v>
      </c>
    </row>
    <row r="47" spans="1:9" x14ac:dyDescent="0.25">
      <c r="C47" t="s">
        <v>89</v>
      </c>
      <c r="D47">
        <v>121314</v>
      </c>
      <c r="E47">
        <v>106250.70000000004</v>
      </c>
    </row>
    <row r="48" spans="1:9" x14ac:dyDescent="0.25">
      <c r="C48" t="s">
        <v>90</v>
      </c>
      <c r="D48">
        <v>207072</v>
      </c>
      <c r="E48">
        <v>278611.5</v>
      </c>
    </row>
    <row r="49" spans="3:5" x14ac:dyDescent="0.25">
      <c r="C49" t="s">
        <v>91</v>
      </c>
      <c r="D49">
        <v>499632</v>
      </c>
      <c r="E49">
        <v>510842.50000000006</v>
      </c>
    </row>
    <row r="50" spans="3:5" x14ac:dyDescent="0.25">
      <c r="C50" t="s">
        <v>92</v>
      </c>
      <c r="D50">
        <v>903234.81</v>
      </c>
      <c r="E50">
        <v>577020</v>
      </c>
    </row>
    <row r="51" spans="3:5" x14ac:dyDescent="0.25">
      <c r="C51" t="s">
        <v>93</v>
      </c>
      <c r="D51">
        <v>2120242.7200000002</v>
      </c>
      <c r="E51">
        <v>1449800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"/>
  <sheetViews>
    <sheetView topLeftCell="F28" workbookViewId="0">
      <selection activeCell="O25" sqref="O25"/>
    </sheetView>
  </sheetViews>
  <sheetFormatPr defaultRowHeight="15" x14ac:dyDescent="0.25"/>
  <cols>
    <col min="2" max="8" width="11.85546875" customWidth="1"/>
    <col min="10" max="10" width="20" customWidth="1"/>
    <col min="11" max="11" width="16.28515625" customWidth="1"/>
    <col min="12" max="12" width="17.7109375" customWidth="1"/>
    <col min="13" max="13" width="7" customWidth="1"/>
    <col min="14" max="14" width="12" customWidth="1"/>
    <col min="15" max="15" width="12.140625" customWidth="1"/>
    <col min="16" max="16" width="12" customWidth="1"/>
    <col min="17" max="17" width="7" customWidth="1"/>
    <col min="18" max="18" width="8" customWidth="1"/>
    <col min="19" max="19" width="8.140625" customWidth="1"/>
    <col min="20" max="20" width="16.85546875" customWidth="1"/>
    <col min="21" max="21" width="17" customWidth="1"/>
    <col min="22" max="22" width="11" customWidth="1"/>
    <col min="23" max="23" width="12" customWidth="1"/>
    <col min="24" max="24" width="7" customWidth="1"/>
    <col min="25" max="25" width="15.85546875" customWidth="1"/>
    <col min="26" max="26" width="12.140625" customWidth="1"/>
    <col min="27" max="27" width="8.5703125" customWidth="1"/>
    <col min="28" max="28" width="12" customWidth="1"/>
    <col min="29" max="29" width="8.85546875" customWidth="1"/>
    <col min="30" max="30" width="9.28515625" customWidth="1"/>
    <col min="31" max="32" width="12" customWidth="1"/>
    <col min="33" max="33" width="7.140625" customWidth="1"/>
    <col min="34" max="34" width="9.5703125" customWidth="1"/>
    <col min="35" max="35" width="11" customWidth="1"/>
    <col min="36" max="36" width="12" customWidth="1"/>
    <col min="37" max="37" width="11" customWidth="1"/>
    <col min="38" max="38" width="7.28515625" customWidth="1"/>
    <col min="39" max="39" width="13.28515625" customWidth="1"/>
    <col min="40" max="40" width="12" customWidth="1"/>
    <col min="41" max="41" width="12.140625" customWidth="1"/>
    <col min="42" max="42" width="12" customWidth="1"/>
    <col min="43" max="44" width="18" customWidth="1"/>
    <col min="45" max="45" width="18" bestFit="1" customWidth="1"/>
    <col min="46" max="47" width="18" customWidth="1"/>
    <col min="48" max="49" width="18" bestFit="1" customWidth="1"/>
    <col min="50" max="51" width="18" customWidth="1"/>
    <col min="52" max="52" width="18" bestFit="1" customWidth="1"/>
    <col min="53" max="53" width="18" customWidth="1"/>
    <col min="54" max="54" width="18" bestFit="1" customWidth="1"/>
    <col min="55" max="56" width="18" customWidth="1"/>
    <col min="57" max="58" width="18" bestFit="1" customWidth="1"/>
    <col min="59" max="59" width="18" customWidth="1"/>
    <col min="60" max="60" width="18" bestFit="1" customWidth="1"/>
    <col min="61" max="63" width="18" customWidth="1"/>
    <col min="64" max="64" width="18" bestFit="1" customWidth="1"/>
    <col min="65" max="68" width="18" customWidth="1"/>
    <col min="69" max="72" width="18" bestFit="1" customWidth="1"/>
    <col min="73" max="77" width="18" customWidth="1"/>
    <col min="78" max="78" width="18" bestFit="1" customWidth="1"/>
    <col min="79" max="79" width="18" customWidth="1"/>
    <col min="80" max="80" width="18" bestFit="1" customWidth="1"/>
    <col min="81" max="81" width="18" customWidth="1"/>
    <col min="82" max="82" width="18" bestFit="1" customWidth="1"/>
    <col min="83" max="83" width="18" customWidth="1"/>
    <col min="84" max="85" width="18" bestFit="1" customWidth="1"/>
    <col min="86" max="87" width="18" customWidth="1"/>
    <col min="88" max="88" width="18" bestFit="1" customWidth="1"/>
    <col min="89" max="89" width="18" customWidth="1"/>
    <col min="90" max="90" width="18" bestFit="1" customWidth="1"/>
    <col min="91" max="91" width="18" customWidth="1"/>
    <col min="92" max="94" width="18" bestFit="1" customWidth="1"/>
    <col min="95" max="96" width="18" customWidth="1"/>
    <col min="97" max="98" width="18" bestFit="1" customWidth="1"/>
    <col min="99" max="99" width="18" customWidth="1"/>
    <col min="100" max="100" width="18" bestFit="1" customWidth="1"/>
    <col min="101" max="101" width="18" customWidth="1"/>
    <col min="102" max="102" width="18" bestFit="1" customWidth="1"/>
    <col min="103" max="107" width="18" customWidth="1"/>
    <col min="108" max="112" width="18" bestFit="1" customWidth="1"/>
    <col min="113" max="113" width="18" customWidth="1"/>
    <col min="114" max="115" width="18" bestFit="1" customWidth="1"/>
    <col min="116" max="116" width="18" customWidth="1"/>
    <col min="117" max="118" width="18" bestFit="1" customWidth="1"/>
    <col min="119" max="119" width="18" customWidth="1"/>
    <col min="120" max="120" width="18" bestFit="1" customWidth="1"/>
    <col min="121" max="121" width="18" customWidth="1"/>
    <col min="122" max="124" width="18" bestFit="1" customWidth="1"/>
    <col min="125" max="126" width="18" customWidth="1"/>
    <col min="127" max="134" width="18" bestFit="1" customWidth="1"/>
    <col min="135" max="138" width="18" customWidth="1"/>
    <col min="139" max="142" width="18" bestFit="1" customWidth="1"/>
    <col min="143" max="143" width="18" customWidth="1"/>
    <col min="144" max="148" width="18" bestFit="1" customWidth="1"/>
    <col min="149" max="149" width="18" customWidth="1"/>
    <col min="150" max="154" width="18" bestFit="1" customWidth="1"/>
    <col min="155" max="155" width="18" customWidth="1"/>
    <col min="156" max="165" width="18" bestFit="1" customWidth="1"/>
    <col min="166" max="170" width="18" customWidth="1"/>
    <col min="171" max="196" width="18" bestFit="1" customWidth="1"/>
    <col min="197" max="202" width="18" customWidth="1"/>
    <col min="203" max="226" width="18" bestFit="1" customWidth="1"/>
    <col min="227" max="227" width="21.5703125" bestFit="1" customWidth="1"/>
    <col min="228" max="233" width="23" bestFit="1" customWidth="1"/>
  </cols>
  <sheetData>
    <row r="1" spans="1:42" x14ac:dyDescent="0.25">
      <c r="A1" t="s">
        <v>31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99</v>
      </c>
    </row>
    <row r="2" spans="1:42" x14ac:dyDescent="0.25">
      <c r="A2" s="1" t="s">
        <v>0</v>
      </c>
      <c r="B2" s="1">
        <v>55216</v>
      </c>
      <c r="C2" s="1">
        <v>104294</v>
      </c>
      <c r="D2" s="1">
        <v>245180</v>
      </c>
      <c r="E2" s="1">
        <v>509517</v>
      </c>
      <c r="F2" s="1">
        <v>793314</v>
      </c>
      <c r="G2" s="1">
        <v>1044741</v>
      </c>
      <c r="H2" s="1">
        <v>2714846.63</v>
      </c>
      <c r="I2" s="1">
        <f>SUM(Table4[[#This Row],[1980-1985]:[2010-2016]])</f>
        <v>5467108.6299999999</v>
      </c>
    </row>
    <row r="3" spans="1:42" x14ac:dyDescent="0.25">
      <c r="A3" s="1" t="s">
        <v>9</v>
      </c>
      <c r="B3" s="1">
        <v>49499</v>
      </c>
      <c r="C3" s="1">
        <v>91985</v>
      </c>
      <c r="D3" s="1">
        <v>136619</v>
      </c>
      <c r="E3" s="1">
        <v>179893</v>
      </c>
      <c r="F3" s="1">
        <v>323819</v>
      </c>
      <c r="G3" s="1">
        <v>602109</v>
      </c>
      <c r="H3" s="1">
        <v>1837591.3241000001</v>
      </c>
      <c r="I3" s="1">
        <f>SUM(Table4[[#This Row],[1980-1985]:[2010-2016]])</f>
        <v>3221515.3240999999</v>
      </c>
    </row>
    <row r="4" spans="1:42" x14ac:dyDescent="0.25">
      <c r="A4" s="1" t="s">
        <v>10</v>
      </c>
      <c r="B4" s="1"/>
      <c r="C4" s="1"/>
      <c r="D4" s="1"/>
      <c r="E4" s="1">
        <v>133530</v>
      </c>
      <c r="F4" s="1">
        <v>195440</v>
      </c>
      <c r="G4" s="1">
        <v>396847</v>
      </c>
      <c r="H4" s="1"/>
      <c r="I4" s="1">
        <f>SUM(Table4[[#This Row],[1980-1985]:[2010-2016]])</f>
        <v>725817</v>
      </c>
    </row>
    <row r="5" spans="1:42" x14ac:dyDescent="0.25">
      <c r="A5" s="1" t="s">
        <v>11</v>
      </c>
      <c r="B5" s="1">
        <v>2568</v>
      </c>
      <c r="C5" s="1">
        <v>4388</v>
      </c>
      <c r="D5" s="1">
        <v>9915</v>
      </c>
      <c r="E5" s="1">
        <v>24610</v>
      </c>
      <c r="F5" s="1">
        <v>43968</v>
      </c>
      <c r="G5" s="1">
        <v>104955</v>
      </c>
      <c r="H5" s="1"/>
      <c r="I5" s="1">
        <f>SUM(Table4[[#This Row],[1980-1985]:[2010-2016]])</f>
        <v>190404</v>
      </c>
    </row>
    <row r="6" spans="1:42" x14ac:dyDescent="0.25">
      <c r="A6" s="1" t="s">
        <v>12</v>
      </c>
      <c r="B6" s="1">
        <v>52559</v>
      </c>
      <c r="C6" s="1">
        <v>93627</v>
      </c>
      <c r="D6" s="1">
        <v>211654</v>
      </c>
      <c r="E6" s="1">
        <v>464077</v>
      </c>
      <c r="F6" s="1">
        <v>747699</v>
      </c>
      <c r="G6" s="1">
        <v>1656888</v>
      </c>
      <c r="H6" s="1"/>
      <c r="I6" s="1">
        <f>SUM(Table4[[#This Row],[1980-1985]:[2010-2016]])</f>
        <v>3226504</v>
      </c>
    </row>
    <row r="7" spans="1:42" x14ac:dyDescent="0.25">
      <c r="A7" s="1" t="s">
        <v>1</v>
      </c>
      <c r="B7" s="1">
        <v>22054</v>
      </c>
      <c r="C7" s="1">
        <v>42342</v>
      </c>
      <c r="D7" s="1">
        <v>95694</v>
      </c>
      <c r="E7" s="1">
        <v>199101</v>
      </c>
      <c r="F7" s="1">
        <v>374873</v>
      </c>
      <c r="G7" s="1">
        <v>795335</v>
      </c>
      <c r="H7" s="1"/>
      <c r="I7" s="1">
        <f>SUM(Table4[[#This Row],[1980-1985]:[2010-2016]])</f>
        <v>1529399</v>
      </c>
    </row>
    <row r="8" spans="1:42" x14ac:dyDescent="0.25">
      <c r="A8" s="1" t="s">
        <v>2</v>
      </c>
      <c r="B8" s="1">
        <v>4972</v>
      </c>
      <c r="C8" s="1">
        <v>9204</v>
      </c>
      <c r="D8" s="1">
        <v>20564</v>
      </c>
      <c r="E8" s="1">
        <v>48098</v>
      </c>
      <c r="F8" s="1">
        <v>96512</v>
      </c>
      <c r="G8" s="1">
        <v>181036</v>
      </c>
      <c r="H8" s="1"/>
      <c r="I8" s="1">
        <f>SUM(Table4[[#This Row],[1980-1985]:[2010-2016]])</f>
        <v>360386</v>
      </c>
    </row>
    <row r="9" spans="1:42" x14ac:dyDescent="0.25">
      <c r="A9" s="1" t="s">
        <v>3</v>
      </c>
      <c r="B9" s="1">
        <v>7911</v>
      </c>
      <c r="C9" s="1">
        <v>13764</v>
      </c>
      <c r="D9" s="1">
        <v>25602</v>
      </c>
      <c r="E9" s="1">
        <v>54582</v>
      </c>
      <c r="F9" s="1">
        <v>104564</v>
      </c>
      <c r="G9" s="1">
        <v>190949</v>
      </c>
      <c r="H9" s="1"/>
      <c r="I9" s="1">
        <f>SUM(Table4[[#This Row],[1980-1985]:[2010-2016]])</f>
        <v>397372</v>
      </c>
    </row>
    <row r="10" spans="1:42" x14ac:dyDescent="0.25">
      <c r="A10" s="1" t="s">
        <v>4</v>
      </c>
      <c r="B10" s="1"/>
      <c r="C10" s="1"/>
      <c r="D10" s="1"/>
      <c r="E10" s="1">
        <v>383525</v>
      </c>
      <c r="F10" s="1">
        <v>532846</v>
      </c>
      <c r="G10" s="1">
        <v>400201</v>
      </c>
      <c r="H10" s="1">
        <v>1100551.08</v>
      </c>
      <c r="I10" s="1">
        <f>SUM(Table4[[#This Row],[1980-1985]:[2010-2016]])</f>
        <v>2417123.08</v>
      </c>
      <c r="K10" s="12" t="s">
        <v>76</v>
      </c>
    </row>
    <row r="11" spans="1:42" x14ac:dyDescent="0.25">
      <c r="A11" s="1" t="s">
        <v>5</v>
      </c>
      <c r="B11" s="1">
        <v>41832</v>
      </c>
      <c r="C11" s="1">
        <v>77927</v>
      </c>
      <c r="D11" s="1">
        <v>144631</v>
      </c>
      <c r="E11" s="1">
        <v>258078</v>
      </c>
      <c r="F11" s="1">
        <v>500923</v>
      </c>
      <c r="G11" s="1">
        <v>1341641</v>
      </c>
      <c r="H11" s="1">
        <v>4485081.2311000004</v>
      </c>
      <c r="I11" s="1">
        <f>SUM(Table4[[#This Row],[1980-1985]:[2010-2016]])</f>
        <v>6850113.2311000004</v>
      </c>
      <c r="J11" s="12" t="s">
        <v>84</v>
      </c>
      <c r="K11" t="s">
        <v>0</v>
      </c>
      <c r="L11" t="s">
        <v>13</v>
      </c>
      <c r="M11" t="s">
        <v>14</v>
      </c>
      <c r="N11" t="s">
        <v>9</v>
      </c>
      <c r="O11" t="s">
        <v>10</v>
      </c>
      <c r="P11" t="s">
        <v>29</v>
      </c>
      <c r="Q11" t="s">
        <v>11</v>
      </c>
      <c r="R11" t="s">
        <v>12</v>
      </c>
      <c r="S11" t="s">
        <v>1</v>
      </c>
      <c r="T11" t="s">
        <v>2</v>
      </c>
      <c r="U11" t="s">
        <v>3</v>
      </c>
      <c r="V11" t="s">
        <v>4</v>
      </c>
      <c r="W11" t="s">
        <v>5</v>
      </c>
      <c r="X11" t="s">
        <v>6</v>
      </c>
      <c r="Y11" t="s">
        <v>7</v>
      </c>
      <c r="Z11" t="s">
        <v>8</v>
      </c>
      <c r="AA11" t="s">
        <v>15</v>
      </c>
      <c r="AB11" t="s">
        <v>16</v>
      </c>
      <c r="AC11" t="s">
        <v>17</v>
      </c>
      <c r="AD11" t="s">
        <v>18</v>
      </c>
      <c r="AE11" t="s">
        <v>19</v>
      </c>
      <c r="AF11" t="s">
        <v>30</v>
      </c>
      <c r="AG11" t="s">
        <v>20</v>
      </c>
      <c r="AH11" t="s">
        <v>21</v>
      </c>
      <c r="AI11" t="s">
        <v>22</v>
      </c>
      <c r="AJ11" t="s">
        <v>23</v>
      </c>
      <c r="AK11" t="s">
        <v>24</v>
      </c>
      <c r="AL11" t="s">
        <v>25</v>
      </c>
      <c r="AM11" t="s">
        <v>26</v>
      </c>
      <c r="AN11" t="s">
        <v>27</v>
      </c>
      <c r="AO11" t="s">
        <v>28</v>
      </c>
      <c r="AP11" t="s">
        <v>75</v>
      </c>
    </row>
    <row r="12" spans="1:42" x14ac:dyDescent="0.25">
      <c r="A12" s="1" t="s">
        <v>6</v>
      </c>
      <c r="B12" s="1">
        <v>27518</v>
      </c>
      <c r="C12" s="1">
        <v>48520</v>
      </c>
      <c r="D12" s="1">
        <v>131875</v>
      </c>
      <c r="E12" s="1">
        <v>312300</v>
      </c>
      <c r="F12" s="1">
        <v>474883</v>
      </c>
      <c r="G12" s="1">
        <v>900550</v>
      </c>
      <c r="H12" s="1"/>
      <c r="I12" s="1">
        <f>SUM(Table4[[#This Row],[1980-1985]:[2010-2016]])</f>
        <v>1895646</v>
      </c>
      <c r="J12" s="13" t="s">
        <v>82</v>
      </c>
      <c r="K12" s="14">
        <v>1044741</v>
      </c>
      <c r="L12" s="14">
        <v>25834</v>
      </c>
      <c r="M12" s="14">
        <v>372202</v>
      </c>
      <c r="N12" s="14">
        <v>602109</v>
      </c>
      <c r="O12" s="14">
        <v>396847</v>
      </c>
      <c r="P12" s="14">
        <v>816057</v>
      </c>
      <c r="Q12" s="14">
        <v>104955</v>
      </c>
      <c r="R12" s="14">
        <v>1656888</v>
      </c>
      <c r="S12" s="14">
        <v>795335</v>
      </c>
      <c r="T12" s="14">
        <v>181036</v>
      </c>
      <c r="U12" s="14">
        <v>190949</v>
      </c>
      <c r="V12" s="14">
        <v>400201</v>
      </c>
      <c r="W12" s="14">
        <v>1341641</v>
      </c>
      <c r="X12" s="14">
        <v>900550</v>
      </c>
      <c r="Y12" s="14">
        <v>855165</v>
      </c>
      <c r="Z12" s="14">
        <v>3365801</v>
      </c>
      <c r="AA12" s="14">
        <v>34291</v>
      </c>
      <c r="AB12" s="14">
        <v>49951</v>
      </c>
      <c r="AC12" s="14">
        <v>19914</v>
      </c>
      <c r="AD12" s="14">
        <v>41883</v>
      </c>
      <c r="AE12" s="14">
        <v>627646</v>
      </c>
      <c r="AF12" s="14">
        <v>47917</v>
      </c>
      <c r="AG12" s="14">
        <v>759544</v>
      </c>
      <c r="AH12" s="14">
        <v>1004875</v>
      </c>
      <c r="AI12" s="14">
        <v>16022</v>
      </c>
      <c r="AJ12" s="14">
        <v>1800247</v>
      </c>
      <c r="AK12" s="14">
        <v>780648</v>
      </c>
      <c r="AL12" s="14">
        <v>61513</v>
      </c>
      <c r="AM12" s="14">
        <v>1980594</v>
      </c>
      <c r="AN12" s="14">
        <v>239374</v>
      </c>
      <c r="AO12" s="14">
        <v>1532232</v>
      </c>
      <c r="AP12" s="14">
        <v>711192.32258064521</v>
      </c>
    </row>
    <row r="13" spans="1:42" x14ac:dyDescent="0.25">
      <c r="A13" s="1" t="s">
        <v>7</v>
      </c>
      <c r="B13" s="1">
        <v>49516</v>
      </c>
      <c r="C13" s="1">
        <v>92970</v>
      </c>
      <c r="D13" s="1">
        <v>129397</v>
      </c>
      <c r="E13" s="1">
        <v>109549</v>
      </c>
      <c r="F13" s="1">
        <v>239607</v>
      </c>
      <c r="G13" s="1">
        <v>855165</v>
      </c>
      <c r="H13" s="1">
        <v>2445263.94</v>
      </c>
      <c r="I13" s="1">
        <f>SUM(Table4[[#This Row],[1980-1985]:[2010-2016]])</f>
        <v>3921467.94</v>
      </c>
      <c r="J13" s="13" t="s">
        <v>77</v>
      </c>
      <c r="K13" s="14">
        <v>55216</v>
      </c>
      <c r="L13" s="14">
        <v>825</v>
      </c>
      <c r="M13" s="14">
        <v>18861</v>
      </c>
      <c r="N13" s="14">
        <v>49499</v>
      </c>
      <c r="O13" s="14"/>
      <c r="P13" s="14"/>
      <c r="Q13" s="14">
        <v>2568</v>
      </c>
      <c r="R13" s="14">
        <v>52559</v>
      </c>
      <c r="S13" s="14">
        <v>22054</v>
      </c>
      <c r="T13" s="14">
        <v>4972</v>
      </c>
      <c r="U13" s="14">
        <v>7911</v>
      </c>
      <c r="V13" s="14"/>
      <c r="W13" s="14">
        <v>41832</v>
      </c>
      <c r="X13" s="14">
        <v>27518</v>
      </c>
      <c r="Y13" s="14">
        <v>49516</v>
      </c>
      <c r="Z13" s="14">
        <v>104699</v>
      </c>
      <c r="AA13" s="14">
        <v>1487</v>
      </c>
      <c r="AB13" s="14">
        <v>1327</v>
      </c>
      <c r="AC13" s="14">
        <v>474</v>
      </c>
      <c r="AD13" s="14">
        <v>898</v>
      </c>
      <c r="AE13" s="14">
        <v>23720</v>
      </c>
      <c r="AF13" s="14"/>
      <c r="AG13" s="14">
        <v>33261</v>
      </c>
      <c r="AH13" s="14">
        <v>32143</v>
      </c>
      <c r="AI13" s="14">
        <v>363</v>
      </c>
      <c r="AJ13" s="14">
        <v>53122</v>
      </c>
      <c r="AK13" s="14"/>
      <c r="AL13" s="14">
        <v>1911</v>
      </c>
      <c r="AM13" s="14">
        <v>98272</v>
      </c>
      <c r="AN13" s="14"/>
      <c r="AO13" s="14">
        <v>67947</v>
      </c>
      <c r="AP13" s="14">
        <v>30118.2</v>
      </c>
    </row>
    <row r="14" spans="1:42" x14ac:dyDescent="0.25">
      <c r="A14" s="1" t="s">
        <v>8</v>
      </c>
      <c r="B14" s="1">
        <v>104699</v>
      </c>
      <c r="C14" s="1">
        <v>200213</v>
      </c>
      <c r="D14" s="1">
        <v>472153</v>
      </c>
      <c r="E14" s="1">
        <v>989826</v>
      </c>
      <c r="F14" s="1">
        <v>1581030</v>
      </c>
      <c r="G14" s="1">
        <v>3365801</v>
      </c>
      <c r="H14" s="1"/>
      <c r="I14" s="1">
        <f>SUM(Table4[[#This Row],[1980-1985]:[2010-2016]])</f>
        <v>6713722</v>
      </c>
      <c r="J14" s="13" t="s">
        <v>80</v>
      </c>
      <c r="K14" s="14">
        <v>104294</v>
      </c>
      <c r="L14" s="14">
        <v>1703</v>
      </c>
      <c r="M14" s="14">
        <v>35534</v>
      </c>
      <c r="N14" s="14">
        <v>91985</v>
      </c>
      <c r="O14" s="14"/>
      <c r="P14" s="14"/>
      <c r="Q14" s="14">
        <v>4388</v>
      </c>
      <c r="R14" s="14">
        <v>93627</v>
      </c>
      <c r="S14" s="14">
        <v>42342</v>
      </c>
      <c r="T14" s="14">
        <v>9204</v>
      </c>
      <c r="U14" s="14">
        <v>13764</v>
      </c>
      <c r="V14" s="14"/>
      <c r="W14" s="14">
        <v>77927</v>
      </c>
      <c r="X14" s="14">
        <v>48520</v>
      </c>
      <c r="Y14" s="14">
        <v>92970</v>
      </c>
      <c r="Z14" s="14">
        <v>200213</v>
      </c>
      <c r="AA14" s="14">
        <v>2901</v>
      </c>
      <c r="AB14" s="14">
        <v>2724</v>
      </c>
      <c r="AC14" s="14">
        <v>1281</v>
      </c>
      <c r="AD14" s="14">
        <v>1998</v>
      </c>
      <c r="AE14" s="14">
        <v>42502</v>
      </c>
      <c r="AF14" s="14"/>
      <c r="AG14" s="14">
        <v>63258</v>
      </c>
      <c r="AH14" s="14">
        <v>60028</v>
      </c>
      <c r="AI14" s="14">
        <v>823</v>
      </c>
      <c r="AJ14" s="14">
        <v>104187</v>
      </c>
      <c r="AK14" s="14"/>
      <c r="AL14" s="14">
        <v>3561</v>
      </c>
      <c r="AM14" s="14">
        <v>180785</v>
      </c>
      <c r="AN14" s="14"/>
      <c r="AO14" s="14">
        <v>122644</v>
      </c>
      <c r="AP14" s="14">
        <v>56126.52</v>
      </c>
    </row>
    <row r="15" spans="1:42" x14ac:dyDescent="0.25">
      <c r="A15" s="1" t="s">
        <v>13</v>
      </c>
      <c r="B15" s="1">
        <v>825</v>
      </c>
      <c r="C15" s="1">
        <v>1703</v>
      </c>
      <c r="D15" s="1">
        <v>3741</v>
      </c>
      <c r="E15" s="1">
        <v>6860</v>
      </c>
      <c r="F15" s="1">
        <v>11818</v>
      </c>
      <c r="G15" s="1">
        <v>25834</v>
      </c>
      <c r="H15" s="1">
        <v>83099.458799999993</v>
      </c>
      <c r="I15" s="1">
        <f>SUM(Table4[[#This Row],[1980-1985]:[2010-2016]])</f>
        <v>133880.45879999999</v>
      </c>
      <c r="J15" s="13" t="s">
        <v>79</v>
      </c>
      <c r="K15" s="14">
        <v>245180</v>
      </c>
      <c r="L15" s="14">
        <v>3741</v>
      </c>
      <c r="M15" s="14">
        <v>68211</v>
      </c>
      <c r="N15" s="14">
        <v>136619</v>
      </c>
      <c r="O15" s="14"/>
      <c r="P15" s="14"/>
      <c r="Q15" s="14">
        <v>9915</v>
      </c>
      <c r="R15" s="14">
        <v>211654</v>
      </c>
      <c r="S15" s="14">
        <v>95694</v>
      </c>
      <c r="T15" s="14">
        <v>20564</v>
      </c>
      <c r="U15" s="14">
        <v>25602</v>
      </c>
      <c r="V15" s="14"/>
      <c r="W15" s="14">
        <v>144631</v>
      </c>
      <c r="X15" s="14">
        <v>131875</v>
      </c>
      <c r="Y15" s="14">
        <v>129397</v>
      </c>
      <c r="Z15" s="14">
        <v>472153</v>
      </c>
      <c r="AA15" s="14">
        <v>5613</v>
      </c>
      <c r="AB15" s="14">
        <v>6255</v>
      </c>
      <c r="AC15" s="14">
        <v>2789</v>
      </c>
      <c r="AD15" s="14">
        <v>5330</v>
      </c>
      <c r="AE15" s="14">
        <v>80815</v>
      </c>
      <c r="AF15" s="14"/>
      <c r="AG15" s="14">
        <v>132466</v>
      </c>
      <c r="AH15" s="14">
        <v>145226</v>
      </c>
      <c r="AI15" s="14">
        <v>1603</v>
      </c>
      <c r="AJ15" s="14">
        <v>237521</v>
      </c>
      <c r="AK15" s="14"/>
      <c r="AL15" s="14">
        <v>7085</v>
      </c>
      <c r="AM15" s="14">
        <v>365357</v>
      </c>
      <c r="AN15" s="14"/>
      <c r="AO15" s="14">
        <v>233923</v>
      </c>
      <c r="AP15" s="14">
        <v>116768.76</v>
      </c>
    </row>
    <row r="16" spans="1:42" x14ac:dyDescent="0.25">
      <c r="A16" s="1" t="s">
        <v>14</v>
      </c>
      <c r="B16" s="1">
        <v>18861</v>
      </c>
      <c r="C16" s="1">
        <v>35534</v>
      </c>
      <c r="D16" s="1">
        <v>68211</v>
      </c>
      <c r="E16" s="1">
        <v>123625</v>
      </c>
      <c r="F16" s="1">
        <v>219237</v>
      </c>
      <c r="G16" s="1">
        <v>372202</v>
      </c>
      <c r="H16" s="1"/>
      <c r="I16" s="1">
        <f>SUM(Table4[[#This Row],[1980-1985]:[2010-2016]])</f>
        <v>837670</v>
      </c>
      <c r="J16" s="13" t="s">
        <v>78</v>
      </c>
      <c r="K16" s="14">
        <v>509517</v>
      </c>
      <c r="L16" s="14">
        <v>6860</v>
      </c>
      <c r="M16" s="14">
        <v>123625</v>
      </c>
      <c r="N16" s="14">
        <v>179893</v>
      </c>
      <c r="O16" s="14">
        <v>133530</v>
      </c>
      <c r="P16" s="14">
        <v>206132</v>
      </c>
      <c r="Q16" s="14">
        <v>24610</v>
      </c>
      <c r="R16" s="14">
        <v>464077</v>
      </c>
      <c r="S16" s="14">
        <v>199101</v>
      </c>
      <c r="T16" s="14">
        <v>48098</v>
      </c>
      <c r="U16" s="14">
        <v>54582</v>
      </c>
      <c r="V16" s="14">
        <v>383525</v>
      </c>
      <c r="W16" s="14">
        <v>258078</v>
      </c>
      <c r="X16" s="14">
        <v>312300</v>
      </c>
      <c r="Y16" s="14">
        <v>109549</v>
      </c>
      <c r="Z16" s="14">
        <v>989826</v>
      </c>
      <c r="AA16" s="14">
        <v>11373</v>
      </c>
      <c r="AB16" s="14">
        <v>13207</v>
      </c>
      <c r="AC16" s="14">
        <v>5928</v>
      </c>
      <c r="AD16" s="14">
        <v>11349</v>
      </c>
      <c r="AE16" s="14">
        <v>164424</v>
      </c>
      <c r="AF16" s="14">
        <v>12069</v>
      </c>
      <c r="AG16" s="14">
        <v>254415</v>
      </c>
      <c r="AH16" s="14">
        <v>324790</v>
      </c>
      <c r="AI16" s="14">
        <v>3475</v>
      </c>
      <c r="AJ16" s="14">
        <v>523386</v>
      </c>
      <c r="AK16" s="14"/>
      <c r="AL16" s="14">
        <v>17032</v>
      </c>
      <c r="AM16" s="14">
        <v>700600</v>
      </c>
      <c r="AN16" s="14">
        <v>47322</v>
      </c>
      <c r="AO16" s="14">
        <v>504798</v>
      </c>
      <c r="AP16" s="14">
        <v>219915.7</v>
      </c>
    </row>
    <row r="17" spans="1:42" x14ac:dyDescent="0.25">
      <c r="A17" s="1" t="s">
        <v>15</v>
      </c>
      <c r="B17" s="1">
        <v>1487</v>
      </c>
      <c r="C17" s="1">
        <v>2901</v>
      </c>
      <c r="D17" s="1">
        <v>5613</v>
      </c>
      <c r="E17" s="1">
        <v>11373</v>
      </c>
      <c r="F17" s="1">
        <v>19099</v>
      </c>
      <c r="G17" s="1">
        <v>34291</v>
      </c>
      <c r="H17" s="1"/>
      <c r="I17" s="1">
        <f>SUM(Table4[[#This Row],[1980-1985]:[2010-2016]])</f>
        <v>74764</v>
      </c>
      <c r="J17" s="13" t="s">
        <v>83</v>
      </c>
      <c r="K17" s="14">
        <v>793314</v>
      </c>
      <c r="L17" s="14">
        <v>11818</v>
      </c>
      <c r="M17" s="14">
        <v>219237</v>
      </c>
      <c r="N17" s="14">
        <v>323819</v>
      </c>
      <c r="O17" s="14">
        <v>195440</v>
      </c>
      <c r="P17" s="14">
        <v>376306</v>
      </c>
      <c r="Q17" s="14">
        <v>43968</v>
      </c>
      <c r="R17" s="14">
        <v>747699</v>
      </c>
      <c r="S17" s="14">
        <v>374873</v>
      </c>
      <c r="T17" s="14">
        <v>96512</v>
      </c>
      <c r="U17" s="14">
        <v>104564</v>
      </c>
      <c r="V17" s="14">
        <v>532846</v>
      </c>
      <c r="W17" s="14">
        <v>500923</v>
      </c>
      <c r="X17" s="14">
        <v>474883</v>
      </c>
      <c r="Y17" s="14">
        <v>239607</v>
      </c>
      <c r="Z17" s="14">
        <v>1581030</v>
      </c>
      <c r="AA17" s="14">
        <v>19099</v>
      </c>
      <c r="AB17" s="14">
        <v>25041</v>
      </c>
      <c r="AC17" s="14">
        <v>10857</v>
      </c>
      <c r="AD17" s="14">
        <v>22489</v>
      </c>
      <c r="AE17" s="14">
        <v>278557</v>
      </c>
      <c r="AF17" s="14">
        <v>24246</v>
      </c>
      <c r="AG17" s="14">
        <v>423465</v>
      </c>
      <c r="AH17" s="14">
        <v>502108</v>
      </c>
      <c r="AI17" s="14">
        <v>6595</v>
      </c>
      <c r="AJ17" s="14">
        <v>848186</v>
      </c>
      <c r="AK17" s="14"/>
      <c r="AL17" s="14">
        <v>35057</v>
      </c>
      <c r="AM17" s="14">
        <v>1066449</v>
      </c>
      <c r="AN17" s="14">
        <v>94025</v>
      </c>
      <c r="AO17" s="14">
        <v>866784</v>
      </c>
      <c r="AP17" s="14">
        <v>361326.56666666665</v>
      </c>
    </row>
    <row r="18" spans="1:42" x14ac:dyDescent="0.25">
      <c r="A18" s="1" t="s">
        <v>16</v>
      </c>
      <c r="B18" s="1">
        <v>1327</v>
      </c>
      <c r="C18" s="1">
        <v>2724</v>
      </c>
      <c r="D18" s="1">
        <v>6255</v>
      </c>
      <c r="E18" s="1">
        <v>13207</v>
      </c>
      <c r="F18" s="1">
        <v>25041</v>
      </c>
      <c r="G18" s="1">
        <v>49951</v>
      </c>
      <c r="H18" s="1">
        <v>130680.50659999999</v>
      </c>
      <c r="I18" s="1">
        <f>SUM(Table4[[#This Row],[1980-1985]:[2010-2016]])</f>
        <v>229185.50659999999</v>
      </c>
      <c r="J18" s="13" t="s">
        <v>81</v>
      </c>
      <c r="K18" s="14">
        <v>2714846.63</v>
      </c>
      <c r="L18" s="14">
        <v>83099.458799999993</v>
      </c>
      <c r="M18" s="14"/>
      <c r="N18" s="14">
        <v>1837591.3241000001</v>
      </c>
      <c r="O18" s="14"/>
      <c r="P18" s="14">
        <v>2487097.1926000002</v>
      </c>
      <c r="Q18" s="14"/>
      <c r="R18" s="14"/>
      <c r="S18" s="14"/>
      <c r="T18" s="14"/>
      <c r="U18" s="14"/>
      <c r="V18" s="14">
        <v>1100551.08</v>
      </c>
      <c r="W18" s="14">
        <v>4485081.2311000004</v>
      </c>
      <c r="X18" s="14"/>
      <c r="Y18" s="14">
        <v>2445263.94</v>
      </c>
      <c r="Z18" s="14"/>
      <c r="AA18" s="14"/>
      <c r="AB18" s="14">
        <v>130680.50659999999</v>
      </c>
      <c r="AC18" s="14"/>
      <c r="AD18" s="14"/>
      <c r="AE18" s="14">
        <v>1597493.1328</v>
      </c>
      <c r="AF18" s="14">
        <v>121277.6056</v>
      </c>
      <c r="AG18" s="14"/>
      <c r="AH18" s="14"/>
      <c r="AI18" s="14">
        <v>76623.530799999993</v>
      </c>
      <c r="AJ18" s="14">
        <v>5468183.5393000003</v>
      </c>
      <c r="AK18" s="14">
        <v>2594993.31</v>
      </c>
      <c r="AL18" s="14"/>
      <c r="AM18" s="14">
        <v>5288548.9970000004</v>
      </c>
      <c r="AN18" s="14">
        <v>827220.91</v>
      </c>
      <c r="AO18" s="14"/>
      <c r="AP18" s="14">
        <v>2083903.4925800001</v>
      </c>
    </row>
    <row r="19" spans="1:42" x14ac:dyDescent="0.25">
      <c r="A19" s="1" t="s">
        <v>17</v>
      </c>
      <c r="B19" s="1">
        <v>474</v>
      </c>
      <c r="C19" s="1">
        <v>1281</v>
      </c>
      <c r="D19" s="1">
        <v>2789</v>
      </c>
      <c r="E19" s="1">
        <v>5928</v>
      </c>
      <c r="F19" s="1">
        <v>10857</v>
      </c>
      <c r="G19" s="1">
        <v>19914</v>
      </c>
      <c r="H19" s="1"/>
      <c r="I19" s="1">
        <f>SUM(Table4[[#This Row],[1980-1985]:[2010-2016]])</f>
        <v>41243</v>
      </c>
    </row>
    <row r="20" spans="1:42" x14ac:dyDescent="0.25">
      <c r="A20" s="1" t="s">
        <v>18</v>
      </c>
      <c r="B20" s="1">
        <v>898</v>
      </c>
      <c r="C20" s="1">
        <v>1998</v>
      </c>
      <c r="D20" s="1">
        <v>5330</v>
      </c>
      <c r="E20" s="1">
        <v>11349</v>
      </c>
      <c r="F20" s="1">
        <v>22489</v>
      </c>
      <c r="G20" s="1">
        <v>41883</v>
      </c>
      <c r="H20" s="1"/>
      <c r="I20" s="1">
        <f>SUM(Table4[[#This Row],[1980-1985]:[2010-2016]])</f>
        <v>83947</v>
      </c>
    </row>
    <row r="21" spans="1:42" x14ac:dyDescent="0.25">
      <c r="A21" s="1" t="s">
        <v>19</v>
      </c>
      <c r="B21" s="1">
        <v>23720</v>
      </c>
      <c r="C21" s="1">
        <v>42502</v>
      </c>
      <c r="D21" s="1">
        <v>80815</v>
      </c>
      <c r="E21" s="1">
        <v>164424</v>
      </c>
      <c r="F21" s="1">
        <v>278557</v>
      </c>
      <c r="G21" s="1">
        <v>627646</v>
      </c>
      <c r="H21" s="1">
        <v>1597493.1328</v>
      </c>
      <c r="I21" s="1">
        <f>SUM(Table4[[#This Row],[1980-1985]:[2010-2016]])</f>
        <v>2815157.1327999998</v>
      </c>
    </row>
    <row r="22" spans="1:42" x14ac:dyDescent="0.25">
      <c r="A22" s="1" t="s">
        <v>20</v>
      </c>
      <c r="B22" s="1">
        <v>33261</v>
      </c>
      <c r="C22" s="1">
        <v>63258</v>
      </c>
      <c r="D22" s="1">
        <v>132466</v>
      </c>
      <c r="E22" s="1">
        <v>254415</v>
      </c>
      <c r="F22" s="1">
        <v>423465</v>
      </c>
      <c r="G22" s="1">
        <v>759544</v>
      </c>
      <c r="H22" s="1"/>
      <c r="I22" s="1">
        <f>SUM(Table4[[#This Row],[1980-1985]:[2010-2016]])</f>
        <v>1666409</v>
      </c>
    </row>
    <row r="23" spans="1:42" x14ac:dyDescent="0.25">
      <c r="A23" s="1" t="s">
        <v>21</v>
      </c>
      <c r="B23" s="1">
        <v>32143</v>
      </c>
      <c r="C23" s="1">
        <v>60028</v>
      </c>
      <c r="D23" s="1">
        <v>145226</v>
      </c>
      <c r="E23" s="1">
        <v>324790</v>
      </c>
      <c r="F23" s="1">
        <v>502108</v>
      </c>
      <c r="G23" s="1">
        <v>1004875</v>
      </c>
      <c r="H23" s="1"/>
      <c r="I23" s="1">
        <f>SUM(Table4[[#This Row],[1980-1985]:[2010-2016]])</f>
        <v>2069170</v>
      </c>
    </row>
    <row r="24" spans="1:42" x14ac:dyDescent="0.25">
      <c r="A24" s="1" t="s">
        <v>22</v>
      </c>
      <c r="B24" s="1">
        <v>363</v>
      </c>
      <c r="C24" s="1">
        <v>823</v>
      </c>
      <c r="D24" s="1">
        <v>1603</v>
      </c>
      <c r="E24" s="1">
        <v>3475</v>
      </c>
      <c r="F24" s="1">
        <v>6595</v>
      </c>
      <c r="G24" s="1">
        <v>16022</v>
      </c>
      <c r="H24" s="1">
        <v>76623.530799999993</v>
      </c>
      <c r="I24" s="1">
        <f>SUM(Table4[[#This Row],[1980-1985]:[2010-2016]])</f>
        <v>105504.53079999999</v>
      </c>
    </row>
    <row r="25" spans="1:42" x14ac:dyDescent="0.25">
      <c r="A25" s="1" t="s">
        <v>23</v>
      </c>
      <c r="B25" s="1">
        <v>53122</v>
      </c>
      <c r="C25" s="1">
        <v>104187</v>
      </c>
      <c r="D25" s="1">
        <v>237521</v>
      </c>
      <c r="E25" s="1">
        <v>523386</v>
      </c>
      <c r="F25" s="1">
        <v>848186</v>
      </c>
      <c r="G25" s="1">
        <v>1800247</v>
      </c>
      <c r="H25" s="1">
        <v>5468183.5393000003</v>
      </c>
      <c r="I25" s="1">
        <f>SUM(Table4[[#This Row],[1980-1985]:[2010-2016]])</f>
        <v>9034832.5393000003</v>
      </c>
    </row>
    <row r="26" spans="1:42" x14ac:dyDescent="0.25">
      <c r="A26" s="1" t="s">
        <v>24</v>
      </c>
      <c r="B26" s="1"/>
      <c r="C26" s="1"/>
      <c r="D26" s="1"/>
      <c r="E26" s="1"/>
      <c r="F26" s="1"/>
      <c r="G26" s="1">
        <v>780648</v>
      </c>
      <c r="H26" s="1">
        <v>2594993.31</v>
      </c>
      <c r="I26" s="1">
        <f>SUM(Table4[[#This Row],[1980-1985]:[2010-2016]])</f>
        <v>3375641.31</v>
      </c>
    </row>
    <row r="27" spans="1:42" x14ac:dyDescent="0.25">
      <c r="A27" s="1" t="s">
        <v>25</v>
      </c>
      <c r="B27" s="1">
        <v>1911</v>
      </c>
      <c r="C27" s="1">
        <v>3561</v>
      </c>
      <c r="D27" s="1">
        <v>7085</v>
      </c>
      <c r="E27" s="1">
        <v>17032</v>
      </c>
      <c r="F27" s="1">
        <v>35057</v>
      </c>
      <c r="G27" s="1">
        <v>61513</v>
      </c>
      <c r="H27" s="1"/>
      <c r="I27" s="1">
        <f>SUM(Table4[[#This Row],[1980-1985]:[2010-2016]])</f>
        <v>126159</v>
      </c>
    </row>
    <row r="28" spans="1:42" x14ac:dyDescent="0.25">
      <c r="A28" s="1" t="s">
        <v>26</v>
      </c>
      <c r="B28" s="1">
        <v>98272</v>
      </c>
      <c r="C28" s="1">
        <v>180785</v>
      </c>
      <c r="D28" s="1">
        <v>365357</v>
      </c>
      <c r="E28" s="1">
        <v>700600</v>
      </c>
      <c r="F28" s="1">
        <v>1066449</v>
      </c>
      <c r="G28" s="1">
        <v>1980594</v>
      </c>
      <c r="H28" s="1">
        <v>5288548.9970000004</v>
      </c>
      <c r="I28" s="1">
        <f>SUM(Table4[[#This Row],[1980-1985]:[2010-2016]])</f>
        <v>9680605.9970000014</v>
      </c>
    </row>
    <row r="29" spans="1:42" x14ac:dyDescent="0.25">
      <c r="A29" s="1" t="s">
        <v>27</v>
      </c>
      <c r="B29" s="1"/>
      <c r="C29" s="1"/>
      <c r="D29" s="1"/>
      <c r="E29" s="1">
        <v>47322</v>
      </c>
      <c r="F29" s="1">
        <v>94025</v>
      </c>
      <c r="G29" s="1">
        <v>239374</v>
      </c>
      <c r="H29" s="1">
        <v>827220.91</v>
      </c>
      <c r="I29" s="1">
        <f>SUM(Table4[[#This Row],[1980-1985]:[2010-2016]])</f>
        <v>1207941.9100000001</v>
      </c>
    </row>
    <row r="30" spans="1:42" x14ac:dyDescent="0.25">
      <c r="A30" s="1" t="s">
        <v>28</v>
      </c>
      <c r="B30" s="1">
        <v>67947</v>
      </c>
      <c r="C30" s="1">
        <v>122644</v>
      </c>
      <c r="D30" s="1">
        <v>233923</v>
      </c>
      <c r="E30" s="1">
        <v>504798</v>
      </c>
      <c r="F30" s="1">
        <v>866784</v>
      </c>
      <c r="G30" s="1">
        <v>1532232</v>
      </c>
      <c r="H30" s="1"/>
      <c r="I30" s="1">
        <f>SUM(Table4[[#This Row],[1980-1985]:[2010-2016]])</f>
        <v>3328328</v>
      </c>
    </row>
    <row r="31" spans="1:42" x14ac:dyDescent="0.25">
      <c r="A31" s="1" t="s">
        <v>29</v>
      </c>
      <c r="B31" s="1"/>
      <c r="C31" s="1"/>
      <c r="D31" s="1"/>
      <c r="E31" s="1">
        <v>206132</v>
      </c>
      <c r="F31" s="1">
        <v>376306</v>
      </c>
      <c r="G31" s="1">
        <v>816057</v>
      </c>
      <c r="H31" s="1">
        <v>2487097.1926000002</v>
      </c>
      <c r="I31" s="1">
        <f>SUM(Table4[[#This Row],[1980-1985]:[2010-2016]])</f>
        <v>3885592.1926000002</v>
      </c>
    </row>
    <row r="32" spans="1:42" x14ac:dyDescent="0.25">
      <c r="A32" s="1" t="s">
        <v>30</v>
      </c>
      <c r="B32" s="1"/>
      <c r="C32" s="1"/>
      <c r="D32" s="1"/>
      <c r="E32" s="1">
        <v>12069</v>
      </c>
      <c r="F32" s="1">
        <v>24246</v>
      </c>
      <c r="G32" s="1">
        <v>47917</v>
      </c>
      <c r="H32" s="1">
        <v>121277.6056</v>
      </c>
      <c r="I32" s="1">
        <f>SUM(Table4[[#This Row],[1980-1985]:[2010-2016]])</f>
        <v>205509.60560000001</v>
      </c>
    </row>
    <row r="33" spans="1:9" x14ac:dyDescent="0.25">
      <c r="A33" s="1"/>
      <c r="B33" s="1">
        <f>SUM(Table4[1980-1985])</f>
        <v>752955</v>
      </c>
      <c r="C33" s="1">
        <f>SUM(Table4[1985-1990])</f>
        <v>1403163</v>
      </c>
      <c r="D33" s="1">
        <f>SUM(Table4[1990-1995])</f>
        <v>2919219</v>
      </c>
      <c r="E33" s="1">
        <f>SUM(Table4[1995-2000])</f>
        <v>6597471</v>
      </c>
      <c r="F33" s="1">
        <f>SUM(Table4[2000-2005])</f>
        <v>10839797</v>
      </c>
      <c r="G33" s="1">
        <f>SUM(Table4[2005-2010])</f>
        <v>22046962</v>
      </c>
      <c r="H33" s="1">
        <f>SUM(Table4[2010-2016])</f>
        <v>31258552.388699997</v>
      </c>
      <c r="I33" s="21"/>
    </row>
    <row r="38" spans="1:9" x14ac:dyDescent="0.25">
      <c r="B38" t="s">
        <v>31</v>
      </c>
      <c r="C38" t="s">
        <v>102</v>
      </c>
    </row>
    <row r="39" spans="1:9" x14ac:dyDescent="0.25">
      <c r="B39" t="s">
        <v>85</v>
      </c>
      <c r="C39" s="22">
        <v>752955</v>
      </c>
    </row>
    <row r="40" spans="1:9" x14ac:dyDescent="0.25">
      <c r="B40" t="s">
        <v>88</v>
      </c>
      <c r="C40" s="22">
        <v>1403163</v>
      </c>
    </row>
    <row r="41" spans="1:9" x14ac:dyDescent="0.25">
      <c r="B41" t="s">
        <v>89</v>
      </c>
      <c r="C41" s="22">
        <v>2919219</v>
      </c>
    </row>
    <row r="42" spans="1:9" x14ac:dyDescent="0.25">
      <c r="B42" t="s">
        <v>90</v>
      </c>
      <c r="C42" s="22">
        <v>6597471</v>
      </c>
    </row>
    <row r="43" spans="1:9" x14ac:dyDescent="0.25">
      <c r="B43" t="s">
        <v>91</v>
      </c>
      <c r="C43" s="22">
        <v>10839797</v>
      </c>
    </row>
    <row r="44" spans="1:9" x14ac:dyDescent="0.25">
      <c r="B44" t="s">
        <v>92</v>
      </c>
      <c r="C44" s="22">
        <v>22046962</v>
      </c>
      <c r="H44" s="19"/>
    </row>
    <row r="45" spans="1:9" x14ac:dyDescent="0.25">
      <c r="B45" t="s">
        <v>93</v>
      </c>
      <c r="C45" s="22">
        <v>31258552.388699997</v>
      </c>
      <c r="H45" s="20"/>
    </row>
    <row r="46" spans="1:9" x14ac:dyDescent="0.25">
      <c r="H46" s="19"/>
    </row>
    <row r="47" spans="1:9" x14ac:dyDescent="0.25">
      <c r="H47" s="20"/>
    </row>
    <row r="48" spans="1:9" x14ac:dyDescent="0.25">
      <c r="H48" s="19"/>
    </row>
    <row r="49" spans="8:8" x14ac:dyDescent="0.25">
      <c r="H49" s="20"/>
    </row>
    <row r="50" spans="8:8" x14ac:dyDescent="0.25">
      <c r="H50" s="19"/>
    </row>
    <row r="51" spans="8:8" x14ac:dyDescent="0.25">
      <c r="H51" s="20"/>
    </row>
    <row r="52" spans="8:8" x14ac:dyDescent="0.25">
      <c r="H52" s="19"/>
    </row>
    <row r="53" spans="8:8" x14ac:dyDescent="0.25">
      <c r="H53" s="20"/>
    </row>
    <row r="54" spans="8:8" x14ac:dyDescent="0.25">
      <c r="H54" s="19"/>
    </row>
    <row r="55" spans="8:8" x14ac:dyDescent="0.25">
      <c r="H55" s="20"/>
    </row>
    <row r="56" spans="8:8" x14ac:dyDescent="0.25">
      <c r="H56" s="19"/>
    </row>
    <row r="57" spans="8:8" x14ac:dyDescent="0.25">
      <c r="H57" s="20"/>
    </row>
    <row r="58" spans="8:8" x14ac:dyDescent="0.25">
      <c r="H58" s="19"/>
    </row>
    <row r="59" spans="8:8" x14ac:dyDescent="0.25">
      <c r="H59" s="20"/>
    </row>
    <row r="60" spans="8:8" x14ac:dyDescent="0.25">
      <c r="H60" s="19"/>
    </row>
    <row r="61" spans="8:8" x14ac:dyDescent="0.25">
      <c r="H61" s="20"/>
    </row>
    <row r="62" spans="8:8" x14ac:dyDescent="0.25">
      <c r="H62" s="19"/>
    </row>
    <row r="63" spans="8:8" x14ac:dyDescent="0.25">
      <c r="H63" s="20"/>
    </row>
    <row r="64" spans="8:8" x14ac:dyDescent="0.25">
      <c r="H64" s="19"/>
    </row>
    <row r="65" spans="8:8" x14ac:dyDescent="0.25">
      <c r="H65" s="20"/>
    </row>
    <row r="66" spans="8:8" x14ac:dyDescent="0.25">
      <c r="H66" s="19"/>
    </row>
    <row r="67" spans="8:8" x14ac:dyDescent="0.25">
      <c r="H67" s="20"/>
    </row>
    <row r="68" spans="8:8" x14ac:dyDescent="0.25">
      <c r="H68" s="19"/>
    </row>
    <row r="69" spans="8:8" x14ac:dyDescent="0.25">
      <c r="H69" s="20"/>
    </row>
    <row r="70" spans="8:8" x14ac:dyDescent="0.25">
      <c r="H70" s="19"/>
    </row>
    <row r="71" spans="8:8" x14ac:dyDescent="0.25">
      <c r="H71" s="20"/>
    </row>
    <row r="72" spans="8:8" x14ac:dyDescent="0.25">
      <c r="H72" s="19"/>
    </row>
    <row r="73" spans="8:8" x14ac:dyDescent="0.25">
      <c r="H73" s="20"/>
    </row>
    <row r="74" spans="8:8" x14ac:dyDescent="0.25">
      <c r="H74" s="19"/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204"/>
  <sheetViews>
    <sheetView topLeftCell="A26" workbookViewId="0">
      <selection activeCell="C36" sqref="C36:E43"/>
    </sheetView>
  </sheetViews>
  <sheetFormatPr defaultRowHeight="15" x14ac:dyDescent="0.25"/>
  <cols>
    <col min="1" max="1" width="9.140625" style="2"/>
    <col min="2" max="8" width="11.85546875" style="2" customWidth="1"/>
    <col min="9" max="10" width="9.140625" style="2"/>
    <col min="11" max="11" width="20" style="2" customWidth="1"/>
    <col min="12" max="12" width="16.28515625" style="2" customWidth="1"/>
    <col min="13" max="13" width="17.7109375" style="2" customWidth="1"/>
    <col min="14" max="14" width="7" style="2" customWidth="1"/>
    <col min="15" max="15" width="7.7109375" style="2" customWidth="1"/>
    <col min="16" max="16" width="12.140625" style="2" customWidth="1"/>
    <col min="17" max="17" width="8.7109375" style="2" customWidth="1"/>
    <col min="18" max="18" width="6" style="2" customWidth="1"/>
    <col min="19" max="19" width="8" style="2" customWidth="1"/>
    <col min="20" max="20" width="8.140625" style="2" customWidth="1"/>
    <col min="21" max="21" width="16.85546875" style="2" customWidth="1"/>
    <col min="22" max="22" width="17" style="2" customWidth="1"/>
    <col min="23" max="23" width="10" style="2" customWidth="1"/>
    <col min="24" max="24" width="9.7109375" style="2" customWidth="1"/>
    <col min="25" max="25" width="8" style="2" customWidth="1"/>
    <col min="26" max="26" width="15.85546875" style="2" customWidth="1"/>
    <col min="27" max="27" width="12.140625" style="2" customWidth="1"/>
    <col min="28" max="28" width="8.5703125" style="2" customWidth="1"/>
    <col min="29" max="29" width="10.7109375" style="2" customWidth="1"/>
    <col min="30" max="30" width="8.85546875" style="2" customWidth="1"/>
    <col min="31" max="31" width="9.28515625" style="2" customWidth="1"/>
    <col min="32" max="32" width="7.140625" style="2" customWidth="1"/>
    <col min="33" max="33" width="11.140625" style="2" customWidth="1"/>
    <col min="34" max="34" width="8" style="2" customWidth="1"/>
    <col min="35" max="35" width="9.5703125" style="2" customWidth="1"/>
    <col min="36" max="36" width="6.85546875" style="2" customWidth="1"/>
    <col min="37" max="37" width="11" style="2" customWidth="1"/>
    <col min="38" max="38" width="10" style="2" customWidth="1"/>
    <col min="39" max="39" width="7.28515625" style="2" customWidth="1"/>
    <col min="40" max="40" width="13.28515625" style="2" customWidth="1"/>
    <col min="41" max="41" width="12" style="2" customWidth="1"/>
    <col min="42" max="42" width="12.140625" style="2" customWidth="1"/>
    <col min="43" max="43" width="12.7109375" style="2" customWidth="1"/>
    <col min="44" max="73" width="18" style="2" bestFit="1" customWidth="1"/>
    <col min="74" max="75" width="18" style="2" customWidth="1"/>
    <col min="76" max="104" width="18" style="2" bestFit="1" customWidth="1"/>
    <col min="105" max="107" width="18" style="2" customWidth="1"/>
    <col min="108" max="135" width="18" style="2" bestFit="1" customWidth="1"/>
    <col min="136" max="139" width="18" style="2" customWidth="1"/>
    <col min="140" max="166" width="18" style="2" bestFit="1" customWidth="1"/>
    <col min="167" max="171" width="18" style="2" customWidth="1"/>
    <col min="172" max="197" width="18" style="2" bestFit="1" customWidth="1"/>
    <col min="198" max="203" width="18" style="2" customWidth="1"/>
    <col min="204" max="227" width="18" style="2" bestFit="1" customWidth="1"/>
    <col min="228" max="234" width="23" style="2" bestFit="1" customWidth="1"/>
    <col min="235" max="16384" width="9.140625" style="2"/>
  </cols>
  <sheetData>
    <row r="1" spans="1:234" x14ac:dyDescent="0.25">
      <c r="A1" t="s">
        <v>31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s="2" t="s">
        <v>99</v>
      </c>
    </row>
    <row r="2" spans="1:234" x14ac:dyDescent="0.25">
      <c r="A2" s="1" t="s">
        <v>13</v>
      </c>
      <c r="B2" s="1"/>
      <c r="C2" s="1"/>
      <c r="D2" s="1">
        <v>-735.6</v>
      </c>
      <c r="E2" s="1">
        <v>-1001.6</v>
      </c>
      <c r="F2" s="1">
        <v>-332.9</v>
      </c>
      <c r="G2" s="1">
        <v>-3200</v>
      </c>
      <c r="H2" s="1">
        <v>-4950</v>
      </c>
      <c r="I2" s="1">
        <f>SUM(Table6[[#This Row],[1980-1985]:[2010-2016]])</f>
        <v>-10220.1</v>
      </c>
    </row>
    <row r="3" spans="1:234" x14ac:dyDescent="0.25">
      <c r="A3" s="1" t="s">
        <v>14</v>
      </c>
      <c r="B3" s="1">
        <v>188.7</v>
      </c>
      <c r="C3" s="1">
        <v>227.4</v>
      </c>
      <c r="D3" s="1">
        <v>-395.2</v>
      </c>
      <c r="E3" s="1">
        <v>542.9</v>
      </c>
      <c r="F3" s="1">
        <v>2956.9</v>
      </c>
      <c r="G3" s="1">
        <v>-8780</v>
      </c>
      <c r="H3" s="1">
        <v>-3180</v>
      </c>
      <c r="I3" s="1">
        <f>SUM(Table6[[#This Row],[1980-1985]:[2010-2016]])</f>
        <v>-8439.2999999999993</v>
      </c>
    </row>
    <row r="4" spans="1:234" x14ac:dyDescent="0.25">
      <c r="A4" s="1" t="s">
        <v>1</v>
      </c>
      <c r="B4" s="1">
        <v>-259.8</v>
      </c>
      <c r="C4" s="1">
        <v>-189.2</v>
      </c>
      <c r="D4" s="1">
        <v>363.6</v>
      </c>
      <c r="E4" s="1">
        <v>4510.3999999999996</v>
      </c>
      <c r="F4" s="1">
        <v>2880.5</v>
      </c>
      <c r="G4" s="1">
        <v>1313</v>
      </c>
      <c r="H4" s="1">
        <v>31590</v>
      </c>
      <c r="I4" s="1">
        <f>SUM(Table6[[#This Row],[1980-1985]:[2010-2016]])</f>
        <v>40208.5</v>
      </c>
    </row>
    <row r="5" spans="1:234" x14ac:dyDescent="0.25">
      <c r="A5" s="1" t="s">
        <v>2</v>
      </c>
      <c r="B5" s="1">
        <v>-205.2</v>
      </c>
      <c r="C5" s="1">
        <v>-88</v>
      </c>
      <c r="D5" s="1">
        <v>372.3</v>
      </c>
      <c r="E5" s="1">
        <v>1962.5</v>
      </c>
      <c r="F5" s="1">
        <v>6438.1</v>
      </c>
      <c r="G5" s="1">
        <v>-203</v>
      </c>
      <c r="H5" s="1">
        <v>3610</v>
      </c>
      <c r="I5" s="1">
        <f>SUM(Table6[[#This Row],[1980-1985]:[2010-2016]])</f>
        <v>11886.7</v>
      </c>
    </row>
    <row r="6" spans="1:234" x14ac:dyDescent="0.25">
      <c r="A6" s="1" t="s">
        <v>3</v>
      </c>
      <c r="B6" s="1">
        <v>131.1</v>
      </c>
      <c r="C6" s="1">
        <v>245.3</v>
      </c>
      <c r="D6" s="1">
        <v>-1441.3</v>
      </c>
      <c r="E6" s="1">
        <v>-1398.5</v>
      </c>
      <c r="F6" s="1">
        <v>-3615.9</v>
      </c>
      <c r="G6" s="1">
        <v>-13756</v>
      </c>
      <c r="H6" s="1">
        <v>-13630</v>
      </c>
      <c r="I6" s="1">
        <f>SUM(Table6[[#This Row],[1980-1985]:[2010-2016]])</f>
        <v>-33465.300000000003</v>
      </c>
    </row>
    <row r="7" spans="1:234" x14ac:dyDescent="0.25">
      <c r="A7" s="1" t="s">
        <v>4</v>
      </c>
      <c r="B7" s="1"/>
      <c r="C7" s="1"/>
      <c r="D7" s="1"/>
      <c r="E7" s="1"/>
      <c r="F7" s="1"/>
      <c r="G7" s="1">
        <v>887</v>
      </c>
      <c r="H7" s="1">
        <v>-13880</v>
      </c>
      <c r="I7" s="1">
        <f>SUM(Table6[[#This Row],[1980-1985]:[2010-2016]])</f>
        <v>-12993</v>
      </c>
    </row>
    <row r="8" spans="1:234" x14ac:dyDescent="0.25">
      <c r="A8" s="1" t="s">
        <v>5</v>
      </c>
      <c r="B8" s="1">
        <v>-194.5</v>
      </c>
      <c r="C8" s="1">
        <v>301.39999999999998</v>
      </c>
      <c r="D8" s="1">
        <v>607.4</v>
      </c>
      <c r="E8" s="1">
        <v>4333.8999999999996</v>
      </c>
      <c r="F8" s="1">
        <v>6679.7</v>
      </c>
      <c r="G8" s="1">
        <v>-13489</v>
      </c>
      <c r="H8" s="1">
        <v>-12160</v>
      </c>
      <c r="I8" s="1">
        <f>SUM(Table6[[#This Row],[1980-1985]:[2010-2016]])</f>
        <v>-13921.1</v>
      </c>
    </row>
    <row r="9" spans="1:234" x14ac:dyDescent="0.25">
      <c r="A9" s="1" t="s">
        <v>6</v>
      </c>
      <c r="B9" s="1">
        <v>-22.9</v>
      </c>
      <c r="C9" s="1">
        <v>835.1</v>
      </c>
      <c r="D9" s="1">
        <v>1894.9</v>
      </c>
      <c r="E9" s="1">
        <v>7822.9</v>
      </c>
      <c r="F9" s="1">
        <v>17223.7</v>
      </c>
      <c r="G9" s="1">
        <v>18282</v>
      </c>
      <c r="H9" s="1">
        <v>50450</v>
      </c>
      <c r="I9" s="1">
        <f>SUM(Table6[[#This Row],[1980-1985]:[2010-2016]])</f>
        <v>96485.7</v>
      </c>
    </row>
    <row r="10" spans="1:234" x14ac:dyDescent="0.25">
      <c r="A10" s="1" t="s">
        <v>7</v>
      </c>
      <c r="B10" s="1">
        <v>-790.5</v>
      </c>
      <c r="C10" s="1">
        <v>1.4</v>
      </c>
      <c r="D10" s="1">
        <v>597.79999999999995</v>
      </c>
      <c r="E10" s="1">
        <v>8198.6</v>
      </c>
      <c r="F10" s="1">
        <v>8415.1</v>
      </c>
      <c r="G10" s="1">
        <v>-18013</v>
      </c>
      <c r="H10" s="1">
        <v>-42050</v>
      </c>
      <c r="I10" s="1">
        <f>SUM(Table6[[#This Row],[1980-1985]:[2010-2016]])</f>
        <v>-43640.6</v>
      </c>
    </row>
    <row r="11" spans="1:234" x14ac:dyDescent="0.25">
      <c r="A11" s="1" t="s">
        <v>8</v>
      </c>
      <c r="B11" s="1">
        <v>-337.3</v>
      </c>
      <c r="C11" s="1">
        <v>858.1</v>
      </c>
      <c r="D11" s="1">
        <v>903.9</v>
      </c>
      <c r="E11" s="1">
        <v>12974.3</v>
      </c>
      <c r="F11" s="1">
        <v>43736.6</v>
      </c>
      <c r="G11" s="1">
        <v>-9341</v>
      </c>
      <c r="H11" s="1">
        <v>21370</v>
      </c>
      <c r="I11" s="1">
        <f>SUM(Table6[[#This Row],[1980-1985]:[2010-2016]])</f>
        <v>70164.600000000006</v>
      </c>
      <c r="K11"/>
      <c r="L11" s="12" t="s">
        <v>76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</row>
    <row r="12" spans="1:234" x14ac:dyDescent="0.25">
      <c r="A12" s="1" t="s">
        <v>0</v>
      </c>
      <c r="B12" s="1">
        <v>-59</v>
      </c>
      <c r="C12" s="1">
        <v>364.5</v>
      </c>
      <c r="D12" s="1">
        <v>946.5</v>
      </c>
      <c r="E12" s="1">
        <v>8558.6</v>
      </c>
      <c r="F12" s="1">
        <v>15050.4</v>
      </c>
      <c r="G12" s="1">
        <v>-5132</v>
      </c>
      <c r="H12" s="1">
        <v>14470</v>
      </c>
      <c r="I12" s="1">
        <f>SUM(Table6[[#This Row],[1980-1985]:[2010-2016]])</f>
        <v>34199</v>
      </c>
      <c r="K12" s="12" t="s">
        <v>84</v>
      </c>
      <c r="L12" t="s">
        <v>0</v>
      </c>
      <c r="M12" t="s">
        <v>13</v>
      </c>
      <c r="N12" t="s">
        <v>14</v>
      </c>
      <c r="O12" t="s">
        <v>9</v>
      </c>
      <c r="P12" t="s">
        <v>10</v>
      </c>
      <c r="Q12" t="s">
        <v>29</v>
      </c>
      <c r="R12" t="s">
        <v>11</v>
      </c>
      <c r="S12" t="s">
        <v>12</v>
      </c>
      <c r="T12" t="s">
        <v>1</v>
      </c>
      <c r="U12" t="s">
        <v>2</v>
      </c>
      <c r="V12" t="s">
        <v>3</v>
      </c>
      <c r="W12" t="s">
        <v>4</v>
      </c>
      <c r="X12" t="s">
        <v>5</v>
      </c>
      <c r="Y12" t="s">
        <v>6</v>
      </c>
      <c r="Z12" t="s">
        <v>7</v>
      </c>
      <c r="AA12" t="s">
        <v>8</v>
      </c>
      <c r="AB12" t="s">
        <v>15</v>
      </c>
      <c r="AC12" t="s">
        <v>16</v>
      </c>
      <c r="AD12" t="s">
        <v>17</v>
      </c>
      <c r="AE12" t="s">
        <v>18</v>
      </c>
      <c r="AF12" t="s">
        <v>19</v>
      </c>
      <c r="AG12" t="s">
        <v>30</v>
      </c>
      <c r="AH12" t="s">
        <v>20</v>
      </c>
      <c r="AI12" t="s">
        <v>21</v>
      </c>
      <c r="AJ12" t="s">
        <v>22</v>
      </c>
      <c r="AK12" t="s">
        <v>23</v>
      </c>
      <c r="AL12" t="s">
        <v>24</v>
      </c>
      <c r="AM12" t="s">
        <v>25</v>
      </c>
      <c r="AN12" t="s">
        <v>26</v>
      </c>
      <c r="AO12" t="s">
        <v>27</v>
      </c>
      <c r="AP12" t="s">
        <v>28</v>
      </c>
      <c r="AQ12" t="s">
        <v>75</v>
      </c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</row>
    <row r="13" spans="1:234" x14ac:dyDescent="0.25">
      <c r="A13" s="1" t="s">
        <v>9</v>
      </c>
      <c r="B13" s="1">
        <v>-193.1</v>
      </c>
      <c r="C13" s="1">
        <v>-1077.2</v>
      </c>
      <c r="D13" s="1">
        <v>3680</v>
      </c>
      <c r="E13" s="1">
        <v>6459</v>
      </c>
      <c r="F13" s="1">
        <v>7790.6</v>
      </c>
      <c r="G13" s="1">
        <v>-14634</v>
      </c>
      <c r="H13" s="1">
        <v>-30150</v>
      </c>
      <c r="I13" s="1">
        <f>SUM(Table6[[#This Row],[1980-1985]:[2010-2016]])</f>
        <v>-28124.699999999997</v>
      </c>
      <c r="K13" s="13" t="s">
        <v>77</v>
      </c>
      <c r="L13" s="14">
        <v>-59</v>
      </c>
      <c r="M13" s="14"/>
      <c r="N13" s="14">
        <v>188.7</v>
      </c>
      <c r="O13" s="14">
        <v>-193.1</v>
      </c>
      <c r="P13" s="14"/>
      <c r="Q13" s="14"/>
      <c r="R13" s="14"/>
      <c r="S13" s="14">
        <v>-515.9</v>
      </c>
      <c r="T13" s="14">
        <v>-259.8</v>
      </c>
      <c r="U13" s="14">
        <v>-205.2</v>
      </c>
      <c r="V13" s="14">
        <v>131.1</v>
      </c>
      <c r="W13" s="14"/>
      <c r="X13" s="14">
        <v>-194.5</v>
      </c>
      <c r="Y13" s="14">
        <v>-22.9</v>
      </c>
      <c r="Z13" s="14">
        <v>-790.5</v>
      </c>
      <c r="AA13" s="14">
        <v>-337.3</v>
      </c>
      <c r="AB13" s="14">
        <v>-133.30000000000001</v>
      </c>
      <c r="AC13" s="14">
        <v>-105.7</v>
      </c>
      <c r="AD13" s="14"/>
      <c r="AE13" s="14">
        <v>-99.6</v>
      </c>
      <c r="AF13" s="14">
        <v>-12.4</v>
      </c>
      <c r="AG13" s="14"/>
      <c r="AH13" s="14">
        <v>-233</v>
      </c>
      <c r="AI13" s="14">
        <v>-122.6</v>
      </c>
      <c r="AJ13" s="14">
        <v>-52.8</v>
      </c>
      <c r="AK13" s="14">
        <v>-380.5</v>
      </c>
      <c r="AL13" s="14"/>
      <c r="AM13" s="14">
        <v>-98.4</v>
      </c>
      <c r="AN13" s="14">
        <v>-475.7</v>
      </c>
      <c r="AO13" s="14"/>
      <c r="AP13" s="14">
        <v>931.3</v>
      </c>
      <c r="AQ13" s="14">
        <v>-138.2318181818182</v>
      </c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</row>
    <row r="14" spans="1:234" x14ac:dyDescent="0.25">
      <c r="A14" s="1" t="s">
        <v>10</v>
      </c>
      <c r="B14" s="1"/>
      <c r="C14" s="1"/>
      <c r="D14" s="1"/>
      <c r="E14" s="1"/>
      <c r="F14" s="1">
        <v>875.3</v>
      </c>
      <c r="G14" s="1">
        <v>-9827</v>
      </c>
      <c r="H14" s="1">
        <v>-15010</v>
      </c>
      <c r="I14" s="1">
        <f>SUM(Table6[[#This Row],[1980-1985]:[2010-2016]])</f>
        <v>-23961.7</v>
      </c>
      <c r="K14" s="13" t="s">
        <v>80</v>
      </c>
      <c r="L14" s="14">
        <v>364.5</v>
      </c>
      <c r="M14" s="14"/>
      <c r="N14" s="14">
        <v>227.4</v>
      </c>
      <c r="O14" s="14">
        <v>-1077.2</v>
      </c>
      <c r="P14" s="14"/>
      <c r="Q14" s="14"/>
      <c r="R14" s="14"/>
      <c r="S14" s="14">
        <v>917.7</v>
      </c>
      <c r="T14" s="14">
        <v>-189.2</v>
      </c>
      <c r="U14" s="14">
        <v>-88</v>
      </c>
      <c r="V14" s="14">
        <v>245.3</v>
      </c>
      <c r="W14" s="14"/>
      <c r="X14" s="14">
        <v>301.39999999999998</v>
      </c>
      <c r="Y14" s="14">
        <v>835.1</v>
      </c>
      <c r="Z14" s="14">
        <v>1.4</v>
      </c>
      <c r="AA14" s="14">
        <v>858.1</v>
      </c>
      <c r="AB14" s="14">
        <v>-290.39999999999998</v>
      </c>
      <c r="AC14" s="14">
        <v>-299.7</v>
      </c>
      <c r="AD14" s="14">
        <v>-75.5</v>
      </c>
      <c r="AE14" s="14">
        <v>-113</v>
      </c>
      <c r="AF14" s="14">
        <v>367.9</v>
      </c>
      <c r="AG14" s="14"/>
      <c r="AH14" s="14">
        <v>596.79999999999995</v>
      </c>
      <c r="AI14" s="14">
        <v>666.7</v>
      </c>
      <c r="AJ14" s="14">
        <v>-129.1</v>
      </c>
      <c r="AK14" s="14">
        <v>744.6</v>
      </c>
      <c r="AL14" s="14"/>
      <c r="AM14" s="14">
        <v>-125.3</v>
      </c>
      <c r="AN14" s="14">
        <v>1385.9</v>
      </c>
      <c r="AO14" s="14"/>
      <c r="AP14" s="14">
        <v>834.3</v>
      </c>
      <c r="AQ14" s="14">
        <v>259.11739130434779</v>
      </c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</row>
    <row r="15" spans="1:234" x14ac:dyDescent="0.25">
      <c r="A15" s="1" t="s">
        <v>11</v>
      </c>
      <c r="B15" s="1"/>
      <c r="C15" s="1"/>
      <c r="D15" s="1">
        <v>-95.6</v>
      </c>
      <c r="E15" s="1">
        <v>309.39999999999998</v>
      </c>
      <c r="F15" s="1">
        <v>884.5</v>
      </c>
      <c r="G15" s="1">
        <v>-255</v>
      </c>
      <c r="H15" s="1">
        <v>-850</v>
      </c>
      <c r="I15" s="1">
        <f>SUM(Table6[[#This Row],[1980-1985]:[2010-2016]])</f>
        <v>-6.7000000000000455</v>
      </c>
      <c r="K15" s="13" t="s">
        <v>79</v>
      </c>
      <c r="L15" s="14">
        <v>946.5</v>
      </c>
      <c r="M15" s="14">
        <v>-735.6</v>
      </c>
      <c r="N15" s="14">
        <v>-395.2</v>
      </c>
      <c r="O15" s="14">
        <v>3680</v>
      </c>
      <c r="P15" s="14"/>
      <c r="Q15" s="14"/>
      <c r="R15" s="14">
        <v>-95.6</v>
      </c>
      <c r="S15" s="14">
        <v>1219.7</v>
      </c>
      <c r="T15" s="14">
        <v>363.6</v>
      </c>
      <c r="U15" s="14">
        <v>372.3</v>
      </c>
      <c r="V15" s="14">
        <v>-1441.3</v>
      </c>
      <c r="W15" s="14"/>
      <c r="X15" s="14">
        <v>607.4</v>
      </c>
      <c r="Y15" s="14">
        <v>1894.9</v>
      </c>
      <c r="Z15" s="14">
        <v>597.79999999999995</v>
      </c>
      <c r="AA15" s="14">
        <v>903.9</v>
      </c>
      <c r="AB15" s="14">
        <v>-468.6</v>
      </c>
      <c r="AC15" s="14">
        <v>-187.2</v>
      </c>
      <c r="AD15" s="14">
        <v>-442.1</v>
      </c>
      <c r="AE15" s="14">
        <v>149.9</v>
      </c>
      <c r="AF15" s="14">
        <v>1077</v>
      </c>
      <c r="AG15" s="14"/>
      <c r="AH15" s="14">
        <v>3169.4</v>
      </c>
      <c r="AI15" s="14">
        <v>618.5</v>
      </c>
      <c r="AJ15" s="14">
        <v>-144.1</v>
      </c>
      <c r="AK15" s="14">
        <v>5091</v>
      </c>
      <c r="AL15" s="14"/>
      <c r="AM15" s="14">
        <v>-103.1</v>
      </c>
      <c r="AN15" s="14">
        <v>6118.8</v>
      </c>
      <c r="AO15" s="14"/>
      <c r="AP15" s="14">
        <v>3853</v>
      </c>
      <c r="AQ15" s="14">
        <v>1066.0359999999998</v>
      </c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</row>
    <row r="16" spans="1:234" x14ac:dyDescent="0.25">
      <c r="A16" s="1" t="s">
        <v>12</v>
      </c>
      <c r="B16" s="1">
        <v>-515.9</v>
      </c>
      <c r="C16" s="1">
        <v>917.7</v>
      </c>
      <c r="D16" s="1">
        <v>1219.7</v>
      </c>
      <c r="E16" s="1">
        <v>8311.4</v>
      </c>
      <c r="F16" s="1">
        <v>24342.7</v>
      </c>
      <c r="G16" s="1">
        <v>3519</v>
      </c>
      <c r="H16" s="1">
        <v>-22120</v>
      </c>
      <c r="I16" s="1">
        <f>SUM(Table6[[#This Row],[1980-1985]:[2010-2016]])</f>
        <v>15674.599999999999</v>
      </c>
      <c r="K16" s="13" t="s">
        <v>78</v>
      </c>
      <c r="L16" s="14">
        <v>8558.6</v>
      </c>
      <c r="M16" s="14">
        <v>-1001.6</v>
      </c>
      <c r="N16" s="14">
        <v>542.9</v>
      </c>
      <c r="O16" s="14">
        <v>6459</v>
      </c>
      <c r="P16" s="14"/>
      <c r="Q16" s="14">
        <v>-3913.6</v>
      </c>
      <c r="R16" s="14">
        <v>309.39999999999998</v>
      </c>
      <c r="S16" s="14">
        <v>8311.4</v>
      </c>
      <c r="T16" s="14">
        <v>4510.3999999999996</v>
      </c>
      <c r="U16" s="14">
        <v>1962.5</v>
      </c>
      <c r="V16" s="14">
        <v>-1398.5</v>
      </c>
      <c r="W16" s="14"/>
      <c r="X16" s="14">
        <v>4333.8999999999996</v>
      </c>
      <c r="Y16" s="14">
        <v>7822.9</v>
      </c>
      <c r="Z16" s="14">
        <v>8198.6</v>
      </c>
      <c r="AA16" s="14">
        <v>12974.3</v>
      </c>
      <c r="AB16" s="14">
        <v>-59.2</v>
      </c>
      <c r="AC16" s="14">
        <v>-261.8</v>
      </c>
      <c r="AD16" s="14">
        <v>-272.5</v>
      </c>
      <c r="AE16" s="14">
        <v>115.9</v>
      </c>
      <c r="AF16" s="14">
        <v>7380.8</v>
      </c>
      <c r="AG16" s="14"/>
      <c r="AH16" s="14">
        <v>8647.2999999999993</v>
      </c>
      <c r="AI16" s="14">
        <v>8785.9</v>
      </c>
      <c r="AJ16" s="14">
        <v>-87.1</v>
      </c>
      <c r="AK16" s="14">
        <v>10615.7</v>
      </c>
      <c r="AL16" s="14"/>
      <c r="AM16" s="14">
        <v>-364.3</v>
      </c>
      <c r="AN16" s="14">
        <v>26092.5</v>
      </c>
      <c r="AO16" s="14"/>
      <c r="AP16" s="14">
        <v>19823</v>
      </c>
      <c r="AQ16" s="14">
        <v>5311.0153846153835</v>
      </c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</row>
    <row r="17" spans="1:203" x14ac:dyDescent="0.25">
      <c r="A17" s="1" t="s">
        <v>15</v>
      </c>
      <c r="B17" s="1">
        <v>-133.30000000000001</v>
      </c>
      <c r="C17" s="1">
        <v>-290.39999999999998</v>
      </c>
      <c r="D17" s="1">
        <v>-468.6</v>
      </c>
      <c r="E17" s="1">
        <v>-59.2</v>
      </c>
      <c r="F17" s="1">
        <v>286.5</v>
      </c>
      <c r="G17" s="1">
        <v>-4178</v>
      </c>
      <c r="H17" s="1">
        <v>-6720</v>
      </c>
      <c r="I17" s="1">
        <f>SUM(Table6[[#This Row],[1980-1985]:[2010-2016]])</f>
        <v>-11563</v>
      </c>
      <c r="K17" s="13" t="s">
        <v>83</v>
      </c>
      <c r="L17" s="14">
        <v>15050.4</v>
      </c>
      <c r="M17" s="14">
        <v>-332.9</v>
      </c>
      <c r="N17" s="14">
        <v>2956.9</v>
      </c>
      <c r="O17" s="14">
        <v>7790.6</v>
      </c>
      <c r="P17" s="14">
        <v>875.3</v>
      </c>
      <c r="Q17" s="14">
        <v>-10021.1</v>
      </c>
      <c r="R17" s="14">
        <v>884.5</v>
      </c>
      <c r="S17" s="14">
        <v>24342.7</v>
      </c>
      <c r="T17" s="14">
        <v>2880.5</v>
      </c>
      <c r="U17" s="14">
        <v>6438.1</v>
      </c>
      <c r="V17" s="14">
        <v>-3615.9</v>
      </c>
      <c r="W17" s="14"/>
      <c r="X17" s="14">
        <v>6679.7</v>
      </c>
      <c r="Y17" s="14">
        <v>17223.7</v>
      </c>
      <c r="Z17" s="14">
        <v>8415.1</v>
      </c>
      <c r="AA17" s="14">
        <v>43736.6</v>
      </c>
      <c r="AB17" s="14">
        <v>286.5</v>
      </c>
      <c r="AC17" s="14">
        <v>-138.1</v>
      </c>
      <c r="AD17" s="14">
        <v>372.8</v>
      </c>
      <c r="AE17" s="14">
        <v>-639.5</v>
      </c>
      <c r="AF17" s="14">
        <v>8275.4</v>
      </c>
      <c r="AG17" s="14"/>
      <c r="AH17" s="14">
        <v>16825.2</v>
      </c>
      <c r="AI17" s="14">
        <v>15930.3</v>
      </c>
      <c r="AJ17" s="14">
        <v>-769.2</v>
      </c>
      <c r="AK17" s="14">
        <v>13293.7</v>
      </c>
      <c r="AL17" s="14"/>
      <c r="AM17" s="14">
        <v>-377.4</v>
      </c>
      <c r="AN17" s="14">
        <v>43164.1</v>
      </c>
      <c r="AO17" s="14">
        <v>2257</v>
      </c>
      <c r="AP17" s="14">
        <v>42449.4</v>
      </c>
      <c r="AQ17" s="14">
        <v>9436.942857142858</v>
      </c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</row>
    <row r="18" spans="1:203" x14ac:dyDescent="0.25">
      <c r="A18" s="1" t="s">
        <v>16</v>
      </c>
      <c r="B18" s="1">
        <v>-105.7</v>
      </c>
      <c r="C18" s="1">
        <v>-299.7</v>
      </c>
      <c r="D18" s="1">
        <v>-187.2</v>
      </c>
      <c r="E18" s="1">
        <v>-261.8</v>
      </c>
      <c r="F18" s="1">
        <v>-138.1</v>
      </c>
      <c r="G18" s="1">
        <v>-885</v>
      </c>
      <c r="H18" s="1">
        <v>-3330</v>
      </c>
      <c r="I18" s="1">
        <f>SUM(Table6[[#This Row],[1980-1985]:[2010-2016]])</f>
        <v>-5207.5</v>
      </c>
      <c r="K18" s="13" t="s">
        <v>82</v>
      </c>
      <c r="L18" s="14">
        <v>-5132</v>
      </c>
      <c r="M18" s="14">
        <v>-3200</v>
      </c>
      <c r="N18" s="14">
        <v>-8780</v>
      </c>
      <c r="O18" s="14">
        <v>-14634</v>
      </c>
      <c r="P18" s="14">
        <v>-9827</v>
      </c>
      <c r="Q18" s="14">
        <v>-25048</v>
      </c>
      <c r="R18" s="14">
        <v>-255</v>
      </c>
      <c r="S18" s="14">
        <v>3519</v>
      </c>
      <c r="T18" s="14">
        <v>1313</v>
      </c>
      <c r="U18" s="14">
        <v>-203</v>
      </c>
      <c r="V18" s="14">
        <v>-13756</v>
      </c>
      <c r="W18" s="14">
        <v>887</v>
      </c>
      <c r="X18" s="14">
        <v>-13489</v>
      </c>
      <c r="Y18" s="14">
        <v>18282</v>
      </c>
      <c r="Z18" s="14">
        <v>-18013</v>
      </c>
      <c r="AA18" s="14">
        <v>-9341</v>
      </c>
      <c r="AB18" s="14">
        <v>-4178</v>
      </c>
      <c r="AC18" s="14">
        <v>-885</v>
      </c>
      <c r="AD18" s="14">
        <v>-1049</v>
      </c>
      <c r="AE18" s="14">
        <v>-2161</v>
      </c>
      <c r="AF18" s="14">
        <v>-11546</v>
      </c>
      <c r="AG18" s="14">
        <v>451</v>
      </c>
      <c r="AH18" s="14">
        <v>15924</v>
      </c>
      <c r="AI18" s="14">
        <v>3949</v>
      </c>
      <c r="AJ18" s="14">
        <v>-1677</v>
      </c>
      <c r="AK18" s="14">
        <v>-7064</v>
      </c>
      <c r="AL18" s="14"/>
      <c r="AM18" s="14">
        <v>-4748</v>
      </c>
      <c r="AN18" s="14">
        <v>-15992</v>
      </c>
      <c r="AO18" s="14">
        <v>-529</v>
      </c>
      <c r="AP18" s="14">
        <v>60161</v>
      </c>
      <c r="AQ18" s="14">
        <v>-2234.0333333333333</v>
      </c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</row>
    <row r="19" spans="1:203" x14ac:dyDescent="0.25">
      <c r="A19" s="1" t="s">
        <v>17</v>
      </c>
      <c r="B19" s="1"/>
      <c r="C19" s="1">
        <v>-75.5</v>
      </c>
      <c r="D19" s="1">
        <v>-442.1</v>
      </c>
      <c r="E19" s="1">
        <v>-272.5</v>
      </c>
      <c r="F19" s="1">
        <v>372.8</v>
      </c>
      <c r="G19" s="1">
        <v>-1049</v>
      </c>
      <c r="H19" s="1">
        <v>-270</v>
      </c>
      <c r="I19" s="1">
        <f>SUM(Table6[[#This Row],[1980-1985]:[2010-2016]])</f>
        <v>-1736.3</v>
      </c>
      <c r="K19" s="13" t="s">
        <v>81</v>
      </c>
      <c r="L19" s="14">
        <v>14470</v>
      </c>
      <c r="M19" s="14">
        <v>-4950</v>
      </c>
      <c r="N19" s="14">
        <v>-3180</v>
      </c>
      <c r="O19" s="14">
        <v>-30150</v>
      </c>
      <c r="P19" s="14">
        <v>-15010</v>
      </c>
      <c r="Q19" s="14">
        <v>-39840</v>
      </c>
      <c r="R19" s="14">
        <v>-850</v>
      </c>
      <c r="S19" s="14">
        <v>-22120</v>
      </c>
      <c r="T19" s="14">
        <v>31590</v>
      </c>
      <c r="U19" s="14">
        <v>3610</v>
      </c>
      <c r="V19" s="14">
        <v>-13630</v>
      </c>
      <c r="W19" s="14">
        <v>-13880</v>
      </c>
      <c r="X19" s="14">
        <v>-12160</v>
      </c>
      <c r="Y19" s="14">
        <v>50450</v>
      </c>
      <c r="Z19" s="14">
        <v>-42050</v>
      </c>
      <c r="AA19" s="14">
        <v>21370</v>
      </c>
      <c r="AB19" s="14">
        <v>-6720</v>
      </c>
      <c r="AC19" s="14">
        <v>-3330</v>
      </c>
      <c r="AD19" s="14">
        <v>-270</v>
      </c>
      <c r="AE19" s="14">
        <v>-3580</v>
      </c>
      <c r="AF19" s="14">
        <v>-27030</v>
      </c>
      <c r="AG19" s="14">
        <v>790</v>
      </c>
      <c r="AH19" s="14">
        <v>38680</v>
      </c>
      <c r="AI19" s="14">
        <v>-3160</v>
      </c>
      <c r="AJ19" s="14">
        <v>-4050</v>
      </c>
      <c r="AK19" s="14">
        <v>9560</v>
      </c>
      <c r="AL19" s="14"/>
      <c r="AM19" s="14">
        <v>-11780</v>
      </c>
      <c r="AN19" s="14">
        <v>-92270</v>
      </c>
      <c r="AO19" s="14">
        <v>-5800</v>
      </c>
      <c r="AP19" s="14">
        <v>74940</v>
      </c>
      <c r="AQ19" s="14">
        <v>-3678.3333333333335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</row>
    <row r="20" spans="1:203" x14ac:dyDescent="0.25">
      <c r="A20" s="1" t="s">
        <v>18</v>
      </c>
      <c r="B20" s="1">
        <v>-99.6</v>
      </c>
      <c r="C20" s="1">
        <v>-113</v>
      </c>
      <c r="D20" s="1">
        <v>149.9</v>
      </c>
      <c r="E20" s="1">
        <v>115.9</v>
      </c>
      <c r="F20" s="1">
        <v>-639.5</v>
      </c>
      <c r="G20" s="1">
        <v>-2161</v>
      </c>
      <c r="H20" s="1">
        <v>-3580</v>
      </c>
      <c r="I20" s="1">
        <f>SUM(Table6[[#This Row],[1980-1985]:[2010-2016]])</f>
        <v>-6327.3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</row>
    <row r="21" spans="1:203" x14ac:dyDescent="0.25">
      <c r="A21" s="1" t="s">
        <v>19</v>
      </c>
      <c r="B21" s="1">
        <v>-12.4</v>
      </c>
      <c r="C21" s="1">
        <v>367.9</v>
      </c>
      <c r="D21" s="1">
        <v>1077</v>
      </c>
      <c r="E21" s="1">
        <v>7380.8</v>
      </c>
      <c r="F21" s="1">
        <v>8275.4</v>
      </c>
      <c r="G21" s="1">
        <v>-11546</v>
      </c>
      <c r="H21" s="1">
        <v>-27030</v>
      </c>
      <c r="I21" s="1">
        <f>SUM(Table6[[#This Row],[1980-1985]:[2010-2016]])</f>
        <v>-21487.300000000003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</row>
    <row r="22" spans="1:203" x14ac:dyDescent="0.25">
      <c r="A22" s="1" t="s">
        <v>20</v>
      </c>
      <c r="B22" s="1">
        <v>-233</v>
      </c>
      <c r="C22" s="1">
        <v>596.79999999999995</v>
      </c>
      <c r="D22" s="1">
        <v>3169.4</v>
      </c>
      <c r="E22" s="1">
        <v>8647.2999999999993</v>
      </c>
      <c r="F22" s="1">
        <v>16825.2</v>
      </c>
      <c r="G22" s="1">
        <v>15924</v>
      </c>
      <c r="H22" s="1">
        <v>38680</v>
      </c>
      <c r="I22" s="1">
        <f>SUM(Table6[[#This Row],[1980-1985]:[2010-2016]])</f>
        <v>83609.7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</row>
    <row r="23" spans="1:203" x14ac:dyDescent="0.25">
      <c r="A23" s="1" t="s">
        <v>21</v>
      </c>
      <c r="B23" s="1">
        <v>-122.6</v>
      </c>
      <c r="C23" s="1">
        <v>666.7</v>
      </c>
      <c r="D23" s="1">
        <v>618.5</v>
      </c>
      <c r="E23" s="1">
        <v>8785.9</v>
      </c>
      <c r="F23" s="1">
        <v>15930.3</v>
      </c>
      <c r="G23" s="1">
        <v>3949</v>
      </c>
      <c r="H23" s="1">
        <v>-3160</v>
      </c>
      <c r="I23" s="1">
        <f>SUM(Table6[[#This Row],[1980-1985]:[2010-2016]])</f>
        <v>26667.8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</row>
    <row r="24" spans="1:203" x14ac:dyDescent="0.25">
      <c r="A24" s="1" t="s">
        <v>22</v>
      </c>
      <c r="B24" s="1">
        <v>-52.8</v>
      </c>
      <c r="C24" s="1">
        <v>-129.1</v>
      </c>
      <c r="D24" s="1">
        <v>-144.1</v>
      </c>
      <c r="E24" s="1">
        <v>-87.1</v>
      </c>
      <c r="F24" s="1">
        <v>-769.2</v>
      </c>
      <c r="G24" s="1">
        <v>-1677</v>
      </c>
      <c r="H24" s="1">
        <v>-4050</v>
      </c>
      <c r="I24" s="1">
        <f>SUM(Table6[[#This Row],[1980-1985]:[2010-2016]])</f>
        <v>-6909.3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</row>
    <row r="25" spans="1:203" x14ac:dyDescent="0.25">
      <c r="A25" s="1" t="s">
        <v>23</v>
      </c>
      <c r="B25" s="1">
        <v>-380.5</v>
      </c>
      <c r="C25" s="1">
        <v>744.6</v>
      </c>
      <c r="D25" s="1">
        <v>5091</v>
      </c>
      <c r="E25" s="1">
        <v>10615.7</v>
      </c>
      <c r="F25" s="1">
        <v>13293.7</v>
      </c>
      <c r="G25" s="1">
        <v>-7064</v>
      </c>
      <c r="H25" s="1">
        <v>9560</v>
      </c>
      <c r="I25" s="1">
        <f>SUM(Table6[[#This Row],[1980-1985]:[2010-2016]])</f>
        <v>31860.5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</row>
    <row r="26" spans="1:203" x14ac:dyDescent="0.25">
      <c r="A26" s="1" t="s">
        <v>24</v>
      </c>
      <c r="B26" s="1"/>
      <c r="C26" s="1"/>
      <c r="D26" s="1"/>
      <c r="E26" s="1"/>
      <c r="F26" s="1"/>
      <c r="G26" s="1"/>
      <c r="H26" s="1"/>
      <c r="I26" s="1">
        <f>SUM(Table6[[#This Row],[1980-1985]:[2010-2016]])</f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</row>
    <row r="27" spans="1:203" x14ac:dyDescent="0.25">
      <c r="A27" s="1" t="s">
        <v>25</v>
      </c>
      <c r="B27" s="1">
        <v>-98.4</v>
      </c>
      <c r="C27" s="1">
        <v>-125.3</v>
      </c>
      <c r="D27" s="1">
        <v>-103.1</v>
      </c>
      <c r="E27" s="1">
        <v>-364.3</v>
      </c>
      <c r="F27" s="1">
        <v>-377.4</v>
      </c>
      <c r="G27" s="1">
        <v>-4748</v>
      </c>
      <c r="H27" s="1">
        <v>-11780</v>
      </c>
      <c r="I27" s="1">
        <f>SUM(Table6[[#This Row],[1980-1985]:[2010-2016]])</f>
        <v>-17596.5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</row>
    <row r="28" spans="1:203" x14ac:dyDescent="0.25">
      <c r="A28" s="1" t="s">
        <v>26</v>
      </c>
      <c r="B28" s="1">
        <v>-475.7</v>
      </c>
      <c r="C28" s="1">
        <v>1385.9</v>
      </c>
      <c r="D28" s="1">
        <v>6118.8</v>
      </c>
      <c r="E28" s="1">
        <v>26092.5</v>
      </c>
      <c r="F28" s="1">
        <v>43164.1</v>
      </c>
      <c r="G28" s="1">
        <v>-15992</v>
      </c>
      <c r="H28" s="1">
        <v>-92270</v>
      </c>
      <c r="I28" s="1">
        <f>SUM(Table6[[#This Row],[1980-1985]:[2010-2016]])</f>
        <v>-31976.399999999994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</row>
    <row r="29" spans="1:203" x14ac:dyDescent="0.25">
      <c r="A29" s="1" t="s">
        <v>27</v>
      </c>
      <c r="B29" s="1"/>
      <c r="C29" s="1"/>
      <c r="D29" s="1"/>
      <c r="E29" s="1"/>
      <c r="F29" s="1">
        <v>2257</v>
      </c>
      <c r="G29" s="1">
        <v>-529</v>
      </c>
      <c r="H29" s="1">
        <v>-5800</v>
      </c>
      <c r="I29" s="1">
        <f>SUM(Table6[[#This Row],[1980-1985]:[2010-2016]])</f>
        <v>-4072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</row>
    <row r="30" spans="1:203" x14ac:dyDescent="0.25">
      <c r="A30" s="1" t="s">
        <v>28</v>
      </c>
      <c r="B30" s="1">
        <v>931.3</v>
      </c>
      <c r="C30" s="1">
        <v>834.3</v>
      </c>
      <c r="D30" s="1">
        <v>3853</v>
      </c>
      <c r="E30" s="1">
        <v>19823</v>
      </c>
      <c r="F30" s="1">
        <v>42449.4</v>
      </c>
      <c r="G30" s="1">
        <v>60161</v>
      </c>
      <c r="H30" s="1">
        <v>74940</v>
      </c>
      <c r="I30" s="1">
        <f>SUM(Table6[[#This Row],[1980-1985]:[2010-2016]])</f>
        <v>202992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</row>
    <row r="31" spans="1:203" x14ac:dyDescent="0.25">
      <c r="A31" s="1" t="s">
        <v>29</v>
      </c>
      <c r="B31" s="1"/>
      <c r="C31" s="1"/>
      <c r="D31" s="1"/>
      <c r="E31" s="1">
        <v>-3913.6</v>
      </c>
      <c r="F31" s="1">
        <v>-10021.1</v>
      </c>
      <c r="G31" s="1">
        <v>-25048</v>
      </c>
      <c r="H31" s="1">
        <v>-39840</v>
      </c>
      <c r="I31" s="1">
        <f>SUM(Table6[[#This Row],[1980-1985]:[2010-2016]])</f>
        <v>-78822.7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</row>
    <row r="32" spans="1:203" x14ac:dyDescent="0.25">
      <c r="A32" s="1" t="s">
        <v>30</v>
      </c>
      <c r="B32" s="1"/>
      <c r="C32" s="1"/>
      <c r="D32" s="1"/>
      <c r="E32" s="1"/>
      <c r="F32" s="1"/>
      <c r="G32" s="1">
        <v>451</v>
      </c>
      <c r="H32" s="1">
        <v>790</v>
      </c>
      <c r="I32" s="1">
        <f>SUM(Table6[[#This Row],[1980-1985]:[2010-2016]])</f>
        <v>1241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</row>
    <row r="33" spans="1:203" x14ac:dyDescent="0.25">
      <c r="A33" s="1"/>
      <c r="B33" s="1">
        <f>SUM(Table6[1980-1985])</f>
        <v>-3041.0999999999995</v>
      </c>
      <c r="C33" s="1">
        <f>SUM(Table6[1985-1990])</f>
        <v>5959.7</v>
      </c>
      <c r="D33" s="1">
        <f>SUM(Table6[1990-1995])</f>
        <v>26650.899999999998</v>
      </c>
      <c r="E33" s="1">
        <f>SUM(Table6[1995-2000])</f>
        <v>138086.39999999999</v>
      </c>
      <c r="F33" s="1">
        <f>SUM(Table6[2000-2005])</f>
        <v>264234.40000000002</v>
      </c>
      <c r="G33" s="1">
        <f>SUM(Table6[2005-2010])</f>
        <v>-67021</v>
      </c>
      <c r="H33" s="1">
        <f>SUM(Table6[2010-2016])</f>
        <v>-110350</v>
      </c>
      <c r="I33" s="21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</row>
    <row r="34" spans="1:203" x14ac:dyDescent="0.25"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</row>
    <row r="35" spans="1:203" x14ac:dyDescent="0.25"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</row>
    <row r="36" spans="1:203" x14ac:dyDescent="0.25">
      <c r="C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</row>
    <row r="37" spans="1:203" x14ac:dyDescent="0.25">
      <c r="C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</row>
    <row r="38" spans="1:203" x14ac:dyDescent="0.25">
      <c r="C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</row>
    <row r="39" spans="1:203" x14ac:dyDescent="0.25">
      <c r="C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</row>
    <row r="40" spans="1:203" x14ac:dyDescent="0.25">
      <c r="C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</row>
    <row r="41" spans="1:203" x14ac:dyDescent="0.25">
      <c r="C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</row>
    <row r="42" spans="1:203" x14ac:dyDescent="0.25">
      <c r="C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</row>
    <row r="43" spans="1:203" x14ac:dyDescent="0.25">
      <c r="C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</row>
    <row r="44" spans="1:203" x14ac:dyDescent="0.25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</row>
    <row r="45" spans="1:203" x14ac:dyDescent="0.25"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</row>
    <row r="46" spans="1:203" x14ac:dyDescent="0.25"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</row>
    <row r="47" spans="1:203" x14ac:dyDescent="0.25"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</row>
    <row r="48" spans="1:203" x14ac:dyDescent="0.25"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</row>
    <row r="49" spans="11:17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</row>
    <row r="50" spans="11:171" x14ac:dyDescent="0.25"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</row>
    <row r="51" spans="11:171" x14ac:dyDescent="0.25"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</row>
    <row r="52" spans="11:171" x14ac:dyDescent="0.25"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</row>
    <row r="53" spans="11:171" x14ac:dyDescent="0.25"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</row>
    <row r="54" spans="11:171" x14ac:dyDescent="0.25"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</row>
    <row r="55" spans="11:171" x14ac:dyDescent="0.25"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</row>
    <row r="56" spans="11:171" x14ac:dyDescent="0.25"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</row>
    <row r="57" spans="11:171" x14ac:dyDescent="0.25"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</row>
    <row r="58" spans="11:171" x14ac:dyDescent="0.25"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</row>
    <row r="59" spans="11:171" x14ac:dyDescent="0.25"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</row>
    <row r="60" spans="11:171" x14ac:dyDescent="0.25"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</row>
    <row r="61" spans="11:171" x14ac:dyDescent="0.25"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</row>
    <row r="62" spans="11:171" x14ac:dyDescent="0.25"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</row>
    <row r="63" spans="11:171" x14ac:dyDescent="0.25"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</row>
    <row r="64" spans="11:171" x14ac:dyDescent="0.25"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</row>
    <row r="65" spans="11:171" x14ac:dyDescent="0.25"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</row>
    <row r="66" spans="11:171" x14ac:dyDescent="0.25"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</row>
    <row r="67" spans="11:171" x14ac:dyDescent="0.25"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</row>
    <row r="68" spans="11:171" x14ac:dyDescent="0.25"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</row>
    <row r="69" spans="11:171" x14ac:dyDescent="0.25"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</row>
    <row r="70" spans="11:171" x14ac:dyDescent="0.25"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</row>
    <row r="71" spans="11:171" x14ac:dyDescent="0.25"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</row>
    <row r="72" spans="11:171" x14ac:dyDescent="0.25"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</row>
    <row r="73" spans="11:171" x14ac:dyDescent="0.25"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</row>
    <row r="74" spans="11:171" x14ac:dyDescent="0.25"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</row>
    <row r="75" spans="11:171" x14ac:dyDescent="0.25"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</row>
    <row r="76" spans="11:171" x14ac:dyDescent="0.25"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</row>
    <row r="77" spans="11:171" x14ac:dyDescent="0.25"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</row>
    <row r="78" spans="11:171" x14ac:dyDescent="0.25"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</row>
    <row r="79" spans="11:171" x14ac:dyDescent="0.25"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</row>
    <row r="80" spans="11:171" x14ac:dyDescent="0.25"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</row>
    <row r="81" spans="11:139" x14ac:dyDescent="0.25"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</row>
    <row r="82" spans="11:139" x14ac:dyDescent="0.25"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</row>
    <row r="83" spans="11:139" x14ac:dyDescent="0.25"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</row>
    <row r="84" spans="11:139" x14ac:dyDescent="0.25"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</row>
    <row r="85" spans="11:139" x14ac:dyDescent="0.25"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</row>
    <row r="86" spans="11:139" x14ac:dyDescent="0.25"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</row>
    <row r="87" spans="11:139" x14ac:dyDescent="0.25"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</row>
    <row r="88" spans="11:139" x14ac:dyDescent="0.25"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</row>
    <row r="89" spans="11:139" x14ac:dyDescent="0.25"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</row>
    <row r="90" spans="11:139" x14ac:dyDescent="0.25"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</row>
    <row r="91" spans="11:139" x14ac:dyDescent="0.25"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</row>
    <row r="92" spans="11:139" x14ac:dyDescent="0.25"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</row>
    <row r="93" spans="11:139" x14ac:dyDescent="0.25"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</row>
    <row r="94" spans="11:139" x14ac:dyDescent="0.25"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</row>
    <row r="95" spans="11:139" x14ac:dyDescent="0.25"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</row>
    <row r="96" spans="11:139" x14ac:dyDescent="0.25"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</row>
    <row r="97" spans="11:139" x14ac:dyDescent="0.25"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</row>
    <row r="98" spans="11:139" x14ac:dyDescent="0.25"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</row>
    <row r="99" spans="11:139" x14ac:dyDescent="0.25"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</row>
    <row r="100" spans="11:139" x14ac:dyDescent="0.25"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</row>
    <row r="101" spans="11:139" x14ac:dyDescent="0.25"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</row>
    <row r="102" spans="11:139" x14ac:dyDescent="0.25"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</row>
    <row r="103" spans="11:139" x14ac:dyDescent="0.25"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</row>
    <row r="104" spans="11:139" x14ac:dyDescent="0.25"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</row>
    <row r="105" spans="11:139" x14ac:dyDescent="0.25"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</row>
    <row r="106" spans="11:139" x14ac:dyDescent="0.25"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1:139" x14ac:dyDescent="0.25"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1:139" x14ac:dyDescent="0.25"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1:139" x14ac:dyDescent="0.25"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1:139" x14ac:dyDescent="0.25"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1:139" x14ac:dyDescent="0.25"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1:139" x14ac:dyDescent="0.25"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1:107" x14ac:dyDescent="0.25"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1:107" x14ac:dyDescent="0.25"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1:107" x14ac:dyDescent="0.25"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1:107" x14ac:dyDescent="0.25"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1:107" x14ac:dyDescent="0.25"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1:107" x14ac:dyDescent="0.25"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1:107" x14ac:dyDescent="0.25"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1:107" x14ac:dyDescent="0.25"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1:107" x14ac:dyDescent="0.25"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1:107" x14ac:dyDescent="0.25"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1:107" x14ac:dyDescent="0.25"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1:107" x14ac:dyDescent="0.25"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1:107" x14ac:dyDescent="0.25"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1:107" x14ac:dyDescent="0.25"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1:107" x14ac:dyDescent="0.25"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1:107" x14ac:dyDescent="0.25"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1:107" x14ac:dyDescent="0.25"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1:107" x14ac:dyDescent="0.25"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1:107" x14ac:dyDescent="0.25"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1:107" x14ac:dyDescent="0.25"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1:107" x14ac:dyDescent="0.25"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</row>
    <row r="134" spans="11:107" x14ac:dyDescent="0.25"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</row>
    <row r="135" spans="11:107" x14ac:dyDescent="0.25"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</row>
    <row r="136" spans="11:107" x14ac:dyDescent="0.25"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</row>
    <row r="137" spans="11:107" x14ac:dyDescent="0.25"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</row>
    <row r="138" spans="11:107" x14ac:dyDescent="0.25"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</row>
    <row r="139" spans="11:107" x14ac:dyDescent="0.25"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</row>
    <row r="140" spans="11:107" x14ac:dyDescent="0.25"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</row>
    <row r="141" spans="11:107" x14ac:dyDescent="0.25"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</row>
    <row r="142" spans="11:107" x14ac:dyDescent="0.25"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</row>
    <row r="143" spans="11:107" x14ac:dyDescent="0.25"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</row>
    <row r="144" spans="11:107" x14ac:dyDescent="0.25"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</row>
    <row r="145" spans="11:75" x14ac:dyDescent="0.25"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</row>
    <row r="146" spans="11:75" x14ac:dyDescent="0.25"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</row>
    <row r="147" spans="11:75" x14ac:dyDescent="0.25"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</row>
    <row r="148" spans="11:75" x14ac:dyDescent="0.25"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</row>
    <row r="149" spans="11:75" x14ac:dyDescent="0.25"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</row>
    <row r="150" spans="11:75" x14ac:dyDescent="0.25"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</row>
    <row r="151" spans="11:75" x14ac:dyDescent="0.25"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</row>
    <row r="152" spans="11:75" x14ac:dyDescent="0.25"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</row>
    <row r="153" spans="11:75" x14ac:dyDescent="0.25"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</row>
    <row r="154" spans="11:75" x14ac:dyDescent="0.25"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</row>
    <row r="155" spans="11:75" x14ac:dyDescent="0.25"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</row>
    <row r="156" spans="11:75" x14ac:dyDescent="0.25"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</row>
    <row r="157" spans="11:75" x14ac:dyDescent="0.25"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</row>
    <row r="158" spans="11:75" x14ac:dyDescent="0.25"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</row>
    <row r="159" spans="11:75" x14ac:dyDescent="0.25"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</row>
    <row r="160" spans="11:75" x14ac:dyDescent="0.25"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</row>
    <row r="161" spans="11:43" x14ac:dyDescent="0.25"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</row>
    <row r="162" spans="11:43" x14ac:dyDescent="0.25"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</row>
    <row r="163" spans="11:43" x14ac:dyDescent="0.25"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</row>
    <row r="164" spans="11:43" x14ac:dyDescent="0.25"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</row>
    <row r="165" spans="11:43" x14ac:dyDescent="0.25"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</row>
    <row r="166" spans="11:43" x14ac:dyDescent="0.25"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</row>
    <row r="167" spans="11:43" x14ac:dyDescent="0.25"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</row>
    <row r="168" spans="11:43" x14ac:dyDescent="0.25"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</row>
    <row r="169" spans="11:43" x14ac:dyDescent="0.25"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</row>
    <row r="170" spans="11:43" x14ac:dyDescent="0.25"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</row>
    <row r="171" spans="11:43" x14ac:dyDescent="0.25"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</row>
    <row r="172" spans="11:43" x14ac:dyDescent="0.25"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</row>
    <row r="173" spans="11:43" x14ac:dyDescent="0.25"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</row>
    <row r="174" spans="11:43" x14ac:dyDescent="0.25"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</row>
    <row r="175" spans="11:43" x14ac:dyDescent="0.25"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</row>
    <row r="176" spans="11:43" x14ac:dyDescent="0.25"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</row>
    <row r="177" spans="11:43" x14ac:dyDescent="0.25"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</row>
    <row r="178" spans="11:43" x14ac:dyDescent="0.25"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</row>
    <row r="179" spans="11:43" x14ac:dyDescent="0.25"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</row>
    <row r="180" spans="11:43" x14ac:dyDescent="0.25"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</row>
    <row r="181" spans="11:43" x14ac:dyDescent="0.25"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</row>
    <row r="182" spans="11:43" x14ac:dyDescent="0.25"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</row>
    <row r="183" spans="11:43" x14ac:dyDescent="0.25"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</row>
    <row r="184" spans="11:43" x14ac:dyDescent="0.25"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</row>
    <row r="185" spans="11:43" x14ac:dyDescent="0.25"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</row>
    <row r="186" spans="11:43" x14ac:dyDescent="0.25"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</row>
    <row r="187" spans="11:43" x14ac:dyDescent="0.25"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</row>
    <row r="188" spans="11:43" x14ac:dyDescent="0.25"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</row>
    <row r="189" spans="11:43" x14ac:dyDescent="0.25"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</row>
    <row r="190" spans="11:43" x14ac:dyDescent="0.25"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</row>
    <row r="191" spans="11:43" x14ac:dyDescent="0.25"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</row>
    <row r="192" spans="11:43" x14ac:dyDescent="0.25"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</row>
    <row r="193" spans="11:43" x14ac:dyDescent="0.25"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</row>
    <row r="194" spans="11:43" x14ac:dyDescent="0.25"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</row>
    <row r="195" spans="11:43" x14ac:dyDescent="0.25"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</row>
    <row r="196" spans="11:43" x14ac:dyDescent="0.25"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</row>
    <row r="197" spans="11:43" x14ac:dyDescent="0.25"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</row>
    <row r="198" spans="11:43" x14ac:dyDescent="0.25"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</row>
    <row r="199" spans="11:43" x14ac:dyDescent="0.25"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</row>
    <row r="200" spans="11:43" x14ac:dyDescent="0.25"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</row>
    <row r="201" spans="11:43" x14ac:dyDescent="0.25"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</row>
    <row r="202" spans="11:43" x14ac:dyDescent="0.25"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</row>
    <row r="203" spans="11:43" x14ac:dyDescent="0.25"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</row>
    <row r="204" spans="11:43" x14ac:dyDescent="0.25"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203"/>
  <sheetViews>
    <sheetView topLeftCell="T13" workbookViewId="0">
      <selection activeCell="L20" sqref="L20:AQ20"/>
    </sheetView>
  </sheetViews>
  <sheetFormatPr defaultRowHeight="15" x14ac:dyDescent="0.25"/>
  <cols>
    <col min="1" max="1" width="11" style="2" customWidth="1"/>
    <col min="2" max="8" width="11.85546875" style="2" customWidth="1"/>
    <col min="9" max="10" width="9.140625" style="2"/>
    <col min="11" max="11" width="20" style="2" customWidth="1"/>
    <col min="12" max="12" width="16.28515625" style="2" customWidth="1"/>
    <col min="13" max="13" width="17.7109375" style="2" customWidth="1"/>
    <col min="14" max="14" width="6.7109375" style="2" customWidth="1"/>
    <col min="15" max="15" width="7" style="2" customWidth="1"/>
    <col min="16" max="16" width="12.140625" style="2" customWidth="1"/>
    <col min="17" max="17" width="7" style="2" customWidth="1"/>
    <col min="18" max="18" width="6" style="2" customWidth="1"/>
    <col min="19" max="19" width="7.5703125" style="2" customWidth="1"/>
    <col min="20" max="20" width="8.140625" style="2" customWidth="1"/>
    <col min="21" max="21" width="16.85546875" style="2" customWidth="1"/>
    <col min="22" max="22" width="17" style="2" customWidth="1"/>
    <col min="23" max="23" width="10" style="2" customWidth="1"/>
    <col min="24" max="24" width="9.7109375" style="2" customWidth="1"/>
    <col min="25" max="25" width="7" style="2" customWidth="1"/>
    <col min="26" max="26" width="15.85546875" style="2" customWidth="1"/>
    <col min="27" max="27" width="12.140625" style="2" customWidth="1"/>
    <col min="28" max="28" width="8.5703125" style="2" customWidth="1"/>
    <col min="29" max="29" width="10.7109375" style="2" customWidth="1"/>
    <col min="30" max="30" width="8.85546875" style="2" customWidth="1"/>
    <col min="31" max="31" width="9.28515625" style="2" customWidth="1"/>
    <col min="32" max="32" width="7.140625" style="2" customWidth="1"/>
    <col min="33" max="33" width="11.140625" style="2" customWidth="1"/>
    <col min="34" max="34" width="7.140625" style="2" customWidth="1"/>
    <col min="35" max="35" width="9.5703125" style="2" customWidth="1"/>
    <col min="36" max="36" width="6.85546875" style="2" customWidth="1"/>
    <col min="37" max="37" width="11" style="2" customWidth="1"/>
    <col min="38" max="38" width="10" style="2" customWidth="1"/>
    <col min="39" max="39" width="7.28515625" style="2" customWidth="1"/>
    <col min="40" max="40" width="13.28515625" style="2" customWidth="1"/>
    <col min="41" max="41" width="12" style="2" customWidth="1"/>
    <col min="42" max="42" width="12.140625" style="2" customWidth="1"/>
    <col min="43" max="43" width="12" style="2" customWidth="1"/>
    <col min="44" max="73" width="20" style="2" bestFit="1" customWidth="1"/>
    <col min="74" max="75" width="20" style="2" customWidth="1"/>
    <col min="76" max="104" width="20" style="2" bestFit="1" customWidth="1"/>
    <col min="105" max="107" width="20" style="2" customWidth="1"/>
    <col min="108" max="135" width="20" style="2" bestFit="1" customWidth="1"/>
    <col min="136" max="139" width="20" style="2" customWidth="1"/>
    <col min="140" max="166" width="20" style="2" bestFit="1" customWidth="1"/>
    <col min="167" max="171" width="20" style="2" customWidth="1"/>
    <col min="172" max="197" width="20" style="2" bestFit="1" customWidth="1"/>
    <col min="198" max="203" width="20" style="2" customWidth="1"/>
    <col min="204" max="227" width="20" style="2" bestFit="1" customWidth="1"/>
    <col min="228" max="234" width="25" style="2" bestFit="1" customWidth="1"/>
    <col min="235" max="16384" width="9.140625" style="2"/>
  </cols>
  <sheetData>
    <row r="1" spans="1:234" x14ac:dyDescent="0.25">
      <c r="A1" t="s">
        <v>31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</row>
    <row r="2" spans="1:234" x14ac:dyDescent="0.25">
      <c r="A2" s="1" t="s">
        <v>9</v>
      </c>
      <c r="B2" s="1">
        <v>1903</v>
      </c>
      <c r="C2" s="1">
        <v>3752</v>
      </c>
      <c r="D2" s="1">
        <v>7600</v>
      </c>
      <c r="E2" s="1">
        <v>12920</v>
      </c>
      <c r="F2" s="1">
        <v>14840</v>
      </c>
      <c r="G2" s="1">
        <v>26940</v>
      </c>
      <c r="H2" s="1">
        <v>115230</v>
      </c>
    </row>
    <row r="3" spans="1:234" x14ac:dyDescent="0.25">
      <c r="A3" s="1" t="s">
        <v>10</v>
      </c>
      <c r="B3" s="1"/>
      <c r="C3" s="1"/>
      <c r="D3" s="1"/>
      <c r="E3" s="1"/>
      <c r="F3" s="1">
        <v>10890</v>
      </c>
      <c r="G3" s="1">
        <v>28430</v>
      </c>
      <c r="H3" s="1">
        <v>85310</v>
      </c>
    </row>
    <row r="4" spans="1:234" x14ac:dyDescent="0.25">
      <c r="A4" s="1" t="s">
        <v>11</v>
      </c>
      <c r="B4" s="1"/>
      <c r="C4" s="1"/>
      <c r="D4" s="1">
        <v>760</v>
      </c>
      <c r="E4" s="1">
        <v>1760</v>
      </c>
      <c r="F4" s="1">
        <v>3260</v>
      </c>
      <c r="G4" s="1">
        <v>7200</v>
      </c>
      <c r="H4" s="1">
        <v>19580</v>
      </c>
    </row>
    <row r="5" spans="1:234" x14ac:dyDescent="0.25">
      <c r="A5" s="1" t="s">
        <v>12</v>
      </c>
      <c r="B5" s="1">
        <v>3814</v>
      </c>
      <c r="C5" s="1">
        <v>7896</v>
      </c>
      <c r="D5" s="1">
        <v>17430</v>
      </c>
      <c r="E5" s="1">
        <v>33760</v>
      </c>
      <c r="F5" s="1">
        <v>51950</v>
      </c>
      <c r="G5" s="1">
        <v>106360</v>
      </c>
      <c r="H5" s="1">
        <v>321350</v>
      </c>
    </row>
    <row r="6" spans="1:234" x14ac:dyDescent="0.25">
      <c r="A6" s="1" t="s">
        <v>13</v>
      </c>
      <c r="B6" s="1"/>
      <c r="C6" s="1"/>
      <c r="D6" s="1">
        <v>10</v>
      </c>
      <c r="E6" s="1">
        <v>50</v>
      </c>
      <c r="F6" s="1">
        <v>180</v>
      </c>
      <c r="G6" s="1">
        <v>550</v>
      </c>
      <c r="H6" s="1">
        <v>2280</v>
      </c>
    </row>
    <row r="7" spans="1:234" x14ac:dyDescent="0.25">
      <c r="A7" s="1" t="s">
        <v>14</v>
      </c>
      <c r="B7" s="1">
        <v>589</v>
      </c>
      <c r="C7" s="1">
        <v>1341</v>
      </c>
      <c r="D7" s="1">
        <v>2690</v>
      </c>
      <c r="E7" s="1">
        <v>4560</v>
      </c>
      <c r="F7" s="1">
        <v>9700</v>
      </c>
      <c r="G7" s="1">
        <v>19210</v>
      </c>
      <c r="H7" s="1">
        <v>54450</v>
      </c>
    </row>
    <row r="8" spans="1:234" x14ac:dyDescent="0.25">
      <c r="A8" s="1" t="s">
        <v>15</v>
      </c>
      <c r="B8" s="1">
        <v>22</v>
      </c>
      <c r="C8" s="1">
        <v>53</v>
      </c>
      <c r="D8" s="1">
        <v>90</v>
      </c>
      <c r="E8" s="1">
        <v>150</v>
      </c>
      <c r="F8" s="1">
        <v>320</v>
      </c>
      <c r="G8" s="1">
        <v>730</v>
      </c>
      <c r="H8" s="1">
        <v>2700</v>
      </c>
      <c r="J8"/>
      <c r="K8"/>
      <c r="L8"/>
      <c r="M8"/>
      <c r="N8"/>
    </row>
    <row r="9" spans="1:234" x14ac:dyDescent="0.25">
      <c r="A9" s="1" t="s">
        <v>16</v>
      </c>
      <c r="B9" s="1">
        <v>40</v>
      </c>
      <c r="C9" s="1">
        <v>112</v>
      </c>
      <c r="D9" s="1">
        <v>230</v>
      </c>
      <c r="E9" s="1">
        <v>410</v>
      </c>
      <c r="F9" s="1">
        <v>800</v>
      </c>
      <c r="G9" s="1">
        <v>1680</v>
      </c>
      <c r="H9" s="1">
        <v>5320</v>
      </c>
      <c r="J9"/>
      <c r="K9"/>
      <c r="L9"/>
      <c r="M9"/>
      <c r="N9"/>
    </row>
    <row r="10" spans="1:234" x14ac:dyDescent="0.25">
      <c r="A10" s="1" t="s">
        <v>17</v>
      </c>
      <c r="B10" s="1"/>
      <c r="C10" s="1"/>
      <c r="D10" s="1">
        <v>30</v>
      </c>
      <c r="E10" s="1">
        <v>50</v>
      </c>
      <c r="F10" s="1">
        <v>130</v>
      </c>
      <c r="G10" s="1">
        <v>410</v>
      </c>
      <c r="H10" s="1">
        <v>1360</v>
      </c>
      <c r="J10"/>
      <c r="K10"/>
      <c r="L10"/>
      <c r="M10"/>
      <c r="N10"/>
    </row>
    <row r="11" spans="1:234" x14ac:dyDescent="0.25">
      <c r="A11" s="1" t="s">
        <v>18</v>
      </c>
      <c r="B11" s="1">
        <v>36</v>
      </c>
      <c r="C11" s="1">
        <v>66</v>
      </c>
      <c r="D11" s="1">
        <v>100</v>
      </c>
      <c r="E11" s="1">
        <v>160</v>
      </c>
      <c r="F11" s="1">
        <v>320</v>
      </c>
      <c r="G11" s="1">
        <v>700</v>
      </c>
      <c r="H11" s="1">
        <v>1990</v>
      </c>
      <c r="J11"/>
      <c r="K11"/>
      <c r="L11" s="12" t="s">
        <v>76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</row>
    <row r="12" spans="1:234" x14ac:dyDescent="0.25">
      <c r="A12" s="1" t="s">
        <v>19</v>
      </c>
      <c r="B12" s="1">
        <v>895</v>
      </c>
      <c r="C12" s="1">
        <v>1979</v>
      </c>
      <c r="D12" s="1">
        <v>3880</v>
      </c>
      <c r="E12" s="1">
        <v>7080</v>
      </c>
      <c r="F12" s="1">
        <v>15000</v>
      </c>
      <c r="G12" s="1">
        <v>34910</v>
      </c>
      <c r="H12" s="1">
        <v>97100</v>
      </c>
      <c r="J12"/>
      <c r="K12" s="12" t="s">
        <v>84</v>
      </c>
      <c r="L12" t="s">
        <v>0</v>
      </c>
      <c r="M12" t="s">
        <v>13</v>
      </c>
      <c r="N12" t="s">
        <v>14</v>
      </c>
      <c r="O12" t="s">
        <v>9</v>
      </c>
      <c r="P12" t="s">
        <v>10</v>
      </c>
      <c r="Q12" t="s">
        <v>29</v>
      </c>
      <c r="R12" t="s">
        <v>11</v>
      </c>
      <c r="S12" t="s">
        <v>12</v>
      </c>
      <c r="T12" t="s">
        <v>1</v>
      </c>
      <c r="U12" t="s">
        <v>2</v>
      </c>
      <c r="V12" t="s">
        <v>3</v>
      </c>
      <c r="W12" t="s">
        <v>4</v>
      </c>
      <c r="X12" t="s">
        <v>5</v>
      </c>
      <c r="Y12" t="s">
        <v>6</v>
      </c>
      <c r="Z12" t="s">
        <v>7</v>
      </c>
      <c r="AA12" t="s">
        <v>8</v>
      </c>
      <c r="AB12" t="s">
        <v>15</v>
      </c>
      <c r="AC12" t="s">
        <v>16</v>
      </c>
      <c r="AD12" t="s">
        <v>17</v>
      </c>
      <c r="AE12" t="s">
        <v>18</v>
      </c>
      <c r="AF12" t="s">
        <v>19</v>
      </c>
      <c r="AG12" t="s">
        <v>30</v>
      </c>
      <c r="AH12" t="s">
        <v>20</v>
      </c>
      <c r="AI12" t="s">
        <v>21</v>
      </c>
      <c r="AJ12" t="s">
        <v>22</v>
      </c>
      <c r="AK12" t="s">
        <v>23</v>
      </c>
      <c r="AL12" t="s">
        <v>24</v>
      </c>
      <c r="AM12" t="s">
        <v>25</v>
      </c>
      <c r="AN12" t="s">
        <v>26</v>
      </c>
      <c r="AO12" t="s">
        <v>27</v>
      </c>
      <c r="AP12" t="s">
        <v>28</v>
      </c>
      <c r="AQ12" t="s">
        <v>75</v>
      </c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</row>
    <row r="13" spans="1:234" x14ac:dyDescent="0.25">
      <c r="A13" s="1" t="s">
        <v>20</v>
      </c>
      <c r="B13" s="1">
        <v>2383</v>
      </c>
      <c r="C13" s="1">
        <v>4658</v>
      </c>
      <c r="D13" s="1">
        <v>9340</v>
      </c>
      <c r="E13" s="1">
        <v>15640</v>
      </c>
      <c r="F13" s="1">
        <v>28530</v>
      </c>
      <c r="G13" s="1">
        <v>51100</v>
      </c>
      <c r="H13" s="1">
        <v>140250</v>
      </c>
      <c r="J13"/>
      <c r="K13" s="13" t="s">
        <v>77</v>
      </c>
      <c r="L13" s="14">
        <v>4232</v>
      </c>
      <c r="M13" s="14"/>
      <c r="N13" s="14">
        <v>589</v>
      </c>
      <c r="O13" s="14">
        <v>1903</v>
      </c>
      <c r="P13" s="14"/>
      <c r="Q13" s="14"/>
      <c r="R13" s="14"/>
      <c r="S13" s="14">
        <v>3814</v>
      </c>
      <c r="T13" s="14">
        <v>1634</v>
      </c>
      <c r="U13" s="14">
        <v>239</v>
      </c>
      <c r="V13" s="14">
        <v>310</v>
      </c>
      <c r="W13" s="14"/>
      <c r="X13" s="14">
        <v>3425</v>
      </c>
      <c r="Y13" s="14">
        <v>2258</v>
      </c>
      <c r="Z13" s="14">
        <v>2776</v>
      </c>
      <c r="AA13" s="14">
        <v>7951</v>
      </c>
      <c r="AB13" s="14">
        <v>22</v>
      </c>
      <c r="AC13" s="14">
        <v>40</v>
      </c>
      <c r="AD13" s="14"/>
      <c r="AE13" s="14">
        <v>36</v>
      </c>
      <c r="AF13" s="14">
        <v>895</v>
      </c>
      <c r="AG13" s="14"/>
      <c r="AH13" s="14">
        <v>2383</v>
      </c>
      <c r="AI13" s="14">
        <v>1860</v>
      </c>
      <c r="AJ13" s="14">
        <v>18</v>
      </c>
      <c r="AK13" s="14">
        <v>4936</v>
      </c>
      <c r="AL13" s="14"/>
      <c r="AM13" s="14">
        <v>31</v>
      </c>
      <c r="AN13" s="14">
        <v>4529</v>
      </c>
      <c r="AO13" s="14"/>
      <c r="AP13" s="14">
        <v>3474</v>
      </c>
      <c r="AQ13" s="14">
        <v>2152.5</v>
      </c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</row>
    <row r="14" spans="1:234" x14ac:dyDescent="0.25">
      <c r="A14" s="1" t="s">
        <v>21</v>
      </c>
      <c r="B14" s="1">
        <v>1860</v>
      </c>
      <c r="C14" s="1">
        <v>3961</v>
      </c>
      <c r="D14" s="1">
        <v>8760</v>
      </c>
      <c r="E14" s="1">
        <v>17930</v>
      </c>
      <c r="F14" s="1">
        <v>32890</v>
      </c>
      <c r="G14" s="1">
        <v>66120</v>
      </c>
      <c r="H14" s="1">
        <v>197010</v>
      </c>
      <c r="J14"/>
      <c r="K14" s="13" t="s">
        <v>80</v>
      </c>
      <c r="L14" s="14">
        <v>9323</v>
      </c>
      <c r="M14" s="14"/>
      <c r="N14" s="14">
        <v>1341</v>
      </c>
      <c r="O14" s="14">
        <v>3752</v>
      </c>
      <c r="P14" s="14"/>
      <c r="Q14" s="14"/>
      <c r="R14" s="14"/>
      <c r="S14" s="14">
        <v>7896</v>
      </c>
      <c r="T14" s="14">
        <v>3437</v>
      </c>
      <c r="U14" s="14">
        <v>529</v>
      </c>
      <c r="V14" s="14">
        <v>616</v>
      </c>
      <c r="W14" s="14"/>
      <c r="X14" s="14">
        <v>7328</v>
      </c>
      <c r="Y14" s="14">
        <v>4769</v>
      </c>
      <c r="Z14" s="14">
        <v>5836</v>
      </c>
      <c r="AA14" s="14">
        <v>16612</v>
      </c>
      <c r="AB14" s="14">
        <v>53</v>
      </c>
      <c r="AC14" s="14">
        <v>112</v>
      </c>
      <c r="AD14" s="14"/>
      <c r="AE14" s="14">
        <v>66</v>
      </c>
      <c r="AF14" s="14">
        <v>1979</v>
      </c>
      <c r="AG14" s="14"/>
      <c r="AH14" s="14">
        <v>4658</v>
      </c>
      <c r="AI14" s="14">
        <v>3961</v>
      </c>
      <c r="AJ14" s="14">
        <v>46</v>
      </c>
      <c r="AK14" s="14">
        <v>9550</v>
      </c>
      <c r="AL14" s="14"/>
      <c r="AM14" s="14">
        <v>75</v>
      </c>
      <c r="AN14" s="14">
        <v>9324</v>
      </c>
      <c r="AO14" s="14"/>
      <c r="AP14" s="14">
        <v>7465</v>
      </c>
      <c r="AQ14" s="14">
        <v>4487.636363636364</v>
      </c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</row>
    <row r="15" spans="1:234" x14ac:dyDescent="0.25">
      <c r="A15" s="1" t="s">
        <v>22</v>
      </c>
      <c r="B15" s="1">
        <v>18</v>
      </c>
      <c r="C15" s="1">
        <v>46</v>
      </c>
      <c r="D15" s="1">
        <v>50</v>
      </c>
      <c r="E15" s="1">
        <v>130</v>
      </c>
      <c r="F15" s="1">
        <v>490</v>
      </c>
      <c r="G15" s="1">
        <v>920</v>
      </c>
      <c r="H15" s="1">
        <v>2600</v>
      </c>
      <c r="J15"/>
      <c r="K15" s="13" t="s">
        <v>79</v>
      </c>
      <c r="L15" s="14">
        <v>17160</v>
      </c>
      <c r="M15" s="14">
        <v>10</v>
      </c>
      <c r="N15" s="14">
        <v>2690</v>
      </c>
      <c r="O15" s="14">
        <v>7600</v>
      </c>
      <c r="P15" s="14"/>
      <c r="Q15" s="14"/>
      <c r="R15" s="14">
        <v>760</v>
      </c>
      <c r="S15" s="14">
        <v>17430</v>
      </c>
      <c r="T15" s="14">
        <v>7300</v>
      </c>
      <c r="U15" s="14">
        <v>1130</v>
      </c>
      <c r="V15" s="14">
        <v>1000</v>
      </c>
      <c r="W15" s="14"/>
      <c r="X15" s="14">
        <v>16430</v>
      </c>
      <c r="Y15" s="14">
        <v>10040</v>
      </c>
      <c r="Z15" s="14">
        <v>11750</v>
      </c>
      <c r="AA15" s="14">
        <v>34780</v>
      </c>
      <c r="AB15" s="14">
        <v>90</v>
      </c>
      <c r="AC15" s="14">
        <v>230</v>
      </c>
      <c r="AD15" s="14">
        <v>30</v>
      </c>
      <c r="AE15" s="14">
        <v>100</v>
      </c>
      <c r="AF15" s="14">
        <v>3880</v>
      </c>
      <c r="AG15" s="14"/>
      <c r="AH15" s="14">
        <v>9340</v>
      </c>
      <c r="AI15" s="14">
        <v>8760</v>
      </c>
      <c r="AJ15" s="14">
        <v>50</v>
      </c>
      <c r="AK15" s="14">
        <v>21640</v>
      </c>
      <c r="AL15" s="14"/>
      <c r="AM15" s="14">
        <v>170</v>
      </c>
      <c r="AN15" s="14">
        <v>19560</v>
      </c>
      <c r="AO15" s="14"/>
      <c r="AP15" s="14">
        <v>13830</v>
      </c>
      <c r="AQ15" s="14">
        <v>8230.4</v>
      </c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</row>
    <row r="16" spans="1:234" x14ac:dyDescent="0.25">
      <c r="A16" s="1" t="s">
        <v>23</v>
      </c>
      <c r="B16" s="1">
        <v>4936</v>
      </c>
      <c r="C16" s="1">
        <v>9550</v>
      </c>
      <c r="D16" s="1">
        <v>21640</v>
      </c>
      <c r="E16" s="1">
        <v>44370</v>
      </c>
      <c r="F16" s="1">
        <v>74930</v>
      </c>
      <c r="G16" s="1">
        <v>150950</v>
      </c>
      <c r="H16" s="1">
        <v>434120</v>
      </c>
      <c r="J16"/>
      <c r="K16" s="13" t="s">
        <v>78</v>
      </c>
      <c r="L16" s="14">
        <v>33080</v>
      </c>
      <c r="M16" s="14">
        <v>50</v>
      </c>
      <c r="N16" s="14">
        <v>4560</v>
      </c>
      <c r="O16" s="14">
        <v>12920</v>
      </c>
      <c r="P16" s="14"/>
      <c r="Q16" s="14">
        <v>14100</v>
      </c>
      <c r="R16" s="14">
        <v>1760</v>
      </c>
      <c r="S16" s="14">
        <v>33760</v>
      </c>
      <c r="T16" s="14">
        <v>13320</v>
      </c>
      <c r="U16" s="14">
        <v>2420</v>
      </c>
      <c r="V16" s="14">
        <v>1970</v>
      </c>
      <c r="W16" s="14"/>
      <c r="X16" s="14">
        <v>32130</v>
      </c>
      <c r="Y16" s="14">
        <v>21620</v>
      </c>
      <c r="Z16" s="14">
        <v>23090</v>
      </c>
      <c r="AA16" s="14">
        <v>67840</v>
      </c>
      <c r="AB16" s="14">
        <v>150</v>
      </c>
      <c r="AC16" s="14">
        <v>410</v>
      </c>
      <c r="AD16" s="14">
        <v>50</v>
      </c>
      <c r="AE16" s="14">
        <v>160</v>
      </c>
      <c r="AF16" s="14">
        <v>7080</v>
      </c>
      <c r="AG16" s="14"/>
      <c r="AH16" s="14">
        <v>15640</v>
      </c>
      <c r="AI16" s="14">
        <v>17930</v>
      </c>
      <c r="AJ16" s="14">
        <v>130</v>
      </c>
      <c r="AK16" s="14">
        <v>44370</v>
      </c>
      <c r="AL16" s="14"/>
      <c r="AM16" s="14">
        <v>360</v>
      </c>
      <c r="AN16" s="14">
        <v>36090</v>
      </c>
      <c r="AO16" s="14"/>
      <c r="AP16" s="14">
        <v>22790</v>
      </c>
      <c r="AQ16" s="14">
        <v>15683.846153846154</v>
      </c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</row>
    <row r="17" spans="1:203" x14ac:dyDescent="0.25">
      <c r="A17" s="1" t="s">
        <v>24</v>
      </c>
      <c r="B17" s="1"/>
      <c r="C17" s="1"/>
      <c r="D17" s="1"/>
      <c r="E17" s="1"/>
      <c r="F17" s="1"/>
      <c r="G17" s="1"/>
      <c r="H17" s="1"/>
      <c r="J17"/>
      <c r="K17" s="13" t="s">
        <v>83</v>
      </c>
      <c r="L17" s="14">
        <v>65790</v>
      </c>
      <c r="M17" s="14">
        <v>180</v>
      </c>
      <c r="N17" s="14">
        <v>9700</v>
      </c>
      <c r="O17" s="14">
        <v>14840</v>
      </c>
      <c r="P17" s="14">
        <v>10890</v>
      </c>
      <c r="Q17" s="14">
        <v>27610</v>
      </c>
      <c r="R17" s="14">
        <v>3260</v>
      </c>
      <c r="S17" s="14">
        <v>51950</v>
      </c>
      <c r="T17" s="14">
        <v>28620</v>
      </c>
      <c r="U17" s="14">
        <v>4770</v>
      </c>
      <c r="V17" s="14">
        <v>5140</v>
      </c>
      <c r="W17" s="14"/>
      <c r="X17" s="14">
        <v>57970</v>
      </c>
      <c r="Y17" s="14">
        <v>36140</v>
      </c>
      <c r="Z17" s="14">
        <v>31070</v>
      </c>
      <c r="AA17" s="14">
        <v>119590</v>
      </c>
      <c r="AB17" s="14">
        <v>320</v>
      </c>
      <c r="AC17" s="14">
        <v>800</v>
      </c>
      <c r="AD17" s="14">
        <v>130</v>
      </c>
      <c r="AE17" s="14">
        <v>320</v>
      </c>
      <c r="AF17" s="14">
        <v>15000</v>
      </c>
      <c r="AG17" s="14"/>
      <c r="AH17" s="14">
        <v>28530</v>
      </c>
      <c r="AI17" s="14">
        <v>32890</v>
      </c>
      <c r="AJ17" s="14">
        <v>490</v>
      </c>
      <c r="AK17" s="14">
        <v>74930</v>
      </c>
      <c r="AL17" s="14"/>
      <c r="AM17" s="14">
        <v>930</v>
      </c>
      <c r="AN17" s="14">
        <v>63370</v>
      </c>
      <c r="AO17" s="14">
        <v>4880</v>
      </c>
      <c r="AP17" s="14">
        <v>38170</v>
      </c>
      <c r="AQ17" s="14">
        <v>26010</v>
      </c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</row>
    <row r="18" spans="1:203" x14ac:dyDescent="0.25">
      <c r="A18" s="1" t="s">
        <v>25</v>
      </c>
      <c r="B18" s="1">
        <v>31</v>
      </c>
      <c r="C18" s="1">
        <v>75</v>
      </c>
      <c r="D18" s="1">
        <v>170</v>
      </c>
      <c r="E18" s="1">
        <v>360</v>
      </c>
      <c r="F18" s="1">
        <v>930</v>
      </c>
      <c r="G18" s="1">
        <v>1980</v>
      </c>
      <c r="H18" s="1">
        <v>6110</v>
      </c>
      <c r="J18"/>
      <c r="K18" s="13" t="s">
        <v>82</v>
      </c>
      <c r="L18" s="14">
        <v>140470</v>
      </c>
      <c r="M18" s="14">
        <v>550</v>
      </c>
      <c r="N18" s="14">
        <v>19210</v>
      </c>
      <c r="O18" s="14">
        <v>26940</v>
      </c>
      <c r="P18" s="14">
        <v>28430</v>
      </c>
      <c r="Q18" s="14">
        <v>56510</v>
      </c>
      <c r="R18" s="14">
        <v>7200</v>
      </c>
      <c r="S18" s="14">
        <v>106360</v>
      </c>
      <c r="T18" s="14">
        <v>56510</v>
      </c>
      <c r="U18" s="14">
        <v>9930</v>
      </c>
      <c r="V18" s="14">
        <v>11650</v>
      </c>
      <c r="W18" s="14">
        <v>20210</v>
      </c>
      <c r="X18" s="14">
        <v>126150</v>
      </c>
      <c r="Y18" s="14">
        <v>69010</v>
      </c>
      <c r="Z18" s="14">
        <v>62490</v>
      </c>
      <c r="AA18" s="14">
        <v>232310</v>
      </c>
      <c r="AB18" s="14">
        <v>730</v>
      </c>
      <c r="AC18" s="14">
        <v>1680</v>
      </c>
      <c r="AD18" s="14">
        <v>410</v>
      </c>
      <c r="AE18" s="14">
        <v>700</v>
      </c>
      <c r="AF18" s="14">
        <v>34910</v>
      </c>
      <c r="AG18" s="14">
        <v>3300</v>
      </c>
      <c r="AH18" s="14">
        <v>51100</v>
      </c>
      <c r="AI18" s="14">
        <v>66120</v>
      </c>
      <c r="AJ18" s="14">
        <v>920</v>
      </c>
      <c r="AK18" s="14">
        <v>150950</v>
      </c>
      <c r="AL18" s="14"/>
      <c r="AM18" s="14">
        <v>1980</v>
      </c>
      <c r="AN18" s="14">
        <v>129360</v>
      </c>
      <c r="AO18" s="14">
        <v>13640</v>
      </c>
      <c r="AP18" s="14">
        <v>66540</v>
      </c>
      <c r="AQ18" s="14">
        <v>49875.666666666664</v>
      </c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</row>
    <row r="19" spans="1:203" x14ac:dyDescent="0.25">
      <c r="A19" s="1" t="s">
        <v>26</v>
      </c>
      <c r="B19" s="1">
        <v>4529</v>
      </c>
      <c r="C19" s="1">
        <v>9324</v>
      </c>
      <c r="D19" s="1">
        <v>19560</v>
      </c>
      <c r="E19" s="1">
        <v>36090</v>
      </c>
      <c r="F19" s="1">
        <v>63370</v>
      </c>
      <c r="G19" s="1">
        <v>129360</v>
      </c>
      <c r="H19" s="1">
        <v>386530</v>
      </c>
      <c r="J19"/>
      <c r="K19" s="13" t="s">
        <v>81</v>
      </c>
      <c r="L19" s="14">
        <v>305320</v>
      </c>
      <c r="M19" s="14">
        <v>2280</v>
      </c>
      <c r="N19" s="14">
        <v>54450</v>
      </c>
      <c r="O19" s="14">
        <v>115230</v>
      </c>
      <c r="P19" s="14">
        <v>85310</v>
      </c>
      <c r="Q19" s="14">
        <v>148130</v>
      </c>
      <c r="R19" s="14">
        <v>19580</v>
      </c>
      <c r="S19" s="14">
        <v>321350</v>
      </c>
      <c r="T19" s="14">
        <v>149170</v>
      </c>
      <c r="U19" s="14">
        <v>29540</v>
      </c>
      <c r="V19" s="14">
        <v>34780</v>
      </c>
      <c r="W19" s="14">
        <v>58530</v>
      </c>
      <c r="X19" s="14">
        <v>346300</v>
      </c>
      <c r="Y19" s="14">
        <v>193230</v>
      </c>
      <c r="Z19" s="14">
        <v>195160</v>
      </c>
      <c r="AA19" s="14">
        <v>624230</v>
      </c>
      <c r="AB19" s="14">
        <v>2700</v>
      </c>
      <c r="AC19" s="14">
        <v>5320</v>
      </c>
      <c r="AD19" s="14">
        <v>1360</v>
      </c>
      <c r="AE19" s="14">
        <v>1990</v>
      </c>
      <c r="AF19" s="14">
        <v>97100</v>
      </c>
      <c r="AG19" s="14">
        <v>11280</v>
      </c>
      <c r="AH19" s="14">
        <v>140250</v>
      </c>
      <c r="AI19" s="14">
        <v>197010</v>
      </c>
      <c r="AJ19" s="14">
        <v>2600</v>
      </c>
      <c r="AK19" s="14">
        <v>434120</v>
      </c>
      <c r="AL19" s="14"/>
      <c r="AM19" s="14">
        <v>6110</v>
      </c>
      <c r="AN19" s="14">
        <v>386530</v>
      </c>
      <c r="AO19" s="14">
        <v>41460</v>
      </c>
      <c r="AP19" s="14">
        <v>201270</v>
      </c>
      <c r="AQ19" s="14">
        <v>140389.66666666666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</row>
    <row r="20" spans="1:203" x14ac:dyDescent="0.25">
      <c r="A20" s="1" t="s">
        <v>27</v>
      </c>
      <c r="B20" s="1"/>
      <c r="C20" s="1"/>
      <c r="D20" s="1"/>
      <c r="E20" s="1"/>
      <c r="F20" s="1">
        <v>4880</v>
      </c>
      <c r="G20" s="1">
        <v>13640</v>
      </c>
      <c r="H20" s="1">
        <v>41460</v>
      </c>
      <c r="J20"/>
      <c r="K20"/>
      <c r="L20">
        <f>AVERAGE(Own_Tax_Revenues!L13:L19)</f>
        <v>82196.428571428565</v>
      </c>
      <c r="M20">
        <f>AVERAGE(Own_Tax_Revenues!M13:M19)</f>
        <v>614</v>
      </c>
      <c r="N20">
        <f>AVERAGE(Own_Tax_Revenues!N13:N19)</f>
        <v>13220</v>
      </c>
      <c r="O20">
        <f>AVERAGE(Own_Tax_Revenues!O13:O19)</f>
        <v>26169.285714285714</v>
      </c>
      <c r="P20">
        <f>AVERAGE(Own_Tax_Revenues!P13:P19)</f>
        <v>41543.333333333336</v>
      </c>
      <c r="Q20">
        <f>AVERAGE(Own_Tax_Revenues!Q13:Q19)</f>
        <v>61587.5</v>
      </c>
      <c r="R20">
        <f>AVERAGE(Own_Tax_Revenues!R13:R19)</f>
        <v>6512</v>
      </c>
      <c r="S20">
        <f>AVERAGE(Own_Tax_Revenues!S13:S19)</f>
        <v>77508.571428571435</v>
      </c>
      <c r="T20">
        <f>AVERAGE(Own_Tax_Revenues!T13:T19)</f>
        <v>37141.571428571428</v>
      </c>
      <c r="U20">
        <f>AVERAGE(Own_Tax_Revenues!U13:U19)</f>
        <v>6936.8571428571431</v>
      </c>
      <c r="V20">
        <f>AVERAGE(Own_Tax_Revenues!V13:V19)</f>
        <v>7923.7142857142853</v>
      </c>
      <c r="W20">
        <f>AVERAGE(Own_Tax_Revenues!W13:W19)</f>
        <v>39370</v>
      </c>
      <c r="X20">
        <f>AVERAGE(Own_Tax_Revenues!X13:X19)</f>
        <v>84247.571428571435</v>
      </c>
      <c r="Y20">
        <f>AVERAGE(Own_Tax_Revenues!Y13:Y19)</f>
        <v>48152.428571428572</v>
      </c>
      <c r="Z20">
        <f>AVERAGE(Own_Tax_Revenues!Z13:Z19)</f>
        <v>47453.142857142855</v>
      </c>
      <c r="AA20">
        <f>AVERAGE(Own_Tax_Revenues!AA13:AA19)</f>
        <v>157616.14285714287</v>
      </c>
      <c r="AB20">
        <f>AVERAGE(Own_Tax_Revenues!AB13:AB19)</f>
        <v>580.71428571428567</v>
      </c>
      <c r="AC20">
        <f>AVERAGE(Own_Tax_Revenues!AC13:AC19)</f>
        <v>1227.4285714285713</v>
      </c>
      <c r="AD20">
        <f>AVERAGE(Own_Tax_Revenues!AD13:AD19)</f>
        <v>396</v>
      </c>
      <c r="AE20">
        <f>AVERAGE(Own_Tax_Revenues!AE13:AE19)</f>
        <v>481.71428571428572</v>
      </c>
      <c r="AF20">
        <f>AVERAGE(Own_Tax_Revenues!AF13:AF19)</f>
        <v>22977.714285714286</v>
      </c>
      <c r="AG20">
        <f>AVERAGE(Own_Tax_Revenues!AG13:AG19)</f>
        <v>7290</v>
      </c>
      <c r="AH20">
        <f>AVERAGE(Own_Tax_Revenues!AH13:AH19)</f>
        <v>35985.857142857145</v>
      </c>
      <c r="AI20">
        <f>AVERAGE(Own_Tax_Revenues!AI13:AI19)</f>
        <v>46933</v>
      </c>
      <c r="AJ20">
        <f>AVERAGE(Own_Tax_Revenues!AJ13:AJ19)</f>
        <v>607.71428571428567</v>
      </c>
      <c r="AK20">
        <f>AVERAGE(Own_Tax_Revenues!AK13:AK19)</f>
        <v>105785.14285714286</v>
      </c>
      <c r="AL20" t="e">
        <f>AVERAGE(Own_Tax_Revenues!AL13:AL19)</f>
        <v>#DIV/0!</v>
      </c>
      <c r="AM20">
        <f>AVERAGE(Own_Tax_Revenues!AM13:AM19)</f>
        <v>1379.4285714285713</v>
      </c>
      <c r="AN20">
        <f>AVERAGE(Own_Tax_Revenues!AN13:AN19)</f>
        <v>92680.428571428565</v>
      </c>
      <c r="AO20">
        <f>AVERAGE(Own_Tax_Revenues!AO13:AO19)</f>
        <v>19993.333333333332</v>
      </c>
      <c r="AP20">
        <f>AVERAGE(Own_Tax_Revenues!AP13:AP19)</f>
        <v>50505.571428571428</v>
      </c>
      <c r="AQ20">
        <f>AVERAGE(Own_Tax_Revenues!AQ13:AQ19)</f>
        <v>35261.387978687977</v>
      </c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</row>
    <row r="21" spans="1:203" x14ac:dyDescent="0.25">
      <c r="A21" s="1" t="s">
        <v>28</v>
      </c>
      <c r="B21" s="1">
        <v>3474</v>
      </c>
      <c r="C21" s="1">
        <v>7465</v>
      </c>
      <c r="D21" s="1">
        <v>13830</v>
      </c>
      <c r="E21" s="1">
        <v>22790</v>
      </c>
      <c r="F21" s="1">
        <v>38170</v>
      </c>
      <c r="G21" s="1">
        <v>66540</v>
      </c>
      <c r="H21" s="1">
        <v>201270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</row>
    <row r="22" spans="1:203" x14ac:dyDescent="0.25">
      <c r="A22" s="1" t="s">
        <v>29</v>
      </c>
      <c r="B22" s="1"/>
      <c r="C22" s="1"/>
      <c r="D22" s="1"/>
      <c r="E22" s="1">
        <v>14100</v>
      </c>
      <c r="F22" s="1">
        <v>27610</v>
      </c>
      <c r="G22" s="1">
        <v>56510</v>
      </c>
      <c r="H22" s="1">
        <v>148130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</row>
    <row r="23" spans="1:203" x14ac:dyDescent="0.25">
      <c r="A23" s="1" t="s">
        <v>30</v>
      </c>
      <c r="B23" s="1"/>
      <c r="C23" s="1"/>
      <c r="D23" s="1"/>
      <c r="E23" s="1"/>
      <c r="F23" s="1"/>
      <c r="G23" s="1">
        <v>3300</v>
      </c>
      <c r="H23" s="1">
        <v>11280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</row>
    <row r="24" spans="1:203" x14ac:dyDescent="0.25">
      <c r="A24" s="1" t="s">
        <v>1</v>
      </c>
      <c r="B24" s="1">
        <v>1634</v>
      </c>
      <c r="C24" s="1">
        <v>3437</v>
      </c>
      <c r="D24" s="1">
        <v>7300</v>
      </c>
      <c r="E24" s="1">
        <v>13320</v>
      </c>
      <c r="F24" s="1">
        <v>28620</v>
      </c>
      <c r="G24" s="1">
        <v>56510</v>
      </c>
      <c r="H24" s="1">
        <v>149170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</row>
    <row r="25" spans="1:203" x14ac:dyDescent="0.25">
      <c r="A25" s="1" t="s">
        <v>2</v>
      </c>
      <c r="B25" s="1">
        <v>239</v>
      </c>
      <c r="C25" s="1">
        <v>529</v>
      </c>
      <c r="D25" s="1">
        <v>1130</v>
      </c>
      <c r="E25" s="1">
        <v>2420</v>
      </c>
      <c r="F25" s="1">
        <v>4770</v>
      </c>
      <c r="G25" s="1">
        <v>9930</v>
      </c>
      <c r="H25" s="1">
        <v>29540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</row>
    <row r="26" spans="1:203" x14ac:dyDescent="0.25">
      <c r="A26" s="1" t="s">
        <v>3</v>
      </c>
      <c r="B26" s="1">
        <v>310</v>
      </c>
      <c r="C26" s="1">
        <v>616</v>
      </c>
      <c r="D26" s="1">
        <v>1000</v>
      </c>
      <c r="E26" s="1">
        <v>1970</v>
      </c>
      <c r="F26" s="1">
        <v>5140</v>
      </c>
      <c r="G26" s="1">
        <v>11650</v>
      </c>
      <c r="H26" s="1">
        <v>34780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</row>
    <row r="27" spans="1:203" x14ac:dyDescent="0.25">
      <c r="A27" s="1" t="s">
        <v>4</v>
      </c>
      <c r="B27" s="1"/>
      <c r="C27" s="1"/>
      <c r="D27" s="1"/>
      <c r="E27" s="1"/>
      <c r="F27" s="1"/>
      <c r="G27" s="1">
        <v>20210</v>
      </c>
      <c r="H27" s="1">
        <v>58530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</row>
    <row r="28" spans="1:203" x14ac:dyDescent="0.25">
      <c r="A28" s="1" t="s">
        <v>5</v>
      </c>
      <c r="B28" s="1">
        <v>3425</v>
      </c>
      <c r="C28" s="1">
        <v>7328</v>
      </c>
      <c r="D28" s="1">
        <v>16430</v>
      </c>
      <c r="E28" s="1">
        <v>32130</v>
      </c>
      <c r="F28" s="1">
        <v>57970</v>
      </c>
      <c r="G28" s="1">
        <v>126150</v>
      </c>
      <c r="H28" s="1">
        <v>346300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</row>
    <row r="29" spans="1:203" x14ac:dyDescent="0.25">
      <c r="A29" s="1" t="s">
        <v>6</v>
      </c>
      <c r="B29" s="1">
        <v>2258</v>
      </c>
      <c r="C29" s="1">
        <v>4769</v>
      </c>
      <c r="D29" s="1">
        <v>10040</v>
      </c>
      <c r="E29" s="1">
        <v>21620</v>
      </c>
      <c r="F29" s="1">
        <v>36140</v>
      </c>
      <c r="G29" s="1">
        <v>69010</v>
      </c>
      <c r="H29" s="1">
        <v>193230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</row>
    <row r="30" spans="1:203" x14ac:dyDescent="0.25">
      <c r="A30" s="1" t="s">
        <v>7</v>
      </c>
      <c r="B30" s="1">
        <v>2776</v>
      </c>
      <c r="C30" s="1">
        <v>5836</v>
      </c>
      <c r="D30" s="1">
        <v>11750</v>
      </c>
      <c r="E30" s="1">
        <v>23090</v>
      </c>
      <c r="F30" s="1">
        <v>31070</v>
      </c>
      <c r="G30" s="1">
        <v>62490</v>
      </c>
      <c r="H30" s="1">
        <v>195160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</row>
    <row r="31" spans="1:203" x14ac:dyDescent="0.25">
      <c r="A31" s="1" t="s">
        <v>8</v>
      </c>
      <c r="B31" s="1">
        <v>7951</v>
      </c>
      <c r="C31" s="1">
        <v>16612</v>
      </c>
      <c r="D31" s="1">
        <v>34780</v>
      </c>
      <c r="E31" s="1">
        <v>67840</v>
      </c>
      <c r="F31" s="1">
        <v>119590</v>
      </c>
      <c r="G31" s="1">
        <v>232310</v>
      </c>
      <c r="H31" s="1">
        <v>624230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</row>
    <row r="32" spans="1:203" x14ac:dyDescent="0.25">
      <c r="A32" s="1" t="s">
        <v>0</v>
      </c>
      <c r="B32" s="1">
        <v>4232</v>
      </c>
      <c r="C32" s="1">
        <v>9323</v>
      </c>
      <c r="D32" s="1">
        <v>17160</v>
      </c>
      <c r="E32" s="1">
        <v>33080</v>
      </c>
      <c r="F32" s="1">
        <v>65790</v>
      </c>
      <c r="G32" s="1">
        <v>140470</v>
      </c>
      <c r="H32" s="1">
        <v>305320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</row>
    <row r="33" spans="11:203" x14ac:dyDescent="0.25"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</row>
    <row r="34" spans="11:203" x14ac:dyDescent="0.25"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</row>
    <row r="35" spans="11:203" x14ac:dyDescent="0.25"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</row>
    <row r="36" spans="11:203" x14ac:dyDescent="0.25"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</row>
    <row r="37" spans="11:203" x14ac:dyDescent="0.25"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</row>
    <row r="38" spans="11:203" x14ac:dyDescent="0.25"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</row>
    <row r="39" spans="11:203" x14ac:dyDescent="0.25"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</row>
    <row r="40" spans="11:203" x14ac:dyDescent="0.25"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</row>
    <row r="41" spans="11:203" x14ac:dyDescent="0.25"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</row>
    <row r="42" spans="11:203" x14ac:dyDescent="0.25"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</row>
    <row r="43" spans="11:203" x14ac:dyDescent="0.25"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</row>
    <row r="44" spans="11:203" x14ac:dyDescent="0.25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</row>
    <row r="45" spans="11:203" x14ac:dyDescent="0.25"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</row>
    <row r="46" spans="11:203" x14ac:dyDescent="0.25"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</row>
    <row r="47" spans="11:203" x14ac:dyDescent="0.25"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</row>
    <row r="48" spans="11:203" x14ac:dyDescent="0.25"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</row>
    <row r="49" spans="11:171" x14ac:dyDescent="0.25"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</row>
    <row r="50" spans="11:171" x14ac:dyDescent="0.25"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</row>
    <row r="51" spans="11:171" x14ac:dyDescent="0.25"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</row>
    <row r="52" spans="11:171" x14ac:dyDescent="0.25"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</row>
    <row r="53" spans="11:171" x14ac:dyDescent="0.25"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</row>
    <row r="54" spans="11:171" x14ac:dyDescent="0.25"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</row>
    <row r="55" spans="11:171" x14ac:dyDescent="0.25"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</row>
    <row r="56" spans="11:171" x14ac:dyDescent="0.25"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</row>
    <row r="57" spans="11:171" x14ac:dyDescent="0.25"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</row>
    <row r="58" spans="11:171" x14ac:dyDescent="0.25"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</row>
    <row r="59" spans="11:171" x14ac:dyDescent="0.25"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</row>
    <row r="60" spans="11:171" x14ac:dyDescent="0.25"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</row>
    <row r="61" spans="11:171" x14ac:dyDescent="0.25"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</row>
    <row r="62" spans="11:171" x14ac:dyDescent="0.25"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</row>
    <row r="63" spans="11:171" x14ac:dyDescent="0.25"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</row>
    <row r="64" spans="11:171" x14ac:dyDescent="0.25"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</row>
    <row r="65" spans="11:171" x14ac:dyDescent="0.25"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</row>
    <row r="66" spans="11:171" x14ac:dyDescent="0.25"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</row>
    <row r="67" spans="11:171" x14ac:dyDescent="0.25"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</row>
    <row r="68" spans="11:171" x14ac:dyDescent="0.25"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</row>
    <row r="69" spans="11:171" x14ac:dyDescent="0.25"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</row>
    <row r="70" spans="11:171" x14ac:dyDescent="0.25"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</row>
    <row r="71" spans="11:171" x14ac:dyDescent="0.25"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</row>
    <row r="72" spans="11:171" x14ac:dyDescent="0.25"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</row>
    <row r="73" spans="11:171" x14ac:dyDescent="0.25"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</row>
    <row r="74" spans="11:171" x14ac:dyDescent="0.25"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</row>
    <row r="75" spans="11:171" x14ac:dyDescent="0.25"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</row>
    <row r="76" spans="11:171" x14ac:dyDescent="0.25"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</row>
    <row r="77" spans="11:171" x14ac:dyDescent="0.25"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</row>
    <row r="78" spans="11:171" x14ac:dyDescent="0.25"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</row>
    <row r="79" spans="11:171" x14ac:dyDescent="0.25"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</row>
    <row r="80" spans="11:171" x14ac:dyDescent="0.25"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</row>
    <row r="81" spans="11:139" x14ac:dyDescent="0.25"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</row>
    <row r="82" spans="11:139" x14ac:dyDescent="0.25"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</row>
    <row r="83" spans="11:139" x14ac:dyDescent="0.25"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</row>
    <row r="84" spans="11:139" x14ac:dyDescent="0.25"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</row>
    <row r="85" spans="11:139" x14ac:dyDescent="0.25"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</row>
    <row r="86" spans="11:139" x14ac:dyDescent="0.25"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</row>
    <row r="87" spans="11:139" x14ac:dyDescent="0.25"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</row>
    <row r="88" spans="11:139" x14ac:dyDescent="0.25"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</row>
    <row r="89" spans="11:139" x14ac:dyDescent="0.25"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</row>
    <row r="90" spans="11:139" x14ac:dyDescent="0.25"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</row>
    <row r="91" spans="11:139" x14ac:dyDescent="0.25"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</row>
    <row r="92" spans="11:139" x14ac:dyDescent="0.25"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</row>
    <row r="93" spans="11:139" x14ac:dyDescent="0.25"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</row>
    <row r="94" spans="11:139" x14ac:dyDescent="0.25"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</row>
    <row r="95" spans="11:139" x14ac:dyDescent="0.25"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</row>
    <row r="96" spans="11:139" x14ac:dyDescent="0.25"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</row>
    <row r="97" spans="11:139" x14ac:dyDescent="0.25"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</row>
    <row r="98" spans="11:139" x14ac:dyDescent="0.25"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</row>
    <row r="99" spans="11:139" x14ac:dyDescent="0.25"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</row>
    <row r="100" spans="11:139" x14ac:dyDescent="0.25"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</row>
    <row r="101" spans="11:139" x14ac:dyDescent="0.25"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</row>
    <row r="102" spans="11:139" x14ac:dyDescent="0.25"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</row>
    <row r="103" spans="11:139" x14ac:dyDescent="0.25"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</row>
    <row r="104" spans="11:139" x14ac:dyDescent="0.25"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</row>
    <row r="105" spans="11:139" x14ac:dyDescent="0.25"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1:139" x14ac:dyDescent="0.25"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1:139" x14ac:dyDescent="0.25"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1:139" x14ac:dyDescent="0.25"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1:139" x14ac:dyDescent="0.25"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1:139" x14ac:dyDescent="0.25"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1:139" x14ac:dyDescent="0.25"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1:139" x14ac:dyDescent="0.25"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1:107" x14ac:dyDescent="0.25"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1:107" x14ac:dyDescent="0.25"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1:107" x14ac:dyDescent="0.25"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1:107" x14ac:dyDescent="0.25"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1:107" x14ac:dyDescent="0.25"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1:107" x14ac:dyDescent="0.25"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1:107" x14ac:dyDescent="0.25"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1:107" x14ac:dyDescent="0.25"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1:107" x14ac:dyDescent="0.25"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1:107" x14ac:dyDescent="0.25"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1:107" x14ac:dyDescent="0.25"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1:107" x14ac:dyDescent="0.25"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1:107" x14ac:dyDescent="0.25"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1:107" x14ac:dyDescent="0.25"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1:107" x14ac:dyDescent="0.25"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1:107" x14ac:dyDescent="0.25"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1:107" x14ac:dyDescent="0.25"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1:107" x14ac:dyDescent="0.25"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1:107" x14ac:dyDescent="0.25"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1:107" x14ac:dyDescent="0.25"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</row>
    <row r="133" spans="11:107" x14ac:dyDescent="0.25"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</row>
    <row r="134" spans="11:107" x14ac:dyDescent="0.25"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</row>
    <row r="135" spans="11:107" x14ac:dyDescent="0.25"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</row>
    <row r="136" spans="11:107" x14ac:dyDescent="0.25"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</row>
    <row r="137" spans="11:107" x14ac:dyDescent="0.25"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</row>
    <row r="138" spans="11:107" x14ac:dyDescent="0.25"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</row>
    <row r="139" spans="11:107" x14ac:dyDescent="0.25"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</row>
    <row r="140" spans="11:107" x14ac:dyDescent="0.25"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</row>
    <row r="141" spans="11:107" x14ac:dyDescent="0.25"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</row>
    <row r="142" spans="11:107" x14ac:dyDescent="0.25"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</row>
    <row r="143" spans="11:107" x14ac:dyDescent="0.25"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</row>
    <row r="144" spans="11:107" x14ac:dyDescent="0.25"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</row>
    <row r="145" spans="11:75" x14ac:dyDescent="0.25"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</row>
    <row r="146" spans="11:75" x14ac:dyDescent="0.25"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</row>
    <row r="147" spans="11:75" x14ac:dyDescent="0.25"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</row>
    <row r="148" spans="11:75" x14ac:dyDescent="0.25"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</row>
    <row r="149" spans="11:75" x14ac:dyDescent="0.25"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</row>
    <row r="150" spans="11:75" x14ac:dyDescent="0.25"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</row>
    <row r="151" spans="11:75" x14ac:dyDescent="0.25"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</row>
    <row r="152" spans="11:75" x14ac:dyDescent="0.25"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</row>
    <row r="153" spans="11:75" x14ac:dyDescent="0.25"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</row>
    <row r="154" spans="11:75" x14ac:dyDescent="0.25"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</row>
    <row r="155" spans="11:75" x14ac:dyDescent="0.25"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</row>
    <row r="156" spans="11:75" x14ac:dyDescent="0.25"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</row>
    <row r="157" spans="11:75" x14ac:dyDescent="0.25"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</row>
    <row r="158" spans="11:75" x14ac:dyDescent="0.25"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</row>
    <row r="159" spans="11:75" x14ac:dyDescent="0.25"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</row>
    <row r="160" spans="11:75" x14ac:dyDescent="0.25"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</row>
    <row r="161" spans="11:43" x14ac:dyDescent="0.25"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</row>
    <row r="162" spans="11:43" x14ac:dyDescent="0.25"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</row>
    <row r="163" spans="11:43" x14ac:dyDescent="0.25"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</row>
    <row r="164" spans="11:43" x14ac:dyDescent="0.25"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</row>
    <row r="165" spans="11:43" x14ac:dyDescent="0.25"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</row>
    <row r="166" spans="11:43" x14ac:dyDescent="0.25"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</row>
    <row r="167" spans="11:43" x14ac:dyDescent="0.25"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</row>
    <row r="168" spans="11:43" x14ac:dyDescent="0.25"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</row>
    <row r="169" spans="11:43" x14ac:dyDescent="0.25"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</row>
    <row r="170" spans="11:43" x14ac:dyDescent="0.25"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</row>
    <row r="171" spans="11:43" x14ac:dyDescent="0.25"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</row>
    <row r="172" spans="11:43" x14ac:dyDescent="0.25"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</row>
    <row r="173" spans="11:43" x14ac:dyDescent="0.25"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</row>
    <row r="174" spans="11:43" x14ac:dyDescent="0.25"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</row>
    <row r="175" spans="11:43" x14ac:dyDescent="0.25"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</row>
    <row r="176" spans="11:43" x14ac:dyDescent="0.25"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</row>
    <row r="177" spans="11:43" x14ac:dyDescent="0.25"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</row>
    <row r="178" spans="11:43" x14ac:dyDescent="0.25"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</row>
    <row r="179" spans="11:43" x14ac:dyDescent="0.25"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</row>
    <row r="180" spans="11:43" x14ac:dyDescent="0.25"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</row>
    <row r="181" spans="11:43" x14ac:dyDescent="0.25"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</row>
    <row r="182" spans="11:43" x14ac:dyDescent="0.25"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</row>
    <row r="183" spans="11:43" x14ac:dyDescent="0.25"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</row>
    <row r="184" spans="11:43" x14ac:dyDescent="0.25"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</row>
    <row r="185" spans="11:43" x14ac:dyDescent="0.25"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</row>
    <row r="186" spans="11:43" x14ac:dyDescent="0.25"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</row>
    <row r="187" spans="11:43" x14ac:dyDescent="0.25"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</row>
    <row r="188" spans="11:43" x14ac:dyDescent="0.25"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</row>
    <row r="189" spans="11:43" x14ac:dyDescent="0.25"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</row>
    <row r="190" spans="11:43" x14ac:dyDescent="0.25"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</row>
    <row r="191" spans="11:43" x14ac:dyDescent="0.25"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</row>
    <row r="192" spans="11:43" x14ac:dyDescent="0.25"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</row>
    <row r="193" spans="11:43" x14ac:dyDescent="0.25"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</row>
    <row r="194" spans="11:43" x14ac:dyDescent="0.25"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</row>
    <row r="195" spans="11:43" x14ac:dyDescent="0.25"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</row>
    <row r="196" spans="11:43" x14ac:dyDescent="0.25"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</row>
    <row r="197" spans="11:43" x14ac:dyDescent="0.25"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</row>
    <row r="198" spans="11:43" x14ac:dyDescent="0.25"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</row>
    <row r="199" spans="11:43" x14ac:dyDescent="0.25"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</row>
    <row r="200" spans="11:43" x14ac:dyDescent="0.25"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</row>
    <row r="201" spans="11:43" x14ac:dyDescent="0.25"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</row>
    <row r="202" spans="11:43" x14ac:dyDescent="0.25"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</row>
    <row r="203" spans="11:43" x14ac:dyDescent="0.25"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74"/>
  <sheetViews>
    <sheetView topLeftCell="A22" workbookViewId="0">
      <selection activeCell="I33" sqref="I33"/>
    </sheetView>
  </sheetViews>
  <sheetFormatPr defaultRowHeight="15" x14ac:dyDescent="0.25"/>
  <cols>
    <col min="1" max="1" width="9.140625" style="2"/>
    <col min="2" max="8" width="11.85546875" style="2" customWidth="1"/>
    <col min="9" max="10" width="9.140625" style="2"/>
    <col min="11" max="11" width="20" style="2" customWidth="1"/>
    <col min="12" max="12" width="16.28515625" style="2" customWidth="1"/>
    <col min="13" max="13" width="17.7109375" style="2" customWidth="1"/>
    <col min="14" max="15" width="10" style="2" customWidth="1"/>
    <col min="16" max="16" width="12.140625" style="2" customWidth="1"/>
    <col min="17" max="17" width="10" style="2" customWidth="1"/>
    <col min="18" max="18" width="9" style="2" customWidth="1"/>
    <col min="19" max="19" width="10" style="2" customWidth="1"/>
    <col min="20" max="20" width="9" style="2" customWidth="1"/>
    <col min="21" max="21" width="16.85546875" style="2" customWidth="1"/>
    <col min="22" max="22" width="17" style="2" customWidth="1"/>
    <col min="23" max="25" width="10" style="2" customWidth="1"/>
    <col min="26" max="26" width="15.85546875" style="2" customWidth="1"/>
    <col min="27" max="27" width="12.140625" style="2" customWidth="1"/>
    <col min="28" max="28" width="9" style="2" customWidth="1"/>
    <col min="29" max="29" width="10.7109375" style="2" customWidth="1"/>
    <col min="30" max="30" width="9" style="2" customWidth="1"/>
    <col min="31" max="31" width="9.28515625" style="2" customWidth="1"/>
    <col min="32" max="32" width="10" style="2" customWidth="1"/>
    <col min="33" max="33" width="11.140625" style="2" customWidth="1"/>
    <col min="34" max="35" width="10" style="2" customWidth="1"/>
    <col min="36" max="36" width="9" style="2" customWidth="1"/>
    <col min="37" max="37" width="11" style="2" customWidth="1"/>
    <col min="38" max="38" width="10" style="2" customWidth="1"/>
    <col min="39" max="39" width="9" style="2" customWidth="1"/>
    <col min="40" max="40" width="13.28515625" style="2" customWidth="1"/>
    <col min="41" max="41" width="12" style="2" customWidth="1"/>
    <col min="42" max="42" width="12.140625" style="2" customWidth="1"/>
    <col min="43" max="43" width="12" style="2" customWidth="1"/>
    <col min="44" max="45" width="20" style="2" customWidth="1"/>
    <col min="46" max="46" width="20" style="2" bestFit="1" customWidth="1"/>
    <col min="47" max="48" width="20" style="2" customWidth="1"/>
    <col min="49" max="50" width="20" style="2" bestFit="1" customWidth="1"/>
    <col min="51" max="52" width="20" style="2" customWidth="1"/>
    <col min="53" max="53" width="20" style="2" bestFit="1" customWidth="1"/>
    <col min="54" max="54" width="20" style="2" customWidth="1"/>
    <col min="55" max="55" width="20" style="2" bestFit="1" customWidth="1"/>
    <col min="56" max="57" width="20" style="2" customWidth="1"/>
    <col min="58" max="59" width="20" style="2" bestFit="1" customWidth="1"/>
    <col min="60" max="60" width="20" style="2" customWidth="1"/>
    <col min="61" max="61" width="20" style="2" bestFit="1" customWidth="1"/>
    <col min="62" max="64" width="20" style="2" customWidth="1"/>
    <col min="65" max="65" width="20" style="2" bestFit="1" customWidth="1"/>
    <col min="66" max="69" width="20" style="2" customWidth="1"/>
    <col min="70" max="73" width="20" style="2" bestFit="1" customWidth="1"/>
    <col min="74" max="78" width="20" style="2" customWidth="1"/>
    <col min="79" max="79" width="20" style="2" bestFit="1" customWidth="1"/>
    <col min="80" max="80" width="20" style="2" customWidth="1"/>
    <col min="81" max="81" width="20" style="2" bestFit="1" customWidth="1"/>
    <col min="82" max="82" width="20" style="2" customWidth="1"/>
    <col min="83" max="83" width="20" style="2" bestFit="1" customWidth="1"/>
    <col min="84" max="84" width="20" style="2" customWidth="1"/>
    <col min="85" max="86" width="20" style="2" bestFit="1" customWidth="1"/>
    <col min="87" max="88" width="20" style="2" customWidth="1"/>
    <col min="89" max="89" width="20" style="2" bestFit="1" customWidth="1"/>
    <col min="90" max="90" width="20" style="2" customWidth="1"/>
    <col min="91" max="91" width="20" style="2" bestFit="1" customWidth="1"/>
    <col min="92" max="92" width="20" style="2" customWidth="1"/>
    <col min="93" max="95" width="20" style="2" bestFit="1" customWidth="1"/>
    <col min="96" max="97" width="20" style="2" customWidth="1"/>
    <col min="98" max="99" width="20" style="2" bestFit="1" customWidth="1"/>
    <col min="100" max="100" width="20" style="2" customWidth="1"/>
    <col min="101" max="101" width="20" style="2" bestFit="1" customWidth="1"/>
    <col min="102" max="102" width="20" style="2" customWidth="1"/>
    <col min="103" max="103" width="20" style="2" bestFit="1" customWidth="1"/>
    <col min="104" max="108" width="20" style="2" customWidth="1"/>
    <col min="109" max="113" width="20" style="2" bestFit="1" customWidth="1"/>
    <col min="114" max="114" width="20" style="2" customWidth="1"/>
    <col min="115" max="116" width="20" style="2" bestFit="1" customWidth="1"/>
    <col min="117" max="117" width="20" style="2" customWidth="1"/>
    <col min="118" max="119" width="20" style="2" bestFit="1" customWidth="1"/>
    <col min="120" max="120" width="20" style="2" customWidth="1"/>
    <col min="121" max="121" width="20" style="2" bestFit="1" customWidth="1"/>
    <col min="122" max="122" width="20" style="2" customWidth="1"/>
    <col min="123" max="125" width="20" style="2" bestFit="1" customWidth="1"/>
    <col min="126" max="127" width="20" style="2" customWidth="1"/>
    <col min="128" max="135" width="20" style="2" bestFit="1" customWidth="1"/>
    <col min="136" max="139" width="20" style="2" customWidth="1"/>
    <col min="140" max="143" width="20" style="2" bestFit="1" customWidth="1"/>
    <col min="144" max="144" width="20" style="2" customWidth="1"/>
    <col min="145" max="149" width="20" style="2" bestFit="1" customWidth="1"/>
    <col min="150" max="150" width="20" style="2" customWidth="1"/>
    <col min="151" max="155" width="20" style="2" bestFit="1" customWidth="1"/>
    <col min="156" max="156" width="20" style="2" customWidth="1"/>
    <col min="157" max="166" width="20" style="2" bestFit="1" customWidth="1"/>
    <col min="167" max="171" width="20" style="2" customWidth="1"/>
    <col min="172" max="197" width="20" style="2" bestFit="1" customWidth="1"/>
    <col min="198" max="203" width="20" style="2" customWidth="1"/>
    <col min="204" max="227" width="20" style="2" bestFit="1" customWidth="1"/>
    <col min="228" max="228" width="25" style="2" bestFit="1" customWidth="1"/>
    <col min="229" max="234" width="23" style="2" bestFit="1" customWidth="1"/>
    <col min="235" max="16384" width="9.140625" style="2"/>
  </cols>
  <sheetData>
    <row r="1" spans="1:234" x14ac:dyDescent="0.25">
      <c r="A1" s="2" t="s">
        <v>31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99</v>
      </c>
    </row>
    <row r="2" spans="1:234" x14ac:dyDescent="0.25">
      <c r="A2" s="1" t="s">
        <v>15</v>
      </c>
      <c r="B2" s="1">
        <v>487</v>
      </c>
      <c r="C2" s="1">
        <v>1146</v>
      </c>
      <c r="D2" s="1">
        <v>2029</v>
      </c>
      <c r="E2" s="1">
        <v>4271</v>
      </c>
      <c r="F2" s="1">
        <v>6998</v>
      </c>
      <c r="G2" s="1">
        <v>12349.68</v>
      </c>
      <c r="H2" s="1">
        <v>37073.78</v>
      </c>
      <c r="I2" s="1">
        <f>SUM(Table7[[#This Row],[1980-1985]:[2010-2016]])</f>
        <v>64354.46</v>
      </c>
    </row>
    <row r="3" spans="1:234" x14ac:dyDescent="0.25">
      <c r="A3" s="1" t="s">
        <v>16</v>
      </c>
      <c r="B3" s="1">
        <v>436</v>
      </c>
      <c r="C3" s="1">
        <v>965</v>
      </c>
      <c r="D3" s="1">
        <v>2029</v>
      </c>
      <c r="E3" s="1">
        <v>3625</v>
      </c>
      <c r="F3" s="1">
        <v>6352</v>
      </c>
      <c r="G3" s="1">
        <v>11701.15</v>
      </c>
      <c r="H3" s="1">
        <v>36922.910000000003</v>
      </c>
      <c r="I3" s="1">
        <f>SUM(Table7[[#This Row],[1980-1985]:[2010-2016]])</f>
        <v>62031.060000000005</v>
      </c>
    </row>
    <row r="4" spans="1:234" x14ac:dyDescent="0.25">
      <c r="A4" s="1" t="s">
        <v>17</v>
      </c>
      <c r="B4" s="1"/>
      <c r="C4" s="1">
        <v>895</v>
      </c>
      <c r="D4" s="1">
        <v>1883</v>
      </c>
      <c r="E4" s="1">
        <v>3433</v>
      </c>
      <c r="F4" s="1">
        <v>5963</v>
      </c>
      <c r="G4" s="1">
        <v>10229.49</v>
      </c>
      <c r="H4" s="1">
        <v>30061.79</v>
      </c>
      <c r="I4" s="1">
        <f>SUM(Table7[[#This Row],[1980-1985]:[2010-2016]])</f>
        <v>52465.279999999999</v>
      </c>
    </row>
    <row r="5" spans="1:234" x14ac:dyDescent="0.25">
      <c r="A5" s="1" t="s">
        <v>18</v>
      </c>
      <c r="B5" s="1">
        <v>649</v>
      </c>
      <c r="C5" s="1">
        <v>1532</v>
      </c>
      <c r="D5" s="1">
        <v>2840</v>
      </c>
      <c r="E5" s="1">
        <v>4943</v>
      </c>
      <c r="F5" s="1">
        <v>7875</v>
      </c>
      <c r="G5" s="1">
        <v>12996.95</v>
      </c>
      <c r="H5" s="1">
        <v>36682.400000000001</v>
      </c>
      <c r="I5" s="1">
        <f>SUM(Table7[[#This Row],[1980-1985]:[2010-2016]])</f>
        <v>67518.350000000006</v>
      </c>
    </row>
    <row r="6" spans="1:234" x14ac:dyDescent="0.25">
      <c r="A6" s="1" t="s">
        <v>19</v>
      </c>
      <c r="B6" s="1">
        <v>3620</v>
      </c>
      <c r="C6" s="1">
        <v>7162</v>
      </c>
      <c r="D6" s="1">
        <v>15393</v>
      </c>
      <c r="E6" s="1">
        <v>30630</v>
      </c>
      <c r="F6" s="1">
        <v>51955</v>
      </c>
      <c r="G6" s="1">
        <v>96959.58</v>
      </c>
      <c r="H6" s="1">
        <v>273994.61</v>
      </c>
      <c r="I6" s="1">
        <f>SUM(Table7[[#This Row],[1980-1985]:[2010-2016]])</f>
        <v>479714.19</v>
      </c>
    </row>
    <row r="7" spans="1:234" x14ac:dyDescent="0.25">
      <c r="A7" s="1" t="s">
        <v>20</v>
      </c>
      <c r="B7" s="1">
        <v>3615</v>
      </c>
      <c r="C7" s="1">
        <v>7888</v>
      </c>
      <c r="D7" s="1">
        <v>20227</v>
      </c>
      <c r="E7" s="1">
        <v>38975</v>
      </c>
      <c r="F7" s="1">
        <v>72148</v>
      </c>
      <c r="G7" s="1">
        <v>111789.93</v>
      </c>
      <c r="H7" s="1">
        <v>248647.05</v>
      </c>
      <c r="I7" s="1">
        <f>SUM(Table7[[#This Row],[1980-1985]:[2010-2016]])</f>
        <v>503289.98</v>
      </c>
    </row>
    <row r="8" spans="1:234" x14ac:dyDescent="0.25">
      <c r="A8" s="1" t="s">
        <v>21</v>
      </c>
      <c r="B8" s="1">
        <v>4868</v>
      </c>
      <c r="C8" s="1">
        <v>11183</v>
      </c>
      <c r="D8" s="1">
        <v>25202</v>
      </c>
      <c r="E8" s="1">
        <v>50750</v>
      </c>
      <c r="F8" s="1">
        <v>86754</v>
      </c>
      <c r="G8" s="1">
        <v>150008.79999999999</v>
      </c>
      <c r="H8" s="1">
        <v>449190.83</v>
      </c>
      <c r="I8" s="1">
        <f>SUM(Table7[[#This Row],[1980-1985]:[2010-2016]])</f>
        <v>777956.63</v>
      </c>
    </row>
    <row r="9" spans="1:234" x14ac:dyDescent="0.25">
      <c r="A9" s="1" t="s">
        <v>22</v>
      </c>
      <c r="B9" s="1">
        <v>206</v>
      </c>
      <c r="C9" s="1">
        <v>486</v>
      </c>
      <c r="D9" s="1">
        <v>1178</v>
      </c>
      <c r="E9" s="1">
        <v>6264</v>
      </c>
      <c r="F9" s="1">
        <v>7214</v>
      </c>
      <c r="G9" s="1">
        <v>11036.66</v>
      </c>
      <c r="H9" s="1">
        <v>21761.93</v>
      </c>
      <c r="I9" s="1">
        <f>SUM(Table7[[#This Row],[1980-1985]:[2010-2016]])</f>
        <v>48146.59</v>
      </c>
    </row>
    <row r="10" spans="1:234" x14ac:dyDescent="0.25">
      <c r="A10" s="1" t="s">
        <v>23</v>
      </c>
      <c r="B10" s="1">
        <v>8209</v>
      </c>
      <c r="C10" s="1">
        <v>17095</v>
      </c>
      <c r="D10" s="1">
        <v>41257</v>
      </c>
      <c r="E10" s="1">
        <v>77352</v>
      </c>
      <c r="F10" s="1">
        <v>123423</v>
      </c>
      <c r="G10" s="1">
        <v>226214.61</v>
      </c>
      <c r="H10" s="1">
        <v>647669.18000000005</v>
      </c>
      <c r="I10" s="1">
        <f>SUM(Table7[[#This Row],[1980-1985]:[2010-2016]])</f>
        <v>1141219.79</v>
      </c>
    </row>
    <row r="11" spans="1:234" x14ac:dyDescent="0.25">
      <c r="A11" s="1" t="s">
        <v>24</v>
      </c>
      <c r="B11" s="1"/>
      <c r="C11" s="1"/>
      <c r="D11" s="1"/>
      <c r="E11" s="1"/>
      <c r="F11" s="1"/>
      <c r="G11" s="1"/>
      <c r="H11" s="1">
        <v>173409.97</v>
      </c>
      <c r="I11" s="1">
        <f>SUM(Table7[[#This Row],[1980-1985]:[2010-2016]])</f>
        <v>173409.97</v>
      </c>
    </row>
    <row r="12" spans="1:234" x14ac:dyDescent="0.25">
      <c r="A12" s="1" t="s">
        <v>25</v>
      </c>
      <c r="B12" s="1">
        <v>573</v>
      </c>
      <c r="C12" s="1">
        <v>1517</v>
      </c>
      <c r="D12" s="1">
        <v>2944</v>
      </c>
      <c r="E12" s="1">
        <v>5391</v>
      </c>
      <c r="F12" s="1">
        <v>9753</v>
      </c>
      <c r="G12" s="1">
        <v>15012.24</v>
      </c>
      <c r="H12" s="1">
        <v>37758.879999999997</v>
      </c>
      <c r="I12" s="1">
        <f>SUM(Table7[[#This Row],[1980-1985]:[2010-2016]])</f>
        <v>72949.119999999995</v>
      </c>
      <c r="K12"/>
      <c r="L12" s="12" t="s">
        <v>76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</row>
    <row r="13" spans="1:234" x14ac:dyDescent="0.25">
      <c r="A13" s="1" t="s">
        <v>26</v>
      </c>
      <c r="B13" s="1">
        <v>12039</v>
      </c>
      <c r="C13" s="1">
        <v>27042</v>
      </c>
      <c r="D13" s="1">
        <v>61305</v>
      </c>
      <c r="E13" s="1">
        <v>113782</v>
      </c>
      <c r="F13" s="1">
        <v>190583</v>
      </c>
      <c r="G13" s="1">
        <v>332881.49</v>
      </c>
      <c r="H13" s="1">
        <v>937777.7</v>
      </c>
      <c r="I13" s="1">
        <f>SUM(Table7[[#This Row],[1980-1985]:[2010-2016]])</f>
        <v>1675410.19</v>
      </c>
      <c r="K13" s="12" t="s">
        <v>84</v>
      </c>
      <c r="L13" t="s">
        <v>0</v>
      </c>
      <c r="M13" t="s">
        <v>13</v>
      </c>
      <c r="N13" t="s">
        <v>14</v>
      </c>
      <c r="O13" t="s">
        <v>9</v>
      </c>
      <c r="P13" t="s">
        <v>10</v>
      </c>
      <c r="Q13" t="s">
        <v>29</v>
      </c>
      <c r="R13" t="s">
        <v>11</v>
      </c>
      <c r="S13" t="s">
        <v>12</v>
      </c>
      <c r="T13" t="s">
        <v>1</v>
      </c>
      <c r="U13" t="s">
        <v>2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  <c r="AB13" t="s">
        <v>15</v>
      </c>
      <c r="AC13" t="s">
        <v>16</v>
      </c>
      <c r="AD13" t="s">
        <v>17</v>
      </c>
      <c r="AE13" t="s">
        <v>18</v>
      </c>
      <c r="AF13" t="s">
        <v>19</v>
      </c>
      <c r="AG13" t="s">
        <v>30</v>
      </c>
      <c r="AH13" t="s">
        <v>20</v>
      </c>
      <c r="AI13" t="s">
        <v>21</v>
      </c>
      <c r="AJ13" t="s">
        <v>22</v>
      </c>
      <c r="AK13" t="s">
        <v>23</v>
      </c>
      <c r="AL13" t="s">
        <v>24</v>
      </c>
      <c r="AM13" t="s">
        <v>25</v>
      </c>
      <c r="AN13" t="s">
        <v>26</v>
      </c>
      <c r="AO13" t="s">
        <v>27</v>
      </c>
      <c r="AP13" t="s">
        <v>28</v>
      </c>
      <c r="AQ13" t="s">
        <v>75</v>
      </c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</row>
    <row r="14" spans="1:234" x14ac:dyDescent="0.25">
      <c r="A14" s="1" t="s">
        <v>27</v>
      </c>
      <c r="B14" s="1"/>
      <c r="C14" s="1"/>
      <c r="D14" s="1"/>
      <c r="E14" s="1"/>
      <c r="F14" s="1">
        <v>16821</v>
      </c>
      <c r="G14" s="1">
        <v>38395.839999999997</v>
      </c>
      <c r="H14" s="1">
        <v>104864.85</v>
      </c>
      <c r="I14" s="1">
        <f>SUM(Table7[[#This Row],[1980-1985]:[2010-2016]])</f>
        <v>160081.69</v>
      </c>
      <c r="K14" s="13" t="s">
        <v>77</v>
      </c>
      <c r="L14" s="14">
        <v>8559</v>
      </c>
      <c r="M14" s="14"/>
      <c r="N14" s="14">
        <v>2765</v>
      </c>
      <c r="O14" s="14">
        <v>6572</v>
      </c>
      <c r="P14" s="14"/>
      <c r="Q14" s="14"/>
      <c r="R14" s="14"/>
      <c r="S14" s="14">
        <v>6352</v>
      </c>
      <c r="T14" s="14">
        <v>2838</v>
      </c>
      <c r="U14" s="14">
        <v>1291</v>
      </c>
      <c r="V14" s="14">
        <v>1826</v>
      </c>
      <c r="W14" s="14"/>
      <c r="X14" s="14">
        <v>6437</v>
      </c>
      <c r="Y14" s="14">
        <v>4337</v>
      </c>
      <c r="Z14" s="14">
        <v>6817</v>
      </c>
      <c r="AA14" s="14">
        <v>13844</v>
      </c>
      <c r="AB14" s="14">
        <v>487</v>
      </c>
      <c r="AC14" s="14">
        <v>436</v>
      </c>
      <c r="AD14" s="14"/>
      <c r="AE14" s="14">
        <v>649</v>
      </c>
      <c r="AF14" s="14">
        <v>3620</v>
      </c>
      <c r="AG14" s="14"/>
      <c r="AH14" s="14">
        <v>3615</v>
      </c>
      <c r="AI14" s="14">
        <v>4868</v>
      </c>
      <c r="AJ14" s="14">
        <v>206</v>
      </c>
      <c r="AK14" s="14">
        <v>8209</v>
      </c>
      <c r="AL14" s="14"/>
      <c r="AM14" s="14">
        <v>573</v>
      </c>
      <c r="AN14" s="14">
        <v>12039</v>
      </c>
      <c r="AO14" s="14"/>
      <c r="AP14" s="14">
        <v>7939</v>
      </c>
      <c r="AQ14" s="14">
        <v>4739.954545454545</v>
      </c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</row>
    <row r="15" spans="1:234" x14ac:dyDescent="0.25">
      <c r="A15" s="1" t="s">
        <v>28</v>
      </c>
      <c r="B15" s="1">
        <v>7939</v>
      </c>
      <c r="C15" s="1">
        <v>15432</v>
      </c>
      <c r="D15" s="1">
        <v>30653</v>
      </c>
      <c r="E15" s="1">
        <v>64051</v>
      </c>
      <c r="F15" s="1">
        <v>122563</v>
      </c>
      <c r="G15" s="1">
        <v>213705.2</v>
      </c>
      <c r="H15" s="1">
        <v>531700.91</v>
      </c>
      <c r="I15" s="1">
        <f>SUM(Table7[[#This Row],[1980-1985]:[2010-2016]])</f>
        <v>986044.1100000001</v>
      </c>
      <c r="K15" s="13" t="s">
        <v>80</v>
      </c>
      <c r="L15" s="14">
        <v>18428</v>
      </c>
      <c r="M15" s="14"/>
      <c r="N15" s="14">
        <v>6522</v>
      </c>
      <c r="O15" s="14">
        <v>14150</v>
      </c>
      <c r="P15" s="14"/>
      <c r="Q15" s="14"/>
      <c r="R15" s="14"/>
      <c r="S15" s="14">
        <v>14623</v>
      </c>
      <c r="T15" s="14">
        <v>6254</v>
      </c>
      <c r="U15" s="14">
        <v>3035</v>
      </c>
      <c r="V15" s="14">
        <v>4156</v>
      </c>
      <c r="W15" s="14"/>
      <c r="X15" s="14">
        <v>13455</v>
      </c>
      <c r="Y15" s="14">
        <v>9240</v>
      </c>
      <c r="Z15" s="14">
        <v>15085</v>
      </c>
      <c r="AA15" s="14">
        <v>29419</v>
      </c>
      <c r="AB15" s="14">
        <v>1146</v>
      </c>
      <c r="AC15" s="14">
        <v>965</v>
      </c>
      <c r="AD15" s="14">
        <v>895</v>
      </c>
      <c r="AE15" s="14">
        <v>1532</v>
      </c>
      <c r="AF15" s="14">
        <v>7162</v>
      </c>
      <c r="AG15" s="14"/>
      <c r="AH15" s="14">
        <v>7888</v>
      </c>
      <c r="AI15" s="14">
        <v>11183</v>
      </c>
      <c r="AJ15" s="14">
        <v>486</v>
      </c>
      <c r="AK15" s="14">
        <v>17095</v>
      </c>
      <c r="AL15" s="14"/>
      <c r="AM15" s="14">
        <v>1517</v>
      </c>
      <c r="AN15" s="14">
        <v>27042</v>
      </c>
      <c r="AO15" s="14"/>
      <c r="AP15" s="14">
        <v>15432</v>
      </c>
      <c r="AQ15" s="14">
        <v>9856.95652173913</v>
      </c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</row>
    <row r="16" spans="1:234" x14ac:dyDescent="0.25">
      <c r="A16" s="1" t="s">
        <v>29</v>
      </c>
      <c r="B16" s="1"/>
      <c r="C16" s="1"/>
      <c r="D16" s="1"/>
      <c r="E16" s="1">
        <v>12594</v>
      </c>
      <c r="F16" s="1">
        <v>24253</v>
      </c>
      <c r="G16" s="1">
        <v>49704.43</v>
      </c>
      <c r="H16" s="1">
        <v>131812.34</v>
      </c>
      <c r="I16" s="1">
        <f>SUM(Table7[[#This Row],[1980-1985]:[2010-2016]])</f>
        <v>218363.77</v>
      </c>
      <c r="K16" s="13" t="s">
        <v>79</v>
      </c>
      <c r="L16" s="14">
        <v>36679</v>
      </c>
      <c r="M16" s="14">
        <v>1724</v>
      </c>
      <c r="N16" s="14">
        <v>12691</v>
      </c>
      <c r="O16" s="14">
        <v>32247</v>
      </c>
      <c r="P16" s="14"/>
      <c r="Q16" s="14"/>
      <c r="R16" s="14">
        <v>1895</v>
      </c>
      <c r="S16" s="14">
        <v>30009</v>
      </c>
      <c r="T16" s="14">
        <v>16260</v>
      </c>
      <c r="U16" s="14">
        <v>5997</v>
      </c>
      <c r="V16" s="14">
        <v>8644</v>
      </c>
      <c r="W16" s="14"/>
      <c r="X16" s="14">
        <v>27990</v>
      </c>
      <c r="Y16" s="14">
        <v>19056</v>
      </c>
      <c r="Z16" s="14">
        <v>31651</v>
      </c>
      <c r="AA16" s="14">
        <v>58271</v>
      </c>
      <c r="AB16" s="14">
        <v>2029</v>
      </c>
      <c r="AC16" s="14">
        <v>2029</v>
      </c>
      <c r="AD16" s="14">
        <v>1883</v>
      </c>
      <c r="AE16" s="14">
        <v>2840</v>
      </c>
      <c r="AF16" s="14">
        <v>15393</v>
      </c>
      <c r="AG16" s="14"/>
      <c r="AH16" s="14">
        <v>20227</v>
      </c>
      <c r="AI16" s="14">
        <v>25202</v>
      </c>
      <c r="AJ16" s="14">
        <v>1178</v>
      </c>
      <c r="AK16" s="14">
        <v>41257</v>
      </c>
      <c r="AL16" s="14"/>
      <c r="AM16" s="14">
        <v>2944</v>
      </c>
      <c r="AN16" s="14">
        <v>61305</v>
      </c>
      <c r="AO16" s="14"/>
      <c r="AP16" s="14">
        <v>30653</v>
      </c>
      <c r="AQ16" s="14">
        <v>19602.16</v>
      </c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</row>
    <row r="17" spans="1:203" x14ac:dyDescent="0.25">
      <c r="A17" s="1" t="s">
        <v>30</v>
      </c>
      <c r="B17" s="1"/>
      <c r="C17" s="1"/>
      <c r="D17" s="1"/>
      <c r="E17" s="1"/>
      <c r="F17" s="1"/>
      <c r="G17" s="1">
        <v>11575.95</v>
      </c>
      <c r="H17" s="1">
        <v>24949.88</v>
      </c>
      <c r="I17" s="1">
        <f>SUM(Table7[[#This Row],[1980-1985]:[2010-2016]])</f>
        <v>36525.83</v>
      </c>
      <c r="K17" s="13" t="s">
        <v>78</v>
      </c>
      <c r="L17" s="14">
        <v>74532</v>
      </c>
      <c r="M17" s="14">
        <v>3342</v>
      </c>
      <c r="N17" s="14">
        <v>21448</v>
      </c>
      <c r="O17" s="14">
        <v>52418</v>
      </c>
      <c r="P17" s="14"/>
      <c r="Q17" s="14">
        <v>12594</v>
      </c>
      <c r="R17" s="14">
        <v>5421</v>
      </c>
      <c r="S17" s="14">
        <v>64291</v>
      </c>
      <c r="T17" s="14">
        <v>32717</v>
      </c>
      <c r="U17" s="14">
        <v>13906</v>
      </c>
      <c r="V17" s="14">
        <v>19859</v>
      </c>
      <c r="W17" s="14"/>
      <c r="X17" s="14">
        <v>57250</v>
      </c>
      <c r="Y17" s="14">
        <v>41649</v>
      </c>
      <c r="Z17" s="14">
        <v>62673</v>
      </c>
      <c r="AA17" s="14">
        <v>116112</v>
      </c>
      <c r="AB17" s="14">
        <v>4271</v>
      </c>
      <c r="AC17" s="14">
        <v>3625</v>
      </c>
      <c r="AD17" s="14">
        <v>3433</v>
      </c>
      <c r="AE17" s="14">
        <v>4943</v>
      </c>
      <c r="AF17" s="14">
        <v>30630</v>
      </c>
      <c r="AG17" s="14"/>
      <c r="AH17" s="14">
        <v>38975</v>
      </c>
      <c r="AI17" s="14">
        <v>50750</v>
      </c>
      <c r="AJ17" s="14">
        <v>6264</v>
      </c>
      <c r="AK17" s="14">
        <v>77352</v>
      </c>
      <c r="AL17" s="14"/>
      <c r="AM17" s="14">
        <v>5391</v>
      </c>
      <c r="AN17" s="14">
        <v>113782</v>
      </c>
      <c r="AO17" s="14"/>
      <c r="AP17" s="14">
        <v>64051</v>
      </c>
      <c r="AQ17" s="14">
        <v>37756.884615384617</v>
      </c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</row>
    <row r="18" spans="1:203" x14ac:dyDescent="0.25">
      <c r="A18" s="1" t="s">
        <v>0</v>
      </c>
      <c r="B18" s="1">
        <v>8559</v>
      </c>
      <c r="C18" s="1">
        <v>18428</v>
      </c>
      <c r="D18" s="1">
        <v>36679</v>
      </c>
      <c r="E18" s="1">
        <v>74532</v>
      </c>
      <c r="F18" s="1">
        <v>134990</v>
      </c>
      <c r="G18" s="1">
        <v>255639.15</v>
      </c>
      <c r="H18" s="1">
        <v>577759.9</v>
      </c>
      <c r="I18" s="1">
        <f>SUM(Table7[[#This Row],[1980-1985]:[2010-2016]])</f>
        <v>1106587.05</v>
      </c>
      <c r="K18" s="13" t="s">
        <v>83</v>
      </c>
      <c r="L18" s="14">
        <v>134990</v>
      </c>
      <c r="M18" s="14">
        <v>5872</v>
      </c>
      <c r="N18" s="14">
        <v>39055</v>
      </c>
      <c r="O18" s="14">
        <v>70200</v>
      </c>
      <c r="P18" s="14">
        <v>25759</v>
      </c>
      <c r="Q18" s="14">
        <v>24253</v>
      </c>
      <c r="R18" s="14">
        <v>9517</v>
      </c>
      <c r="S18" s="14">
        <v>112455</v>
      </c>
      <c r="T18" s="14">
        <v>46704</v>
      </c>
      <c r="U18" s="14">
        <v>25474</v>
      </c>
      <c r="V18" s="14">
        <v>34005</v>
      </c>
      <c r="W18" s="14"/>
      <c r="X18" s="14">
        <v>100322</v>
      </c>
      <c r="Y18" s="14">
        <v>70961</v>
      </c>
      <c r="Z18" s="14">
        <v>80706</v>
      </c>
      <c r="AA18" s="14">
        <v>209884</v>
      </c>
      <c r="AB18" s="14">
        <v>6998</v>
      </c>
      <c r="AC18" s="14">
        <v>6352</v>
      </c>
      <c r="AD18" s="14">
        <v>5963</v>
      </c>
      <c r="AE18" s="14">
        <v>7875</v>
      </c>
      <c r="AF18" s="14">
        <v>51955</v>
      </c>
      <c r="AG18" s="14"/>
      <c r="AH18" s="14">
        <v>72148</v>
      </c>
      <c r="AI18" s="14">
        <v>86754</v>
      </c>
      <c r="AJ18" s="14">
        <v>7214</v>
      </c>
      <c r="AK18" s="14">
        <v>123423</v>
      </c>
      <c r="AL18" s="14"/>
      <c r="AM18" s="14">
        <v>9753</v>
      </c>
      <c r="AN18" s="14">
        <v>190583</v>
      </c>
      <c r="AO18" s="14">
        <v>16821</v>
      </c>
      <c r="AP18" s="14">
        <v>122563</v>
      </c>
      <c r="AQ18" s="14">
        <v>60662.821428571428</v>
      </c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</row>
    <row r="19" spans="1:203" x14ac:dyDescent="0.25">
      <c r="A19" s="1" t="s">
        <v>13</v>
      </c>
      <c r="B19" s="1"/>
      <c r="C19" s="1"/>
      <c r="D19" s="1">
        <v>1724</v>
      </c>
      <c r="E19" s="1">
        <v>3342</v>
      </c>
      <c r="F19" s="1">
        <v>5872</v>
      </c>
      <c r="G19" s="1">
        <v>12395.42</v>
      </c>
      <c r="H19" s="1">
        <v>36504.97</v>
      </c>
      <c r="I19" s="1">
        <f>SUM(Table7[[#This Row],[1980-1985]:[2010-2016]])</f>
        <v>59838.39</v>
      </c>
      <c r="K19" s="13" t="s">
        <v>82</v>
      </c>
      <c r="L19" s="14">
        <v>255639.15</v>
      </c>
      <c r="M19" s="14">
        <v>12395.42</v>
      </c>
      <c r="N19" s="14">
        <v>70212.490000000005</v>
      </c>
      <c r="O19" s="14">
        <v>123001.74</v>
      </c>
      <c r="P19" s="14">
        <v>58158.14</v>
      </c>
      <c r="Q19" s="14">
        <v>49704.43</v>
      </c>
      <c r="R19" s="14">
        <v>15089.89</v>
      </c>
      <c r="S19" s="14">
        <v>175616.73</v>
      </c>
      <c r="T19" s="14">
        <v>92321.11</v>
      </c>
      <c r="U19" s="14">
        <v>42991.14</v>
      </c>
      <c r="V19" s="14">
        <v>59022.79</v>
      </c>
      <c r="W19" s="14">
        <v>66792.42</v>
      </c>
      <c r="X19" s="14">
        <v>188047.21</v>
      </c>
      <c r="Y19" s="14">
        <v>123497.24</v>
      </c>
      <c r="Z19" s="14">
        <v>133937.78</v>
      </c>
      <c r="AA19" s="14">
        <v>349054.88</v>
      </c>
      <c r="AB19" s="14">
        <v>12349.68</v>
      </c>
      <c r="AC19" s="14">
        <v>11701.15</v>
      </c>
      <c r="AD19" s="14">
        <v>10229.49</v>
      </c>
      <c r="AE19" s="14">
        <v>12996.95</v>
      </c>
      <c r="AF19" s="14">
        <v>96959.58</v>
      </c>
      <c r="AG19" s="14">
        <v>11575.95</v>
      </c>
      <c r="AH19" s="14">
        <v>111789.93</v>
      </c>
      <c r="AI19" s="14">
        <v>150008.79999999999</v>
      </c>
      <c r="AJ19" s="14">
        <v>11036.66</v>
      </c>
      <c r="AK19" s="14">
        <v>226214.61</v>
      </c>
      <c r="AL19" s="14"/>
      <c r="AM19" s="14">
        <v>15012.24</v>
      </c>
      <c r="AN19" s="14">
        <v>332881.49</v>
      </c>
      <c r="AO19" s="14">
        <v>38395.839999999997</v>
      </c>
      <c r="AP19" s="14">
        <v>213705.2</v>
      </c>
      <c r="AQ19" s="14">
        <v>102344.671</v>
      </c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</row>
    <row r="20" spans="1:203" x14ac:dyDescent="0.25">
      <c r="A20" s="1" t="s">
        <v>14</v>
      </c>
      <c r="B20" s="1">
        <v>2765</v>
      </c>
      <c r="C20" s="1">
        <v>6522</v>
      </c>
      <c r="D20" s="1">
        <v>12691</v>
      </c>
      <c r="E20" s="1">
        <v>21448</v>
      </c>
      <c r="F20" s="1">
        <v>39055</v>
      </c>
      <c r="G20" s="1">
        <v>70212.490000000005</v>
      </c>
      <c r="H20" s="1">
        <v>214581.14</v>
      </c>
      <c r="I20" s="1">
        <f>SUM(Table7[[#This Row],[1980-1985]:[2010-2016]])</f>
        <v>367274.63</v>
      </c>
      <c r="K20" s="13" t="s">
        <v>81</v>
      </c>
      <c r="L20" s="14">
        <v>577759.9</v>
      </c>
      <c r="M20" s="14">
        <v>36504.97</v>
      </c>
      <c r="N20" s="14">
        <v>214581.14</v>
      </c>
      <c r="O20" s="14">
        <v>393121.77</v>
      </c>
      <c r="P20" s="14">
        <v>202210.44</v>
      </c>
      <c r="Q20" s="14">
        <v>131812.34</v>
      </c>
      <c r="R20" s="14">
        <v>40613.47</v>
      </c>
      <c r="S20" s="14">
        <v>456686.07</v>
      </c>
      <c r="T20" s="14">
        <v>257072.6</v>
      </c>
      <c r="U20" s="14">
        <v>104603.51</v>
      </c>
      <c r="V20" s="14">
        <v>159086.95000000001</v>
      </c>
      <c r="W20" s="14">
        <v>171479.95</v>
      </c>
      <c r="X20" s="14">
        <v>508829.05</v>
      </c>
      <c r="Y20" s="14">
        <v>353795.1</v>
      </c>
      <c r="Z20" s="14">
        <v>437628.11</v>
      </c>
      <c r="AA20" s="14">
        <v>920317.17</v>
      </c>
      <c r="AB20" s="14">
        <v>37073.78</v>
      </c>
      <c r="AC20" s="14">
        <v>36922.910000000003</v>
      </c>
      <c r="AD20" s="14">
        <v>30061.79</v>
      </c>
      <c r="AE20" s="14">
        <v>36682.400000000001</v>
      </c>
      <c r="AF20" s="14">
        <v>273994.61</v>
      </c>
      <c r="AG20" s="14">
        <v>24949.88</v>
      </c>
      <c r="AH20" s="14">
        <v>248647.05</v>
      </c>
      <c r="AI20" s="14">
        <v>449190.83</v>
      </c>
      <c r="AJ20" s="14">
        <v>21761.93</v>
      </c>
      <c r="AK20" s="14">
        <v>647669.18000000005</v>
      </c>
      <c r="AL20" s="14">
        <v>173409.97</v>
      </c>
      <c r="AM20" s="14">
        <v>37758.879999999997</v>
      </c>
      <c r="AN20" s="14">
        <v>937777.7</v>
      </c>
      <c r="AO20" s="14">
        <v>104864.85</v>
      </c>
      <c r="AP20" s="14">
        <v>531700.91</v>
      </c>
      <c r="AQ20" s="14">
        <v>276082.87774193543</v>
      </c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</row>
    <row r="21" spans="1:203" x14ac:dyDescent="0.25">
      <c r="A21" s="1" t="s">
        <v>9</v>
      </c>
      <c r="B21" s="1">
        <v>6572</v>
      </c>
      <c r="C21" s="1">
        <v>14150</v>
      </c>
      <c r="D21" s="1">
        <v>32247</v>
      </c>
      <c r="E21" s="1">
        <v>52418</v>
      </c>
      <c r="F21" s="1">
        <v>70200</v>
      </c>
      <c r="G21" s="1">
        <v>123001.74</v>
      </c>
      <c r="H21" s="1">
        <v>393121.77</v>
      </c>
      <c r="I21" s="1">
        <f>SUM(Table7[[#This Row],[1980-1985]:[2010-2016]])</f>
        <v>691710.51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</row>
    <row r="22" spans="1:203" x14ac:dyDescent="0.25">
      <c r="A22" s="1" t="s">
        <v>10</v>
      </c>
      <c r="B22" s="1"/>
      <c r="C22" s="1"/>
      <c r="D22" s="1"/>
      <c r="E22" s="1"/>
      <c r="F22" s="1">
        <v>25759</v>
      </c>
      <c r="G22" s="1">
        <v>58158.14</v>
      </c>
      <c r="H22" s="1">
        <v>202210.44</v>
      </c>
      <c r="I22" s="1">
        <f>SUM(Table7[[#This Row],[1980-1985]:[2010-2016]])</f>
        <v>286127.58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</row>
    <row r="23" spans="1:203" x14ac:dyDescent="0.25">
      <c r="A23" s="1" t="s">
        <v>11</v>
      </c>
      <c r="B23" s="1"/>
      <c r="C23" s="1"/>
      <c r="D23" s="1">
        <v>1895</v>
      </c>
      <c r="E23" s="1">
        <v>5421</v>
      </c>
      <c r="F23" s="1">
        <v>9517</v>
      </c>
      <c r="G23" s="1">
        <v>15089.89</v>
      </c>
      <c r="H23" s="1">
        <v>40613.47</v>
      </c>
      <c r="I23" s="1">
        <f>SUM(Table7[[#This Row],[1980-1985]:[2010-2016]])</f>
        <v>72536.36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</row>
    <row r="24" spans="1:203" x14ac:dyDescent="0.25">
      <c r="A24" s="1" t="s">
        <v>12</v>
      </c>
      <c r="B24" s="1">
        <v>6352</v>
      </c>
      <c r="C24" s="1">
        <v>14623</v>
      </c>
      <c r="D24" s="1">
        <v>30009</v>
      </c>
      <c r="E24" s="1">
        <v>64291</v>
      </c>
      <c r="F24" s="1">
        <v>112455</v>
      </c>
      <c r="G24" s="1">
        <v>175616.73</v>
      </c>
      <c r="H24" s="1">
        <v>456686.07</v>
      </c>
      <c r="I24" s="1">
        <f>SUM(Table7[[#This Row],[1980-1985]:[2010-2016]])</f>
        <v>860032.8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</row>
    <row r="25" spans="1:203" x14ac:dyDescent="0.25">
      <c r="A25" s="1" t="s">
        <v>1</v>
      </c>
      <c r="B25" s="1">
        <v>2838</v>
      </c>
      <c r="C25" s="1">
        <v>6254</v>
      </c>
      <c r="D25" s="1">
        <v>16260</v>
      </c>
      <c r="E25" s="1">
        <v>32717</v>
      </c>
      <c r="F25" s="1">
        <v>46704</v>
      </c>
      <c r="G25" s="1">
        <v>92321.11</v>
      </c>
      <c r="H25" s="1">
        <v>257072.6</v>
      </c>
      <c r="I25" s="1">
        <f>SUM(Table7[[#This Row],[1980-1985]:[2010-2016]])</f>
        <v>454166.70999999996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</row>
    <row r="26" spans="1:203" x14ac:dyDescent="0.25">
      <c r="A26" s="1" t="s">
        <v>2</v>
      </c>
      <c r="B26" s="1">
        <v>1291</v>
      </c>
      <c r="C26" s="1">
        <v>3035</v>
      </c>
      <c r="D26" s="1">
        <v>5997</v>
      </c>
      <c r="E26" s="1">
        <v>13906</v>
      </c>
      <c r="F26" s="1">
        <v>25474</v>
      </c>
      <c r="G26" s="1">
        <v>42991.14</v>
      </c>
      <c r="H26" s="1">
        <v>104603.51</v>
      </c>
      <c r="I26" s="1">
        <f>SUM(Table7[[#This Row],[1980-1985]:[2010-2016]])</f>
        <v>197297.65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</row>
    <row r="27" spans="1:203" x14ac:dyDescent="0.25">
      <c r="A27" s="1" t="s">
        <v>3</v>
      </c>
      <c r="B27" s="1">
        <v>1826</v>
      </c>
      <c r="C27" s="1">
        <v>4156</v>
      </c>
      <c r="D27" s="1">
        <v>8644</v>
      </c>
      <c r="E27" s="1">
        <v>19859</v>
      </c>
      <c r="F27" s="1">
        <v>34005</v>
      </c>
      <c r="G27" s="1">
        <v>59022.79</v>
      </c>
      <c r="H27" s="1">
        <v>159086.95000000001</v>
      </c>
      <c r="I27" s="1">
        <f>SUM(Table7[[#This Row],[1980-1985]:[2010-2016]])</f>
        <v>286599.74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</row>
    <row r="28" spans="1:203" x14ac:dyDescent="0.25">
      <c r="A28" s="1" t="s">
        <v>4</v>
      </c>
      <c r="B28" s="1"/>
      <c r="C28" s="1"/>
      <c r="D28" s="1"/>
      <c r="E28" s="1"/>
      <c r="F28" s="1"/>
      <c r="G28" s="1">
        <v>66792.42</v>
      </c>
      <c r="H28" s="1">
        <v>171479.95</v>
      </c>
      <c r="I28" s="1">
        <f>SUM(Table7[[#This Row],[1980-1985]:[2010-2016]])</f>
        <v>238272.37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</row>
    <row r="29" spans="1:203" x14ac:dyDescent="0.25">
      <c r="A29" s="1" t="s">
        <v>5</v>
      </c>
      <c r="B29" s="1">
        <v>6437</v>
      </c>
      <c r="C29" s="1">
        <v>13455</v>
      </c>
      <c r="D29" s="1">
        <v>27990</v>
      </c>
      <c r="E29" s="1">
        <v>57250</v>
      </c>
      <c r="F29" s="1">
        <v>100322</v>
      </c>
      <c r="G29" s="1">
        <v>188047.21</v>
      </c>
      <c r="H29" s="1">
        <v>508829.05</v>
      </c>
      <c r="I29" s="1">
        <f>SUM(Table7[[#This Row],[1980-1985]:[2010-2016]])</f>
        <v>902330.26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</row>
    <row r="30" spans="1:203" x14ac:dyDescent="0.25">
      <c r="A30" s="1" t="s">
        <v>6</v>
      </c>
      <c r="B30" s="1">
        <v>4337</v>
      </c>
      <c r="C30" s="1">
        <v>9240</v>
      </c>
      <c r="D30" s="1">
        <v>19056</v>
      </c>
      <c r="E30" s="1">
        <v>41649</v>
      </c>
      <c r="F30" s="1">
        <v>70961</v>
      </c>
      <c r="G30" s="1">
        <v>123497.24</v>
      </c>
      <c r="H30" s="1">
        <v>353795.1</v>
      </c>
      <c r="I30" s="1">
        <f>SUM(Table7[[#This Row],[1980-1985]:[2010-2016]])</f>
        <v>622535.34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</row>
    <row r="31" spans="1:203" x14ac:dyDescent="0.25">
      <c r="A31" s="1" t="s">
        <v>7</v>
      </c>
      <c r="B31" s="1">
        <v>6817</v>
      </c>
      <c r="C31" s="1">
        <v>15085</v>
      </c>
      <c r="D31" s="1">
        <v>31651</v>
      </c>
      <c r="E31" s="1">
        <v>62673</v>
      </c>
      <c r="F31" s="1">
        <v>80706</v>
      </c>
      <c r="G31" s="1">
        <v>133937.78</v>
      </c>
      <c r="H31" s="1">
        <v>437628.11</v>
      </c>
      <c r="I31" s="1">
        <f>SUM(Table7[[#This Row],[1980-1985]:[2010-2016]])</f>
        <v>768497.89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</row>
    <row r="32" spans="1:203" x14ac:dyDescent="0.25">
      <c r="A32" s="1" t="s">
        <v>8</v>
      </c>
      <c r="B32" s="1">
        <v>13844</v>
      </c>
      <c r="C32" s="1">
        <v>29419</v>
      </c>
      <c r="D32" s="1">
        <v>58271</v>
      </c>
      <c r="E32" s="1">
        <v>116112</v>
      </c>
      <c r="F32" s="1">
        <v>209884</v>
      </c>
      <c r="G32" s="1">
        <v>349054.88</v>
      </c>
      <c r="H32" s="1">
        <v>920317.17</v>
      </c>
      <c r="I32" s="1">
        <f>SUM(Table7[[#This Row],[1980-1985]:[2010-2016]])</f>
        <v>1696902.05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</row>
    <row r="33" spans="1:203" x14ac:dyDescent="0.25">
      <c r="A33" s="1"/>
      <c r="B33" s="1">
        <f>SUM(Table7[1980-1985])</f>
        <v>104279</v>
      </c>
      <c r="C33" s="1">
        <f>SUM(Table7[1985-1990])</f>
        <v>226710</v>
      </c>
      <c r="D33" s="1">
        <f>SUM(Table7[1990-1995])</f>
        <v>490054</v>
      </c>
      <c r="E33" s="1">
        <f>SUM(Table7[1995-2000])</f>
        <v>981679</v>
      </c>
      <c r="F33" s="1">
        <f>SUM(Table7[2000-2005])</f>
        <v>1698559</v>
      </c>
      <c r="G33" s="1">
        <f>SUM(Table7[2005-2010])</f>
        <v>3070340.1299999994</v>
      </c>
      <c r="H33" s="1">
        <f>SUM(Table7[2010-2016])</f>
        <v>8558569.209999999</v>
      </c>
      <c r="I33" s="21">
        <f>SUM(Table7[[#Totals],[1980-1985]:[2010-2016]])</f>
        <v>15130190.339999998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</row>
    <row r="34" spans="1:203" x14ac:dyDescent="0.25"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</row>
    <row r="35" spans="1:203" x14ac:dyDescent="0.25"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</row>
    <row r="36" spans="1:203" x14ac:dyDescent="0.25"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</row>
    <row r="37" spans="1:203" x14ac:dyDescent="0.25"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</row>
    <row r="38" spans="1:203" x14ac:dyDescent="0.25">
      <c r="D38" s="2" t="s">
        <v>101</v>
      </c>
      <c r="E38" s="2" t="s">
        <v>100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</row>
    <row r="39" spans="1:203" x14ac:dyDescent="0.25">
      <c r="C39" s="19" t="s">
        <v>15</v>
      </c>
      <c r="D39" s="2">
        <v>-10220.1</v>
      </c>
      <c r="E39" s="2">
        <v>64354.46</v>
      </c>
      <c r="G39"/>
      <c r="H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</row>
    <row r="40" spans="1:203" x14ac:dyDescent="0.25">
      <c r="C40" s="20" t="s">
        <v>16</v>
      </c>
      <c r="D40" s="2">
        <v>-8439.2999999999993</v>
      </c>
      <c r="E40" s="2">
        <v>62031.060000000005</v>
      </c>
      <c r="G40"/>
      <c r="H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</row>
    <row r="41" spans="1:203" x14ac:dyDescent="0.25">
      <c r="C41" s="19" t="s">
        <v>17</v>
      </c>
      <c r="D41" s="2">
        <v>40208.5</v>
      </c>
      <c r="E41" s="2">
        <v>52465.279999999999</v>
      </c>
      <c r="G41"/>
      <c r="H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</row>
    <row r="42" spans="1:203" x14ac:dyDescent="0.25">
      <c r="C42" s="20" t="s">
        <v>18</v>
      </c>
      <c r="D42" s="2">
        <v>11886.7</v>
      </c>
      <c r="E42" s="2">
        <v>67518.350000000006</v>
      </c>
      <c r="G42"/>
      <c r="H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</row>
    <row r="43" spans="1:203" x14ac:dyDescent="0.25">
      <c r="C43" s="19" t="s">
        <v>19</v>
      </c>
      <c r="D43" s="2">
        <v>-33465.300000000003</v>
      </c>
      <c r="E43" s="2">
        <v>479714.19</v>
      </c>
      <c r="G43"/>
      <c r="H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</row>
    <row r="44" spans="1:203" x14ac:dyDescent="0.25">
      <c r="C44" s="20" t="s">
        <v>20</v>
      </c>
      <c r="D44" s="2">
        <v>-12993</v>
      </c>
      <c r="E44" s="2">
        <v>503289.98</v>
      </c>
      <c r="G44"/>
      <c r="H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</row>
    <row r="45" spans="1:203" x14ac:dyDescent="0.25">
      <c r="C45" s="19" t="s">
        <v>21</v>
      </c>
      <c r="D45" s="2">
        <v>-13921.1</v>
      </c>
      <c r="E45" s="2">
        <v>777956.63</v>
      </c>
      <c r="G45"/>
      <c r="H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</row>
    <row r="46" spans="1:203" x14ac:dyDescent="0.25">
      <c r="C46" s="20" t="s">
        <v>22</v>
      </c>
      <c r="D46" s="2">
        <v>96485.7</v>
      </c>
      <c r="E46" s="2">
        <v>48146.59</v>
      </c>
      <c r="G46"/>
      <c r="H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</row>
    <row r="47" spans="1:203" x14ac:dyDescent="0.25">
      <c r="C47" s="19" t="s">
        <v>23</v>
      </c>
      <c r="D47" s="2">
        <v>-43640.6</v>
      </c>
      <c r="E47" s="2">
        <v>1141219.79</v>
      </c>
      <c r="G47"/>
      <c r="H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</row>
    <row r="48" spans="1:203" x14ac:dyDescent="0.25">
      <c r="C48" s="20" t="s">
        <v>24</v>
      </c>
      <c r="D48" s="2">
        <v>70164.600000000006</v>
      </c>
      <c r="E48" s="2">
        <v>173409.97</v>
      </c>
      <c r="G48"/>
      <c r="H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</row>
    <row r="49" spans="3:171" x14ac:dyDescent="0.25">
      <c r="C49" s="19" t="s">
        <v>25</v>
      </c>
      <c r="D49" s="2">
        <v>34199</v>
      </c>
      <c r="E49" s="2">
        <v>72949.119999999995</v>
      </c>
      <c r="G49"/>
      <c r="H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</row>
    <row r="50" spans="3:171" x14ac:dyDescent="0.25">
      <c r="C50" s="20" t="s">
        <v>26</v>
      </c>
      <c r="D50" s="2">
        <v>-28124.699999999997</v>
      </c>
      <c r="E50" s="2">
        <v>1675410.19</v>
      </c>
      <c r="G50"/>
      <c r="H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</row>
    <row r="51" spans="3:171" x14ac:dyDescent="0.25">
      <c r="C51" s="19" t="s">
        <v>27</v>
      </c>
      <c r="D51" s="2">
        <v>-23961.7</v>
      </c>
      <c r="E51" s="2">
        <v>160081.69</v>
      </c>
      <c r="G51"/>
      <c r="H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</row>
    <row r="52" spans="3:171" x14ac:dyDescent="0.25">
      <c r="C52" s="20" t="s">
        <v>28</v>
      </c>
      <c r="D52" s="2">
        <v>-6.7000000000000455</v>
      </c>
      <c r="E52" s="2">
        <v>986044.1100000001</v>
      </c>
      <c r="G52"/>
      <c r="H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</row>
    <row r="53" spans="3:171" x14ac:dyDescent="0.25">
      <c r="C53" s="19" t="s">
        <v>29</v>
      </c>
      <c r="D53" s="2">
        <v>15674.599999999999</v>
      </c>
      <c r="E53" s="2">
        <v>218363.77</v>
      </c>
      <c r="G53"/>
      <c r="H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</row>
    <row r="54" spans="3:171" x14ac:dyDescent="0.25">
      <c r="C54" s="20" t="s">
        <v>30</v>
      </c>
      <c r="D54" s="2">
        <v>-11563</v>
      </c>
      <c r="E54" s="2">
        <v>36525.83</v>
      </c>
      <c r="G54"/>
      <c r="H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</row>
    <row r="55" spans="3:171" x14ac:dyDescent="0.25">
      <c r="C55" s="19" t="s">
        <v>0</v>
      </c>
      <c r="D55" s="2">
        <v>-5207.5</v>
      </c>
      <c r="E55" s="2">
        <v>1106587.05</v>
      </c>
      <c r="G55"/>
      <c r="H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</row>
    <row r="56" spans="3:171" x14ac:dyDescent="0.25">
      <c r="C56" s="20" t="s">
        <v>13</v>
      </c>
      <c r="D56" s="2">
        <v>-1736.3</v>
      </c>
      <c r="E56" s="2">
        <v>59838.39</v>
      </c>
      <c r="G56"/>
      <c r="H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</row>
    <row r="57" spans="3:171" x14ac:dyDescent="0.25">
      <c r="C57" s="19" t="s">
        <v>14</v>
      </c>
      <c r="D57" s="2">
        <v>-6327.3</v>
      </c>
      <c r="E57" s="2">
        <v>367274.63</v>
      </c>
      <c r="G57"/>
      <c r="H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</row>
    <row r="58" spans="3:171" x14ac:dyDescent="0.25">
      <c r="C58" s="20" t="s">
        <v>9</v>
      </c>
      <c r="D58" s="2">
        <v>-21487.300000000003</v>
      </c>
      <c r="E58" s="2">
        <v>691710.51</v>
      </c>
      <c r="G58"/>
      <c r="H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</row>
    <row r="59" spans="3:171" x14ac:dyDescent="0.25">
      <c r="C59" s="19" t="s">
        <v>10</v>
      </c>
      <c r="D59" s="2">
        <v>83609.7</v>
      </c>
      <c r="E59" s="2">
        <v>286127.58</v>
      </c>
      <c r="G59"/>
      <c r="H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</row>
    <row r="60" spans="3:171" x14ac:dyDescent="0.25">
      <c r="C60" s="20" t="s">
        <v>11</v>
      </c>
      <c r="D60" s="2">
        <v>26667.8</v>
      </c>
      <c r="E60" s="2">
        <v>72536.36</v>
      </c>
      <c r="G60"/>
      <c r="H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</row>
    <row r="61" spans="3:171" x14ac:dyDescent="0.25">
      <c r="C61" s="19" t="s">
        <v>12</v>
      </c>
      <c r="D61" s="2">
        <v>-6909.3</v>
      </c>
      <c r="E61" s="2">
        <v>860032.8</v>
      </c>
      <c r="G61"/>
      <c r="H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</row>
    <row r="62" spans="3:171" x14ac:dyDescent="0.25">
      <c r="C62" s="20" t="s">
        <v>1</v>
      </c>
      <c r="D62" s="2">
        <v>31860.5</v>
      </c>
      <c r="E62" s="2">
        <v>454166.70999999996</v>
      </c>
      <c r="G62"/>
      <c r="H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</row>
    <row r="63" spans="3:171" x14ac:dyDescent="0.25">
      <c r="C63" s="19" t="s">
        <v>2</v>
      </c>
      <c r="D63" s="2">
        <v>0</v>
      </c>
      <c r="E63" s="2">
        <v>197297.65</v>
      </c>
      <c r="G63"/>
      <c r="H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</row>
    <row r="64" spans="3:171" x14ac:dyDescent="0.25">
      <c r="C64" s="20" t="s">
        <v>3</v>
      </c>
      <c r="D64" s="2">
        <v>-17596.5</v>
      </c>
      <c r="E64" s="2">
        <v>286599.74</v>
      </c>
      <c r="G64"/>
      <c r="H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</row>
    <row r="65" spans="3:171" x14ac:dyDescent="0.25">
      <c r="C65" s="19" t="s">
        <v>4</v>
      </c>
      <c r="D65" s="2">
        <v>-31976.399999999994</v>
      </c>
      <c r="E65" s="2">
        <v>238272.37</v>
      </c>
      <c r="G65"/>
      <c r="H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</row>
    <row r="66" spans="3:171" x14ac:dyDescent="0.25">
      <c r="C66" s="20" t="s">
        <v>5</v>
      </c>
      <c r="D66" s="2">
        <v>-4072</v>
      </c>
      <c r="E66" s="2">
        <v>902330.26</v>
      </c>
      <c r="G66"/>
      <c r="H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</row>
    <row r="67" spans="3:171" x14ac:dyDescent="0.25">
      <c r="C67" s="19" t="s">
        <v>6</v>
      </c>
      <c r="D67" s="2">
        <v>202992</v>
      </c>
      <c r="E67" s="2">
        <v>622535.34</v>
      </c>
      <c r="G67"/>
      <c r="H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</row>
    <row r="68" spans="3:171" x14ac:dyDescent="0.25">
      <c r="C68" s="20" t="s">
        <v>7</v>
      </c>
      <c r="D68" s="2">
        <v>-78822.7</v>
      </c>
      <c r="E68" s="2">
        <v>768497.89</v>
      </c>
      <c r="G68"/>
      <c r="H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</row>
    <row r="69" spans="3:171" x14ac:dyDescent="0.25">
      <c r="C69" s="19" t="s">
        <v>8</v>
      </c>
      <c r="D69" s="2">
        <v>1241</v>
      </c>
      <c r="E69" s="2">
        <v>1696902.05</v>
      </c>
      <c r="G69"/>
      <c r="H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</row>
    <row r="70" spans="3:171" x14ac:dyDescent="0.25">
      <c r="G70"/>
      <c r="H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</row>
    <row r="71" spans="3:171" x14ac:dyDescent="0.25">
      <c r="G71"/>
      <c r="H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</row>
    <row r="72" spans="3:171" x14ac:dyDescent="0.25">
      <c r="G72"/>
      <c r="H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</row>
    <row r="73" spans="3:171" x14ac:dyDescent="0.25">
      <c r="G73"/>
      <c r="H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</row>
    <row r="74" spans="3:171" x14ac:dyDescent="0.25">
      <c r="G74"/>
      <c r="H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</row>
    <row r="75" spans="3:171" x14ac:dyDescent="0.25">
      <c r="G75"/>
      <c r="H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</row>
    <row r="76" spans="3:171" x14ac:dyDescent="0.25">
      <c r="G76"/>
      <c r="H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</row>
    <row r="77" spans="3:171" x14ac:dyDescent="0.25">
      <c r="G77"/>
      <c r="H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</row>
    <row r="78" spans="3:171" x14ac:dyDescent="0.25">
      <c r="G78"/>
      <c r="H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</row>
    <row r="79" spans="3:171" x14ac:dyDescent="0.25">
      <c r="G79"/>
      <c r="H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</row>
    <row r="80" spans="3:171" x14ac:dyDescent="0.25">
      <c r="G80"/>
      <c r="H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</row>
    <row r="81" spans="7:139" x14ac:dyDescent="0.25">
      <c r="G81"/>
      <c r="H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</row>
    <row r="82" spans="7:139" x14ac:dyDescent="0.25">
      <c r="G82"/>
      <c r="H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</row>
    <row r="83" spans="7:139" x14ac:dyDescent="0.25">
      <c r="G83"/>
      <c r="H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</row>
    <row r="84" spans="7:139" x14ac:dyDescent="0.25">
      <c r="G84"/>
      <c r="H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</row>
    <row r="85" spans="7:139" x14ac:dyDescent="0.25">
      <c r="G85"/>
      <c r="H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</row>
    <row r="86" spans="7:139" x14ac:dyDescent="0.25">
      <c r="G86"/>
      <c r="H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</row>
    <row r="87" spans="7:139" x14ac:dyDescent="0.25">
      <c r="G87"/>
      <c r="H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</row>
    <row r="88" spans="7:139" x14ac:dyDescent="0.25">
      <c r="G88"/>
      <c r="H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</row>
    <row r="89" spans="7:139" x14ac:dyDescent="0.25">
      <c r="G89"/>
      <c r="H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</row>
    <row r="90" spans="7:139" x14ac:dyDescent="0.25">
      <c r="G90"/>
      <c r="H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</row>
    <row r="91" spans="7:139" x14ac:dyDescent="0.25">
      <c r="G91"/>
      <c r="H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</row>
    <row r="92" spans="7:139" x14ac:dyDescent="0.25">
      <c r="G92"/>
      <c r="H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</row>
    <row r="93" spans="7:139" x14ac:dyDescent="0.25">
      <c r="G93"/>
      <c r="H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</row>
    <row r="94" spans="7:139" x14ac:dyDescent="0.25">
      <c r="G94"/>
      <c r="H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</row>
    <row r="95" spans="7:139" x14ac:dyDescent="0.25">
      <c r="G95"/>
      <c r="H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</row>
    <row r="96" spans="7:139" x14ac:dyDescent="0.25">
      <c r="G96"/>
      <c r="H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</row>
    <row r="97" spans="7:139" x14ac:dyDescent="0.25">
      <c r="G97"/>
      <c r="H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</row>
    <row r="98" spans="7:139" x14ac:dyDescent="0.25">
      <c r="G98"/>
      <c r="H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</row>
    <row r="99" spans="7:139" x14ac:dyDescent="0.25">
      <c r="G99"/>
      <c r="H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</row>
    <row r="100" spans="7:139" x14ac:dyDescent="0.25">
      <c r="G100"/>
      <c r="H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</row>
    <row r="101" spans="7:139" x14ac:dyDescent="0.25">
      <c r="G101"/>
      <c r="H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</row>
    <row r="102" spans="7:139" x14ac:dyDescent="0.25">
      <c r="G102"/>
      <c r="H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</row>
    <row r="103" spans="7:139" x14ac:dyDescent="0.25">
      <c r="G103"/>
      <c r="H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7:139" x14ac:dyDescent="0.25">
      <c r="G104"/>
      <c r="H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7:139" x14ac:dyDescent="0.25">
      <c r="G105"/>
      <c r="H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7:139" x14ac:dyDescent="0.25">
      <c r="G106"/>
      <c r="H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7:139" x14ac:dyDescent="0.25">
      <c r="G107"/>
      <c r="H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7:139" x14ac:dyDescent="0.25">
      <c r="G108"/>
      <c r="H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7:139" x14ac:dyDescent="0.25">
      <c r="G109"/>
      <c r="H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7:139" x14ac:dyDescent="0.25">
      <c r="G110"/>
      <c r="H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7:139" x14ac:dyDescent="0.25">
      <c r="G111"/>
      <c r="H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7:139" x14ac:dyDescent="0.25">
      <c r="G112"/>
      <c r="H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7:107" x14ac:dyDescent="0.25">
      <c r="G113"/>
      <c r="H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7:107" x14ac:dyDescent="0.25">
      <c r="G114"/>
      <c r="H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7:107" x14ac:dyDescent="0.25">
      <c r="G115"/>
      <c r="H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7:107" x14ac:dyDescent="0.25">
      <c r="G116"/>
      <c r="H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7:107" x14ac:dyDescent="0.25">
      <c r="G117"/>
      <c r="H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7:107" x14ac:dyDescent="0.25">
      <c r="G118"/>
      <c r="H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7:107" x14ac:dyDescent="0.25">
      <c r="G119"/>
      <c r="H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7:107" x14ac:dyDescent="0.25">
      <c r="G120"/>
      <c r="H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7:107" x14ac:dyDescent="0.25">
      <c r="G121"/>
      <c r="H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7:107" x14ac:dyDescent="0.25">
      <c r="G122"/>
      <c r="H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7:107" x14ac:dyDescent="0.25">
      <c r="G123"/>
      <c r="H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7:107" x14ac:dyDescent="0.25">
      <c r="G124"/>
      <c r="H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7:107" x14ac:dyDescent="0.25">
      <c r="G125"/>
      <c r="H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7:107" x14ac:dyDescent="0.25">
      <c r="G126"/>
      <c r="H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7:107" x14ac:dyDescent="0.25">
      <c r="G127"/>
      <c r="H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7:107" x14ac:dyDescent="0.25">
      <c r="G128"/>
      <c r="H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</row>
    <row r="129" spans="7:75" x14ac:dyDescent="0.25">
      <c r="G129"/>
      <c r="H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</row>
    <row r="130" spans="7:75" x14ac:dyDescent="0.25">
      <c r="G130"/>
      <c r="H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</row>
    <row r="131" spans="7:75" x14ac:dyDescent="0.25">
      <c r="G131"/>
      <c r="H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</row>
    <row r="132" spans="7:75" x14ac:dyDescent="0.25">
      <c r="G132"/>
      <c r="H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</row>
    <row r="133" spans="7:75" x14ac:dyDescent="0.25">
      <c r="G133"/>
      <c r="H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</row>
    <row r="134" spans="7:75" x14ac:dyDescent="0.25">
      <c r="G134"/>
      <c r="H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</row>
    <row r="135" spans="7:75" x14ac:dyDescent="0.25">
      <c r="G135"/>
      <c r="H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</row>
    <row r="136" spans="7:75" x14ac:dyDescent="0.25">
      <c r="G136"/>
      <c r="H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</row>
    <row r="137" spans="7:75" x14ac:dyDescent="0.25">
      <c r="G137"/>
      <c r="H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</row>
    <row r="138" spans="7:75" x14ac:dyDescent="0.25">
      <c r="G138"/>
      <c r="H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</row>
    <row r="139" spans="7:75" x14ac:dyDescent="0.25">
      <c r="G139"/>
      <c r="H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</row>
    <row r="140" spans="7:75" x14ac:dyDescent="0.25">
      <c r="G140"/>
      <c r="H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</row>
    <row r="141" spans="7:75" x14ac:dyDescent="0.25"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</row>
    <row r="142" spans="7:75" x14ac:dyDescent="0.25"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</row>
    <row r="143" spans="7:75" x14ac:dyDescent="0.25"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</row>
    <row r="144" spans="7:75" x14ac:dyDescent="0.25"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</row>
    <row r="145" spans="11:75" x14ac:dyDescent="0.25"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</row>
    <row r="146" spans="11:75" x14ac:dyDescent="0.25"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</row>
    <row r="147" spans="11:75" x14ac:dyDescent="0.25"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</row>
    <row r="148" spans="11:75" x14ac:dyDescent="0.25"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</row>
    <row r="149" spans="11:75" x14ac:dyDescent="0.25"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</row>
    <row r="150" spans="11:75" x14ac:dyDescent="0.25"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</row>
    <row r="151" spans="11:75" x14ac:dyDescent="0.25"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</row>
    <row r="152" spans="11:75" x14ac:dyDescent="0.25"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</row>
    <row r="153" spans="11:75" x14ac:dyDescent="0.25"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</row>
    <row r="154" spans="11:75" x14ac:dyDescent="0.25"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</row>
    <row r="155" spans="11:75" x14ac:dyDescent="0.25"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</row>
    <row r="156" spans="11:75" x14ac:dyDescent="0.25"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</row>
    <row r="157" spans="11:75" x14ac:dyDescent="0.25"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</row>
    <row r="158" spans="11:75" x14ac:dyDescent="0.25"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</row>
    <row r="159" spans="11:75" x14ac:dyDescent="0.25"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</row>
    <row r="160" spans="11:75" x14ac:dyDescent="0.25"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</row>
    <row r="161" spans="11:43" x14ac:dyDescent="0.25"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</row>
    <row r="162" spans="11:43" x14ac:dyDescent="0.25"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</row>
    <row r="163" spans="11:43" x14ac:dyDescent="0.25"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</row>
    <row r="164" spans="11:43" x14ac:dyDescent="0.25"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</row>
    <row r="165" spans="11:43" x14ac:dyDescent="0.25"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</row>
    <row r="166" spans="11:43" x14ac:dyDescent="0.25"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</row>
    <row r="167" spans="11:43" x14ac:dyDescent="0.25"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</row>
    <row r="168" spans="11:43" x14ac:dyDescent="0.25"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</row>
    <row r="169" spans="11:43" x14ac:dyDescent="0.25"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</row>
    <row r="170" spans="11:43" x14ac:dyDescent="0.25"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</row>
    <row r="171" spans="11:43" x14ac:dyDescent="0.25"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</row>
    <row r="172" spans="11:43" x14ac:dyDescent="0.25"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</row>
    <row r="173" spans="11:43" x14ac:dyDescent="0.25"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</row>
    <row r="174" spans="11:43" x14ac:dyDescent="0.25"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"/>
  <sheetViews>
    <sheetView topLeftCell="A12" workbookViewId="0">
      <selection activeCell="H34" sqref="H34"/>
    </sheetView>
  </sheetViews>
  <sheetFormatPr defaultRowHeight="15" x14ac:dyDescent="0.25"/>
  <cols>
    <col min="2" max="8" width="11.85546875" customWidth="1"/>
    <col min="11" max="11" width="20" customWidth="1"/>
    <col min="12" max="12" width="16.28515625" customWidth="1"/>
    <col min="13" max="13" width="17.7109375" customWidth="1"/>
    <col min="14" max="15" width="7" customWidth="1"/>
    <col min="16" max="16" width="12.140625" customWidth="1"/>
    <col min="17" max="18" width="6" customWidth="1"/>
    <col min="19" max="19" width="7.5703125" customWidth="1"/>
    <col min="20" max="20" width="8.140625" customWidth="1"/>
    <col min="21" max="21" width="16.85546875" customWidth="1"/>
    <col min="22" max="22" width="17" customWidth="1"/>
    <col min="23" max="23" width="10" customWidth="1"/>
    <col min="24" max="24" width="9.7109375" customWidth="1"/>
    <col min="25" max="25" width="7" customWidth="1"/>
    <col min="26" max="26" width="15.85546875" customWidth="1"/>
    <col min="27" max="27" width="12.140625" customWidth="1"/>
    <col min="28" max="28" width="8.5703125" customWidth="1"/>
    <col min="29" max="29" width="10.7109375" customWidth="1"/>
    <col min="30" max="30" width="8.85546875" customWidth="1"/>
    <col min="31" max="31" width="9.28515625" customWidth="1"/>
    <col min="32" max="32" width="7.140625" customWidth="1"/>
    <col min="33" max="33" width="11.140625" customWidth="1"/>
    <col min="34" max="34" width="7.140625" customWidth="1"/>
    <col min="35" max="35" width="9.5703125" customWidth="1"/>
    <col min="36" max="36" width="6.85546875" customWidth="1"/>
    <col min="37" max="37" width="11" customWidth="1"/>
    <col min="38" max="38" width="10" customWidth="1"/>
    <col min="39" max="39" width="7.28515625" customWidth="1"/>
    <col min="40" max="40" width="13.28515625" customWidth="1"/>
    <col min="41" max="41" width="12" customWidth="1"/>
    <col min="42" max="42" width="12.140625" customWidth="1"/>
    <col min="43" max="43" width="12" customWidth="1"/>
    <col min="44" max="73" width="18" bestFit="1" customWidth="1"/>
    <col min="74" max="75" width="18" customWidth="1"/>
    <col min="76" max="104" width="18" bestFit="1" customWidth="1"/>
    <col min="105" max="107" width="18" customWidth="1"/>
    <col min="108" max="135" width="18" bestFit="1" customWidth="1"/>
    <col min="136" max="139" width="18" customWidth="1"/>
    <col min="140" max="166" width="18" bestFit="1" customWidth="1"/>
    <col min="167" max="171" width="18" customWidth="1"/>
    <col min="172" max="197" width="18" bestFit="1" customWidth="1"/>
    <col min="198" max="203" width="18" customWidth="1"/>
    <col min="204" max="227" width="18" bestFit="1" customWidth="1"/>
    <col min="228" max="234" width="23" bestFit="1" customWidth="1"/>
  </cols>
  <sheetData>
    <row r="1" spans="1:42" x14ac:dyDescent="0.25">
      <c r="A1" t="s">
        <v>31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</row>
    <row r="2" spans="1:42" x14ac:dyDescent="0.25">
      <c r="A2" s="1" t="s">
        <v>9</v>
      </c>
      <c r="B2" s="1">
        <v>3158</v>
      </c>
      <c r="C2" s="1">
        <v>7891</v>
      </c>
      <c r="D2" s="1">
        <v>15555</v>
      </c>
      <c r="E2" s="1">
        <v>25877</v>
      </c>
      <c r="F2" s="1">
        <v>32797</v>
      </c>
      <c r="G2" s="1">
        <v>67815</v>
      </c>
      <c r="H2" s="1">
        <v>232300</v>
      </c>
    </row>
    <row r="3" spans="1:42" x14ac:dyDescent="0.25">
      <c r="A3" s="1" t="s">
        <v>10</v>
      </c>
      <c r="B3" s="1"/>
      <c r="C3" s="1"/>
      <c r="D3" s="1"/>
      <c r="E3" s="1"/>
      <c r="F3" s="1">
        <v>13102</v>
      </c>
      <c r="G3" s="1">
        <v>37499</v>
      </c>
      <c r="H3" s="1">
        <v>132350</v>
      </c>
    </row>
    <row r="4" spans="1:42" x14ac:dyDescent="0.25">
      <c r="A4" s="1" t="s">
        <v>11</v>
      </c>
      <c r="B4" s="1"/>
      <c r="C4" s="1"/>
      <c r="D4" s="1">
        <v>974</v>
      </c>
      <c r="E4" s="1">
        <v>1784</v>
      </c>
      <c r="F4" s="1">
        <v>3171</v>
      </c>
      <c r="G4" s="1">
        <v>6264</v>
      </c>
      <c r="H4" s="1">
        <v>18290</v>
      </c>
    </row>
    <row r="5" spans="1:42" x14ac:dyDescent="0.25">
      <c r="A5" s="1" t="s">
        <v>12</v>
      </c>
      <c r="B5" s="1">
        <v>3031</v>
      </c>
      <c r="C5" s="1">
        <v>7151</v>
      </c>
      <c r="D5" s="1">
        <v>12910</v>
      </c>
      <c r="E5" s="1">
        <v>26867</v>
      </c>
      <c r="F5" s="1">
        <v>46006</v>
      </c>
      <c r="G5" s="1">
        <v>80342</v>
      </c>
      <c r="H5" s="1">
        <v>248760</v>
      </c>
    </row>
    <row r="6" spans="1:42" x14ac:dyDescent="0.25">
      <c r="A6" s="1" t="s">
        <v>15</v>
      </c>
      <c r="B6" s="1">
        <v>258</v>
      </c>
      <c r="C6" s="1">
        <v>615</v>
      </c>
      <c r="D6" s="1">
        <v>983</v>
      </c>
      <c r="E6" s="1">
        <v>2103</v>
      </c>
      <c r="F6" s="1">
        <v>3037</v>
      </c>
      <c r="G6" s="1">
        <v>6149</v>
      </c>
      <c r="H6" s="1">
        <v>15980</v>
      </c>
    </row>
    <row r="7" spans="1:42" x14ac:dyDescent="0.25">
      <c r="A7" s="1" t="s">
        <v>16</v>
      </c>
      <c r="B7" s="1">
        <v>213</v>
      </c>
      <c r="C7" s="1">
        <v>489</v>
      </c>
      <c r="D7" s="1">
        <v>1001</v>
      </c>
      <c r="E7" s="1">
        <v>1832</v>
      </c>
      <c r="F7" s="1">
        <v>3094</v>
      </c>
      <c r="G7" s="1">
        <v>5299</v>
      </c>
      <c r="H7" s="1">
        <v>19270</v>
      </c>
    </row>
    <row r="8" spans="1:42" x14ac:dyDescent="0.25">
      <c r="A8" s="1" t="s">
        <v>17</v>
      </c>
      <c r="B8" s="1"/>
      <c r="C8" s="1">
        <v>459</v>
      </c>
      <c r="D8" s="1">
        <v>977</v>
      </c>
      <c r="E8" s="1">
        <v>1840</v>
      </c>
      <c r="F8" s="1">
        <v>2908</v>
      </c>
      <c r="G8" s="1">
        <v>5080</v>
      </c>
      <c r="H8" s="1">
        <v>13760</v>
      </c>
    </row>
    <row r="9" spans="1:42" x14ac:dyDescent="0.25">
      <c r="A9" s="1" t="s">
        <v>18</v>
      </c>
      <c r="B9" s="1">
        <v>250</v>
      </c>
      <c r="C9" s="1">
        <v>679</v>
      </c>
      <c r="D9" s="1">
        <v>1153</v>
      </c>
      <c r="E9" s="1">
        <v>1981</v>
      </c>
      <c r="F9" s="1">
        <v>2969</v>
      </c>
      <c r="G9" s="1">
        <v>5061</v>
      </c>
      <c r="H9" s="1">
        <v>14430</v>
      </c>
      <c r="L9" s="12" t="s">
        <v>76</v>
      </c>
    </row>
    <row r="10" spans="1:42" x14ac:dyDescent="0.25">
      <c r="A10" s="1" t="s">
        <v>19</v>
      </c>
      <c r="B10" s="1">
        <v>1765</v>
      </c>
      <c r="C10" s="1">
        <v>3750</v>
      </c>
      <c r="D10" s="1">
        <v>7526</v>
      </c>
      <c r="E10" s="1">
        <v>15426</v>
      </c>
      <c r="F10" s="1">
        <v>21355</v>
      </c>
      <c r="G10" s="1">
        <v>43319</v>
      </c>
      <c r="H10" s="1">
        <v>150170</v>
      </c>
      <c r="K10" s="12" t="s">
        <v>84</v>
      </c>
      <c r="L10" t="s">
        <v>0</v>
      </c>
      <c r="M10" t="s">
        <v>13</v>
      </c>
      <c r="N10" t="s">
        <v>14</v>
      </c>
      <c r="O10" t="s">
        <v>9</v>
      </c>
      <c r="P10" t="s">
        <v>10</v>
      </c>
      <c r="Q10" t="s">
        <v>29</v>
      </c>
      <c r="R10" t="s">
        <v>11</v>
      </c>
      <c r="S10" t="s">
        <v>12</v>
      </c>
      <c r="T10" t="s">
        <v>1</v>
      </c>
      <c r="U10" t="s">
        <v>2</v>
      </c>
      <c r="V10" t="s">
        <v>3</v>
      </c>
      <c r="W10" t="s">
        <v>4</v>
      </c>
      <c r="X10" t="s">
        <v>5</v>
      </c>
      <c r="Y10" t="s">
        <v>6</v>
      </c>
      <c r="Z10" t="s">
        <v>7</v>
      </c>
      <c r="AA10" t="s">
        <v>8</v>
      </c>
      <c r="AB10" t="s">
        <v>15</v>
      </c>
      <c r="AC10" t="s">
        <v>16</v>
      </c>
      <c r="AD10" t="s">
        <v>17</v>
      </c>
      <c r="AE10" t="s">
        <v>18</v>
      </c>
      <c r="AF10" t="s">
        <v>19</v>
      </c>
      <c r="AG10" t="s">
        <v>30</v>
      </c>
      <c r="AH10" t="s">
        <v>20</v>
      </c>
      <c r="AI10" t="s">
        <v>21</v>
      </c>
      <c r="AJ10" t="s">
        <v>22</v>
      </c>
      <c r="AK10" t="s">
        <v>23</v>
      </c>
      <c r="AL10" t="s">
        <v>24</v>
      </c>
      <c r="AM10" t="s">
        <v>25</v>
      </c>
      <c r="AN10" t="s">
        <v>26</v>
      </c>
      <c r="AO10" t="s">
        <v>27</v>
      </c>
      <c r="AP10" t="s">
        <v>28</v>
      </c>
    </row>
    <row r="11" spans="1:42" x14ac:dyDescent="0.25">
      <c r="A11" s="1" t="s">
        <v>20</v>
      </c>
      <c r="B11" s="1">
        <v>1566</v>
      </c>
      <c r="C11" s="1">
        <v>3564</v>
      </c>
      <c r="D11" s="1">
        <v>6014</v>
      </c>
      <c r="E11" s="1">
        <v>11018</v>
      </c>
      <c r="F11" s="1">
        <v>17879</v>
      </c>
      <c r="G11" s="1">
        <v>27719</v>
      </c>
      <c r="H11" s="1">
        <v>80280</v>
      </c>
      <c r="K11" s="13" t="s">
        <v>77</v>
      </c>
      <c r="L11" s="14">
        <v>4108</v>
      </c>
      <c r="M11" s="14"/>
      <c r="N11" s="14">
        <v>1283</v>
      </c>
      <c r="O11" s="14">
        <v>3158</v>
      </c>
      <c r="P11" s="14"/>
      <c r="Q11" s="14"/>
      <c r="R11" s="14"/>
      <c r="S11" s="14">
        <v>3031</v>
      </c>
      <c r="T11" s="14">
        <v>1068</v>
      </c>
      <c r="U11" s="14">
        <v>642</v>
      </c>
      <c r="V11" s="14">
        <v>802</v>
      </c>
      <c r="W11" s="14"/>
      <c r="X11" s="14">
        <v>2416</v>
      </c>
      <c r="Y11" s="14">
        <v>2431</v>
      </c>
      <c r="Z11" s="14">
        <v>2850</v>
      </c>
      <c r="AA11" s="14">
        <v>5348</v>
      </c>
      <c r="AB11" s="14">
        <v>258</v>
      </c>
      <c r="AC11" s="14">
        <v>213</v>
      </c>
      <c r="AD11" s="14"/>
      <c r="AE11" s="14">
        <v>250</v>
      </c>
      <c r="AF11" s="14">
        <v>1765</v>
      </c>
      <c r="AG11" s="14"/>
      <c r="AH11" s="14">
        <v>1566</v>
      </c>
      <c r="AI11" s="14">
        <v>2415</v>
      </c>
      <c r="AJ11" s="14">
        <v>67</v>
      </c>
      <c r="AK11" s="14">
        <v>3812</v>
      </c>
      <c r="AL11" s="14"/>
      <c r="AM11" s="14">
        <v>267</v>
      </c>
      <c r="AN11" s="14">
        <v>5124</v>
      </c>
      <c r="AO11" s="14"/>
      <c r="AP11" s="14">
        <v>4097</v>
      </c>
    </row>
    <row r="12" spans="1:42" x14ac:dyDescent="0.25">
      <c r="A12" s="1" t="s">
        <v>21</v>
      </c>
      <c r="B12" s="1">
        <v>2415</v>
      </c>
      <c r="C12" s="1">
        <v>5995</v>
      </c>
      <c r="D12" s="1">
        <v>12369</v>
      </c>
      <c r="E12" s="1">
        <v>25263</v>
      </c>
      <c r="F12" s="1">
        <v>42059</v>
      </c>
      <c r="G12" s="1">
        <v>79193</v>
      </c>
      <c r="H12" s="1">
        <v>253550</v>
      </c>
      <c r="K12" s="13" t="s">
        <v>80</v>
      </c>
      <c r="L12" s="14">
        <v>9693</v>
      </c>
      <c r="M12" s="14"/>
      <c r="N12" s="14">
        <v>3241</v>
      </c>
      <c r="O12" s="14">
        <v>7891</v>
      </c>
      <c r="P12" s="14"/>
      <c r="Q12" s="14"/>
      <c r="R12" s="14"/>
      <c r="S12" s="14">
        <v>7151</v>
      </c>
      <c r="T12" s="14">
        <v>2562</v>
      </c>
      <c r="U12" s="14">
        <v>1567</v>
      </c>
      <c r="V12" s="14">
        <v>2043</v>
      </c>
      <c r="W12" s="14"/>
      <c r="X12" s="14">
        <v>6496</v>
      </c>
      <c r="Y12" s="14">
        <v>5142</v>
      </c>
      <c r="Z12" s="14">
        <v>7534</v>
      </c>
      <c r="AA12" s="14">
        <v>13434</v>
      </c>
      <c r="AB12" s="14">
        <v>615</v>
      </c>
      <c r="AC12" s="14">
        <v>489</v>
      </c>
      <c r="AD12" s="14">
        <v>459</v>
      </c>
      <c r="AE12" s="14">
        <v>679</v>
      </c>
      <c r="AF12" s="14">
        <v>3750</v>
      </c>
      <c r="AG12" s="14"/>
      <c r="AH12" s="14">
        <v>3564</v>
      </c>
      <c r="AI12" s="14">
        <v>5995</v>
      </c>
      <c r="AJ12" s="14">
        <v>234</v>
      </c>
      <c r="AK12" s="14">
        <v>8998</v>
      </c>
      <c r="AL12" s="14"/>
      <c r="AM12" s="14">
        <v>861</v>
      </c>
      <c r="AN12" s="14">
        <v>12802</v>
      </c>
      <c r="AO12" s="14"/>
      <c r="AP12" s="14">
        <v>8298</v>
      </c>
    </row>
    <row r="13" spans="1:42" x14ac:dyDescent="0.25">
      <c r="A13" s="1" t="s">
        <v>22</v>
      </c>
      <c r="B13" s="1">
        <v>67</v>
      </c>
      <c r="C13" s="1">
        <v>234</v>
      </c>
      <c r="D13" s="1">
        <v>406</v>
      </c>
      <c r="E13" s="1">
        <v>1004</v>
      </c>
      <c r="F13" s="1">
        <v>1806</v>
      </c>
      <c r="G13" s="1">
        <v>3541</v>
      </c>
      <c r="H13" s="1">
        <v>9970</v>
      </c>
      <c r="K13" s="13" t="s">
        <v>79</v>
      </c>
      <c r="L13" s="14">
        <v>17708</v>
      </c>
      <c r="M13" s="14">
        <v>852</v>
      </c>
      <c r="N13" s="14">
        <v>6118</v>
      </c>
      <c r="O13" s="14">
        <v>15555</v>
      </c>
      <c r="P13" s="14"/>
      <c r="Q13" s="14"/>
      <c r="R13" s="14">
        <v>974</v>
      </c>
      <c r="S13" s="14">
        <v>12910</v>
      </c>
      <c r="T13" s="14">
        <v>4909</v>
      </c>
      <c r="U13" s="14">
        <v>2872</v>
      </c>
      <c r="V13" s="14">
        <v>4167</v>
      </c>
      <c r="W13" s="14"/>
      <c r="X13" s="14">
        <v>13210</v>
      </c>
      <c r="Y13" s="14">
        <v>9310</v>
      </c>
      <c r="Z13" s="14">
        <v>15485</v>
      </c>
      <c r="AA13" s="14">
        <v>26881</v>
      </c>
      <c r="AB13" s="14">
        <v>983</v>
      </c>
      <c r="AC13" s="14">
        <v>1001</v>
      </c>
      <c r="AD13" s="14">
        <v>977</v>
      </c>
      <c r="AE13" s="14">
        <v>1153</v>
      </c>
      <c r="AF13" s="14">
        <v>7526</v>
      </c>
      <c r="AG13" s="14"/>
      <c r="AH13" s="14">
        <v>6014</v>
      </c>
      <c r="AI13" s="14">
        <v>12369</v>
      </c>
      <c r="AJ13" s="14">
        <v>406</v>
      </c>
      <c r="AK13" s="14">
        <v>19148</v>
      </c>
      <c r="AL13" s="14"/>
      <c r="AM13" s="14">
        <v>1518</v>
      </c>
      <c r="AN13" s="14">
        <v>25970</v>
      </c>
      <c r="AO13" s="14"/>
      <c r="AP13" s="14">
        <v>15437</v>
      </c>
    </row>
    <row r="14" spans="1:42" x14ac:dyDescent="0.25">
      <c r="A14" s="1" t="s">
        <v>23</v>
      </c>
      <c r="B14" s="1">
        <v>3812</v>
      </c>
      <c r="C14" s="1">
        <v>8998</v>
      </c>
      <c r="D14" s="1">
        <v>19148</v>
      </c>
      <c r="E14" s="1">
        <v>35024</v>
      </c>
      <c r="F14" s="1">
        <v>53673</v>
      </c>
      <c r="G14" s="1">
        <v>107452</v>
      </c>
      <c r="H14" s="1">
        <v>319520</v>
      </c>
      <c r="K14" s="13" t="s">
        <v>78</v>
      </c>
      <c r="L14" s="14">
        <v>36308</v>
      </c>
      <c r="M14" s="14">
        <v>1618</v>
      </c>
      <c r="N14" s="14">
        <v>10206</v>
      </c>
      <c r="O14" s="14">
        <v>25877</v>
      </c>
      <c r="P14" s="14"/>
      <c r="Q14" s="14">
        <v>9828</v>
      </c>
      <c r="R14" s="14">
        <v>1784</v>
      </c>
      <c r="S14" s="14">
        <v>26867</v>
      </c>
      <c r="T14" s="14">
        <v>10201</v>
      </c>
      <c r="U14" s="14">
        <v>6371</v>
      </c>
      <c r="V14" s="14">
        <v>7461</v>
      </c>
      <c r="W14" s="14"/>
      <c r="X14" s="14">
        <v>26061</v>
      </c>
      <c r="Y14" s="14">
        <v>20237</v>
      </c>
      <c r="Z14" s="14">
        <v>29609</v>
      </c>
      <c r="AA14" s="14">
        <v>52416</v>
      </c>
      <c r="AB14" s="14">
        <v>2103</v>
      </c>
      <c r="AC14" s="14">
        <v>1832</v>
      </c>
      <c r="AD14" s="14">
        <v>1840</v>
      </c>
      <c r="AE14" s="14">
        <v>1981</v>
      </c>
      <c r="AF14" s="14">
        <v>15426</v>
      </c>
      <c r="AG14" s="14"/>
      <c r="AH14" s="14">
        <v>11018</v>
      </c>
      <c r="AI14" s="14">
        <v>25263</v>
      </c>
      <c r="AJ14" s="14">
        <v>1004</v>
      </c>
      <c r="AK14" s="14">
        <v>35024</v>
      </c>
      <c r="AL14" s="14"/>
      <c r="AM14" s="14">
        <v>2989</v>
      </c>
      <c r="AN14" s="14">
        <v>45385</v>
      </c>
      <c r="AO14" s="14"/>
      <c r="AP14" s="14">
        <v>30232</v>
      </c>
    </row>
    <row r="15" spans="1:42" x14ac:dyDescent="0.25">
      <c r="A15" s="1" t="s">
        <v>24</v>
      </c>
      <c r="B15" s="1"/>
      <c r="C15" s="1"/>
      <c r="D15" s="1"/>
      <c r="E15" s="1"/>
      <c r="F15" s="1"/>
      <c r="G15" s="1"/>
      <c r="H15" s="1"/>
      <c r="K15" s="13" t="s">
        <v>83</v>
      </c>
      <c r="L15" s="14">
        <v>59249</v>
      </c>
      <c r="M15" s="14">
        <v>2465</v>
      </c>
      <c r="N15" s="14">
        <v>17829</v>
      </c>
      <c r="O15" s="14">
        <v>32797</v>
      </c>
      <c r="P15" s="14">
        <v>13102</v>
      </c>
      <c r="Q15" s="14">
        <v>17213</v>
      </c>
      <c r="R15" s="14">
        <v>3171</v>
      </c>
      <c r="S15" s="14">
        <v>46006</v>
      </c>
      <c r="T15" s="14">
        <v>16187</v>
      </c>
      <c r="U15" s="14">
        <v>10524</v>
      </c>
      <c r="V15" s="14">
        <v>12480</v>
      </c>
      <c r="W15" s="14"/>
      <c r="X15" s="14">
        <v>40832</v>
      </c>
      <c r="Y15" s="14">
        <v>29780</v>
      </c>
      <c r="Z15" s="14">
        <v>34373</v>
      </c>
      <c r="AA15" s="14">
        <v>85895</v>
      </c>
      <c r="AB15" s="14">
        <v>3037</v>
      </c>
      <c r="AC15" s="14">
        <v>3094</v>
      </c>
      <c r="AD15" s="14">
        <v>2908</v>
      </c>
      <c r="AE15" s="14">
        <v>2969</v>
      </c>
      <c r="AF15" s="14">
        <v>21355</v>
      </c>
      <c r="AG15" s="14"/>
      <c r="AH15" s="14">
        <v>17879</v>
      </c>
      <c r="AI15" s="14">
        <v>42059</v>
      </c>
      <c r="AJ15" s="14">
        <v>1806</v>
      </c>
      <c r="AK15" s="14">
        <v>53673</v>
      </c>
      <c r="AL15" s="14"/>
      <c r="AM15" s="14">
        <v>4922</v>
      </c>
      <c r="AN15" s="14">
        <v>67448</v>
      </c>
      <c r="AO15" s="14">
        <v>7737</v>
      </c>
      <c r="AP15" s="14">
        <v>46407</v>
      </c>
    </row>
    <row r="16" spans="1:42" x14ac:dyDescent="0.25">
      <c r="A16" s="1" t="s">
        <v>25</v>
      </c>
      <c r="B16" s="1">
        <v>267</v>
      </c>
      <c r="C16" s="1">
        <v>861</v>
      </c>
      <c r="D16" s="1">
        <v>1518</v>
      </c>
      <c r="E16" s="1">
        <v>2989</v>
      </c>
      <c r="F16" s="1">
        <v>4922</v>
      </c>
      <c r="G16" s="1">
        <v>7586</v>
      </c>
      <c r="H16" s="1">
        <v>24150</v>
      </c>
      <c r="K16" s="13" t="s">
        <v>82</v>
      </c>
      <c r="L16" s="14">
        <v>119745</v>
      </c>
      <c r="M16" s="14">
        <v>5588</v>
      </c>
      <c r="N16" s="14">
        <v>31648</v>
      </c>
      <c r="O16" s="14">
        <v>67815</v>
      </c>
      <c r="P16" s="14">
        <v>37499</v>
      </c>
      <c r="Q16" s="14">
        <v>36488</v>
      </c>
      <c r="R16" s="14">
        <v>6264</v>
      </c>
      <c r="S16" s="14">
        <v>80342</v>
      </c>
      <c r="T16" s="14">
        <v>40860</v>
      </c>
      <c r="U16" s="14">
        <v>19354</v>
      </c>
      <c r="V16" s="14">
        <v>25996</v>
      </c>
      <c r="W16" s="14">
        <v>41442</v>
      </c>
      <c r="X16" s="14">
        <v>89266</v>
      </c>
      <c r="Y16" s="14">
        <v>46613</v>
      </c>
      <c r="Z16" s="14">
        <v>65003</v>
      </c>
      <c r="AA16" s="14">
        <v>166125</v>
      </c>
      <c r="AB16" s="14">
        <v>6149</v>
      </c>
      <c r="AC16" s="14">
        <v>5299</v>
      </c>
      <c r="AD16" s="14">
        <v>5080</v>
      </c>
      <c r="AE16" s="14">
        <v>5061</v>
      </c>
      <c r="AF16" s="14">
        <v>43319</v>
      </c>
      <c r="AG16" s="14">
        <v>4954</v>
      </c>
      <c r="AH16" s="14">
        <v>27719</v>
      </c>
      <c r="AI16" s="14">
        <v>79193</v>
      </c>
      <c r="AJ16" s="14">
        <v>3541</v>
      </c>
      <c r="AK16" s="14">
        <v>107452</v>
      </c>
      <c r="AL16" s="14"/>
      <c r="AM16" s="14">
        <v>7586</v>
      </c>
      <c r="AN16" s="14">
        <v>160939</v>
      </c>
      <c r="AO16" s="14">
        <v>19543</v>
      </c>
      <c r="AP16" s="14">
        <v>87949</v>
      </c>
    </row>
    <row r="17" spans="1:58" x14ac:dyDescent="0.25">
      <c r="A17" s="1" t="s">
        <v>26</v>
      </c>
      <c r="B17" s="1">
        <v>5124</v>
      </c>
      <c r="C17" s="1">
        <v>12802</v>
      </c>
      <c r="D17" s="1">
        <v>25970</v>
      </c>
      <c r="E17" s="1">
        <v>45385</v>
      </c>
      <c r="F17" s="1">
        <v>67448</v>
      </c>
      <c r="G17" s="1">
        <v>160939</v>
      </c>
      <c r="H17" s="1">
        <v>472800</v>
      </c>
      <c r="K17" s="13" t="s">
        <v>81</v>
      </c>
      <c r="L17" s="14">
        <v>286310</v>
      </c>
      <c r="M17" s="14">
        <v>16430</v>
      </c>
      <c r="N17" s="14">
        <v>104330</v>
      </c>
      <c r="O17" s="14">
        <v>232300</v>
      </c>
      <c r="P17" s="14">
        <v>132350</v>
      </c>
      <c r="Q17" s="14">
        <v>94030</v>
      </c>
      <c r="R17" s="14">
        <v>18290</v>
      </c>
      <c r="S17" s="14">
        <v>248760</v>
      </c>
      <c r="T17" s="14">
        <v>124460</v>
      </c>
      <c r="U17" s="14">
        <v>47890</v>
      </c>
      <c r="V17" s="14">
        <v>62840</v>
      </c>
      <c r="W17" s="14">
        <v>98650</v>
      </c>
      <c r="X17" s="14">
        <v>254670</v>
      </c>
      <c r="Y17" s="14">
        <v>145930</v>
      </c>
      <c r="Z17" s="14">
        <v>236510</v>
      </c>
      <c r="AA17" s="14">
        <v>473530</v>
      </c>
      <c r="AB17" s="14">
        <v>15980</v>
      </c>
      <c r="AC17" s="14">
        <v>19270</v>
      </c>
      <c r="AD17" s="14">
        <v>13760</v>
      </c>
      <c r="AE17" s="14">
        <v>14430</v>
      </c>
      <c r="AF17" s="14">
        <v>150170</v>
      </c>
      <c r="AG17" s="14">
        <v>11620</v>
      </c>
      <c r="AH17" s="14">
        <v>80280</v>
      </c>
      <c r="AI17" s="14">
        <v>253550</v>
      </c>
      <c r="AJ17" s="14">
        <v>9970</v>
      </c>
      <c r="AK17" s="14">
        <v>319520</v>
      </c>
      <c r="AL17" s="14"/>
      <c r="AM17" s="14">
        <v>24150</v>
      </c>
      <c r="AN17" s="14">
        <v>472800</v>
      </c>
      <c r="AO17" s="14">
        <v>61220</v>
      </c>
      <c r="AP17" s="14">
        <v>273700</v>
      </c>
    </row>
    <row r="18" spans="1:58" x14ac:dyDescent="0.25">
      <c r="A18" s="1" t="s">
        <v>27</v>
      </c>
      <c r="B18" s="1"/>
      <c r="C18" s="1"/>
      <c r="D18" s="1"/>
      <c r="E18" s="1"/>
      <c r="F18" s="1">
        <v>7737</v>
      </c>
      <c r="G18" s="1">
        <v>19543</v>
      </c>
      <c r="H18" s="1">
        <v>61220</v>
      </c>
      <c r="L18">
        <f>AVERAGE(L11:L17)</f>
        <v>76160.142857142855</v>
      </c>
      <c r="M18">
        <f t="shared" ref="M18:AP18" si="0">AVERAGE(M11:M17)</f>
        <v>5390.6</v>
      </c>
      <c r="N18">
        <f t="shared" si="0"/>
        <v>24950.714285714286</v>
      </c>
      <c r="O18">
        <f t="shared" si="0"/>
        <v>55056.142857142855</v>
      </c>
      <c r="P18">
        <f t="shared" si="0"/>
        <v>60983.666666666664</v>
      </c>
      <c r="Q18">
        <f t="shared" si="0"/>
        <v>39389.75</v>
      </c>
      <c r="R18">
        <f t="shared" si="0"/>
        <v>6096.6</v>
      </c>
      <c r="S18">
        <f t="shared" si="0"/>
        <v>60723.857142857145</v>
      </c>
      <c r="T18">
        <f t="shared" si="0"/>
        <v>28606.714285714286</v>
      </c>
      <c r="U18">
        <f t="shared" si="0"/>
        <v>12745.714285714286</v>
      </c>
      <c r="V18">
        <f t="shared" si="0"/>
        <v>16541.285714285714</v>
      </c>
      <c r="W18">
        <f t="shared" si="0"/>
        <v>70046</v>
      </c>
      <c r="X18">
        <f t="shared" si="0"/>
        <v>61850.142857142855</v>
      </c>
      <c r="Y18">
        <f t="shared" si="0"/>
        <v>37063.285714285717</v>
      </c>
      <c r="Z18">
        <f t="shared" si="0"/>
        <v>55909.142857142855</v>
      </c>
      <c r="AA18">
        <f t="shared" si="0"/>
        <v>117661.28571428571</v>
      </c>
      <c r="AB18">
        <f t="shared" si="0"/>
        <v>4160.7142857142853</v>
      </c>
      <c r="AC18">
        <f t="shared" si="0"/>
        <v>4456.8571428571431</v>
      </c>
      <c r="AD18">
        <f t="shared" si="0"/>
        <v>4170.666666666667</v>
      </c>
      <c r="AE18">
        <f t="shared" si="0"/>
        <v>3789</v>
      </c>
      <c r="AF18">
        <f t="shared" si="0"/>
        <v>34758.714285714283</v>
      </c>
      <c r="AG18">
        <f t="shared" si="0"/>
        <v>8287</v>
      </c>
      <c r="AH18">
        <f t="shared" si="0"/>
        <v>21148.571428571428</v>
      </c>
      <c r="AI18">
        <f t="shared" si="0"/>
        <v>60120.571428571428</v>
      </c>
      <c r="AJ18">
        <f t="shared" si="0"/>
        <v>2432.5714285714284</v>
      </c>
      <c r="AK18">
        <f t="shared" si="0"/>
        <v>78232.428571428565</v>
      </c>
      <c r="AL18" t="e">
        <f t="shared" si="0"/>
        <v>#DIV/0!</v>
      </c>
      <c r="AM18">
        <f t="shared" si="0"/>
        <v>6041.8571428571431</v>
      </c>
      <c r="AN18">
        <f t="shared" si="0"/>
        <v>112924</v>
      </c>
      <c r="AO18">
        <f t="shared" si="0"/>
        <v>29500</v>
      </c>
      <c r="AP18">
        <f t="shared" si="0"/>
        <v>66588.571428571435</v>
      </c>
    </row>
    <row r="19" spans="1:58" x14ac:dyDescent="0.25">
      <c r="A19" s="1" t="s">
        <v>28</v>
      </c>
      <c r="B19" s="1">
        <v>4097</v>
      </c>
      <c r="C19" s="1">
        <v>8298</v>
      </c>
      <c r="D19" s="1">
        <v>15437</v>
      </c>
      <c r="E19" s="1">
        <v>30232</v>
      </c>
      <c r="F19" s="1">
        <v>46407</v>
      </c>
      <c r="G19" s="1">
        <v>87949</v>
      </c>
      <c r="H19" s="1">
        <v>273700</v>
      </c>
    </row>
    <row r="20" spans="1:58" x14ac:dyDescent="0.25">
      <c r="A20" s="1" t="s">
        <v>29</v>
      </c>
      <c r="B20" s="1"/>
      <c r="C20" s="1"/>
      <c r="D20" s="1"/>
      <c r="E20" s="1">
        <v>9828</v>
      </c>
      <c r="F20" s="1">
        <v>17213</v>
      </c>
      <c r="G20" s="1">
        <v>36488</v>
      </c>
      <c r="H20" s="1">
        <v>94030</v>
      </c>
    </row>
    <row r="21" spans="1:58" x14ac:dyDescent="0.25">
      <c r="A21" s="1" t="s">
        <v>30</v>
      </c>
      <c r="B21" s="1"/>
      <c r="C21" s="1"/>
      <c r="D21" s="1"/>
      <c r="E21" s="1"/>
      <c r="F21" s="1"/>
      <c r="G21" s="1">
        <v>4954</v>
      </c>
      <c r="H21" s="1">
        <v>11620</v>
      </c>
    </row>
    <row r="22" spans="1:58" x14ac:dyDescent="0.25">
      <c r="A22" s="1" t="s">
        <v>13</v>
      </c>
      <c r="B22" s="1"/>
      <c r="C22" s="1"/>
      <c r="D22" s="1">
        <v>852</v>
      </c>
      <c r="E22" s="1">
        <v>1618</v>
      </c>
      <c r="F22" s="1">
        <v>2465</v>
      </c>
      <c r="G22" s="1">
        <v>5588</v>
      </c>
      <c r="H22" s="1">
        <v>16430</v>
      </c>
    </row>
    <row r="23" spans="1:58" x14ac:dyDescent="0.25">
      <c r="A23" s="1" t="s">
        <v>14</v>
      </c>
      <c r="B23" s="1">
        <v>1283</v>
      </c>
      <c r="C23" s="1">
        <v>3241</v>
      </c>
      <c r="D23" s="1">
        <v>6118</v>
      </c>
      <c r="E23" s="1">
        <v>10206</v>
      </c>
      <c r="F23" s="1">
        <v>17829</v>
      </c>
      <c r="G23" s="1">
        <v>31648</v>
      </c>
      <c r="H23" s="1">
        <v>104330</v>
      </c>
    </row>
    <row r="24" spans="1:58" x14ac:dyDescent="0.25">
      <c r="A24" s="1" t="s">
        <v>0</v>
      </c>
      <c r="B24" s="1">
        <v>4108</v>
      </c>
      <c r="C24" s="1">
        <v>9693</v>
      </c>
      <c r="D24" s="1">
        <v>17708</v>
      </c>
      <c r="E24" s="1">
        <v>36308</v>
      </c>
      <c r="F24" s="1">
        <v>59249</v>
      </c>
      <c r="G24" s="1">
        <v>119745</v>
      </c>
      <c r="H24" s="1">
        <v>286310</v>
      </c>
    </row>
    <row r="25" spans="1:58" x14ac:dyDescent="0.25">
      <c r="A25" s="1" t="s">
        <v>1</v>
      </c>
      <c r="B25" s="1">
        <v>1068</v>
      </c>
      <c r="C25" s="1">
        <v>2562</v>
      </c>
      <c r="D25" s="1">
        <v>4909</v>
      </c>
      <c r="E25" s="1">
        <v>10201</v>
      </c>
      <c r="F25" s="1">
        <v>16187</v>
      </c>
      <c r="G25" s="1">
        <v>40860</v>
      </c>
      <c r="H25" s="1">
        <v>124460</v>
      </c>
      <c r="AA25" s="15" t="s">
        <v>0</v>
      </c>
      <c r="AB25" s="15" t="s">
        <v>13</v>
      </c>
      <c r="AC25" s="15" t="s">
        <v>14</v>
      </c>
      <c r="AD25" s="15" t="s">
        <v>9</v>
      </c>
      <c r="AE25" s="15" t="s">
        <v>10</v>
      </c>
      <c r="AF25" s="15" t="s">
        <v>29</v>
      </c>
      <c r="AG25" s="15" t="s">
        <v>11</v>
      </c>
      <c r="AH25" s="15" t="s">
        <v>12</v>
      </c>
      <c r="AI25" s="15" t="s">
        <v>1</v>
      </c>
      <c r="AJ25" s="15" t="s">
        <v>2</v>
      </c>
      <c r="AK25" s="15" t="s">
        <v>3</v>
      </c>
      <c r="AL25" s="15" t="s">
        <v>4</v>
      </c>
      <c r="AM25" s="15" t="s">
        <v>5</v>
      </c>
      <c r="AN25" s="15" t="s">
        <v>6</v>
      </c>
      <c r="AO25" s="15" t="s">
        <v>7</v>
      </c>
      <c r="AP25" s="15" t="s">
        <v>8</v>
      </c>
      <c r="AQ25" s="15" t="s">
        <v>15</v>
      </c>
      <c r="AR25" s="15" t="s">
        <v>16</v>
      </c>
      <c r="AS25" s="15" t="s">
        <v>17</v>
      </c>
      <c r="AT25" s="15" t="s">
        <v>18</v>
      </c>
      <c r="AU25" s="15" t="s">
        <v>19</v>
      </c>
      <c r="AV25" s="15" t="s">
        <v>30</v>
      </c>
      <c r="AW25" s="15" t="s">
        <v>20</v>
      </c>
      <c r="AX25" s="15" t="s">
        <v>21</v>
      </c>
      <c r="AY25" s="15" t="s">
        <v>22</v>
      </c>
      <c r="AZ25" s="15" t="s">
        <v>23</v>
      </c>
      <c r="BA25" s="15" t="s">
        <v>24</v>
      </c>
      <c r="BB25" s="15" t="s">
        <v>25</v>
      </c>
      <c r="BC25" s="15" t="s">
        <v>26</v>
      </c>
      <c r="BD25" s="15" t="s">
        <v>27</v>
      </c>
      <c r="BE25" s="15" t="s">
        <v>28</v>
      </c>
    </row>
    <row r="26" spans="1:58" x14ac:dyDescent="0.25">
      <c r="A26" s="1" t="s">
        <v>2</v>
      </c>
      <c r="B26" s="1">
        <v>642</v>
      </c>
      <c r="C26" s="1">
        <v>1567</v>
      </c>
      <c r="D26" s="1">
        <v>2872</v>
      </c>
      <c r="E26" s="1">
        <v>6371</v>
      </c>
      <c r="F26" s="1">
        <v>10524</v>
      </c>
      <c r="G26" s="1">
        <v>19354</v>
      </c>
      <c r="H26" s="1">
        <v>47890</v>
      </c>
      <c r="Z26" t="s">
        <v>96</v>
      </c>
      <c r="AA26">
        <v>76160.142857142855</v>
      </c>
      <c r="AB26">
        <v>5390.6</v>
      </c>
      <c r="AC26">
        <v>24950.714285714286</v>
      </c>
      <c r="AD26">
        <v>55056.142857142855</v>
      </c>
      <c r="AE26">
        <v>60983.666666666664</v>
      </c>
      <c r="AF26">
        <v>39389.75</v>
      </c>
      <c r="AG26">
        <v>6096.6</v>
      </c>
      <c r="AH26">
        <v>60723.857142857145</v>
      </c>
      <c r="AI26">
        <v>28606.714285714286</v>
      </c>
      <c r="AJ26">
        <v>12745.714285714286</v>
      </c>
      <c r="AK26">
        <v>16541.285714285714</v>
      </c>
      <c r="AL26">
        <v>70046</v>
      </c>
      <c r="AM26">
        <v>61850.142857142855</v>
      </c>
      <c r="AN26">
        <v>37063.285714285717</v>
      </c>
      <c r="AO26">
        <v>55909.142857142855</v>
      </c>
      <c r="AP26">
        <v>117661.28571428571</v>
      </c>
      <c r="AQ26">
        <v>4160.7142857142853</v>
      </c>
      <c r="AR26">
        <v>4456.8571428571431</v>
      </c>
      <c r="AS26">
        <v>4170.666666666667</v>
      </c>
      <c r="AT26">
        <v>3789</v>
      </c>
      <c r="AU26">
        <v>34758.714285714283</v>
      </c>
      <c r="AV26">
        <v>8287</v>
      </c>
      <c r="AW26">
        <v>21148.571428571428</v>
      </c>
      <c r="AX26">
        <v>60120.571428571428</v>
      </c>
      <c r="AY26">
        <v>2432.5714285714284</v>
      </c>
      <c r="AZ26">
        <v>78232.428571428565</v>
      </c>
      <c r="BA26" t="e">
        <v>#DIV/0!</v>
      </c>
      <c r="BB26">
        <v>6041.8571428571431</v>
      </c>
      <c r="BC26">
        <v>112924</v>
      </c>
      <c r="BD26">
        <v>29500</v>
      </c>
      <c r="BE26">
        <v>66588.571428571435</v>
      </c>
    </row>
    <row r="27" spans="1:58" x14ac:dyDescent="0.25">
      <c r="A27" s="1" t="s">
        <v>3</v>
      </c>
      <c r="B27" s="1">
        <v>802</v>
      </c>
      <c r="C27" s="1">
        <v>2043</v>
      </c>
      <c r="D27" s="1">
        <v>4167</v>
      </c>
      <c r="E27" s="1">
        <v>7461</v>
      </c>
      <c r="F27" s="1">
        <v>12480</v>
      </c>
      <c r="G27" s="1">
        <v>25996</v>
      </c>
      <c r="H27" s="1">
        <v>62840</v>
      </c>
      <c r="Z27" t="s">
        <v>97</v>
      </c>
      <c r="AA27">
        <v>82196.428571428565</v>
      </c>
      <c r="AB27">
        <v>614</v>
      </c>
      <c r="AC27">
        <v>13220</v>
      </c>
      <c r="AD27">
        <v>26169.285714285714</v>
      </c>
      <c r="AE27">
        <v>41543.333333333336</v>
      </c>
      <c r="AF27">
        <v>61587.5</v>
      </c>
      <c r="AG27">
        <v>6512</v>
      </c>
      <c r="AH27">
        <v>77508.571428571435</v>
      </c>
      <c r="AI27">
        <v>37141.571428571428</v>
      </c>
      <c r="AJ27">
        <v>6936.8571428571431</v>
      </c>
      <c r="AK27">
        <v>7923.7142857142853</v>
      </c>
      <c r="AL27">
        <v>39370</v>
      </c>
      <c r="AM27">
        <v>84247.571428571435</v>
      </c>
      <c r="AN27">
        <v>48152.428571428572</v>
      </c>
      <c r="AO27">
        <v>47453.142857142855</v>
      </c>
      <c r="AP27">
        <v>157616.14285714287</v>
      </c>
      <c r="AQ27">
        <v>580.71428571428567</v>
      </c>
      <c r="AR27">
        <v>1227.4285714285713</v>
      </c>
      <c r="AS27">
        <v>396</v>
      </c>
      <c r="AT27">
        <v>481.71428571428572</v>
      </c>
      <c r="AU27">
        <v>22977.714285714286</v>
      </c>
      <c r="AV27">
        <v>7290</v>
      </c>
      <c r="AW27">
        <v>35985.857142857145</v>
      </c>
      <c r="AX27">
        <v>46933</v>
      </c>
      <c r="AY27">
        <v>607.71428571428567</v>
      </c>
      <c r="AZ27">
        <v>105785.14285714286</v>
      </c>
      <c r="BA27" t="e">
        <v>#DIV/0!</v>
      </c>
      <c r="BB27">
        <v>1379.4285714285713</v>
      </c>
      <c r="BC27">
        <v>92680.428571428565</v>
      </c>
      <c r="BD27">
        <v>19993.333333333332</v>
      </c>
      <c r="BE27">
        <v>50505.571428571428</v>
      </c>
      <c r="BF27">
        <v>35261.387978687977</v>
      </c>
    </row>
    <row r="28" spans="1:58" x14ac:dyDescent="0.25">
      <c r="A28" s="1" t="s">
        <v>4</v>
      </c>
      <c r="B28" s="1"/>
      <c r="C28" s="1"/>
      <c r="D28" s="1"/>
      <c r="E28" s="1"/>
      <c r="F28" s="1"/>
      <c r="G28" s="1">
        <v>41442</v>
      </c>
      <c r="H28" s="1">
        <v>98650</v>
      </c>
    </row>
    <row r="29" spans="1:58" x14ac:dyDescent="0.25">
      <c r="A29" s="1" t="s">
        <v>5</v>
      </c>
      <c r="B29" s="1">
        <v>2416</v>
      </c>
      <c r="C29" s="1">
        <v>6496</v>
      </c>
      <c r="D29" s="1">
        <v>13210</v>
      </c>
      <c r="E29" s="1">
        <v>26061</v>
      </c>
      <c r="F29" s="1">
        <v>40832</v>
      </c>
      <c r="G29" s="1">
        <v>89266</v>
      </c>
      <c r="H29" s="1">
        <v>254670</v>
      </c>
    </row>
    <row r="30" spans="1:58" x14ac:dyDescent="0.25">
      <c r="A30" s="1" t="s">
        <v>6</v>
      </c>
      <c r="B30" s="1">
        <v>2431</v>
      </c>
      <c r="C30" s="1">
        <v>5142</v>
      </c>
      <c r="D30" s="1">
        <v>9310</v>
      </c>
      <c r="E30" s="1">
        <v>20237</v>
      </c>
      <c r="F30" s="1">
        <v>29780</v>
      </c>
      <c r="G30" s="1">
        <v>46613</v>
      </c>
      <c r="H30" s="1">
        <v>145930</v>
      </c>
    </row>
    <row r="31" spans="1:58" x14ac:dyDescent="0.25">
      <c r="A31" s="1" t="s">
        <v>7</v>
      </c>
      <c r="B31" s="1">
        <v>2850</v>
      </c>
      <c r="C31" s="1">
        <v>7534</v>
      </c>
      <c r="D31" s="1">
        <v>15485</v>
      </c>
      <c r="E31" s="1">
        <v>29609</v>
      </c>
      <c r="F31" s="1">
        <v>34373</v>
      </c>
      <c r="G31" s="1">
        <v>65003</v>
      </c>
      <c r="H31" s="1">
        <v>236510</v>
      </c>
    </row>
    <row r="32" spans="1:58" x14ac:dyDescent="0.25">
      <c r="A32" s="1" t="s">
        <v>8</v>
      </c>
      <c r="B32" s="1">
        <v>5348</v>
      </c>
      <c r="C32" s="1">
        <v>13434</v>
      </c>
      <c r="D32" s="1">
        <v>26881</v>
      </c>
      <c r="E32" s="1">
        <v>52416</v>
      </c>
      <c r="F32" s="1">
        <v>85895</v>
      </c>
      <c r="G32" s="1">
        <v>166125</v>
      </c>
      <c r="H32" s="1">
        <v>473530</v>
      </c>
    </row>
    <row r="33" spans="1:8" x14ac:dyDescent="0.25">
      <c r="A33" s="1"/>
      <c r="B33" s="1"/>
      <c r="C33" s="1"/>
      <c r="D33" s="1"/>
      <c r="E33" s="1"/>
      <c r="F33" s="1"/>
      <c r="G33" s="1"/>
      <c r="H33" s="1">
        <f>SUM(Table8[2010-2016])</f>
        <v>4297700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Aggregate_expenditure</vt:lpstr>
      <vt:lpstr>Capital_Expenditure</vt:lpstr>
      <vt:lpstr>Gross_Financial_Deficits</vt:lpstr>
      <vt:lpstr>Nominal_GSDP_Series</vt:lpstr>
      <vt:lpstr>Revenue_Deficits</vt:lpstr>
      <vt:lpstr>Own_Tax_Revenues</vt:lpstr>
      <vt:lpstr>Revenue_Expenditure</vt:lpstr>
      <vt:lpstr>Social_Sector_Expenditure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2022-10-20T06:20:14Z</dcterms:created>
  <dcterms:modified xsi:type="dcterms:W3CDTF">2022-11-02T12:42:44Z</dcterms:modified>
</cp:coreProperties>
</file>