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585" windowWidth="14805" windowHeight="7530" firstSheet="1" activeTab="7"/>
  </bookViews>
  <sheets>
    <sheet name="Index" sheetId="4" r:id="rId1"/>
    <sheet name="1.Input --&gt;" sheetId="17" r:id="rId2"/>
    <sheet name="P&amp;L assumptions" sheetId="8" r:id="rId3"/>
    <sheet name="BS assumptions" sheetId="9" r:id="rId4"/>
    <sheet name="2.Output--&gt;" sheetId="18" r:id="rId5"/>
    <sheet name="P&amp;L" sheetId="5" r:id="rId6"/>
    <sheet name="BS" sheetId="7" r:id="rId7"/>
    <sheet name="Cash Flow" sheetId="6" r:id="rId8"/>
    <sheet name="Cash Flow diff. class." sheetId="20" r:id="rId9"/>
    <sheet name="4.Sources --&gt;" sheetId="1" r:id="rId10"/>
    <sheet name="P&amp;L source" sheetId="2" r:id="rId11"/>
    <sheet name="BS source" sheetId="3" r:id="rId12"/>
  </sheets>
  <calcPr calcId="145621"/>
</workbook>
</file>

<file path=xl/calcChain.xml><?xml version="1.0" encoding="utf-8"?>
<calcChain xmlns="http://schemas.openxmlformats.org/spreadsheetml/2006/main">
  <c r="K27" i="20" l="1"/>
  <c r="J27" i="20"/>
  <c r="I27" i="20"/>
  <c r="H27" i="20"/>
  <c r="G27" i="20"/>
  <c r="E27" i="20"/>
  <c r="D27" i="20"/>
  <c r="K22" i="20"/>
  <c r="J22" i="20"/>
  <c r="I22" i="20"/>
  <c r="H22" i="20"/>
  <c r="G22" i="20"/>
  <c r="K21" i="20"/>
  <c r="J21" i="20"/>
  <c r="I21" i="20"/>
  <c r="H21" i="20"/>
  <c r="H23" i="20" s="1"/>
  <c r="G21" i="20"/>
  <c r="K17" i="20"/>
  <c r="J17" i="20"/>
  <c r="I17" i="20"/>
  <c r="H17" i="20"/>
  <c r="G17" i="20"/>
  <c r="K16" i="20"/>
  <c r="J16" i="20"/>
  <c r="I16" i="20"/>
  <c r="H16" i="20"/>
  <c r="G16" i="20"/>
  <c r="K15" i="20"/>
  <c r="J15" i="20"/>
  <c r="I15" i="20"/>
  <c r="H15" i="20"/>
  <c r="G15" i="20"/>
  <c r="K12" i="20"/>
  <c r="J12" i="20"/>
  <c r="I12" i="20"/>
  <c r="H12" i="20"/>
  <c r="G12" i="20"/>
  <c r="K11" i="20"/>
  <c r="J11" i="20"/>
  <c r="I11" i="20"/>
  <c r="H11" i="20"/>
  <c r="G11" i="20"/>
  <c r="K10" i="20"/>
  <c r="J10" i="20"/>
  <c r="I10" i="20"/>
  <c r="H10" i="20"/>
  <c r="G10" i="20"/>
  <c r="K9" i="20"/>
  <c r="J9" i="20"/>
  <c r="I9" i="20"/>
  <c r="H9" i="20"/>
  <c r="G9" i="20"/>
  <c r="K8" i="20"/>
  <c r="J8" i="20"/>
  <c r="I8" i="20"/>
  <c r="H8" i="20"/>
  <c r="G8" i="20"/>
  <c r="K7" i="20"/>
  <c r="J7" i="20"/>
  <c r="I7" i="20"/>
  <c r="H7" i="20"/>
  <c r="G7" i="20"/>
  <c r="K6" i="20"/>
  <c r="J6" i="20"/>
  <c r="I6" i="20"/>
  <c r="H6" i="20"/>
  <c r="G6" i="20"/>
  <c r="K5" i="20"/>
  <c r="J5" i="20"/>
  <c r="I5" i="20"/>
  <c r="H5" i="20"/>
  <c r="G5" i="20"/>
  <c r="K4" i="20"/>
  <c r="J4" i="20"/>
  <c r="I4" i="20"/>
  <c r="H4" i="20"/>
  <c r="G4" i="20"/>
  <c r="E22" i="20"/>
  <c r="D22" i="20"/>
  <c r="E21" i="20"/>
  <c r="D21" i="20"/>
  <c r="E17" i="20"/>
  <c r="D17" i="20"/>
  <c r="E16" i="20"/>
  <c r="D16" i="20"/>
  <c r="E15" i="20"/>
  <c r="D15" i="20"/>
  <c r="E12" i="20"/>
  <c r="D12" i="20"/>
  <c r="E11" i="20"/>
  <c r="D11" i="20"/>
  <c r="E10" i="20"/>
  <c r="D10" i="20"/>
  <c r="E9" i="20"/>
  <c r="D9" i="20"/>
  <c r="E8" i="20"/>
  <c r="D8" i="20"/>
  <c r="E7" i="20"/>
  <c r="D7" i="20"/>
  <c r="E6" i="20"/>
  <c r="D6" i="20"/>
  <c r="E5" i="20"/>
  <c r="D5" i="20"/>
  <c r="E4" i="20"/>
  <c r="D4" i="20"/>
  <c r="E13" i="20" l="1"/>
  <c r="G18" i="20"/>
  <c r="K18" i="20"/>
  <c r="E18" i="20"/>
  <c r="J23" i="20"/>
  <c r="D18" i="20"/>
  <c r="J18" i="20"/>
  <c r="G23" i="20"/>
  <c r="K23" i="20"/>
  <c r="K13" i="20"/>
  <c r="D23" i="20"/>
  <c r="H18" i="20"/>
  <c r="I23" i="20"/>
  <c r="G13" i="20"/>
  <c r="E23" i="20"/>
  <c r="J13" i="20"/>
  <c r="I13" i="20"/>
  <c r="H13" i="20"/>
  <c r="I18" i="20"/>
  <c r="D13" i="20"/>
  <c r="K18" i="6"/>
  <c r="J18" i="6"/>
  <c r="I18" i="6"/>
  <c r="H18" i="6"/>
  <c r="G18" i="6"/>
  <c r="E18" i="6"/>
  <c r="D18" i="6"/>
  <c r="K9" i="6"/>
  <c r="K10" i="6" s="1"/>
  <c r="J9" i="6"/>
  <c r="I9" i="6"/>
  <c r="H9" i="6"/>
  <c r="G9" i="6"/>
  <c r="G10" i="6" s="1"/>
  <c r="G23" i="6" s="1"/>
  <c r="E9" i="6"/>
  <c r="E10" i="6" s="1"/>
  <c r="E23" i="6" s="1"/>
  <c r="D9" i="6"/>
  <c r="D10" i="6"/>
  <c r="J10" i="6"/>
  <c r="I10" i="6"/>
  <c r="I23" i="6" s="1"/>
  <c r="H10" i="6"/>
  <c r="H23" i="6" s="1"/>
  <c r="J25" i="20" l="1"/>
  <c r="J28" i="20" s="1"/>
  <c r="E25" i="20"/>
  <c r="E28" i="20" s="1"/>
  <c r="H25" i="20"/>
  <c r="H28" i="20" s="1"/>
  <c r="G25" i="20"/>
  <c r="G28" i="20" s="1"/>
  <c r="K25" i="20"/>
  <c r="K28" i="20" s="1"/>
  <c r="I25" i="20"/>
  <c r="I28" i="20" s="1"/>
  <c r="D25" i="20"/>
  <c r="D28" i="20" s="1"/>
  <c r="K23" i="6"/>
  <c r="J23" i="6"/>
  <c r="D23" i="6"/>
  <c r="K27" i="6" l="1"/>
  <c r="K19" i="6"/>
  <c r="J27" i="6"/>
  <c r="J19" i="6"/>
  <c r="I27" i="6"/>
  <c r="I19" i="6"/>
  <c r="H27" i="6"/>
  <c r="H19" i="6"/>
  <c r="G32" i="6"/>
  <c r="G27" i="6"/>
  <c r="G19" i="6"/>
  <c r="E35" i="6"/>
  <c r="E32" i="6"/>
  <c r="E28" i="6"/>
  <c r="E27" i="6"/>
  <c r="E25" i="6"/>
  <c r="E21" i="6"/>
  <c r="E19" i="6"/>
  <c r="E16" i="6"/>
  <c r="E14" i="6"/>
  <c r="E13" i="6"/>
  <c r="E12" i="6"/>
  <c r="E6" i="6"/>
  <c r="E4" i="6"/>
  <c r="D35" i="6"/>
  <c r="D32" i="6"/>
  <c r="D28" i="6"/>
  <c r="D27" i="6"/>
  <c r="D25" i="6"/>
  <c r="E5" i="6" l="1"/>
  <c r="E7" i="6" s="1"/>
  <c r="E15" i="6"/>
  <c r="D21" i="6"/>
  <c r="D19" i="6"/>
  <c r="D16" i="6"/>
  <c r="D14" i="6"/>
  <c r="D13" i="6"/>
  <c r="D12" i="6"/>
  <c r="D6" i="6"/>
  <c r="D4" i="6"/>
  <c r="D5" i="6" l="1"/>
  <c r="D26" i="6" s="1"/>
  <c r="D15" i="6"/>
  <c r="E26" i="6"/>
  <c r="E30" i="6" s="1"/>
  <c r="E33" i="6" s="1"/>
  <c r="E36" i="6" s="1"/>
  <c r="K19" i="7"/>
  <c r="J19" i="7"/>
  <c r="I19" i="7"/>
  <c r="H19" i="7"/>
  <c r="G19" i="7"/>
  <c r="K6" i="7"/>
  <c r="J6" i="7"/>
  <c r="I6" i="7"/>
  <c r="H6" i="7"/>
  <c r="G6" i="7"/>
  <c r="K4" i="7"/>
  <c r="J4" i="7"/>
  <c r="I4" i="7"/>
  <c r="H4" i="7"/>
  <c r="G4" i="7"/>
  <c r="E26" i="7"/>
  <c r="D26" i="7"/>
  <c r="C26" i="7"/>
  <c r="E21" i="7"/>
  <c r="D21" i="7"/>
  <c r="E19" i="7"/>
  <c r="D19" i="7"/>
  <c r="E12" i="7"/>
  <c r="D12" i="7"/>
  <c r="E6" i="7"/>
  <c r="D6" i="7"/>
  <c r="E4" i="7"/>
  <c r="D4" i="7"/>
  <c r="C21" i="7"/>
  <c r="C19" i="7"/>
  <c r="C12" i="7"/>
  <c r="C6" i="7"/>
  <c r="C4" i="7"/>
  <c r="D7" i="6" l="1"/>
  <c r="D30" i="6" s="1"/>
  <c r="D33" i="6" s="1"/>
  <c r="D36" i="6" s="1"/>
  <c r="E17" i="7"/>
  <c r="D17" i="7"/>
  <c r="C17" i="7"/>
  <c r="E16" i="7"/>
  <c r="D16" i="7"/>
  <c r="C16" i="7"/>
  <c r="E10" i="7"/>
  <c r="D10" i="7"/>
  <c r="C10" i="7"/>
  <c r="E9" i="7"/>
  <c r="D9" i="7"/>
  <c r="C9" i="7"/>
  <c r="E8" i="7"/>
  <c r="D8" i="7"/>
  <c r="C8" i="7"/>
  <c r="E5" i="7"/>
  <c r="E14" i="7" s="1"/>
  <c r="D5" i="7"/>
  <c r="C5" i="7"/>
  <c r="E23" i="7"/>
  <c r="D23" i="7"/>
  <c r="C23" i="7"/>
  <c r="D14" i="7"/>
  <c r="C14" i="7" l="1"/>
  <c r="E21" i="5" l="1"/>
  <c r="D21" i="5"/>
  <c r="C21" i="5"/>
  <c r="E18" i="5"/>
  <c r="D18" i="5"/>
  <c r="C18" i="5"/>
  <c r="E17" i="5"/>
  <c r="D17" i="5"/>
  <c r="C17" i="5"/>
  <c r="E14" i="5"/>
  <c r="D14" i="5"/>
  <c r="C14" i="5"/>
  <c r="E11" i="5"/>
  <c r="D11" i="5"/>
  <c r="C11" i="5"/>
  <c r="E8" i="5"/>
  <c r="D8" i="5"/>
  <c r="C8" i="5"/>
  <c r="E5" i="5"/>
  <c r="D5" i="5"/>
  <c r="C5" i="5"/>
  <c r="E4" i="5"/>
  <c r="D4" i="5"/>
  <c r="C4" i="5"/>
  <c r="E6" i="5" l="1"/>
  <c r="E9" i="5" s="1"/>
  <c r="E12" i="5" s="1"/>
  <c r="E15" i="5" s="1"/>
  <c r="E19" i="5" s="1"/>
  <c r="D6" i="5"/>
  <c r="D9" i="5" s="1"/>
  <c r="D12" i="5" s="1"/>
  <c r="D15" i="5" s="1"/>
  <c r="C6" i="5"/>
  <c r="C9" i="5" s="1"/>
  <c r="C12" i="5" s="1"/>
  <c r="C15" i="5" l="1"/>
  <c r="C19" i="5" s="1"/>
  <c r="C24" i="5" s="1"/>
  <c r="E24" i="5"/>
  <c r="E22" i="5"/>
  <c r="E52" i="8" s="1"/>
  <c r="D19" i="5"/>
  <c r="K21" i="9"/>
  <c r="J21" i="9"/>
  <c r="I21" i="9"/>
  <c r="H21" i="9"/>
  <c r="G21" i="9"/>
  <c r="K18" i="9"/>
  <c r="J18" i="9"/>
  <c r="I18" i="9"/>
  <c r="H18" i="9"/>
  <c r="G18" i="9"/>
  <c r="K15" i="9"/>
  <c r="J15" i="9"/>
  <c r="I15" i="9"/>
  <c r="H15" i="9"/>
  <c r="G15" i="9"/>
  <c r="E21" i="9"/>
  <c r="D21" i="9"/>
  <c r="C21" i="9"/>
  <c r="E18" i="9"/>
  <c r="D18" i="9"/>
  <c r="C18" i="9"/>
  <c r="E15" i="9"/>
  <c r="D15" i="9"/>
  <c r="C15" i="9"/>
  <c r="E20" i="9"/>
  <c r="D20" i="9"/>
  <c r="C20" i="9"/>
  <c r="E17" i="9"/>
  <c r="D17" i="9"/>
  <c r="C17" i="9"/>
  <c r="E14" i="9"/>
  <c r="D14" i="9"/>
  <c r="C14" i="9"/>
  <c r="C22" i="5" l="1"/>
  <c r="C52" i="8" s="1"/>
  <c r="D24" i="5"/>
  <c r="D22" i="5"/>
  <c r="D52" i="8" s="1"/>
  <c r="K12" i="9"/>
  <c r="J12" i="9"/>
  <c r="I12" i="9"/>
  <c r="H12" i="9"/>
  <c r="G12" i="9"/>
  <c r="K9" i="9"/>
  <c r="J9" i="9"/>
  <c r="I9" i="9"/>
  <c r="H9" i="9"/>
  <c r="G9" i="9"/>
  <c r="K6" i="9"/>
  <c r="J6" i="9"/>
  <c r="I6" i="9"/>
  <c r="H6" i="9"/>
  <c r="G6" i="9"/>
  <c r="E9" i="9"/>
  <c r="D9" i="9"/>
  <c r="C9" i="9"/>
  <c r="E12" i="9"/>
  <c r="D12" i="9"/>
  <c r="C12" i="9"/>
  <c r="E6" i="9"/>
  <c r="D6" i="9"/>
  <c r="C6" i="9"/>
  <c r="E11" i="9"/>
  <c r="D11" i="9"/>
  <c r="C11" i="9"/>
  <c r="E8" i="9"/>
  <c r="D8" i="9"/>
  <c r="C8" i="9"/>
  <c r="E5" i="9"/>
  <c r="D5" i="9"/>
  <c r="C5" i="9"/>
  <c r="E46" i="8" l="1"/>
  <c r="D46" i="8"/>
  <c r="C46" i="8"/>
  <c r="E40" i="8"/>
  <c r="D40" i="8"/>
  <c r="E34" i="8" l="1"/>
  <c r="D34" i="8"/>
  <c r="C34" i="8"/>
  <c r="E28" i="8"/>
  <c r="D28" i="8"/>
  <c r="C28" i="8"/>
  <c r="E22" i="8" l="1"/>
  <c r="D22" i="8"/>
  <c r="C22" i="8"/>
  <c r="K52" i="8"/>
  <c r="K22" i="5" s="1"/>
  <c r="J52" i="8"/>
  <c r="J22" i="5" s="1"/>
  <c r="I52" i="8"/>
  <c r="I22" i="5" s="1"/>
  <c r="H52" i="8"/>
  <c r="H22" i="5" s="1"/>
  <c r="G52" i="8"/>
  <c r="G22" i="5" s="1"/>
  <c r="K46" i="8"/>
  <c r="J46" i="8"/>
  <c r="I46" i="8"/>
  <c r="H46" i="8"/>
  <c r="G46" i="8"/>
  <c r="K40" i="8"/>
  <c r="J40" i="8"/>
  <c r="I40" i="8"/>
  <c r="H40" i="8"/>
  <c r="G40" i="8"/>
  <c r="G39" i="8" s="1"/>
  <c r="K34" i="8"/>
  <c r="J34" i="8"/>
  <c r="I34" i="8"/>
  <c r="H34" i="8"/>
  <c r="G34" i="8"/>
  <c r="K28" i="8"/>
  <c r="J28" i="8"/>
  <c r="I28" i="8"/>
  <c r="H28" i="8"/>
  <c r="G28" i="8"/>
  <c r="K22" i="8"/>
  <c r="J22" i="8"/>
  <c r="I22" i="8"/>
  <c r="H22" i="8"/>
  <c r="G22" i="8"/>
  <c r="K16" i="8"/>
  <c r="J16" i="8"/>
  <c r="I16" i="8"/>
  <c r="H16" i="8"/>
  <c r="G16" i="8"/>
  <c r="G15" i="8" s="1"/>
  <c r="H15" i="8" l="1"/>
  <c r="G5" i="5"/>
  <c r="G6" i="6"/>
  <c r="K6" i="6"/>
  <c r="H39" i="8"/>
  <c r="G17" i="5"/>
  <c r="G25" i="6" s="1"/>
  <c r="I6" i="6"/>
  <c r="J6" i="6"/>
  <c r="H6" i="6"/>
  <c r="E51" i="8"/>
  <c r="D51" i="8"/>
  <c r="C51" i="8"/>
  <c r="E45" i="8"/>
  <c r="D45" i="8"/>
  <c r="C45" i="8"/>
  <c r="E39" i="8"/>
  <c r="D39" i="8"/>
  <c r="C39" i="8"/>
  <c r="E33" i="8"/>
  <c r="D33" i="8"/>
  <c r="C33" i="8"/>
  <c r="E27" i="8"/>
  <c r="D27" i="8"/>
  <c r="C27" i="8"/>
  <c r="E21" i="8"/>
  <c r="D21" i="8"/>
  <c r="C21" i="8"/>
  <c r="I39" i="8" l="1"/>
  <c r="H17" i="5"/>
  <c r="H25" i="6" s="1"/>
  <c r="I15" i="8"/>
  <c r="H5" i="5"/>
  <c r="E16" i="8"/>
  <c r="D16" i="8"/>
  <c r="E15" i="8"/>
  <c r="D15" i="8"/>
  <c r="C15" i="8"/>
  <c r="J15" i="8" l="1"/>
  <c r="I5" i="5"/>
  <c r="J39" i="8"/>
  <c r="I17" i="5"/>
  <c r="I25" i="6" s="1"/>
  <c r="K10" i="8"/>
  <c r="J10" i="8"/>
  <c r="I10" i="8"/>
  <c r="H10" i="8"/>
  <c r="G10" i="8"/>
  <c r="G9" i="8" s="1"/>
  <c r="K39" i="8" l="1"/>
  <c r="K17" i="5" s="1"/>
  <c r="K25" i="6" s="1"/>
  <c r="J17" i="5"/>
  <c r="J25" i="6" s="1"/>
  <c r="H9" i="8"/>
  <c r="G4" i="5"/>
  <c r="G20" i="9"/>
  <c r="G17" i="7" s="1"/>
  <c r="G17" i="9"/>
  <c r="G10" i="7" s="1"/>
  <c r="G16" i="6" s="1"/>
  <c r="G14" i="9"/>
  <c r="G5" i="7" s="1"/>
  <c r="G5" i="9"/>
  <c r="G9" i="7" s="1"/>
  <c r="G45" i="8"/>
  <c r="G18" i="5" s="1"/>
  <c r="G21" i="6" s="1"/>
  <c r="G27" i="8"/>
  <c r="G11" i="5" s="1"/>
  <c r="G21" i="8"/>
  <c r="G33" i="8"/>
  <c r="G14" i="5" s="1"/>
  <c r="K15" i="8"/>
  <c r="K5" i="5" s="1"/>
  <c r="J5" i="5"/>
  <c r="E10" i="8"/>
  <c r="D10" i="8"/>
  <c r="E9" i="8"/>
  <c r="D9" i="8"/>
  <c r="C9" i="8"/>
  <c r="G13" i="6" l="1"/>
  <c r="G6" i="5"/>
  <c r="G8" i="5"/>
  <c r="G8" i="9"/>
  <c r="G8" i="7" s="1"/>
  <c r="G11" i="9"/>
  <c r="G16" i="7" s="1"/>
  <c r="I9" i="8"/>
  <c r="H4" i="5"/>
  <c r="H20" i="9"/>
  <c r="H17" i="7" s="1"/>
  <c r="H17" i="9"/>
  <c r="H10" i="7" s="1"/>
  <c r="H14" i="9"/>
  <c r="H5" i="7" s="1"/>
  <c r="H5" i="9"/>
  <c r="H9" i="7" s="1"/>
  <c r="H45" i="8"/>
  <c r="H18" i="5" s="1"/>
  <c r="H21" i="6" s="1"/>
  <c r="H27" i="8"/>
  <c r="H11" i="5" s="1"/>
  <c r="H21" i="8"/>
  <c r="H33" i="8"/>
  <c r="H14" i="5" s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H16" i="6" l="1"/>
  <c r="H8" i="5"/>
  <c r="H8" i="9"/>
  <c r="H8" i="7" s="1"/>
  <c r="H11" i="9"/>
  <c r="H16" i="7" s="1"/>
  <c r="J9" i="8"/>
  <c r="I4" i="5"/>
  <c r="I17" i="9"/>
  <c r="I10" i="7" s="1"/>
  <c r="I20" i="9"/>
  <c r="I17" i="7" s="1"/>
  <c r="I14" i="9"/>
  <c r="I5" i="7" s="1"/>
  <c r="I5" i="9"/>
  <c r="I9" i="7" s="1"/>
  <c r="I45" i="8"/>
  <c r="I18" i="5" s="1"/>
  <c r="I21" i="6" s="1"/>
  <c r="I27" i="8"/>
  <c r="I11" i="5" s="1"/>
  <c r="I21" i="8"/>
  <c r="I33" i="8"/>
  <c r="I14" i="5" s="1"/>
  <c r="G12" i="6"/>
  <c r="G9" i="5"/>
  <c r="G12" i="5" s="1"/>
  <c r="H13" i="6"/>
  <c r="H6" i="5"/>
  <c r="G14" i="6"/>
  <c r="F6" i="2"/>
  <c r="F14" i="2" s="1"/>
  <c r="F18" i="2" s="1"/>
  <c r="F23" i="2" s="1"/>
  <c r="F27" i="2" s="1"/>
  <c r="E6" i="2"/>
  <c r="E14" i="2" s="1"/>
  <c r="E18" i="2" s="1"/>
  <c r="E23" i="2" s="1"/>
  <c r="E27" i="2" s="1"/>
  <c r="D6" i="2"/>
  <c r="D14" i="2" s="1"/>
  <c r="D18" i="2" s="1"/>
  <c r="D23" i="2" s="1"/>
  <c r="D27" i="2" s="1"/>
  <c r="H9" i="5" l="1"/>
  <c r="H12" i="5" s="1"/>
  <c r="G15" i="6"/>
  <c r="I16" i="6"/>
  <c r="H15" i="5"/>
  <c r="G15" i="5"/>
  <c r="I13" i="6"/>
  <c r="I6" i="5"/>
  <c r="H14" i="6"/>
  <c r="I8" i="5"/>
  <c r="I8" i="9"/>
  <c r="I8" i="7" s="1"/>
  <c r="I11" i="9"/>
  <c r="I16" i="7" s="1"/>
  <c r="K9" i="8"/>
  <c r="J4" i="5"/>
  <c r="J14" i="9"/>
  <c r="J5" i="7" s="1"/>
  <c r="J20" i="9"/>
  <c r="J17" i="7" s="1"/>
  <c r="J17" i="9"/>
  <c r="J10" i="7" s="1"/>
  <c r="J5" i="9"/>
  <c r="J9" i="7" s="1"/>
  <c r="J45" i="8"/>
  <c r="J18" i="5" s="1"/>
  <c r="J21" i="6" s="1"/>
  <c r="J27" i="8"/>
  <c r="J11" i="5" s="1"/>
  <c r="J21" i="8"/>
  <c r="J33" i="8"/>
  <c r="J14" i="5" s="1"/>
  <c r="H12" i="6"/>
  <c r="H15" i="6" s="1"/>
  <c r="E8" i="3"/>
  <c r="K17" i="3"/>
  <c r="J17" i="3"/>
  <c r="D15" i="3"/>
  <c r="F15" i="3"/>
  <c r="F8" i="3"/>
  <c r="D8" i="3"/>
  <c r="L17" i="3"/>
  <c r="E15" i="3"/>
  <c r="L8" i="3"/>
  <c r="K8" i="3"/>
  <c r="J8" i="3"/>
  <c r="J13" i="6" l="1"/>
  <c r="I9" i="5"/>
  <c r="I12" i="5" s="1"/>
  <c r="G19" i="5"/>
  <c r="G4" i="6"/>
  <c r="J6" i="5"/>
  <c r="I14" i="6"/>
  <c r="J8" i="5"/>
  <c r="J11" i="9"/>
  <c r="J16" i="7" s="1"/>
  <c r="J8" i="9"/>
  <c r="J8" i="7" s="1"/>
  <c r="J16" i="6"/>
  <c r="K4" i="5"/>
  <c r="K14" i="9"/>
  <c r="K5" i="7" s="1"/>
  <c r="K20" i="9"/>
  <c r="K17" i="7" s="1"/>
  <c r="K17" i="9"/>
  <c r="K10" i="7" s="1"/>
  <c r="K5" i="9"/>
  <c r="K9" i="7" s="1"/>
  <c r="K45" i="8"/>
  <c r="K18" i="5" s="1"/>
  <c r="K21" i="6" s="1"/>
  <c r="K27" i="8"/>
  <c r="K11" i="5" s="1"/>
  <c r="K33" i="8"/>
  <c r="K14" i="5" s="1"/>
  <c r="K21" i="8"/>
  <c r="I12" i="6"/>
  <c r="H19" i="5"/>
  <c r="H4" i="6"/>
  <c r="D19" i="3"/>
  <c r="F19" i="3"/>
  <c r="L19" i="3"/>
  <c r="J19" i="3"/>
  <c r="K19" i="3"/>
  <c r="E19" i="3"/>
  <c r="K16" i="6" l="1"/>
  <c r="H21" i="5"/>
  <c r="H24" i="5" s="1"/>
  <c r="J12" i="6"/>
  <c r="I15" i="6"/>
  <c r="G5" i="6"/>
  <c r="G7" i="6" s="1"/>
  <c r="I15" i="5"/>
  <c r="J14" i="6"/>
  <c r="G21" i="5"/>
  <c r="G24" i="5" s="1"/>
  <c r="G21" i="7" s="1"/>
  <c r="H5" i="6"/>
  <c r="K8" i="5"/>
  <c r="K11" i="9"/>
  <c r="K16" i="7" s="1"/>
  <c r="K8" i="9"/>
  <c r="K8" i="7" s="1"/>
  <c r="K13" i="6"/>
  <c r="K6" i="5"/>
  <c r="J9" i="5"/>
  <c r="J12" i="5" s="1"/>
  <c r="L22" i="3"/>
  <c r="K22" i="3"/>
  <c r="J22" i="3"/>
  <c r="H26" i="6" l="1"/>
  <c r="K9" i="5"/>
  <c r="K12" i="5" s="1"/>
  <c r="K15" i="5" s="1"/>
  <c r="G28" i="6"/>
  <c r="H21" i="7"/>
  <c r="G23" i="7"/>
  <c r="J15" i="5"/>
  <c r="K14" i="6"/>
  <c r="I19" i="5"/>
  <c r="I4" i="6"/>
  <c r="J15" i="6"/>
  <c r="G26" i="6"/>
  <c r="K12" i="6"/>
  <c r="H7" i="6"/>
  <c r="G30" i="6" l="1"/>
  <c r="G33" i="6" s="1"/>
  <c r="K15" i="6"/>
  <c r="G12" i="7"/>
  <c r="I21" i="5"/>
  <c r="K19" i="5"/>
  <c r="K4" i="6"/>
  <c r="J19" i="5"/>
  <c r="J4" i="6"/>
  <c r="I5" i="6"/>
  <c r="I7" i="6" s="1"/>
  <c r="H28" i="6"/>
  <c r="H30" i="6" s="1"/>
  <c r="H23" i="7"/>
  <c r="J5" i="6" l="1"/>
  <c r="J21" i="5"/>
  <c r="J24" i="5" s="1"/>
  <c r="H32" i="6"/>
  <c r="H33" i="6" s="1"/>
  <c r="H12" i="7"/>
  <c r="G35" i="6"/>
  <c r="G36" i="6" s="1"/>
  <c r="G14" i="7"/>
  <c r="G26" i="7" s="1"/>
  <c r="K5" i="6"/>
  <c r="I26" i="6"/>
  <c r="K21" i="5"/>
  <c r="K24" i="5" s="1"/>
  <c r="I24" i="5"/>
  <c r="I21" i="7" s="1"/>
  <c r="K26" i="6" l="1"/>
  <c r="J26" i="6"/>
  <c r="J21" i="7"/>
  <c r="I28" i="6"/>
  <c r="I30" i="6" s="1"/>
  <c r="I23" i="7"/>
  <c r="I32" i="6"/>
  <c r="H35" i="6"/>
  <c r="H36" i="6" s="1"/>
  <c r="H14" i="7"/>
  <c r="H26" i="7" s="1"/>
  <c r="J7" i="6"/>
  <c r="K7" i="6"/>
  <c r="I33" i="6" l="1"/>
  <c r="I12" i="7"/>
  <c r="K21" i="7"/>
  <c r="J28" i="6"/>
  <c r="J30" i="6" s="1"/>
  <c r="J23" i="7"/>
  <c r="J32" i="6" l="1"/>
  <c r="J33" i="6" s="1"/>
  <c r="J12" i="7"/>
  <c r="I35" i="6"/>
  <c r="I36" i="6" s="1"/>
  <c r="I14" i="7"/>
  <c r="I26" i="7" s="1"/>
  <c r="K28" i="6"/>
  <c r="K30" i="6" s="1"/>
  <c r="K23" i="7"/>
  <c r="J35" i="6" l="1"/>
  <c r="J36" i="6" s="1"/>
  <c r="K32" i="6"/>
  <c r="K33" i="6" s="1"/>
  <c r="K12" i="7"/>
  <c r="J14" i="7"/>
  <c r="J26" i="7" s="1"/>
  <c r="K35" i="6" l="1"/>
  <c r="K36" i="6" s="1"/>
  <c r="K14" i="7"/>
  <c r="K26" i="7" s="1"/>
</calcChain>
</file>

<file path=xl/sharedStrings.xml><?xml version="1.0" encoding="utf-8"?>
<sst xmlns="http://schemas.openxmlformats.org/spreadsheetml/2006/main" count="301" uniqueCount="137">
  <si>
    <t>BS source</t>
  </si>
  <si>
    <t>P&amp;L source</t>
  </si>
  <si>
    <t xml:space="preserve">#                </t>
  </si>
  <si>
    <t>Worksheet</t>
  </si>
  <si>
    <t>DCF Valuation</t>
  </si>
  <si>
    <t>Sheet index</t>
  </si>
  <si>
    <t>P&amp;L</t>
  </si>
  <si>
    <t>Revenue from sales and services</t>
  </si>
  <si>
    <t>Other revenue</t>
  </si>
  <si>
    <t>Revenue</t>
  </si>
  <si>
    <t>Raw materials</t>
  </si>
  <si>
    <t>Cost for services</t>
  </si>
  <si>
    <t>Lease costs</t>
  </si>
  <si>
    <t>Other operating expenses</t>
  </si>
  <si>
    <t>EBITDA</t>
  </si>
  <si>
    <t>D&amp;A</t>
  </si>
  <si>
    <t>EBIT</t>
  </si>
  <si>
    <t>Financial income/expenses</t>
  </si>
  <si>
    <t>Extraordinary income</t>
  </si>
  <si>
    <t>EBT</t>
  </si>
  <si>
    <t>2011
Act</t>
  </si>
  <si>
    <t>2012
Act</t>
  </si>
  <si>
    <t>2013
Act</t>
  </si>
  <si>
    <t>Taxes</t>
  </si>
  <si>
    <t>Net Income</t>
  </si>
  <si>
    <t>BS</t>
  </si>
  <si>
    <t>P&amp;L assumptions</t>
  </si>
  <si>
    <t>BS assumptions</t>
  </si>
  <si>
    <t>Cash Flow</t>
  </si>
  <si>
    <t>Intangible assets</t>
  </si>
  <si>
    <t>Trade receivables</t>
  </si>
  <si>
    <t>Other assets</t>
  </si>
  <si>
    <t>Inventory</t>
  </si>
  <si>
    <t>31Dec11
Act</t>
  </si>
  <si>
    <t>31Dec12
Act</t>
  </si>
  <si>
    <t>31Dec13
Act</t>
  </si>
  <si>
    <t>Cash and equivalents</t>
  </si>
  <si>
    <t>Total Assets</t>
  </si>
  <si>
    <t>Share Capital</t>
  </si>
  <si>
    <t>Reserves</t>
  </si>
  <si>
    <t>Retained earnings</t>
  </si>
  <si>
    <t>Profit/(loss) for the year</t>
  </si>
  <si>
    <t>Total Equity</t>
  </si>
  <si>
    <t>PP&amp;E</t>
  </si>
  <si>
    <t>Trade payable</t>
  </si>
  <si>
    <t>Other liabilities</t>
  </si>
  <si>
    <t>Provisions for retirement benefits</t>
  </si>
  <si>
    <t>Bank borrowings</t>
  </si>
  <si>
    <t>Other Financial liabilities</t>
  </si>
  <si>
    <t>Total Liabilities</t>
  </si>
  <si>
    <t>Total Liabilities &amp; Equity</t>
  </si>
  <si>
    <t>Deferred taxes</t>
  </si>
  <si>
    <t>Financial assets</t>
  </si>
  <si>
    <t>$ in thousands</t>
  </si>
  <si>
    <t>FY11
Actual</t>
  </si>
  <si>
    <t>FY12
Actual</t>
  </si>
  <si>
    <t>FY13
Actual</t>
  </si>
  <si>
    <t>FY14
Forecast</t>
  </si>
  <si>
    <t>FY15
Forecast</t>
  </si>
  <si>
    <t>FY16
Forecast</t>
  </si>
  <si>
    <t>FY17
Forecast</t>
  </si>
  <si>
    <t>FY18
Forecast</t>
  </si>
  <si>
    <t>USD in thousands</t>
  </si>
  <si>
    <t>Fixed assets</t>
  </si>
  <si>
    <t>Non fixed assets</t>
  </si>
  <si>
    <t>DCF valuation</t>
  </si>
  <si>
    <t>Note</t>
  </si>
  <si>
    <t>Balance Sheet</t>
  </si>
  <si>
    <t>Cash flows</t>
  </si>
  <si>
    <t>1.Input --&gt;</t>
  </si>
  <si>
    <t>2.Output --&gt;</t>
  </si>
  <si>
    <t>Revenue&amp;Ebitda</t>
  </si>
  <si>
    <t>Ebitda bridge</t>
  </si>
  <si>
    <t>Working capital</t>
  </si>
  <si>
    <t>DCF results</t>
  </si>
  <si>
    <t>4. Sources --&gt;</t>
  </si>
  <si>
    <t>3.Charts --&gt;</t>
  </si>
  <si>
    <t>4.Sources --&gt;</t>
  </si>
  <si>
    <t>Direct costs</t>
  </si>
  <si>
    <t>.</t>
  </si>
  <si>
    <t>Selected case</t>
  </si>
  <si>
    <t>Case scenarios:</t>
  </si>
  <si>
    <t>Case 1: Optimistic case</t>
  </si>
  <si>
    <t>Case 2: Base case</t>
  </si>
  <si>
    <t>Case 3: Worst case</t>
  </si>
  <si>
    <t>Revenues</t>
  </si>
  <si>
    <t>y-o-y growth %</t>
  </si>
  <si>
    <t>Case 1</t>
  </si>
  <si>
    <t>Case 2</t>
  </si>
  <si>
    <t>Case 3</t>
  </si>
  <si>
    <t>Other revenues</t>
  </si>
  <si>
    <t>Cost of goods sold</t>
  </si>
  <si>
    <t>% of revenues</t>
  </si>
  <si>
    <t>Operating expenses</t>
  </si>
  <si>
    <t>% of EBT</t>
  </si>
  <si>
    <t>Trade receivable</t>
  </si>
  <si>
    <t>as a % of revenues</t>
  </si>
  <si>
    <t>Days receivables (DSO)</t>
  </si>
  <si>
    <t>Days inventory (DIO)</t>
  </si>
  <si>
    <t>Days payables (DPO)</t>
  </si>
  <si>
    <t>Total Revenues</t>
  </si>
  <si>
    <t>Gross Margin</t>
  </si>
  <si>
    <t>Interest expenses</t>
  </si>
  <si>
    <t>Extraordinary items</t>
  </si>
  <si>
    <t>Tax rate</t>
  </si>
  <si>
    <t xml:space="preserve"> </t>
  </si>
  <si>
    <t>Financial liabilities</t>
  </si>
  <si>
    <t>Shareholders' equity</t>
  </si>
  <si>
    <t>Total Liabilities &amp; Equities</t>
  </si>
  <si>
    <t>Check</t>
  </si>
  <si>
    <t>Flat</t>
  </si>
  <si>
    <t>Opening cash + Net Cash Flow</t>
  </si>
  <si>
    <t>No additional debt</t>
  </si>
  <si>
    <t>Operating taxes</t>
  </si>
  <si>
    <t>NOPAT</t>
  </si>
  <si>
    <t>Trade payables</t>
  </si>
  <si>
    <t>Investments in working capital</t>
  </si>
  <si>
    <t>Investments in other assets/liabilities</t>
  </si>
  <si>
    <t>Capex</t>
  </si>
  <si>
    <t>Other investments</t>
  </si>
  <si>
    <t>Operating tax rate</t>
  </si>
  <si>
    <t>UFCF</t>
  </si>
  <si>
    <t>Delta Oper taxes vs. Taxes</t>
  </si>
  <si>
    <t>Delta Financial liabilities</t>
  </si>
  <si>
    <t>Delta Equity incl. dividends</t>
  </si>
  <si>
    <t>Net Cash Flow</t>
  </si>
  <si>
    <t>BS, P&amp;L</t>
  </si>
  <si>
    <t>Opening cash</t>
  </si>
  <si>
    <t>Closing cash</t>
  </si>
  <si>
    <t>Add-back D&amp;A</t>
  </si>
  <si>
    <t>Gross Cash Flow</t>
  </si>
  <si>
    <t>Operating Cash Flow</t>
  </si>
  <si>
    <t>Investing activities</t>
  </si>
  <si>
    <t>Financing activities</t>
  </si>
  <si>
    <t>Cash Flow from Operating activities</t>
  </si>
  <si>
    <t>Cash Flow from Investing activities</t>
  </si>
  <si>
    <t>Cash Flow from Financing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</si>
</sst>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.0_);_(* \(#,##0.0\);_(* &quot;-&quot;?_);@_)"/>
    <numFmt numFmtId="165" formatCode="_(* #,##0.0_);_(* \(#,##0.0\);_(* &quot;-&quot;?_);@_l"/>
    <numFmt numFmtId="166" formatCode="_(* #,##0_);_(* \(#,##0\);_(* &quot;-&quot;?_);@_)"/>
    <numFmt numFmtId="167" formatCode="0.0%"/>
    <numFmt numFmtId="168" formatCode="_(* #,##0_);_(* \(#,##0\);_(* &quot;-&quot;??_);_(@_)"/>
    <numFmt numFmtId="169" formatCode="_(* #,##0_);_(* \(#,##0\);_(* &quot;-&quot;?_);@_l"/>
    <numFmt numFmtId="170" formatCode="_-* #,##0.00\ &quot;€&quot;_-;\-* #,##0.00\ &quot;€&quot;_-;_-* &quot;-&quot;??\ &quot;€&quot;_-;_-@_-"/>
    <numFmt numFmtId="171" formatCode="_-* #,##0.00\ _€_-;\-* #,##0.00\ _€_-;_-* &quot;-&quot;??\ _€_-;_-@_-"/>
    <numFmt numFmtId="172" formatCode="_-* #,##0\ _D_M_-;\-* #,##0\ _D_M_-;_-* &quot;-&quot;\ _D_M_-;_-@_-"/>
    <numFmt numFmtId="173" formatCode="_-* #,##0.00\ &quot;Kc&quot;_-;\-* #,##0.00\ &quot;Kc&quot;_-;_-* &quot;-&quot;??\ &quot;Kc&quot;_-;_-@_-"/>
    <numFmt numFmtId="174" formatCode="\(0\'\)"/>
    <numFmt numFmtId="175" formatCode="0.00_)"/>
    <numFmt numFmtId="176" formatCode="#,##0;\(#,##0\);&quot;-&quot;"/>
    <numFmt numFmtId="177" formatCode="_-* #,##0_-;\-* #,##0_-;_-* &quot;-&quot;_-;_-@_-"/>
    <numFmt numFmtId="178" formatCode="#,##0_);\(#,##0\);&quot; - &quot;_);@_)"/>
    <numFmt numFmtId="179" formatCode="\ #,##0.0_);\(#,##0.0\);&quot; - &quot;_);@_)"/>
    <numFmt numFmtId="180" formatCode="_(* #,##0.0_);_(* \(#,##0.0\);_(* &quot;-&quot;??_);_(@_)"/>
    <numFmt numFmtId="181" formatCode="_(* #,##0.00_);_(* \(#,##0.00\);_(* &quot;-&quot;?_);@_)"/>
  </numFmts>
  <fonts count="65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  <font>
      <b/>
      <sz val="32"/>
      <color rgb="FF002060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0"/>
      <name val="Arial"/>
      <family val="2"/>
    </font>
    <font>
      <sz val="9"/>
      <color rgb="FF00206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 CE"/>
      <charset val="238"/>
    </font>
    <font>
      <sz val="10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11"/>
      <color indexed="10"/>
      <name val="Calibri"/>
      <family val="2"/>
    </font>
    <font>
      <sz val="8"/>
      <name val="Verdana"/>
      <family val="2"/>
    </font>
    <font>
      <sz val="10"/>
      <name val="Garamond"/>
      <family val="1"/>
    </font>
    <font>
      <sz val="10"/>
      <color indexed="8"/>
      <name val="MS Sans Serif"/>
      <family val="2"/>
    </font>
    <font>
      <sz val="10"/>
      <name val="Verdana"/>
      <family val="2"/>
    </font>
    <font>
      <sz val="7"/>
      <color indexed="10"/>
      <name val="Arial"/>
      <family val="2"/>
    </font>
    <font>
      <sz val="12"/>
      <name val="Arial"/>
      <family val="2"/>
    </font>
    <font>
      <sz val="10"/>
      <name val="Arial Narrow"/>
      <family val="2"/>
    </font>
    <font>
      <b/>
      <sz val="14"/>
      <color indexed="25"/>
      <name val="Arial"/>
      <family val="2"/>
    </font>
    <font>
      <b/>
      <sz val="10"/>
      <color indexed="25"/>
      <name val="Arial Narrow"/>
      <family val="2"/>
    </font>
    <font>
      <i/>
      <sz val="10"/>
      <color indexed="25"/>
      <name val="Arial Narrow"/>
      <family val="2"/>
    </font>
    <font>
      <sz val="8"/>
      <color indexed="25"/>
      <name val="Arial Narrow"/>
      <family val="2"/>
    </font>
    <font>
      <sz val="10"/>
      <name val="Tahoma"/>
      <family val="2"/>
    </font>
    <font>
      <sz val="12"/>
      <name val="Arial Narrow"/>
      <family val="2"/>
    </font>
    <font>
      <b/>
      <sz val="12"/>
      <color theme="1"/>
      <name val="Tahoma                        "/>
    </font>
    <font>
      <sz val="8"/>
      <color theme="1"/>
      <name val="Tahoma                        "/>
    </font>
    <font>
      <b/>
      <sz val="8"/>
      <color theme="1"/>
      <name val="Tahoma                        "/>
    </font>
    <font>
      <b/>
      <sz val="10"/>
      <color theme="1"/>
      <name val="Tahoma                        "/>
    </font>
    <font>
      <b/>
      <sz val="8"/>
      <color theme="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bgColor theme="0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66">
    <xf numFmtId="0" fontId="0" fillId="0" borderId="0"/>
    <xf numFmtId="0" fontId="5" fillId="0" borderId="1" applyFill="0" applyProtection="0">
      <alignment horizontal="right" wrapText="1"/>
    </xf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2" fillId="0" borderId="0"/>
    <xf numFmtId="0" fontId="12" fillId="0" borderId="0"/>
    <xf numFmtId="0" fontId="15" fillId="0" borderId="0"/>
    <xf numFmtId="0" fontId="1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" fillId="0" borderId="0"/>
    <xf numFmtId="0" fontId="15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" borderId="5"/>
    <xf numFmtId="0" fontId="15" fillId="0" borderId="0"/>
    <xf numFmtId="0" fontId="12" fillId="0" borderId="0"/>
    <xf numFmtId="0" fontId="12" fillId="0" borderId="0"/>
    <xf numFmtId="0" fontId="15" fillId="0" borderId="0"/>
    <xf numFmtId="0" fontId="15" fillId="0" borderId="0"/>
    <xf numFmtId="0" fontId="16" fillId="0" borderId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3" borderId="0" applyNumberFormat="0" applyBorder="0" applyAlignment="0" applyProtection="0"/>
    <xf numFmtId="0" fontId="12" fillId="0" borderId="0"/>
    <xf numFmtId="0" fontId="19" fillId="7" borderId="0" applyNumberFormat="0" applyBorder="0" applyAlignment="0" applyProtection="0"/>
    <xf numFmtId="0" fontId="20" fillId="24" borderId="6" applyNumberFormat="0" applyAlignment="0" applyProtection="0"/>
    <xf numFmtId="0" fontId="21" fillId="25" borderId="7" applyNumberFormat="0" applyAlignment="0" applyProtection="0"/>
    <xf numFmtId="49" fontId="13" fillId="0" borderId="0">
      <alignment horizontal="left" vertical="top" wrapText="1"/>
    </xf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8" borderId="0" applyNumberFormat="0" applyBorder="0" applyAlignment="0" applyProtection="0"/>
    <xf numFmtId="38" fontId="13" fillId="26" borderId="0" applyNumberFormat="0" applyBorder="0" applyAlignment="0" applyProtection="0"/>
    <xf numFmtId="0" fontId="24" fillId="0" borderId="8" applyNumberFormat="0" applyFill="0" applyAlignment="0" applyProtection="0"/>
    <xf numFmtId="0" fontId="25" fillId="0" borderId="9" applyNumberFormat="0" applyFill="0" applyAlignment="0" applyProtection="0"/>
    <xf numFmtId="0" fontId="26" fillId="0" borderId="10" applyNumberFormat="0" applyFill="0" applyAlignment="0" applyProtection="0"/>
    <xf numFmtId="0" fontId="26" fillId="0" borderId="0" applyNumberFormat="0" applyFill="0" applyBorder="0" applyAlignment="0" applyProtection="0"/>
    <xf numFmtId="0" fontId="27" fillId="11" borderId="6" applyNumberFormat="0" applyAlignment="0" applyProtection="0"/>
    <xf numFmtId="10" fontId="13" fillId="5" borderId="11" applyNumberFormat="0" applyBorder="0" applyAlignment="0" applyProtection="0"/>
    <xf numFmtId="0" fontId="28" fillId="0" borderId="12" applyNumberFormat="0" applyFill="0" applyAlignment="0" applyProtection="0"/>
    <xf numFmtId="173" fontId="29" fillId="0" borderId="0" applyFont="0" applyFill="0" applyBorder="0" applyAlignment="0" applyProtection="0"/>
    <xf numFmtId="172" fontId="12" fillId="0" borderId="0" applyFont="0" applyFill="0" applyBorder="0" applyAlignment="0" applyProtection="0"/>
    <xf numFmtId="4" fontId="30" fillId="0" borderId="0" applyFont="0" applyFill="0" applyBorder="0" applyAlignment="0" applyProtection="0"/>
    <xf numFmtId="42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31" fillId="27" borderId="0" applyNumberFormat="0" applyBorder="0" applyAlignment="0" applyProtection="0"/>
    <xf numFmtId="175" fontId="32" fillId="0" borderId="0"/>
    <xf numFmtId="0" fontId="29" fillId="0" borderId="0"/>
    <xf numFmtId="0" fontId="17" fillId="28" borderId="13" applyNumberFormat="0" applyFont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34" fillId="24" borderId="14" applyNumberFormat="0" applyAlignment="0" applyProtection="0"/>
    <xf numFmtId="9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3" fillId="0" borderId="0" applyNumberFormat="0" applyFont="0" applyFill="0" applyBorder="0" applyAlignment="0" applyProtection="0">
      <alignment horizontal="left"/>
    </xf>
    <xf numFmtId="15" fontId="33" fillId="0" borderId="0" applyFont="0" applyFill="0" applyBorder="0" applyAlignment="0" applyProtection="0"/>
    <xf numFmtId="4" fontId="33" fillId="0" borderId="0" applyFont="0" applyFill="0" applyBorder="0" applyAlignment="0" applyProtection="0"/>
    <xf numFmtId="0" fontId="35" fillId="0" borderId="15">
      <alignment horizontal="center"/>
    </xf>
    <xf numFmtId="3" fontId="33" fillId="0" borderId="0" applyFont="0" applyFill="0" applyBorder="0" applyAlignment="0" applyProtection="0"/>
    <xf numFmtId="0" fontId="33" fillId="29" borderId="0" applyNumberFormat="0" applyFont="0" applyBorder="0" applyAlignment="0" applyProtection="0"/>
    <xf numFmtId="3" fontId="45" fillId="30" borderId="0" applyFont="0" applyFill="0" applyBorder="0" applyAlignment="0" applyProtection="0"/>
    <xf numFmtId="4" fontId="36" fillId="31" borderId="14" applyNumberFormat="0" applyProtection="0">
      <alignment vertical="center"/>
    </xf>
    <xf numFmtId="4" fontId="37" fillId="31" borderId="14" applyNumberFormat="0" applyProtection="0">
      <alignment vertical="center"/>
    </xf>
    <xf numFmtId="4" fontId="36" fillId="31" borderId="14" applyNumberFormat="0" applyProtection="0">
      <alignment horizontal="left" vertical="center" indent="1"/>
    </xf>
    <xf numFmtId="4" fontId="36" fillId="31" borderId="14" applyNumberFormat="0" applyProtection="0">
      <alignment horizontal="left" vertical="center" indent="1"/>
    </xf>
    <xf numFmtId="0" fontId="12" fillId="32" borderId="14" applyNumberFormat="0" applyProtection="0">
      <alignment horizontal="left" vertical="center" indent="1"/>
    </xf>
    <xf numFmtId="4" fontId="36" fillId="33" borderId="14" applyNumberFormat="0" applyProtection="0">
      <alignment horizontal="right" vertical="center"/>
    </xf>
    <xf numFmtId="4" fontId="36" fillId="34" borderId="14" applyNumberFormat="0" applyProtection="0">
      <alignment horizontal="right" vertical="center"/>
    </xf>
    <xf numFmtId="4" fontId="36" fillId="35" borderId="14" applyNumberFormat="0" applyProtection="0">
      <alignment horizontal="right" vertical="center"/>
    </xf>
    <xf numFmtId="4" fontId="36" fillId="36" borderId="14" applyNumberFormat="0" applyProtection="0">
      <alignment horizontal="right" vertical="center"/>
    </xf>
    <xf numFmtId="4" fontId="36" fillId="37" borderId="14" applyNumberFormat="0" applyProtection="0">
      <alignment horizontal="right" vertical="center"/>
    </xf>
    <xf numFmtId="4" fontId="36" fillId="38" borderId="14" applyNumberFormat="0" applyProtection="0">
      <alignment horizontal="right" vertical="center"/>
    </xf>
    <xf numFmtId="4" fontId="36" fillId="39" borderId="14" applyNumberFormat="0" applyProtection="0">
      <alignment horizontal="right" vertical="center"/>
    </xf>
    <xf numFmtId="4" fontId="36" fillId="40" borderId="14" applyNumberFormat="0" applyProtection="0">
      <alignment horizontal="right" vertical="center"/>
    </xf>
    <xf numFmtId="4" fontId="36" fillId="41" borderId="14" applyNumberFormat="0" applyProtection="0">
      <alignment horizontal="right" vertical="center"/>
    </xf>
    <xf numFmtId="4" fontId="38" fillId="42" borderId="14" applyNumberFormat="0" applyProtection="0">
      <alignment horizontal="left" vertical="center" indent="1"/>
    </xf>
    <xf numFmtId="4" fontId="36" fillId="43" borderId="16" applyNumberFormat="0" applyProtection="0">
      <alignment horizontal="left" vertical="center" indent="1"/>
    </xf>
    <xf numFmtId="4" fontId="39" fillId="44" borderId="0" applyNumberFormat="0" applyProtection="0">
      <alignment horizontal="left" vertical="center" indent="1"/>
    </xf>
    <xf numFmtId="0" fontId="12" fillId="32" borderId="14" applyNumberFormat="0" applyProtection="0">
      <alignment horizontal="left" vertical="center" indent="1"/>
    </xf>
    <xf numFmtId="4" fontId="36" fillId="43" borderId="14" applyNumberFormat="0" applyProtection="0">
      <alignment horizontal="left" vertical="center" indent="1"/>
    </xf>
    <xf numFmtId="4" fontId="36" fillId="45" borderId="14" applyNumberFormat="0" applyProtection="0">
      <alignment horizontal="left" vertical="center" indent="1"/>
    </xf>
    <xf numFmtId="0" fontId="12" fillId="45" borderId="14" applyNumberFormat="0" applyProtection="0">
      <alignment horizontal="left" vertical="center" indent="1"/>
    </xf>
    <xf numFmtId="0" fontId="12" fillId="45" borderId="14" applyNumberFormat="0" applyProtection="0">
      <alignment horizontal="left" vertical="center" indent="1"/>
    </xf>
    <xf numFmtId="0" fontId="12" fillId="46" borderId="14" applyNumberFormat="0" applyProtection="0">
      <alignment horizontal="left" vertical="center" indent="1"/>
    </xf>
    <xf numFmtId="0" fontId="12" fillId="46" borderId="14" applyNumberFormat="0" applyProtection="0">
      <alignment horizontal="left" vertical="center" indent="1"/>
    </xf>
    <xf numFmtId="0" fontId="12" fillId="26" borderId="14" applyNumberFormat="0" applyProtection="0">
      <alignment horizontal="left" vertical="center" indent="1"/>
    </xf>
    <xf numFmtId="0" fontId="12" fillId="26" borderId="14" applyNumberFormat="0" applyProtection="0">
      <alignment horizontal="left" vertical="center" indent="1"/>
    </xf>
    <xf numFmtId="0" fontId="12" fillId="32" borderId="14" applyNumberFormat="0" applyProtection="0">
      <alignment horizontal="left" vertical="center" indent="1"/>
    </xf>
    <xf numFmtId="0" fontId="12" fillId="32" borderId="14" applyNumberFormat="0" applyProtection="0">
      <alignment horizontal="left" vertical="center" indent="1"/>
    </xf>
    <xf numFmtId="4" fontId="36" fillId="5" borderId="14" applyNumberFormat="0" applyProtection="0">
      <alignment vertical="center"/>
    </xf>
    <xf numFmtId="4" fontId="37" fillId="5" borderId="14" applyNumberFormat="0" applyProtection="0">
      <alignment vertical="center"/>
    </xf>
    <xf numFmtId="4" fontId="36" fillId="5" borderId="14" applyNumberFormat="0" applyProtection="0">
      <alignment horizontal="left" vertical="center" indent="1"/>
    </xf>
    <xf numFmtId="4" fontId="36" fillId="5" borderId="14" applyNumberFormat="0" applyProtection="0">
      <alignment horizontal="left" vertical="center" indent="1"/>
    </xf>
    <xf numFmtId="4" fontId="36" fillId="43" borderId="14" applyNumberFormat="0" applyProtection="0">
      <alignment horizontal="right" vertical="center"/>
    </xf>
    <xf numFmtId="4" fontId="37" fillId="43" borderId="14" applyNumberFormat="0" applyProtection="0">
      <alignment horizontal="right" vertical="center"/>
    </xf>
    <xf numFmtId="0" fontId="12" fillId="32" borderId="14" applyNumberFormat="0" applyProtection="0">
      <alignment horizontal="left" vertical="center" indent="1"/>
    </xf>
    <xf numFmtId="0" fontId="12" fillId="32" borderId="14" applyNumberFormat="0" applyProtection="0">
      <alignment horizontal="left" vertical="center" indent="1"/>
    </xf>
    <xf numFmtId="0" fontId="40" fillId="0" borderId="0"/>
    <xf numFmtId="4" fontId="14" fillId="43" borderId="14" applyNumberFormat="0" applyProtection="0">
      <alignment horizontal="right" vertical="center"/>
    </xf>
    <xf numFmtId="0" fontId="12" fillId="0" borderId="0"/>
    <xf numFmtId="0" fontId="41" fillId="0" borderId="0" applyNumberFormat="0" applyFill="0" applyBorder="0" applyAlignment="0" applyProtection="0"/>
    <xf numFmtId="0" fontId="42" fillId="0" borderId="17" applyNumberFormat="0" applyFill="0" applyAlignment="0" applyProtection="0"/>
    <xf numFmtId="3" fontId="43" fillId="0" borderId="2" applyNumberFormat="0"/>
    <xf numFmtId="0" fontId="4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7" fillId="0" borderId="0"/>
    <xf numFmtId="0" fontId="46" fillId="0" borderId="0"/>
    <xf numFmtId="9" fontId="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8" fillId="0" borderId="0"/>
    <xf numFmtId="0" fontId="49" fillId="0" borderId="0"/>
    <xf numFmtId="176" fontId="50" fillId="0" borderId="0"/>
    <xf numFmtId="176" fontId="12" fillId="0" borderId="0"/>
    <xf numFmtId="176" fontId="52" fillId="0" borderId="0"/>
    <xf numFmtId="0" fontId="53" fillId="0" borderId="0">
      <alignment horizontal="left"/>
    </xf>
    <xf numFmtId="177" fontId="51" fillId="0" borderId="18" applyFill="0" applyBorder="0" applyProtection="0">
      <alignment horizontal="right" vertical="top"/>
    </xf>
    <xf numFmtId="176" fontId="54" fillId="0" borderId="18">
      <alignment horizontal="left"/>
    </xf>
    <xf numFmtId="0" fontId="53" fillId="0" borderId="18">
      <alignment horizontal="right" wrapText="1"/>
    </xf>
    <xf numFmtId="0" fontId="51" fillId="0" borderId="0" applyFill="0" applyBorder="0">
      <alignment horizontal="left" vertical="top" wrapText="1"/>
    </xf>
    <xf numFmtId="178" fontId="51" fillId="0" borderId="0" applyFill="0" applyBorder="0">
      <alignment horizontal="right" vertical="top"/>
    </xf>
    <xf numFmtId="179" fontId="51" fillId="0" borderId="0" applyFill="0" applyBorder="0">
      <alignment horizontal="right" vertical="top"/>
    </xf>
    <xf numFmtId="49" fontId="51" fillId="0" borderId="0" applyNumberFormat="0" applyFill="0" applyBorder="0" applyProtection="0">
      <alignment horizontal="center" vertical="top"/>
    </xf>
    <xf numFmtId="176" fontId="55" fillId="0" borderId="0">
      <alignment horizontal="left" vertical="top"/>
    </xf>
    <xf numFmtId="0" fontId="56" fillId="0" borderId="0"/>
    <xf numFmtId="0" fontId="7" fillId="0" borderId="0"/>
    <xf numFmtId="0" fontId="57" fillId="0" borderId="0"/>
    <xf numFmtId="0" fontId="7" fillId="0" borderId="0"/>
    <xf numFmtId="171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58" fillId="0" borderId="0"/>
    <xf numFmtId="0" fontId="59" fillId="0" borderId="0"/>
    <xf numFmtId="0" fontId="60" fillId="0" borderId="0"/>
    <xf numFmtId="0" fontId="61" fillId="0" borderId="0"/>
    <xf numFmtId="0" fontId="61" fillId="0" borderId="0"/>
    <xf numFmtId="0" fontId="58" fillId="0" borderId="0"/>
    <xf numFmtId="0" fontId="59" fillId="0" borderId="0"/>
    <xf numFmtId="0" fontId="60" fillId="0" borderId="0"/>
    <xf numFmtId="0" fontId="64" fillId="0" borderId="0" applyNumberFormat="0" applyFill="0" applyBorder="0" applyAlignment="0" applyProtection="0"/>
  </cellStyleXfs>
  <cellXfs count="9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5" fillId="2" borderId="1" xfId="1" applyFill="1" applyAlignment="1">
      <alignment horizontal="left" wrapText="1"/>
    </xf>
    <xf numFmtId="0" fontId="6" fillId="2" borderId="0" xfId="0" applyFont="1" applyFill="1"/>
    <xf numFmtId="164" fontId="2" fillId="2" borderId="0" xfId="0" applyNumberFormat="1" applyFont="1" applyFill="1"/>
    <xf numFmtId="164" fontId="1" fillId="2" borderId="0" xfId="0" applyNumberFormat="1" applyFont="1" applyFill="1"/>
    <xf numFmtId="164" fontId="3" fillId="2" borderId="2" xfId="0" applyNumberFormat="1" applyFont="1" applyFill="1" applyBorder="1"/>
    <xf numFmtId="164" fontId="3" fillId="2" borderId="2" xfId="0" applyNumberFormat="1" applyFont="1" applyFill="1" applyBorder="1" applyAlignment="1">
      <alignment horizontal="right" wrapText="1"/>
    </xf>
    <xf numFmtId="164" fontId="3" fillId="2" borderId="3" xfId="0" applyNumberFormat="1" applyFont="1" applyFill="1" applyBorder="1"/>
    <xf numFmtId="165" fontId="1" fillId="2" borderId="0" xfId="0" applyNumberFormat="1" applyFont="1" applyFill="1"/>
    <xf numFmtId="165" fontId="2" fillId="2" borderId="0" xfId="0" applyNumberFormat="1" applyFont="1" applyFill="1"/>
    <xf numFmtId="166" fontId="1" fillId="2" borderId="0" xfId="0" applyNumberFormat="1" applyFont="1" applyFill="1"/>
    <xf numFmtId="166" fontId="3" fillId="2" borderId="3" xfId="0" applyNumberFormat="1" applyFont="1" applyFill="1" applyBorder="1"/>
    <xf numFmtId="164" fontId="1" fillId="2" borderId="3" xfId="0" applyNumberFormat="1" applyFont="1" applyFill="1" applyBorder="1"/>
    <xf numFmtId="164" fontId="8" fillId="2" borderId="0" xfId="0" applyNumberFormat="1" applyFont="1" applyFill="1"/>
    <xf numFmtId="164" fontId="6" fillId="2" borderId="4" xfId="0" applyNumberFormat="1" applyFont="1" applyFill="1" applyBorder="1"/>
    <xf numFmtId="164" fontId="6" fillId="2" borderId="4" xfId="0" applyNumberFormat="1" applyFont="1" applyFill="1" applyBorder="1" applyAlignment="1">
      <alignment horizontal="right" wrapText="1"/>
    </xf>
    <xf numFmtId="164" fontId="6" fillId="3" borderId="4" xfId="0" applyNumberFormat="1" applyFont="1" applyFill="1" applyBorder="1" applyAlignment="1">
      <alignment horizontal="right" wrapText="1"/>
    </xf>
    <xf numFmtId="164" fontId="1" fillId="3" borderId="0" xfId="0" applyNumberFormat="1" applyFont="1" applyFill="1"/>
    <xf numFmtId="164" fontId="1" fillId="2" borderId="0" xfId="0" applyNumberFormat="1" applyFont="1" applyFill="1" applyBorder="1"/>
    <xf numFmtId="164" fontId="6" fillId="2" borderId="0" xfId="0" applyNumberFormat="1" applyFont="1" applyFill="1" applyBorder="1" applyAlignment="1">
      <alignment horizontal="right" wrapText="1"/>
    </xf>
    <xf numFmtId="164" fontId="6" fillId="2" borderId="4" xfId="0" applyNumberFormat="1" applyFont="1" applyFill="1" applyBorder="1" applyAlignment="1">
      <alignment wrapText="1"/>
    </xf>
    <xf numFmtId="164" fontId="6" fillId="2" borderId="0" xfId="0" applyNumberFormat="1" applyFont="1" applyFill="1" applyBorder="1"/>
    <xf numFmtId="9" fontId="1" fillId="2" borderId="0" xfId="2" applyFont="1" applyFill="1"/>
    <xf numFmtId="167" fontId="1" fillId="2" borderId="0" xfId="2" applyNumberFormat="1" applyFont="1" applyFill="1"/>
    <xf numFmtId="9" fontId="1" fillId="3" borderId="0" xfId="2" applyFont="1" applyFill="1"/>
    <xf numFmtId="166" fontId="1" fillId="3" borderId="0" xfId="0" applyNumberFormat="1" applyFont="1" applyFill="1"/>
    <xf numFmtId="0" fontId="9" fillId="2" borderId="0" xfId="0" applyFont="1" applyFill="1" applyAlignment="1">
      <alignment horizontal="left"/>
    </xf>
    <xf numFmtId="166" fontId="11" fillId="2" borderId="0" xfId="0" applyNumberFormat="1" applyFont="1" applyFill="1" applyBorder="1"/>
    <xf numFmtId="166" fontId="1" fillId="2" borderId="3" xfId="0" applyNumberFormat="1" applyFont="1" applyFill="1" applyBorder="1"/>
    <xf numFmtId="169" fontId="1" fillId="2" borderId="0" xfId="0" applyNumberFormat="1" applyFont="1" applyFill="1"/>
    <xf numFmtId="169" fontId="1" fillId="3" borderId="0" xfId="0" applyNumberFormat="1" applyFont="1" applyFill="1"/>
    <xf numFmtId="164" fontId="3" fillId="2" borderId="19" xfId="0" applyNumberFormat="1" applyFont="1" applyFill="1" applyBorder="1"/>
    <xf numFmtId="166" fontId="3" fillId="2" borderId="19" xfId="0" applyNumberFormat="1" applyFont="1" applyFill="1" applyBorder="1"/>
    <xf numFmtId="166" fontId="1" fillId="3" borderId="0" xfId="0" applyNumberFormat="1" applyFont="1" applyFill="1" applyBorder="1"/>
    <xf numFmtId="166" fontId="6" fillId="3" borderId="0" xfId="0" applyNumberFormat="1" applyFont="1" applyFill="1" applyBorder="1"/>
    <xf numFmtId="166" fontId="1" fillId="2" borderId="0" xfId="0" applyNumberFormat="1" applyFont="1" applyFill="1" applyBorder="1"/>
    <xf numFmtId="9" fontId="1" fillId="2" borderId="0" xfId="2" applyFont="1" applyFill="1" applyBorder="1"/>
    <xf numFmtId="166" fontId="6" fillId="2" borderId="0" xfId="0" applyNumberFormat="1" applyFont="1" applyFill="1" applyBorder="1"/>
    <xf numFmtId="164" fontId="11" fillId="2" borderId="0" xfId="0" applyNumberFormat="1" applyFont="1" applyFill="1" applyBorder="1"/>
    <xf numFmtId="164" fontId="1" fillId="3" borderId="0" xfId="0" applyNumberFormat="1" applyFont="1" applyFill="1" applyBorder="1"/>
    <xf numFmtId="9" fontId="1" fillId="3" borderId="0" xfId="2" applyFont="1" applyFill="1" applyBorder="1"/>
    <xf numFmtId="165" fontId="1" fillId="2" borderId="0" xfId="0" applyNumberFormat="1" applyFont="1" applyFill="1" applyBorder="1"/>
    <xf numFmtId="169" fontId="1" fillId="2" borderId="0" xfId="0" applyNumberFormat="1" applyFont="1" applyFill="1" applyBorder="1"/>
    <xf numFmtId="165" fontId="6" fillId="2" borderId="0" xfId="0" applyNumberFormat="1" applyFont="1" applyFill="1" applyBorder="1"/>
    <xf numFmtId="169" fontId="6" fillId="2" borderId="0" xfId="0" applyNumberFormat="1" applyFont="1" applyFill="1" applyBorder="1"/>
    <xf numFmtId="165" fontId="11" fillId="2" borderId="0" xfId="0" applyNumberFormat="1" applyFont="1" applyFill="1" applyBorder="1"/>
    <xf numFmtId="166" fontId="1" fillId="2" borderId="0" xfId="0" applyNumberFormat="1" applyFont="1" applyFill="1" applyAlignment="1">
      <alignment horizontal="right"/>
    </xf>
    <xf numFmtId="168" fontId="1" fillId="2" borderId="0" xfId="0" applyNumberFormat="1" applyFont="1" applyFill="1"/>
    <xf numFmtId="168" fontId="1" fillId="3" borderId="0" xfId="0" applyNumberFormat="1" applyFont="1" applyFill="1"/>
    <xf numFmtId="167" fontId="8" fillId="2" borderId="0" xfId="2" applyNumberFormat="1" applyFont="1" applyFill="1"/>
    <xf numFmtId="164" fontId="8" fillId="3" borderId="0" xfId="0" applyNumberFormat="1" applyFont="1" applyFill="1"/>
    <xf numFmtId="168" fontId="1" fillId="2" borderId="0" xfId="3" applyNumberFormat="1" applyFont="1" applyFill="1" applyBorder="1"/>
    <xf numFmtId="0" fontId="62" fillId="4" borderId="0" xfId="0" applyFont="1" applyFill="1" applyAlignment="1">
      <alignment horizontal="left"/>
    </xf>
    <xf numFmtId="0" fontId="10" fillId="4" borderId="0" xfId="0" applyFont="1" applyFill="1"/>
    <xf numFmtId="165" fontId="63" fillId="2" borderId="0" xfId="0" applyNumberFormat="1" applyFont="1" applyFill="1" applyBorder="1"/>
    <xf numFmtId="165" fontId="9" fillId="2" borderId="0" xfId="0" applyNumberFormat="1" applyFont="1" applyFill="1" applyBorder="1"/>
    <xf numFmtId="166" fontId="9" fillId="2" borderId="0" xfId="0" applyNumberFormat="1" applyFont="1" applyFill="1" applyBorder="1"/>
    <xf numFmtId="0" fontId="11" fillId="2" borderId="0" xfId="165" applyFont="1" applyFill="1"/>
    <xf numFmtId="181" fontId="1" fillId="2" borderId="0" xfId="0" applyNumberFormat="1" applyFont="1" applyFill="1"/>
    <xf numFmtId="165" fontId="1" fillId="3" borderId="0" xfId="0" applyNumberFormat="1" applyFont="1" applyFill="1" applyBorder="1"/>
    <xf numFmtId="0" fontId="10" fillId="4" borderId="0" xfId="0" applyNumberFormat="1" applyFont="1" applyFill="1"/>
    <xf numFmtId="164" fontId="1" fillId="47" borderId="0" xfId="0" applyNumberFormat="1" applyFont="1" applyFill="1"/>
    <xf numFmtId="167" fontId="1" fillId="3" borderId="0" xfId="2" applyNumberFormat="1" applyFont="1" applyFill="1"/>
    <xf numFmtId="167" fontId="8" fillId="3" borderId="0" xfId="2" applyNumberFormat="1" applyFont="1" applyFill="1"/>
    <xf numFmtId="167" fontId="8" fillId="3" borderId="0" xfId="0" applyNumberFormat="1" applyFont="1" applyFill="1"/>
    <xf numFmtId="164" fontId="10" fillId="4" borderId="0" xfId="0" applyNumberFormat="1" applyFont="1" applyFill="1" applyBorder="1"/>
    <xf numFmtId="166" fontId="10" fillId="4" borderId="0" xfId="0" applyNumberFormat="1" applyFont="1" applyFill="1" applyBorder="1"/>
    <xf numFmtId="164" fontId="6" fillId="2" borderId="19" xfId="0" applyNumberFormat="1" applyFont="1" applyFill="1" applyBorder="1"/>
    <xf numFmtId="166" fontId="6" fillId="2" borderId="19" xfId="0" applyNumberFormat="1" applyFont="1" applyFill="1" applyBorder="1"/>
    <xf numFmtId="164" fontId="11" fillId="2" borderId="19" xfId="0" applyNumberFormat="1" applyFont="1" applyFill="1" applyBorder="1"/>
    <xf numFmtId="166" fontId="1" fillId="3" borderId="19" xfId="0" applyNumberFormat="1" applyFont="1" applyFill="1" applyBorder="1"/>
    <xf numFmtId="168" fontId="1" fillId="3" borderId="0" xfId="0" applyNumberFormat="1" applyFont="1" applyFill="1" applyBorder="1"/>
    <xf numFmtId="164" fontId="6" fillId="2" borderId="20" xfId="0" applyNumberFormat="1" applyFont="1" applyFill="1" applyBorder="1"/>
    <xf numFmtId="166" fontId="6" fillId="2" borderId="20" xfId="0" applyNumberFormat="1" applyFont="1" applyFill="1" applyBorder="1"/>
    <xf numFmtId="166" fontId="1" fillId="2" borderId="20" xfId="0" applyNumberFormat="1" applyFont="1" applyFill="1" applyBorder="1"/>
    <xf numFmtId="166" fontId="6" fillId="3" borderId="20" xfId="0" applyNumberFormat="1" applyFont="1" applyFill="1" applyBorder="1"/>
    <xf numFmtId="166" fontId="11" fillId="2" borderId="19" xfId="0" applyNumberFormat="1" applyFont="1" applyFill="1" applyBorder="1"/>
    <xf numFmtId="166" fontId="6" fillId="3" borderId="19" xfId="0" applyNumberFormat="1" applyFont="1" applyFill="1" applyBorder="1"/>
    <xf numFmtId="165" fontId="9" fillId="48" borderId="0" xfId="0" applyNumberFormat="1" applyFont="1" applyFill="1" applyBorder="1"/>
    <xf numFmtId="169" fontId="9" fillId="48" borderId="0" xfId="0" applyNumberFormat="1" applyFont="1" applyFill="1" applyBorder="1"/>
    <xf numFmtId="165" fontId="9" fillId="48" borderId="0" xfId="0" applyNumberFormat="1" applyFont="1" applyFill="1"/>
    <xf numFmtId="180" fontId="9" fillId="48" borderId="0" xfId="3" applyNumberFormat="1" applyFont="1" applyFill="1"/>
    <xf numFmtId="165" fontId="1" fillId="3" borderId="0" xfId="0" applyNumberFormat="1" applyFont="1" applyFill="1"/>
    <xf numFmtId="165" fontId="11" fillId="2" borderId="19" xfId="0" applyNumberFormat="1" applyFont="1" applyFill="1" applyBorder="1"/>
    <xf numFmtId="165" fontId="11" fillId="3" borderId="19" xfId="0" applyNumberFormat="1" applyFont="1" applyFill="1" applyBorder="1"/>
    <xf numFmtId="169" fontId="6" fillId="2" borderId="19" xfId="0" applyNumberFormat="1" applyFont="1" applyFill="1" applyBorder="1"/>
    <xf numFmtId="169" fontId="10" fillId="4" borderId="0" xfId="0" applyNumberFormat="1" applyFont="1" applyFill="1" applyBorder="1"/>
    <xf numFmtId="169" fontId="6" fillId="3" borderId="19" xfId="0" applyNumberFormat="1" applyFont="1" applyFill="1" applyBorder="1"/>
    <xf numFmtId="169" fontId="9" fillId="48" borderId="0" xfId="0" applyNumberFormat="1" applyFont="1" applyFill="1"/>
  </cellXfs>
  <cellStyles count="166">
    <cellStyle name="%" xfId="135"/>
    <cellStyle name="_x0002_._x0011__x0002_._x001b__x0002_ _x0015_%_x0018__x0001_" xfId="5"/>
    <cellStyle name="_060510 Goal Setting CNV" xfId="6"/>
    <cellStyle name="_2008-08-18 WC SRL" xfId="7"/>
    <cellStyle name="_2008-10-06 Goodwill Test KPMG incl PL 19 (2)" xfId="8"/>
    <cellStyle name="_2008-10-06 Goodwill Test KPMG incl PL 19 (3)" xfId="9"/>
    <cellStyle name="_2009-03-17 Version für 53-19" xfId="10"/>
    <cellStyle name="_Access Bluebook 2007 DCL V7" xfId="11"/>
    <cellStyle name="_AL_cost_outlook_070405_Bluebook2007" xfId="12"/>
    <cellStyle name="_BB_08_BG_COM" xfId="13"/>
    <cellStyle name="_Bluebook-2005-PL-Projections-COM-SR2" xfId="14"/>
    <cellStyle name="_COM Cash Flow Bluebook 2008" xfId="15"/>
    <cellStyle name="_Cordless_Bizcase_070524" xfId="16"/>
    <cellStyle name="_Cordless_Bizcase_Bluebook (2)" xfId="17"/>
    <cellStyle name="_Cordless_Bizcase_Master" xfId="18"/>
    <cellStyle name="_Data" xfId="19"/>
    <cellStyle name="_Foundry Wafer Price Database - BU" xfId="20"/>
    <cellStyle name="_Segment_DCL_FRFC_2007_03" xfId="21"/>
    <cellStyle name="_SR_CSP_Segments" xfId="22"/>
    <cellStyle name="_Wireless_MPP_FRFC0810_V3" xfId="23"/>
    <cellStyle name="_WLS_MPP_BB2008_vs_VRFC0904_bw (2)" xfId="24"/>
    <cellStyle name="0,0_x000d__x000a_NA_x000d__x000a_" xfId="25"/>
    <cellStyle name="20% - Accent1 2" xfId="26"/>
    <cellStyle name="20% - Accent2 2" xfId="27"/>
    <cellStyle name="20% - Accent3 2" xfId="28"/>
    <cellStyle name="20% - Accent4 2" xfId="29"/>
    <cellStyle name="20% - Accent5 2" xfId="30"/>
    <cellStyle name="20% - Accent6 2" xfId="31"/>
    <cellStyle name="40% - Accent1 2" xfId="32"/>
    <cellStyle name="40% - Accent2 2" xfId="33"/>
    <cellStyle name="40% - Accent3 2" xfId="34"/>
    <cellStyle name="40% - Accent4 2" xfId="35"/>
    <cellStyle name="40% - Accent5 2" xfId="36"/>
    <cellStyle name="40% - Accent6 2" xfId="37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Accent1 2" xfId="44"/>
    <cellStyle name="Accent2 2" xfId="45"/>
    <cellStyle name="Accent3 2" xfId="46"/>
    <cellStyle name="Accent4 2" xfId="47"/>
    <cellStyle name="Accent5 2" xfId="48"/>
    <cellStyle name="Accent6 2" xfId="49"/>
    <cellStyle name="AFE" xfId="50"/>
    <cellStyle name="AFE 2" xfId="133"/>
    <cellStyle name="Bad 2" xfId="51"/>
    <cellStyle name="Calculation 2" xfId="52"/>
    <cellStyle name="Check Cell 2" xfId="53"/>
    <cellStyle name="Comma" xfId="3" builtinId="3"/>
    <cellStyle name="Comma 2" xfId="154"/>
    <cellStyle name="Detail" xfId="54"/>
    <cellStyle name="Euro" xfId="55"/>
    <cellStyle name="Explanatory Text 2" xfId="56"/>
    <cellStyle name="EY Narrative text" xfId="148"/>
    <cellStyle name="EY0dp" xfId="146"/>
    <cellStyle name="EY1dp" xfId="147"/>
    <cellStyle name="EYChartTitle" xfId="141"/>
    <cellStyle name="EYColumnHeading" xfId="144"/>
    <cellStyle name="EYCurrency" xfId="143"/>
    <cellStyle name="EYnumber" xfId="142"/>
    <cellStyle name="EYSectionHeading" xfId="138"/>
    <cellStyle name="EYSheetHeading" xfId="140"/>
    <cellStyle name="EYsmallheading" xfId="139"/>
    <cellStyle name="EYSource" xfId="149"/>
    <cellStyle name="EYtext" xfId="145"/>
    <cellStyle name="Good 2" xfId="57"/>
    <cellStyle name="Grey" xfId="58"/>
    <cellStyle name="Heading 1 2" xfId="59"/>
    <cellStyle name="Heading 2 2" xfId="60"/>
    <cellStyle name="Heading 3 2" xfId="61"/>
    <cellStyle name="Heading 4 2" xfId="62"/>
    <cellStyle name="Hyperlink" xfId="165" builtinId="8"/>
    <cellStyle name="Input [yellow]" xfId="64"/>
    <cellStyle name="Input 2" xfId="63"/>
    <cellStyle name="Linked Cell 2" xfId="65"/>
    <cellStyle name="meny_33-34" xfId="66"/>
    <cellStyle name="Milliers [0]_foxz" xfId="67"/>
    <cellStyle name="Milliers_foxz" xfId="68"/>
    <cellStyle name="Monétaire [0]_foxz" xfId="69"/>
    <cellStyle name="Monétaire_foxz" xfId="70"/>
    <cellStyle name="Neutral 2" xfId="71"/>
    <cellStyle name="Normal" xfId="0" builtinId="0"/>
    <cellStyle name="Normal - Style1" xfId="72"/>
    <cellStyle name="Normal 2" xfId="150"/>
    <cellStyle name="Normal 2 2" xfId="152"/>
    <cellStyle name="Normal 3" xfId="151"/>
    <cellStyle name="Normal 4" xfId="153"/>
    <cellStyle name="Normal 5" xfId="4"/>
    <cellStyle name="normální_33-34" xfId="73"/>
    <cellStyle name="Note 2" xfId="74"/>
    <cellStyle name="Œ…‹æØ‚è [0.00]_laroux" xfId="75"/>
    <cellStyle name="Œ…‹æØ‚è_laroux" xfId="76"/>
    <cellStyle name="Output 2" xfId="77"/>
    <cellStyle name="Percent" xfId="2" builtinId="5"/>
    <cellStyle name="Percent [2]" xfId="79"/>
    <cellStyle name="Percent 2" xfId="155"/>
    <cellStyle name="Percent 3" xfId="78"/>
    <cellStyle name="Percent 5" xfId="80"/>
    <cellStyle name="Prozent 2" xfId="134"/>
    <cellStyle name="PSChar" xfId="81"/>
    <cellStyle name="PSDate" xfId="82"/>
    <cellStyle name="PSDec" xfId="83"/>
    <cellStyle name="PSHeading" xfId="84"/>
    <cellStyle name="PSInt" xfId="85"/>
    <cellStyle name="PSSpacer" xfId="86"/>
    <cellStyle name="Revenue" xfId="87"/>
    <cellStyle name="SAPBEXaggData" xfId="88"/>
    <cellStyle name="SAPBEXaggDataEmph" xfId="89"/>
    <cellStyle name="SAPBEXaggItem" xfId="90"/>
    <cellStyle name="SAPBEXaggItemX" xfId="91"/>
    <cellStyle name="SAPBEXchaText" xfId="92"/>
    <cellStyle name="SAPBEXexcBad7" xfId="93"/>
    <cellStyle name="SAPBEXexcBad8" xfId="94"/>
    <cellStyle name="SAPBEXexcBad9" xfId="95"/>
    <cellStyle name="SAPBEXexcCritical4" xfId="96"/>
    <cellStyle name="SAPBEXexcCritical5" xfId="97"/>
    <cellStyle name="SAPBEXexcCritical6" xfId="98"/>
    <cellStyle name="SAPBEXexcGood1" xfId="99"/>
    <cellStyle name="SAPBEXexcGood2" xfId="100"/>
    <cellStyle name="SAPBEXexcGood3" xfId="101"/>
    <cellStyle name="SAPBEXfilterDrill" xfId="102"/>
    <cellStyle name="SAPBEXfilterItem" xfId="103"/>
    <cellStyle name="SAPBEXfilterText" xfId="104"/>
    <cellStyle name="SAPBEXformats" xfId="105"/>
    <cellStyle name="SAPBEXheaderItem" xfId="106"/>
    <cellStyle name="SAPBEXheaderText" xfId="107"/>
    <cellStyle name="SAPBEXHLevel0" xfId="108"/>
    <cellStyle name="SAPBEXHLevel0X" xfId="109"/>
    <cellStyle name="SAPBEXHLevel1" xfId="110"/>
    <cellStyle name="SAPBEXHLevel1X" xfId="111"/>
    <cellStyle name="SAPBEXHLevel2" xfId="112"/>
    <cellStyle name="SAPBEXHLevel2X" xfId="113"/>
    <cellStyle name="SAPBEXHLevel3" xfId="114"/>
    <cellStyle name="SAPBEXHLevel3X" xfId="115"/>
    <cellStyle name="SAPBEXresData" xfId="116"/>
    <cellStyle name="SAPBEXresDataEmph" xfId="117"/>
    <cellStyle name="SAPBEXresItem" xfId="118"/>
    <cellStyle name="SAPBEXresItemX" xfId="119"/>
    <cellStyle name="SAPBEXstdData" xfId="120"/>
    <cellStyle name="SAPBEXstdDataEmph" xfId="121"/>
    <cellStyle name="SAPBEXstdItem" xfId="122"/>
    <cellStyle name="SAPBEXstdItemX" xfId="123"/>
    <cellStyle name="SAPBEXtitle" xfId="124"/>
    <cellStyle name="SAPBEXundefined" xfId="125"/>
    <cellStyle name="Smart Subtitle 1" xfId="1"/>
    <cellStyle name="Standard 2" xfId="132"/>
    <cellStyle name="Standard 3" xfId="136"/>
    <cellStyle name="Standard 4" xfId="156"/>
    <cellStyle name="Stil 1" xfId="131"/>
    <cellStyle name="Style 1" xfId="126"/>
    <cellStyle name="Tahoma:10:1" xfId="160"/>
    <cellStyle name="Tahoma:10:129" xfId="161"/>
    <cellStyle name="Tahoma:12:1" xfId="157"/>
    <cellStyle name="Tahoma:12:129" xfId="162"/>
    <cellStyle name="Tahoma:8:0" xfId="158"/>
    <cellStyle name="Tahoma:8:1" xfId="159"/>
    <cellStyle name="Tahoma:8:128" xfId="163"/>
    <cellStyle name="Tahoma:8:129" xfId="164"/>
    <cellStyle name="Title 2" xfId="127"/>
    <cellStyle name="Total 2" xfId="128"/>
    <cellStyle name="Total Row" xfId="129"/>
    <cellStyle name="TTS" xfId="137"/>
    <cellStyle name="Warning Text 2" xfId="13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C21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6" sqref="C6"/>
    </sheetView>
  </sheetViews>
  <sheetFormatPr defaultRowHeight="12"/>
  <cols>
    <col min="1" max="1" width="2" style="1" customWidth="1"/>
    <col min="2" max="2" width="10" style="1" customWidth="1"/>
    <col min="3" max="3" width="26" style="1" customWidth="1"/>
    <col min="4" max="16384" width="9.140625" style="1"/>
  </cols>
  <sheetData>
    <row r="1" spans="2:3" ht="15.75">
      <c r="B1" s="2" t="s">
        <v>4</v>
      </c>
    </row>
    <row r="2" spans="2:3">
      <c r="B2" s="5" t="s">
        <v>5</v>
      </c>
    </row>
    <row r="4" spans="2:3" ht="12.75" thickBot="1">
      <c r="B4" s="4" t="s">
        <v>2</v>
      </c>
      <c r="C4" s="4" t="s">
        <v>3</v>
      </c>
    </row>
    <row r="5" spans="2:3">
      <c r="B5" s="55">
        <v>1</v>
      </c>
      <c r="C5" s="56" t="s">
        <v>69</v>
      </c>
    </row>
    <row r="6" spans="2:3">
      <c r="B6" s="29">
        <f>B5+1</f>
        <v>2</v>
      </c>
      <c r="C6" s="60" t="s">
        <v>26</v>
      </c>
    </row>
    <row r="7" spans="2:3">
      <c r="B7" s="29">
        <f t="shared" ref="B7:B21" si="0">B6+1</f>
        <v>3</v>
      </c>
      <c r="C7" s="60" t="s">
        <v>27</v>
      </c>
    </row>
    <row r="8" spans="2:3">
      <c r="B8" s="55">
        <f t="shared" si="0"/>
        <v>4</v>
      </c>
      <c r="C8" s="56" t="s">
        <v>70</v>
      </c>
    </row>
    <row r="9" spans="2:3">
      <c r="B9" s="29">
        <f t="shared" si="0"/>
        <v>5</v>
      </c>
      <c r="C9" s="60" t="s">
        <v>6</v>
      </c>
    </row>
    <row r="10" spans="2:3">
      <c r="B10" s="29">
        <f t="shared" si="0"/>
        <v>6</v>
      </c>
      <c r="C10" s="60" t="s">
        <v>25</v>
      </c>
    </row>
    <row r="11" spans="2:3">
      <c r="B11" s="29">
        <f t="shared" si="0"/>
        <v>7</v>
      </c>
      <c r="C11" s="60" t="s">
        <v>28</v>
      </c>
    </row>
    <row r="12" spans="2:3">
      <c r="B12" s="29">
        <f t="shared" si="0"/>
        <v>8</v>
      </c>
      <c r="C12" s="60" t="s">
        <v>65</v>
      </c>
    </row>
    <row r="13" spans="2:3">
      <c r="B13" s="55">
        <f t="shared" si="0"/>
        <v>9</v>
      </c>
      <c r="C13" s="56" t="s">
        <v>76</v>
      </c>
    </row>
    <row r="14" spans="2:3">
      <c r="B14" s="29">
        <f t="shared" si="0"/>
        <v>10</v>
      </c>
      <c r="C14" s="60" t="s">
        <v>71</v>
      </c>
    </row>
    <row r="15" spans="2:3">
      <c r="B15" s="29">
        <f t="shared" si="0"/>
        <v>11</v>
      </c>
      <c r="C15" s="60" t="s">
        <v>68</v>
      </c>
    </row>
    <row r="16" spans="2:3">
      <c r="B16" s="29">
        <f t="shared" si="0"/>
        <v>12</v>
      </c>
      <c r="C16" s="60" t="s">
        <v>72</v>
      </c>
    </row>
    <row r="17" spans="2:3">
      <c r="B17" s="29">
        <f t="shared" si="0"/>
        <v>13</v>
      </c>
      <c r="C17" s="60" t="s">
        <v>73</v>
      </c>
    </row>
    <row r="18" spans="2:3">
      <c r="B18" s="29">
        <f t="shared" si="0"/>
        <v>14</v>
      </c>
      <c r="C18" s="60" t="s">
        <v>74</v>
      </c>
    </row>
    <row r="19" spans="2:3">
      <c r="B19" s="55">
        <f t="shared" si="0"/>
        <v>15</v>
      </c>
      <c r="C19" s="56" t="s">
        <v>75</v>
      </c>
    </row>
    <row r="20" spans="2:3">
      <c r="B20" s="29">
        <f t="shared" si="0"/>
        <v>16</v>
      </c>
      <c r="C20" s="60" t="s">
        <v>1</v>
      </c>
    </row>
    <row r="21" spans="2:3">
      <c r="B21" s="29">
        <f t="shared" si="0"/>
        <v>17</v>
      </c>
      <c r="C21" s="60" t="s">
        <v>0</v>
      </c>
    </row>
  </sheetData>
  <hyperlinks>
    <hyperlink ref="C6" location="'P&amp;L assumptions'!A1" display="P&amp;L assumptions"/>
    <hyperlink ref="C7" location="'BS assumptions'!A1" display="BS assumptions"/>
    <hyperlink ref="C9" location="'P&amp;L'!A1" display="P&amp;L"/>
    <hyperlink ref="C10" location="BS!A1" display="BS"/>
    <hyperlink ref="C11" location="'Cash Flow'!A1" display="Cash Flow"/>
    <hyperlink ref="C12" location="'DCF valuation'!A1" display="DCF valuation"/>
    <hyperlink ref="C14" location="'Revenues&amp;Ebitda'!A1" display="Revenue&amp;Ebitda"/>
    <hyperlink ref="C15" location="'Cash flows'!A1" display="Cash flows"/>
    <hyperlink ref="C16" location="'Ebitda bridge'!A1" display="Ebitda bridge"/>
    <hyperlink ref="C17" location="'Working capital'!A1" display="Working capital"/>
    <hyperlink ref="C18" location="'DCF results'!A1" display="DCF results"/>
    <hyperlink ref="C20" location="'P&amp;L source'!A1" display="P&amp;L source"/>
    <hyperlink ref="C21" location="'BS source'!A1" display="BS source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B11"/>
  <sheetViews>
    <sheetView workbookViewId="0">
      <selection activeCell="G29" sqref="G29"/>
    </sheetView>
  </sheetViews>
  <sheetFormatPr defaultRowHeight="12"/>
  <cols>
    <col min="1" max="1" width="2" style="1" customWidth="1"/>
    <col min="2" max="16384" width="9.140625" style="1"/>
  </cols>
  <sheetData>
    <row r="1" spans="2:2" ht="15.75">
      <c r="B1" s="2"/>
    </row>
    <row r="11" spans="2:2" ht="41.25">
      <c r="B11" s="3" t="s">
        <v>77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zoomScaleNormal="100" workbookViewId="0">
      <selection activeCell="D10" sqref="D10"/>
    </sheetView>
  </sheetViews>
  <sheetFormatPr defaultRowHeight="12"/>
  <cols>
    <col min="1" max="1" width="2" style="7" customWidth="1"/>
    <col min="2" max="2" width="27.85546875" style="7" bestFit="1" customWidth="1"/>
    <col min="3" max="3" width="9.140625" style="7"/>
    <col min="4" max="6" width="10.5703125" style="7" bestFit="1" customWidth="1"/>
    <col min="7" max="16384" width="9.140625" style="7"/>
  </cols>
  <sheetData>
    <row r="1" spans="2:13" ht="15.75">
      <c r="B1" s="6" t="s">
        <v>1</v>
      </c>
    </row>
    <row r="3" spans="2:13" ht="24">
      <c r="B3" s="8" t="s">
        <v>62</v>
      </c>
      <c r="C3" s="8"/>
      <c r="D3" s="9" t="s">
        <v>20</v>
      </c>
      <c r="E3" s="9" t="s">
        <v>21</v>
      </c>
      <c r="F3" s="9" t="s">
        <v>22</v>
      </c>
    </row>
    <row r="4" spans="2:13">
      <c r="B4" s="7" t="s">
        <v>7</v>
      </c>
      <c r="D4" s="13">
        <v>177203</v>
      </c>
      <c r="E4" s="13">
        <v>188618</v>
      </c>
      <c r="F4" s="13">
        <v>208366</v>
      </c>
    </row>
    <row r="5" spans="2:13">
      <c r="B5" s="7" t="s">
        <v>8</v>
      </c>
      <c r="D5" s="13">
        <v>3520</v>
      </c>
      <c r="E5" s="13">
        <v>2416</v>
      </c>
      <c r="F5" s="13">
        <v>2585</v>
      </c>
      <c r="J5" s="61"/>
      <c r="K5" s="61"/>
      <c r="L5" s="61"/>
      <c r="M5" s="61"/>
    </row>
    <row r="6" spans="2:13">
      <c r="B6" s="34" t="s">
        <v>9</v>
      </c>
      <c r="C6" s="34"/>
      <c r="D6" s="35">
        <f>D4+D5</f>
        <v>180723</v>
      </c>
      <c r="E6" s="35">
        <f>E4+E5</f>
        <v>191034</v>
      </c>
      <c r="F6" s="35">
        <f>F4+F5</f>
        <v>210951</v>
      </c>
      <c r="G6" s="21"/>
    </row>
    <row r="7" spans="2:13">
      <c r="D7" s="13"/>
      <c r="E7" s="13"/>
      <c r="F7" s="13"/>
    </row>
    <row r="8" spans="2:13">
      <c r="B8" s="7" t="s">
        <v>10</v>
      </c>
      <c r="D8" s="13">
        <v>-139903.0394666667</v>
      </c>
      <c r="E8" s="13">
        <v>-138922.98879999999</v>
      </c>
      <c r="F8" s="13">
        <v>-150080.46882539699</v>
      </c>
    </row>
    <row r="9" spans="2:13">
      <c r="B9" s="7" t="s">
        <v>78</v>
      </c>
      <c r="D9" s="13">
        <v>-2491.3280000000004</v>
      </c>
      <c r="E9" s="13">
        <v>-11649.177600000001</v>
      </c>
      <c r="F9" s="13">
        <v>-7442.6495999999997</v>
      </c>
    </row>
    <row r="10" spans="2:13">
      <c r="B10" s="7" t="s">
        <v>11</v>
      </c>
      <c r="D10" s="13">
        <v>-16389.593600000004</v>
      </c>
      <c r="E10" s="13">
        <v>-17878.310399999998</v>
      </c>
      <c r="F10" s="13">
        <v>-22293.312000000005</v>
      </c>
    </row>
    <row r="11" spans="2:13">
      <c r="B11" s="7" t="s">
        <v>12</v>
      </c>
      <c r="D11" s="13">
        <v>-290.72640000000007</v>
      </c>
      <c r="E11" s="13">
        <v>-246.13120000000004</v>
      </c>
      <c r="F11" s="13">
        <v>-120.92160000000001</v>
      </c>
    </row>
    <row r="12" spans="2:13">
      <c r="B12" s="7" t="s">
        <v>13</v>
      </c>
      <c r="D12" s="13">
        <v>-1330.9952000000003</v>
      </c>
      <c r="E12" s="13">
        <v>-1123.4560000000001</v>
      </c>
      <c r="F12" s="13">
        <v>-1452.7744000000002</v>
      </c>
    </row>
    <row r="13" spans="2:13">
      <c r="D13" s="13"/>
      <c r="E13" s="13"/>
      <c r="F13" s="13"/>
    </row>
    <row r="14" spans="2:13">
      <c r="B14" s="34" t="s">
        <v>14</v>
      </c>
      <c r="C14" s="34"/>
      <c r="D14" s="35">
        <f>D6+SUM(D8:D12)</f>
        <v>20317.317333333282</v>
      </c>
      <c r="E14" s="35">
        <f>E6+SUM(E8:E12)</f>
        <v>21213.936000000016</v>
      </c>
      <c r="F14" s="35">
        <f>F6+SUM(F8:F12)</f>
        <v>29560.873574603</v>
      </c>
    </row>
    <row r="15" spans="2:13">
      <c r="D15" s="13"/>
      <c r="E15" s="13"/>
      <c r="F15" s="13"/>
    </row>
    <row r="16" spans="2:13">
      <c r="B16" s="7" t="s">
        <v>15</v>
      </c>
      <c r="D16" s="13">
        <v>-2907.8000000000006</v>
      </c>
      <c r="E16" s="13">
        <v>-4649.8</v>
      </c>
      <c r="F16" s="13">
        <v>-6430.6600000000008</v>
      </c>
    </row>
    <row r="17" spans="2:6">
      <c r="D17" s="13"/>
      <c r="E17" s="13"/>
      <c r="F17" s="13"/>
    </row>
    <row r="18" spans="2:6">
      <c r="B18" s="34" t="s">
        <v>16</v>
      </c>
      <c r="C18" s="34"/>
      <c r="D18" s="35">
        <f>D14+D16</f>
        <v>17409.517333333282</v>
      </c>
      <c r="E18" s="35">
        <f>E14+E16</f>
        <v>16564.136000000017</v>
      </c>
      <c r="F18" s="35">
        <f>F14+F16</f>
        <v>23130.213574603</v>
      </c>
    </row>
    <row r="19" spans="2:6">
      <c r="D19" s="13"/>
      <c r="E19" s="13"/>
      <c r="F19" s="13"/>
    </row>
    <row r="20" spans="2:6">
      <c r="B20" s="7" t="s">
        <v>17</v>
      </c>
      <c r="D20" s="13">
        <v>-1266.3000000000002</v>
      </c>
      <c r="E20" s="13">
        <v>-2190.9</v>
      </c>
      <c r="F20" s="13">
        <v>-2663.92</v>
      </c>
    </row>
    <row r="21" spans="2:6">
      <c r="B21" s="7" t="s">
        <v>18</v>
      </c>
      <c r="D21" s="13">
        <v>-317.58000000000004</v>
      </c>
      <c r="E21" s="13">
        <v>-864.30000000000007</v>
      </c>
      <c r="F21" s="13">
        <v>-320.26</v>
      </c>
    </row>
    <row r="22" spans="2:6">
      <c r="D22" s="13"/>
      <c r="E22" s="13"/>
      <c r="F22" s="13"/>
    </row>
    <row r="23" spans="2:6">
      <c r="B23" s="34" t="s">
        <v>19</v>
      </c>
      <c r="C23" s="34"/>
      <c r="D23" s="35">
        <f>D18+D21+D20</f>
        <v>15825.637333333281</v>
      </c>
      <c r="E23" s="35">
        <f>E18+E21+E20</f>
        <v>13508.936000000018</v>
      </c>
      <c r="F23" s="35">
        <f>F18+F21+F20</f>
        <v>20146.033574603003</v>
      </c>
    </row>
    <row r="24" spans="2:6">
      <c r="D24" s="13"/>
      <c r="E24" s="13"/>
      <c r="F24" s="13"/>
    </row>
    <row r="25" spans="2:6">
      <c r="B25" s="7" t="s">
        <v>23</v>
      </c>
      <c r="D25" s="13">
        <v>-3805.7759999999998</v>
      </c>
      <c r="E25" s="13">
        <v>-3050.192</v>
      </c>
      <c r="F25" s="13">
        <v>-3814.88</v>
      </c>
    </row>
    <row r="26" spans="2:6">
      <c r="D26" s="13"/>
      <c r="E26" s="13"/>
      <c r="F26" s="13"/>
    </row>
    <row r="27" spans="2:6" ht="12.75" thickBot="1">
      <c r="B27" s="10" t="s">
        <v>24</v>
      </c>
      <c r="C27" s="10"/>
      <c r="D27" s="14">
        <f>D23+D25</f>
        <v>12019.861333333281</v>
      </c>
      <c r="E27" s="14">
        <f>E23+E25</f>
        <v>10458.744000000017</v>
      </c>
      <c r="F27" s="14">
        <f>F23+F25</f>
        <v>16331.153574603002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workbookViewId="0">
      <selection activeCell="B10" sqref="B10"/>
    </sheetView>
  </sheetViews>
  <sheetFormatPr defaultRowHeight="12"/>
  <cols>
    <col min="1" max="1" width="2" style="7" customWidth="1"/>
    <col min="2" max="2" width="24.140625" style="7" bestFit="1" customWidth="1"/>
    <col min="3" max="3" width="9.140625" style="7"/>
    <col min="4" max="4" width="10.85546875" style="7" customWidth="1"/>
    <col min="5" max="5" width="10.7109375" style="7" customWidth="1"/>
    <col min="6" max="6" width="10" style="7" bestFit="1" customWidth="1"/>
    <col min="7" max="7" width="9.140625" style="7"/>
    <col min="8" max="8" width="22.140625" style="7" bestFit="1" customWidth="1"/>
    <col min="9" max="9" width="9.140625" style="7"/>
    <col min="10" max="10" width="10" style="7" bestFit="1" customWidth="1"/>
    <col min="11" max="11" width="10.5703125" style="7" customWidth="1"/>
    <col min="12" max="12" width="11.140625" style="7" customWidth="1"/>
    <col min="13" max="16384" width="9.140625" style="7"/>
  </cols>
  <sheetData>
    <row r="1" spans="2:12" ht="15.75">
      <c r="B1" s="6" t="s">
        <v>0</v>
      </c>
    </row>
    <row r="3" spans="2:12" ht="24">
      <c r="B3" s="8" t="s">
        <v>62</v>
      </c>
      <c r="C3" s="8"/>
      <c r="D3" s="9" t="s">
        <v>33</v>
      </c>
      <c r="E3" s="9" t="s">
        <v>34</v>
      </c>
      <c r="F3" s="9" t="s">
        <v>35</v>
      </c>
      <c r="H3" s="8" t="s">
        <v>62</v>
      </c>
      <c r="I3" s="8"/>
      <c r="J3" s="9" t="s">
        <v>33</v>
      </c>
      <c r="K3" s="9" t="s">
        <v>34</v>
      </c>
      <c r="L3" s="9" t="s">
        <v>35</v>
      </c>
    </row>
    <row r="4" spans="2:12">
      <c r="B4" s="7" t="s">
        <v>29</v>
      </c>
      <c r="D4" s="13">
        <v>5961.6</v>
      </c>
      <c r="E4" s="13">
        <v>5840</v>
      </c>
      <c r="F4" s="13">
        <v>5650</v>
      </c>
      <c r="G4" s="13"/>
      <c r="H4" s="13" t="s">
        <v>38</v>
      </c>
      <c r="I4" s="13"/>
      <c r="J4" s="13">
        <v>6784.8</v>
      </c>
      <c r="K4" s="13">
        <v>6800</v>
      </c>
      <c r="L4" s="13">
        <v>7508</v>
      </c>
    </row>
    <row r="5" spans="2:12">
      <c r="B5" s="7" t="s">
        <v>43</v>
      </c>
      <c r="D5" s="13">
        <v>45106.400000000001</v>
      </c>
      <c r="E5" s="13">
        <v>49072.4</v>
      </c>
      <c r="F5" s="13">
        <v>56109.2</v>
      </c>
      <c r="G5" s="13"/>
      <c r="H5" s="13" t="s">
        <v>39</v>
      </c>
      <c r="I5" s="13"/>
      <c r="J5" s="13">
        <v>46224</v>
      </c>
      <c r="K5" s="13">
        <v>44414.400000000001</v>
      </c>
      <c r="L5" s="13">
        <v>46513.2</v>
      </c>
    </row>
    <row r="6" spans="2:12">
      <c r="B6" s="7" t="s">
        <v>52</v>
      </c>
      <c r="D6" s="13">
        <v>8824</v>
      </c>
      <c r="E6" s="13">
        <v>9831</v>
      </c>
      <c r="F6" s="13">
        <v>10323</v>
      </c>
      <c r="G6" s="13"/>
      <c r="H6" s="13" t="s">
        <v>40</v>
      </c>
      <c r="I6" s="13"/>
      <c r="J6" s="13">
        <v>16393.7</v>
      </c>
      <c r="K6" s="13">
        <v>25993.7</v>
      </c>
      <c r="L6" s="13">
        <v>21516</v>
      </c>
    </row>
    <row r="7" spans="2:12">
      <c r="D7" s="13"/>
      <c r="E7" s="13"/>
      <c r="F7" s="13"/>
      <c r="G7" s="13"/>
      <c r="H7" s="13" t="s">
        <v>41</v>
      </c>
      <c r="I7" s="13"/>
      <c r="J7" s="13">
        <v>12019.861333333281</v>
      </c>
      <c r="K7" s="13">
        <v>10458.744000000017</v>
      </c>
      <c r="L7" s="13">
        <v>16331.153574603002</v>
      </c>
    </row>
    <row r="8" spans="2:12" ht="12.75" thickBot="1">
      <c r="B8" s="10" t="s">
        <v>63</v>
      </c>
      <c r="C8" s="15"/>
      <c r="D8" s="14">
        <f>D6+D5+D4</f>
        <v>59892</v>
      </c>
      <c r="E8" s="14">
        <f>E6+E5+E4</f>
        <v>64743.4</v>
      </c>
      <c r="F8" s="14">
        <f>F6+F5+F4</f>
        <v>72082.2</v>
      </c>
      <c r="G8" s="13"/>
      <c r="H8" s="14" t="s">
        <v>42</v>
      </c>
      <c r="I8" s="31"/>
      <c r="J8" s="14">
        <f>SUM(J4:J7)</f>
        <v>81422.361333333276</v>
      </c>
      <c r="K8" s="14">
        <f>SUM(K4:K7)</f>
        <v>87666.844000000026</v>
      </c>
      <c r="L8" s="14">
        <f>SUM(L4:L7)</f>
        <v>91868.353574602996</v>
      </c>
    </row>
    <row r="9" spans="2:12">
      <c r="D9" s="13"/>
      <c r="E9" s="13"/>
      <c r="F9" s="13"/>
      <c r="G9" s="13"/>
      <c r="H9" s="13"/>
      <c r="I9" s="13"/>
      <c r="J9" s="13"/>
      <c r="K9" s="13"/>
      <c r="L9" s="13"/>
    </row>
    <row r="10" spans="2:12">
      <c r="B10" s="7" t="s">
        <v>32</v>
      </c>
      <c r="D10" s="13">
        <v>31167.200000000001</v>
      </c>
      <c r="E10" s="13">
        <v>36396.800000000003</v>
      </c>
      <c r="F10" s="13">
        <v>46212</v>
      </c>
      <c r="G10" s="13"/>
      <c r="H10" s="13" t="s">
        <v>44</v>
      </c>
      <c r="I10" s="13"/>
      <c r="J10" s="13">
        <v>15891.2</v>
      </c>
      <c r="K10" s="13">
        <v>26351.599999999999</v>
      </c>
      <c r="L10" s="13">
        <v>36189.599999999999</v>
      </c>
    </row>
    <row r="11" spans="2:12">
      <c r="B11" s="7" t="s">
        <v>30</v>
      </c>
      <c r="D11" s="13">
        <v>32883.599999999999</v>
      </c>
      <c r="E11" s="13">
        <v>38556</v>
      </c>
      <c r="F11" s="13">
        <v>43581.599999999999</v>
      </c>
      <c r="G11" s="13"/>
      <c r="H11" s="13" t="s">
        <v>45</v>
      </c>
      <c r="I11" s="13"/>
      <c r="J11" s="13">
        <v>5315</v>
      </c>
      <c r="K11" s="13">
        <v>4334</v>
      </c>
      <c r="L11" s="13">
        <v>6473.0464253970422</v>
      </c>
    </row>
    <row r="12" spans="2:12">
      <c r="B12" s="7" t="s">
        <v>31</v>
      </c>
      <c r="D12" s="13">
        <v>8841.6</v>
      </c>
      <c r="E12" s="13">
        <v>11359.199999999999</v>
      </c>
      <c r="F12" s="13">
        <v>17602.8</v>
      </c>
      <c r="G12" s="13"/>
      <c r="H12" s="13" t="s">
        <v>51</v>
      </c>
      <c r="I12" s="13"/>
      <c r="J12" s="13">
        <v>478.83866666668911</v>
      </c>
      <c r="K12" s="13">
        <v>1217.9560000000056</v>
      </c>
      <c r="L12" s="13">
        <v>1760.3999999999999</v>
      </c>
    </row>
    <row r="13" spans="2:12">
      <c r="D13" s="13"/>
      <c r="E13" s="13"/>
      <c r="F13" s="13"/>
      <c r="G13" s="13"/>
      <c r="H13" s="13" t="s">
        <v>46</v>
      </c>
      <c r="I13" s="13"/>
      <c r="J13" s="13">
        <v>175.2</v>
      </c>
      <c r="K13" s="13">
        <v>248.39999999999998</v>
      </c>
      <c r="L13" s="13">
        <v>240</v>
      </c>
    </row>
    <row r="14" spans="2:12">
      <c r="B14" s="7" t="s">
        <v>36</v>
      </c>
      <c r="D14" s="13">
        <v>11791.199999999999</v>
      </c>
      <c r="E14" s="13">
        <v>19408.8</v>
      </c>
      <c r="F14" s="13">
        <v>8173.6</v>
      </c>
      <c r="G14" s="13"/>
      <c r="H14" s="13"/>
      <c r="I14" s="13"/>
      <c r="J14" s="13"/>
      <c r="K14" s="13"/>
      <c r="L14" s="13"/>
    </row>
    <row r="15" spans="2:12" ht="12.75" thickBot="1">
      <c r="B15" s="10" t="s">
        <v>64</v>
      </c>
      <c r="C15" s="15"/>
      <c r="D15" s="14">
        <f>+D14+D12+D11+D10</f>
        <v>84683.599999999991</v>
      </c>
      <c r="E15" s="14">
        <f>+E14+E12+E11+E10</f>
        <v>105720.8</v>
      </c>
      <c r="F15" s="14">
        <f>+F14+F12+F11+F10</f>
        <v>115570</v>
      </c>
      <c r="G15" s="13"/>
      <c r="H15" s="13" t="s">
        <v>47</v>
      </c>
      <c r="I15" s="13"/>
      <c r="J15" s="13">
        <v>37402.600000000006</v>
      </c>
      <c r="K15" s="13">
        <v>45594.6</v>
      </c>
      <c r="L15" s="13">
        <v>50680.399999999994</v>
      </c>
    </row>
    <row r="16" spans="2:12">
      <c r="D16" s="13"/>
      <c r="E16" s="13"/>
      <c r="F16" s="13"/>
      <c r="G16" s="13"/>
      <c r="H16" s="13" t="s">
        <v>48</v>
      </c>
      <c r="I16" s="13"/>
      <c r="J16" s="13">
        <v>3890.3999999999996</v>
      </c>
      <c r="K16" s="13">
        <v>5050.8</v>
      </c>
      <c r="L16" s="13">
        <v>440.4</v>
      </c>
    </row>
    <row r="17" spans="2:12" ht="12.75" thickBot="1">
      <c r="D17" s="13"/>
      <c r="E17" s="13"/>
      <c r="F17" s="13"/>
      <c r="G17" s="13"/>
      <c r="H17" s="14" t="s">
        <v>49</v>
      </c>
      <c r="I17" s="31"/>
      <c r="J17" s="14">
        <f>J16+J15+SUM(J10:J13)</f>
        <v>63153.238666666701</v>
      </c>
      <c r="K17" s="14">
        <f>K16+K15+SUM(K10:K13)</f>
        <v>82797.356</v>
      </c>
      <c r="L17" s="14">
        <f>L16+L15+SUM(L10:L13)</f>
        <v>95783.846425397031</v>
      </c>
    </row>
    <row r="18" spans="2:12">
      <c r="D18" s="13"/>
      <c r="E18" s="13"/>
      <c r="F18" s="13"/>
      <c r="G18" s="13"/>
      <c r="H18" s="13"/>
      <c r="I18" s="13"/>
      <c r="J18" s="13"/>
      <c r="K18" s="13"/>
      <c r="L18" s="13"/>
    </row>
    <row r="19" spans="2:12" ht="12.75" thickBot="1">
      <c r="B19" s="10" t="s">
        <v>37</v>
      </c>
      <c r="C19" s="15"/>
      <c r="D19" s="14">
        <f>D15+D8</f>
        <v>144575.59999999998</v>
      </c>
      <c r="E19" s="14">
        <f>E15+E8</f>
        <v>170464.2</v>
      </c>
      <c r="F19" s="14">
        <f>F15+F8</f>
        <v>187652.2</v>
      </c>
      <c r="G19" s="13"/>
      <c r="H19" s="14" t="s">
        <v>50</v>
      </c>
      <c r="I19" s="31"/>
      <c r="J19" s="14">
        <f>J17+J8</f>
        <v>144575.59999999998</v>
      </c>
      <c r="K19" s="14">
        <f>K17+K8</f>
        <v>170464.2</v>
      </c>
      <c r="L19" s="14">
        <f>L17+L8</f>
        <v>187652.2</v>
      </c>
    </row>
    <row r="22" spans="2:12">
      <c r="J22" s="7">
        <f>J19-D19</f>
        <v>0</v>
      </c>
      <c r="K22" s="7">
        <f>K19-E19</f>
        <v>0</v>
      </c>
      <c r="L22" s="7">
        <f>L19-F19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B11"/>
  <sheetViews>
    <sheetView workbookViewId="0">
      <selection activeCell="F8" sqref="F8"/>
    </sheetView>
  </sheetViews>
  <sheetFormatPr defaultRowHeight="12"/>
  <cols>
    <col min="1" max="1" width="2" style="1" customWidth="1"/>
    <col min="2" max="16384" width="9.140625" style="1"/>
  </cols>
  <sheetData>
    <row r="1" spans="2:2" ht="15.75">
      <c r="B1" s="2"/>
    </row>
    <row r="11" spans="2:2" ht="41.25">
      <c r="B11" s="3" t="s">
        <v>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1"/>
  <sheetViews>
    <sheetView zoomScale="90" zoomScaleNormal="90" workbookViewId="0">
      <pane ySplit="8" topLeftCell="A9" activePane="bottomLeft" state="frozen"/>
      <selection pane="bottomLeft"/>
    </sheetView>
  </sheetViews>
  <sheetFormatPr defaultRowHeight="12"/>
  <cols>
    <col min="1" max="1" width="2" style="7" customWidth="1"/>
    <col min="2" max="2" width="21.85546875" style="7" bestFit="1" customWidth="1"/>
    <col min="3" max="3" width="10.5703125" style="7" bestFit="1" customWidth="1"/>
    <col min="4" max="5" width="9.140625" style="7"/>
    <col min="6" max="6" width="2" style="21" customWidth="1"/>
    <col min="7" max="7" width="11" style="7" bestFit="1" customWidth="1"/>
    <col min="8" max="11" width="10.5703125" style="7" bestFit="1" customWidth="1"/>
    <col min="12" max="12" width="9.140625" style="7"/>
    <col min="13" max="13" width="22.140625" style="7" bestFit="1" customWidth="1"/>
    <col min="14" max="16384" width="9.140625" style="7"/>
  </cols>
  <sheetData>
    <row r="1" spans="2:14" ht="15.75">
      <c r="B1" s="6" t="s">
        <v>26</v>
      </c>
    </row>
    <row r="2" spans="2:14">
      <c r="F2" s="7"/>
      <c r="G2" s="7" t="s">
        <v>81</v>
      </c>
    </row>
    <row r="3" spans="2:14">
      <c r="F3" s="7"/>
      <c r="G3" s="7" t="s">
        <v>82</v>
      </c>
    </row>
    <row r="4" spans="2:14">
      <c r="F4" s="7"/>
      <c r="G4" s="7" t="s">
        <v>83</v>
      </c>
    </row>
    <row r="5" spans="2:14">
      <c r="B5" s="7" t="s">
        <v>80</v>
      </c>
      <c r="C5" s="63">
        <v>1</v>
      </c>
      <c r="F5" s="7"/>
      <c r="G5" s="7" t="s">
        <v>84</v>
      </c>
    </row>
    <row r="6" spans="2:14">
      <c r="F6" s="7"/>
    </row>
    <row r="7" spans="2:14" ht="3.75" customHeight="1"/>
    <row r="8" spans="2:14" ht="24.75" thickBot="1">
      <c r="B8" s="17" t="s">
        <v>53</v>
      </c>
      <c r="C8" s="18" t="s">
        <v>54</v>
      </c>
      <c r="D8" s="18" t="s">
        <v>55</v>
      </c>
      <c r="E8" s="18" t="s">
        <v>56</v>
      </c>
      <c r="F8" s="22"/>
      <c r="G8" s="19" t="s">
        <v>57</v>
      </c>
      <c r="H8" s="19" t="s">
        <v>58</v>
      </c>
      <c r="I8" s="19" t="s">
        <v>59</v>
      </c>
      <c r="J8" s="19" t="s">
        <v>60</v>
      </c>
      <c r="K8" s="19" t="s">
        <v>61</v>
      </c>
    </row>
    <row r="9" spans="2:14">
      <c r="B9" s="7" t="s">
        <v>85</v>
      </c>
      <c r="C9" s="13">
        <f>'P&amp;L source'!D4</f>
        <v>177203</v>
      </c>
      <c r="D9" s="13">
        <f>'P&amp;L source'!E4</f>
        <v>188618</v>
      </c>
      <c r="E9" s="13">
        <f>'P&amp;L source'!F4</f>
        <v>208366</v>
      </c>
      <c r="G9" s="28">
        <f>+E9*(1+G10)</f>
        <v>229202.6</v>
      </c>
      <c r="H9" s="28">
        <f>+G9*(1+H10)</f>
        <v>252122.86000000002</v>
      </c>
      <c r="I9" s="28">
        <f t="shared" ref="I9:K9" si="0">+H9*(1+I10)</f>
        <v>277335.14600000007</v>
      </c>
      <c r="J9" s="28">
        <f t="shared" si="0"/>
        <v>305068.66060000012</v>
      </c>
      <c r="K9" s="28">
        <f t="shared" si="0"/>
        <v>335575.52666000015</v>
      </c>
      <c r="N9" s="22"/>
    </row>
    <row r="10" spans="2:14">
      <c r="B10" s="7" t="s">
        <v>86</v>
      </c>
      <c r="C10" s="49">
        <v>0</v>
      </c>
      <c r="D10" s="26">
        <f>D9/C9-1</f>
        <v>6.4417645299458703E-2</v>
      </c>
      <c r="E10" s="26">
        <f>E9/D9-1</f>
        <v>0.10469838509580209</v>
      </c>
      <c r="G10" s="27">
        <f>+CHOOSE($C$5,G11,G12,G13)</f>
        <v>0.1</v>
      </c>
      <c r="H10" s="27">
        <f t="shared" ref="H10:K10" si="1">+CHOOSE($C$5,H11,H12,H13)</f>
        <v>0.1</v>
      </c>
      <c r="I10" s="27">
        <f t="shared" si="1"/>
        <v>0.1</v>
      </c>
      <c r="J10" s="27">
        <f t="shared" si="1"/>
        <v>0.1</v>
      </c>
      <c r="K10" s="27">
        <f t="shared" si="1"/>
        <v>0.1</v>
      </c>
    </row>
    <row r="11" spans="2:14">
      <c r="B11" s="7" t="s">
        <v>87</v>
      </c>
      <c r="C11" s="64"/>
      <c r="D11" s="64"/>
      <c r="E11" s="64"/>
      <c r="G11" s="27">
        <v>0.1</v>
      </c>
      <c r="H11" s="27">
        <v>0.1</v>
      </c>
      <c r="I11" s="27">
        <v>0.1</v>
      </c>
      <c r="J11" s="27">
        <v>0.1</v>
      </c>
      <c r="K11" s="27">
        <v>0.1</v>
      </c>
    </row>
    <row r="12" spans="2:14">
      <c r="B12" s="7" t="s">
        <v>88</v>
      </c>
      <c r="C12" s="64"/>
      <c r="D12" s="64"/>
      <c r="E12" s="64"/>
      <c r="G12" s="27">
        <v>0.08</v>
      </c>
      <c r="H12" s="27">
        <v>0.08</v>
      </c>
      <c r="I12" s="27">
        <v>0.08</v>
      </c>
      <c r="J12" s="27">
        <v>0.08</v>
      </c>
      <c r="K12" s="27">
        <v>0.08</v>
      </c>
    </row>
    <row r="13" spans="2:14">
      <c r="B13" s="7" t="s">
        <v>89</v>
      </c>
      <c r="C13" s="64"/>
      <c r="D13" s="64"/>
      <c r="E13" s="64"/>
      <c r="G13" s="27">
        <v>0.04</v>
      </c>
      <c r="H13" s="27">
        <v>0.04</v>
      </c>
      <c r="I13" s="27">
        <v>0.04</v>
      </c>
      <c r="J13" s="27">
        <v>0.04</v>
      </c>
      <c r="K13" s="27">
        <v>0.04</v>
      </c>
    </row>
    <row r="14" spans="2:14" ht="3.75" customHeight="1">
      <c r="G14" s="28"/>
      <c r="H14" s="28"/>
      <c r="I14" s="28"/>
      <c r="J14" s="28"/>
      <c r="K14" s="28"/>
    </row>
    <row r="15" spans="2:14">
      <c r="B15" s="7" t="s">
        <v>90</v>
      </c>
      <c r="C15" s="13">
        <f>'P&amp;L source'!D5</f>
        <v>3520</v>
      </c>
      <c r="D15" s="13">
        <f>'P&amp;L source'!E5</f>
        <v>2416</v>
      </c>
      <c r="E15" s="13">
        <f>'P&amp;L source'!F5</f>
        <v>2585</v>
      </c>
      <c r="G15" s="28">
        <f>+E15*(1+G16)</f>
        <v>2585</v>
      </c>
      <c r="H15" s="28">
        <f>+G15*(1+H16)</f>
        <v>2585</v>
      </c>
      <c r="I15" s="28">
        <f t="shared" ref="I15" si="2">+H15*(1+I16)</f>
        <v>2585</v>
      </c>
      <c r="J15" s="28">
        <f t="shared" ref="J15" si="3">+I15*(1+J16)</f>
        <v>2585</v>
      </c>
      <c r="K15" s="28">
        <f t="shared" ref="K15" si="4">+J15*(1+K16)</f>
        <v>2585</v>
      </c>
    </row>
    <row r="16" spans="2:14">
      <c r="B16" s="7" t="s">
        <v>86</v>
      </c>
      <c r="C16" s="25">
        <v>0</v>
      </c>
      <c r="D16" s="25">
        <f>D15/C15-1</f>
        <v>-0.3136363636363636</v>
      </c>
      <c r="E16" s="25">
        <f>E15/D15-1</f>
        <v>6.9950331125827825E-2</v>
      </c>
      <c r="G16" s="27">
        <f>+CHOOSE($C$5,G17,G18,G19)</f>
        <v>0</v>
      </c>
      <c r="H16" s="27">
        <f t="shared" ref="H16:K16" si="5">+CHOOSE($C$5,H17,H18,H19)</f>
        <v>0</v>
      </c>
      <c r="I16" s="27">
        <f t="shared" si="5"/>
        <v>0</v>
      </c>
      <c r="J16" s="27">
        <f t="shared" si="5"/>
        <v>0</v>
      </c>
      <c r="K16" s="27">
        <f t="shared" si="5"/>
        <v>0</v>
      </c>
    </row>
    <row r="17" spans="2:11">
      <c r="B17" s="7" t="s">
        <v>87</v>
      </c>
      <c r="C17" s="64"/>
      <c r="D17" s="64"/>
      <c r="E17" s="64"/>
      <c r="G17" s="27">
        <v>0</v>
      </c>
      <c r="H17" s="27">
        <v>0</v>
      </c>
      <c r="I17" s="27">
        <v>0</v>
      </c>
      <c r="J17" s="27">
        <v>0</v>
      </c>
      <c r="K17" s="27">
        <v>0</v>
      </c>
    </row>
    <row r="18" spans="2:11">
      <c r="B18" s="7" t="s">
        <v>88</v>
      </c>
      <c r="C18" s="64"/>
      <c r="D18" s="64"/>
      <c r="E18" s="64"/>
      <c r="G18" s="27">
        <v>0</v>
      </c>
      <c r="H18" s="27">
        <v>0</v>
      </c>
      <c r="I18" s="27">
        <v>0</v>
      </c>
      <c r="J18" s="27">
        <v>0</v>
      </c>
      <c r="K18" s="27">
        <v>0</v>
      </c>
    </row>
    <row r="19" spans="2:11">
      <c r="B19" s="7" t="s">
        <v>89</v>
      </c>
      <c r="C19" s="64"/>
      <c r="D19" s="64"/>
      <c r="E19" s="64"/>
      <c r="G19" s="27">
        <v>0</v>
      </c>
      <c r="H19" s="27">
        <v>0</v>
      </c>
      <c r="I19" s="27">
        <v>0</v>
      </c>
      <c r="J19" s="27">
        <v>0</v>
      </c>
      <c r="K19" s="27">
        <v>0</v>
      </c>
    </row>
    <row r="20" spans="2:11" ht="3.75" customHeight="1">
      <c r="G20" s="28"/>
      <c r="H20" s="28"/>
      <c r="I20" s="28"/>
      <c r="J20" s="28"/>
      <c r="K20" s="28"/>
    </row>
    <row r="21" spans="2:11">
      <c r="B21" s="7" t="s">
        <v>91</v>
      </c>
      <c r="C21" s="13">
        <f>'P&amp;L source'!D8+'P&amp;L source'!D9</f>
        <v>-142394.36746666671</v>
      </c>
      <c r="D21" s="13">
        <f>'P&amp;L source'!E8+'P&amp;L source'!E9</f>
        <v>-150572.16639999999</v>
      </c>
      <c r="E21" s="13">
        <f>'P&amp;L source'!F8+'P&amp;L source'!F9</f>
        <v>-157523.118425397</v>
      </c>
      <c r="G21" s="51">
        <f>G$9*G22</f>
        <v>-174193.976</v>
      </c>
      <c r="H21" s="51">
        <f t="shared" ref="H21:K21" si="6">H$9*H22</f>
        <v>-191613.37360000002</v>
      </c>
      <c r="I21" s="51">
        <f t="shared" si="6"/>
        <v>-210774.71096000005</v>
      </c>
      <c r="J21" s="51">
        <f t="shared" si="6"/>
        <v>-231852.18205600011</v>
      </c>
      <c r="K21" s="51">
        <f t="shared" si="6"/>
        <v>-255037.40026160012</v>
      </c>
    </row>
    <row r="22" spans="2:11">
      <c r="B22" s="7" t="s">
        <v>92</v>
      </c>
      <c r="C22" s="25">
        <f>C21/C$9</f>
        <v>-0.8035663474470901</v>
      </c>
      <c r="D22" s="25">
        <f>D21/D$9</f>
        <v>-0.79829160737575411</v>
      </c>
      <c r="E22" s="25">
        <f>E21/E$9</f>
        <v>-0.75599242882906514</v>
      </c>
      <c r="G22" s="27">
        <f>+CHOOSE($C$5,G23,G24,G25)</f>
        <v>-0.76</v>
      </c>
      <c r="H22" s="27">
        <f t="shared" ref="H22:K22" si="7">+CHOOSE($C$5,H23,H24,H25)</f>
        <v>-0.76</v>
      </c>
      <c r="I22" s="27">
        <f t="shared" si="7"/>
        <v>-0.76</v>
      </c>
      <c r="J22" s="27">
        <f t="shared" si="7"/>
        <v>-0.76</v>
      </c>
      <c r="K22" s="27">
        <f t="shared" si="7"/>
        <v>-0.76</v>
      </c>
    </row>
    <row r="23" spans="2:11">
      <c r="B23" s="7" t="s">
        <v>87</v>
      </c>
      <c r="C23" s="64"/>
      <c r="D23" s="64"/>
      <c r="E23" s="64"/>
      <c r="G23" s="27">
        <v>-0.76</v>
      </c>
      <c r="H23" s="27">
        <v>-0.76</v>
      </c>
      <c r="I23" s="27">
        <v>-0.76</v>
      </c>
      <c r="J23" s="27">
        <v>-0.76</v>
      </c>
      <c r="K23" s="27">
        <v>-0.76</v>
      </c>
    </row>
    <row r="24" spans="2:11">
      <c r="B24" s="7" t="s">
        <v>88</v>
      </c>
      <c r="C24" s="64"/>
      <c r="D24" s="64"/>
      <c r="E24" s="64"/>
      <c r="G24" s="27">
        <v>-0.78</v>
      </c>
      <c r="H24" s="27">
        <v>-0.78</v>
      </c>
      <c r="I24" s="27">
        <v>-0.78</v>
      </c>
      <c r="J24" s="27">
        <v>-0.78</v>
      </c>
      <c r="K24" s="27">
        <v>-0.78</v>
      </c>
    </row>
    <row r="25" spans="2:11" ht="12" customHeight="1">
      <c r="B25" s="7" t="s">
        <v>89</v>
      </c>
      <c r="C25" s="64"/>
      <c r="D25" s="64"/>
      <c r="E25" s="64"/>
      <c r="G25" s="27">
        <v>-0.8</v>
      </c>
      <c r="H25" s="27">
        <v>-0.8</v>
      </c>
      <c r="I25" s="27">
        <v>-0.8</v>
      </c>
      <c r="J25" s="27">
        <v>-0.8</v>
      </c>
      <c r="K25" s="27">
        <v>-0.8</v>
      </c>
    </row>
    <row r="26" spans="2:11" ht="3.75" customHeight="1">
      <c r="G26" s="28"/>
      <c r="H26" s="28"/>
      <c r="I26" s="28"/>
      <c r="J26" s="28"/>
      <c r="K26" s="28"/>
    </row>
    <row r="27" spans="2:11" ht="12" customHeight="1">
      <c r="B27" s="7" t="s">
        <v>93</v>
      </c>
      <c r="C27" s="13">
        <f>'P&amp;L source'!D10+'P&amp;L source'!D11+'P&amp;L source'!D12</f>
        <v>-18011.315200000005</v>
      </c>
      <c r="D27" s="13">
        <f>'P&amp;L source'!E10+'P&amp;L source'!E11+'P&amp;L source'!E12</f>
        <v>-19247.897599999997</v>
      </c>
      <c r="E27" s="13">
        <f>'P&amp;L source'!F10+'P&amp;L source'!F11+'P&amp;L source'!F12</f>
        <v>-23867.008000000009</v>
      </c>
      <c r="G27" s="51">
        <f>G$9*G28</f>
        <v>-22920.260000000002</v>
      </c>
      <c r="H27" s="51">
        <f t="shared" ref="H27:K27" si="8">H$9*H28</f>
        <v>-25212.286000000004</v>
      </c>
      <c r="I27" s="51">
        <f t="shared" si="8"/>
        <v>-27733.51460000001</v>
      </c>
      <c r="J27" s="51">
        <f t="shared" si="8"/>
        <v>-30506.866060000015</v>
      </c>
      <c r="K27" s="51">
        <f t="shared" si="8"/>
        <v>-33557.552666000018</v>
      </c>
    </row>
    <row r="28" spans="2:11" ht="12" customHeight="1">
      <c r="B28" s="7" t="s">
        <v>92</v>
      </c>
      <c r="C28" s="25">
        <f>C27/C$9</f>
        <v>-0.10164227016472635</v>
      </c>
      <c r="D28" s="25">
        <f>D27/D$9</f>
        <v>-0.10204698173026963</v>
      </c>
      <c r="E28" s="25">
        <f>E27/E$9</f>
        <v>-0.11454367795129727</v>
      </c>
      <c r="G28" s="27">
        <f>+CHOOSE($C$5,G29,G30,G31)</f>
        <v>-0.1</v>
      </c>
      <c r="H28" s="27">
        <f t="shared" ref="H28:K28" si="9">+CHOOSE($C$5,H29,H30,H31)</f>
        <v>-0.1</v>
      </c>
      <c r="I28" s="27">
        <f t="shared" si="9"/>
        <v>-0.1</v>
      </c>
      <c r="J28" s="27">
        <f t="shared" si="9"/>
        <v>-0.1</v>
      </c>
      <c r="K28" s="27">
        <f t="shared" si="9"/>
        <v>-0.1</v>
      </c>
    </row>
    <row r="29" spans="2:11" ht="12" customHeight="1">
      <c r="B29" s="7" t="s">
        <v>87</v>
      </c>
      <c r="C29" s="64"/>
      <c r="D29" s="64"/>
      <c r="E29" s="64"/>
      <c r="G29" s="65">
        <v>-0.1</v>
      </c>
      <c r="H29" s="65">
        <v>-0.1</v>
      </c>
      <c r="I29" s="65">
        <v>-0.1</v>
      </c>
      <c r="J29" s="65">
        <v>-0.1</v>
      </c>
      <c r="K29" s="65">
        <v>-0.1</v>
      </c>
    </row>
    <row r="30" spans="2:11" ht="12" customHeight="1">
      <c r="B30" s="7" t="s">
        <v>88</v>
      </c>
      <c r="C30" s="64"/>
      <c r="D30" s="64"/>
      <c r="E30" s="64"/>
      <c r="G30" s="65">
        <v>-0.105</v>
      </c>
      <c r="H30" s="65">
        <v>-0.105</v>
      </c>
      <c r="I30" s="65">
        <v>-0.105</v>
      </c>
      <c r="J30" s="65">
        <v>-0.105</v>
      </c>
      <c r="K30" s="65">
        <v>-0.105</v>
      </c>
    </row>
    <row r="31" spans="2:11" ht="12" customHeight="1">
      <c r="B31" s="7" t="s">
        <v>89</v>
      </c>
      <c r="C31" s="64"/>
      <c r="D31" s="64"/>
      <c r="E31" s="64"/>
      <c r="G31" s="65">
        <v>-0.11</v>
      </c>
      <c r="H31" s="65">
        <v>-0.11</v>
      </c>
      <c r="I31" s="65">
        <v>-0.11</v>
      </c>
      <c r="J31" s="65">
        <v>-0.11</v>
      </c>
      <c r="K31" s="65">
        <v>-0.11</v>
      </c>
    </row>
    <row r="32" spans="2:11" ht="3.75" customHeight="1">
      <c r="G32" s="28"/>
      <c r="H32" s="28"/>
      <c r="I32" s="28"/>
      <c r="J32" s="28"/>
      <c r="K32" s="28"/>
    </row>
    <row r="33" spans="2:11">
      <c r="B33" s="7" t="s">
        <v>15</v>
      </c>
      <c r="C33" s="13">
        <f>'P&amp;L source'!D16</f>
        <v>-2907.8000000000006</v>
      </c>
      <c r="D33" s="13">
        <f>'P&amp;L source'!E16</f>
        <v>-4649.8</v>
      </c>
      <c r="E33" s="13">
        <f>'P&amp;L source'!F16</f>
        <v>-6430.6600000000008</v>
      </c>
      <c r="G33" s="51">
        <f>G$9*G34</f>
        <v>-4584.0520000000006</v>
      </c>
      <c r="H33" s="51">
        <f t="shared" ref="H33:K33" si="10">H$9*H34</f>
        <v>-5042.4572000000007</v>
      </c>
      <c r="I33" s="51">
        <f t="shared" si="10"/>
        <v>-5546.7029200000015</v>
      </c>
      <c r="J33" s="51">
        <f t="shared" si="10"/>
        <v>-6101.3732120000022</v>
      </c>
      <c r="K33" s="51">
        <f t="shared" si="10"/>
        <v>-6711.510533200003</v>
      </c>
    </row>
    <row r="34" spans="2:11">
      <c r="B34" s="7" t="s">
        <v>92</v>
      </c>
      <c r="C34" s="25">
        <f>C33/C$9</f>
        <v>-1.6409428734276511E-2</v>
      </c>
      <c r="D34" s="25">
        <f>D33/D$9</f>
        <v>-2.4651942020379815E-2</v>
      </c>
      <c r="E34" s="25">
        <f>E33/E$9</f>
        <v>-3.0862328786846225E-2</v>
      </c>
      <c r="G34" s="27">
        <f>+CHOOSE($C$5,G35,G36,G37)</f>
        <v>-0.02</v>
      </c>
      <c r="H34" s="27">
        <f t="shared" ref="H34:K34" si="11">+CHOOSE($C$5,H35,H36,H37)</f>
        <v>-0.02</v>
      </c>
      <c r="I34" s="27">
        <f t="shared" si="11"/>
        <v>-0.02</v>
      </c>
      <c r="J34" s="27">
        <f t="shared" si="11"/>
        <v>-0.02</v>
      </c>
      <c r="K34" s="27">
        <f t="shared" si="11"/>
        <v>-0.02</v>
      </c>
    </row>
    <row r="35" spans="2:11">
      <c r="B35" s="7" t="s">
        <v>87</v>
      </c>
      <c r="C35" s="64"/>
      <c r="D35" s="64"/>
      <c r="E35" s="64"/>
      <c r="G35" s="27">
        <v>-0.02</v>
      </c>
      <c r="H35" s="27">
        <v>-0.02</v>
      </c>
      <c r="I35" s="27">
        <v>-0.02</v>
      </c>
      <c r="J35" s="27">
        <v>-0.02</v>
      </c>
      <c r="K35" s="27">
        <v>-0.02</v>
      </c>
    </row>
    <row r="36" spans="2:11">
      <c r="B36" s="7" t="s">
        <v>88</v>
      </c>
      <c r="C36" s="64"/>
      <c r="D36" s="64"/>
      <c r="E36" s="64"/>
      <c r="G36" s="27">
        <v>-2.5000000000000001E-2</v>
      </c>
      <c r="H36" s="27">
        <v>-2.5000000000000001E-2</v>
      </c>
      <c r="I36" s="27">
        <v>-2.5000000000000001E-2</v>
      </c>
      <c r="J36" s="27">
        <v>-2.5000000000000001E-2</v>
      </c>
      <c r="K36" s="27">
        <v>-2.5000000000000001E-2</v>
      </c>
    </row>
    <row r="37" spans="2:11" ht="12" customHeight="1">
      <c r="B37" s="7" t="s">
        <v>89</v>
      </c>
      <c r="C37" s="64"/>
      <c r="D37" s="64"/>
      <c r="E37" s="64"/>
      <c r="G37" s="27">
        <v>-0.03</v>
      </c>
      <c r="H37" s="27">
        <v>-0.03</v>
      </c>
      <c r="I37" s="27">
        <v>-0.03</v>
      </c>
      <c r="J37" s="27">
        <v>-0.03</v>
      </c>
      <c r="K37" s="27">
        <v>-0.03</v>
      </c>
    </row>
    <row r="38" spans="2:11" ht="3.75" customHeight="1">
      <c r="G38" s="28"/>
      <c r="H38" s="28"/>
      <c r="I38" s="28"/>
      <c r="J38" s="28"/>
      <c r="K38" s="28"/>
    </row>
    <row r="39" spans="2:11" ht="12" customHeight="1">
      <c r="B39" s="7" t="s">
        <v>102</v>
      </c>
      <c r="C39" s="13">
        <f>'P&amp;L source'!D20</f>
        <v>-1266.3000000000002</v>
      </c>
      <c r="D39" s="13">
        <f>'P&amp;L source'!E20</f>
        <v>-2190.9</v>
      </c>
      <c r="E39" s="13">
        <f>'P&amp;L source'!F20</f>
        <v>-2663.92</v>
      </c>
      <c r="G39" s="28">
        <f>+E39*(1+G40)</f>
        <v>-2663.92</v>
      </c>
      <c r="H39" s="28">
        <f>+G39*(1+H40)</f>
        <v>-2663.92</v>
      </c>
      <c r="I39" s="28">
        <f t="shared" ref="I39" si="12">+H39*(1+I40)</f>
        <v>-2663.92</v>
      </c>
      <c r="J39" s="28">
        <f t="shared" ref="J39" si="13">+I39*(1+J40)</f>
        <v>-2663.92</v>
      </c>
      <c r="K39" s="28">
        <f t="shared" ref="K39" si="14">+J39*(1+K40)</f>
        <v>-2663.92</v>
      </c>
    </row>
    <row r="40" spans="2:11" ht="12" customHeight="1">
      <c r="B40" s="7" t="s">
        <v>86</v>
      </c>
      <c r="C40" s="49">
        <v>0</v>
      </c>
      <c r="D40" s="26">
        <f>D39/C39-1</f>
        <v>0.73015873015873001</v>
      </c>
      <c r="E40" s="26">
        <f>E39/D39-1</f>
        <v>0.21590214067278279</v>
      </c>
      <c r="G40" s="27">
        <f>+CHOOSE($C$5,G41,G42,G43)</f>
        <v>0</v>
      </c>
      <c r="H40" s="27">
        <f t="shared" ref="H40:K40" si="15">+CHOOSE($C$5,H41,H42,H43)</f>
        <v>0</v>
      </c>
      <c r="I40" s="27">
        <f t="shared" si="15"/>
        <v>0</v>
      </c>
      <c r="J40" s="27">
        <f t="shared" si="15"/>
        <v>0</v>
      </c>
      <c r="K40" s="27">
        <f t="shared" si="15"/>
        <v>0</v>
      </c>
    </row>
    <row r="41" spans="2:11" ht="12" customHeight="1">
      <c r="B41" s="7" t="s">
        <v>87</v>
      </c>
      <c r="C41" s="64"/>
      <c r="D41" s="64"/>
      <c r="E41" s="64"/>
      <c r="G41" s="27">
        <v>0</v>
      </c>
      <c r="H41" s="27">
        <v>0</v>
      </c>
      <c r="I41" s="27">
        <v>0</v>
      </c>
      <c r="J41" s="27">
        <v>0</v>
      </c>
      <c r="K41" s="27">
        <v>0</v>
      </c>
    </row>
    <row r="42" spans="2:11" ht="12" customHeight="1">
      <c r="B42" s="7" t="s">
        <v>88</v>
      </c>
      <c r="C42" s="64"/>
      <c r="D42" s="64"/>
      <c r="E42" s="64"/>
      <c r="G42" s="27">
        <v>0</v>
      </c>
      <c r="H42" s="27">
        <v>0</v>
      </c>
      <c r="I42" s="27">
        <v>0</v>
      </c>
      <c r="J42" s="27">
        <v>0</v>
      </c>
      <c r="K42" s="27">
        <v>0</v>
      </c>
    </row>
    <row r="43" spans="2:11" ht="12" customHeight="1">
      <c r="B43" s="7" t="s">
        <v>89</v>
      </c>
      <c r="C43" s="64"/>
      <c r="D43" s="64"/>
      <c r="E43" s="64"/>
      <c r="G43" s="27">
        <v>0</v>
      </c>
      <c r="H43" s="27">
        <v>0</v>
      </c>
      <c r="I43" s="27">
        <v>0</v>
      </c>
      <c r="J43" s="27">
        <v>0</v>
      </c>
      <c r="K43" s="27">
        <v>0</v>
      </c>
    </row>
    <row r="44" spans="2:11" ht="3.75" customHeight="1">
      <c r="G44" s="28"/>
      <c r="H44" s="28"/>
      <c r="I44" s="28"/>
      <c r="J44" s="28"/>
      <c r="K44" s="28"/>
    </row>
    <row r="45" spans="2:11" ht="12" customHeight="1">
      <c r="B45" s="7" t="s">
        <v>103</v>
      </c>
      <c r="C45" s="13">
        <f>'P&amp;L source'!D21</f>
        <v>-317.58000000000004</v>
      </c>
      <c r="D45" s="13">
        <f>'P&amp;L source'!E21</f>
        <v>-864.30000000000007</v>
      </c>
      <c r="E45" s="13">
        <f>'P&amp;L source'!F21</f>
        <v>-320.26</v>
      </c>
      <c r="G45" s="51">
        <f>G$9*G46</f>
        <v>0</v>
      </c>
      <c r="H45" s="51">
        <f t="shared" ref="H45:K45" si="16">H$9*H46</f>
        <v>0</v>
      </c>
      <c r="I45" s="51">
        <f t="shared" si="16"/>
        <v>0</v>
      </c>
      <c r="J45" s="51">
        <f t="shared" si="16"/>
        <v>0</v>
      </c>
      <c r="K45" s="51">
        <f t="shared" si="16"/>
        <v>0</v>
      </c>
    </row>
    <row r="46" spans="2:11" ht="12" customHeight="1">
      <c r="B46" s="7" t="s">
        <v>92</v>
      </c>
      <c r="C46" s="25">
        <f>C45/C$9</f>
        <v>-1.7921818479371119E-3</v>
      </c>
      <c r="D46" s="25">
        <f>D45/D$9</f>
        <v>-4.5822774072463929E-3</v>
      </c>
      <c r="E46" s="25">
        <f>E45/E$9</f>
        <v>-1.5370069973028228E-3</v>
      </c>
      <c r="G46" s="27">
        <f>+CHOOSE($C$5,G47,G48,G49)</f>
        <v>0</v>
      </c>
      <c r="H46" s="27">
        <f t="shared" ref="H46:K46" si="17">+CHOOSE($C$5,H47,H48,H49)</f>
        <v>0</v>
      </c>
      <c r="I46" s="27">
        <f t="shared" si="17"/>
        <v>0</v>
      </c>
      <c r="J46" s="27">
        <f t="shared" si="17"/>
        <v>0</v>
      </c>
      <c r="K46" s="27">
        <f t="shared" si="17"/>
        <v>0</v>
      </c>
    </row>
    <row r="47" spans="2:11" ht="12" customHeight="1">
      <c r="B47" s="7" t="s">
        <v>87</v>
      </c>
      <c r="C47" s="64"/>
      <c r="D47" s="64"/>
      <c r="E47" s="64"/>
      <c r="G47" s="27">
        <v>0</v>
      </c>
      <c r="H47" s="27">
        <v>0</v>
      </c>
      <c r="I47" s="27">
        <v>0</v>
      </c>
      <c r="J47" s="27">
        <v>0</v>
      </c>
      <c r="K47" s="27">
        <v>0</v>
      </c>
    </row>
    <row r="48" spans="2:11" ht="12" customHeight="1">
      <c r="B48" s="7" t="s">
        <v>88</v>
      </c>
      <c r="C48" s="64"/>
      <c r="D48" s="64"/>
      <c r="E48" s="64"/>
      <c r="G48" s="27">
        <v>0</v>
      </c>
      <c r="H48" s="27">
        <v>0</v>
      </c>
      <c r="I48" s="27">
        <v>0</v>
      </c>
      <c r="J48" s="27">
        <v>0</v>
      </c>
      <c r="K48" s="27">
        <v>0</v>
      </c>
    </row>
    <row r="49" spans="2:11" ht="12" customHeight="1">
      <c r="B49" s="7" t="s">
        <v>89</v>
      </c>
      <c r="C49" s="64"/>
      <c r="D49" s="64"/>
      <c r="E49" s="64"/>
      <c r="G49" s="27">
        <v>0</v>
      </c>
      <c r="H49" s="27">
        <v>0</v>
      </c>
      <c r="I49" s="27">
        <v>0</v>
      </c>
      <c r="J49" s="27">
        <v>0</v>
      </c>
      <c r="K49" s="27">
        <v>0</v>
      </c>
    </row>
    <row r="50" spans="2:11" ht="3.75" customHeight="1">
      <c r="G50" s="28"/>
      <c r="H50" s="28"/>
      <c r="I50" s="28"/>
      <c r="J50" s="28"/>
      <c r="K50" s="28"/>
    </row>
    <row r="51" spans="2:11">
      <c r="B51" s="7" t="s">
        <v>23</v>
      </c>
      <c r="C51" s="13">
        <f>'P&amp;L source'!D25</f>
        <v>-3805.7759999999998</v>
      </c>
      <c r="D51" s="13">
        <f>'P&amp;L source'!E25</f>
        <v>-3050.192</v>
      </c>
      <c r="E51" s="13">
        <f>'P&amp;L source'!F25</f>
        <v>-3814.88</v>
      </c>
      <c r="G51" s="28"/>
      <c r="H51" s="28"/>
      <c r="I51" s="28"/>
      <c r="J51" s="28"/>
      <c r="K51" s="28"/>
    </row>
    <row r="52" spans="2:11">
      <c r="B52" s="7" t="s">
        <v>94</v>
      </c>
      <c r="C52" s="25">
        <f>'P&amp;L'!C22</f>
        <v>-0.24048168928931246</v>
      </c>
      <c r="D52" s="25">
        <f>'P&amp;L'!D22</f>
        <v>-0.22579069143565386</v>
      </c>
      <c r="E52" s="25">
        <f>'P&amp;L'!E22</f>
        <v>-0.18936134430001206</v>
      </c>
      <c r="G52" s="27">
        <f>+CHOOSE($C$5,G53,G54,G55)</f>
        <v>-0.18</v>
      </c>
      <c r="H52" s="27">
        <f t="shared" ref="H52:K52" si="18">+CHOOSE($C$5,H53,H54,H55)</f>
        <v>-0.18</v>
      </c>
      <c r="I52" s="27">
        <f t="shared" si="18"/>
        <v>-0.18</v>
      </c>
      <c r="J52" s="27">
        <f t="shared" si="18"/>
        <v>-0.18</v>
      </c>
      <c r="K52" s="27">
        <f t="shared" si="18"/>
        <v>-0.18</v>
      </c>
    </row>
    <row r="53" spans="2:11">
      <c r="B53" s="7" t="s">
        <v>87</v>
      </c>
      <c r="C53" s="64"/>
      <c r="D53" s="64"/>
      <c r="E53" s="64"/>
      <c r="G53" s="27">
        <v>-0.18</v>
      </c>
      <c r="H53" s="27">
        <v>-0.18</v>
      </c>
      <c r="I53" s="27">
        <v>-0.18</v>
      </c>
      <c r="J53" s="27">
        <v>-0.18</v>
      </c>
      <c r="K53" s="27">
        <v>-0.18</v>
      </c>
    </row>
    <row r="54" spans="2:11">
      <c r="B54" s="7" t="s">
        <v>88</v>
      </c>
      <c r="C54" s="64"/>
      <c r="D54" s="64"/>
      <c r="E54" s="64"/>
      <c r="G54" s="27">
        <v>-0.2</v>
      </c>
      <c r="H54" s="27">
        <v>-0.2</v>
      </c>
      <c r="I54" s="27">
        <v>-0.2</v>
      </c>
      <c r="J54" s="27">
        <v>-0.2</v>
      </c>
      <c r="K54" s="27">
        <v>-0.2</v>
      </c>
    </row>
    <row r="55" spans="2:11">
      <c r="B55" s="7" t="s">
        <v>89</v>
      </c>
      <c r="C55" s="64"/>
      <c r="D55" s="64"/>
      <c r="E55" s="64"/>
      <c r="G55" s="27">
        <v>-0.22</v>
      </c>
      <c r="H55" s="27">
        <v>-0.22</v>
      </c>
      <c r="I55" s="27">
        <v>-0.22</v>
      </c>
      <c r="J55" s="27">
        <v>-0.22</v>
      </c>
      <c r="K55" s="27">
        <v>-0.22</v>
      </c>
    </row>
    <row r="57" spans="2:11">
      <c r="G57" s="50"/>
      <c r="H57" s="50"/>
      <c r="I57" s="50"/>
      <c r="J57" s="50"/>
      <c r="K57" s="50"/>
    </row>
    <row r="58" spans="2:11">
      <c r="G58" s="25"/>
      <c r="H58" s="25"/>
      <c r="I58" s="25"/>
      <c r="J58" s="25"/>
      <c r="K58" s="25"/>
    </row>
    <row r="59" spans="2:11">
      <c r="G59" s="25"/>
      <c r="H59" s="25"/>
      <c r="I59" s="25"/>
      <c r="J59" s="25"/>
      <c r="K59" s="25"/>
    </row>
    <row r="60" spans="2:11">
      <c r="G60" s="25"/>
      <c r="H60" s="25"/>
      <c r="I60" s="25"/>
      <c r="J60" s="25"/>
      <c r="K60" s="25"/>
    </row>
    <row r="61" spans="2:11">
      <c r="G61" s="25"/>
      <c r="H61" s="25"/>
      <c r="I61" s="25"/>
      <c r="J61" s="25"/>
      <c r="K61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zoomScaleNormal="100" workbookViewId="0">
      <selection activeCell="G10" sqref="G10"/>
    </sheetView>
  </sheetViews>
  <sheetFormatPr defaultRowHeight="12"/>
  <cols>
    <col min="1" max="1" width="2" style="7" customWidth="1"/>
    <col min="2" max="2" width="19.140625" style="7" customWidth="1"/>
    <col min="3" max="3" width="12.28515625" style="7" bestFit="1" customWidth="1"/>
    <col min="4" max="4" width="9.140625" style="7"/>
    <col min="5" max="5" width="10" style="7" bestFit="1" customWidth="1"/>
    <col min="6" max="6" width="2" style="7" customWidth="1"/>
    <col min="7" max="7" width="11" style="7" bestFit="1" customWidth="1"/>
    <col min="8" max="16384" width="9.140625" style="7"/>
  </cols>
  <sheetData>
    <row r="1" spans="2:11" ht="15.75">
      <c r="B1" s="6" t="s">
        <v>27</v>
      </c>
    </row>
    <row r="3" spans="2:11" ht="3.75" customHeight="1"/>
    <row r="4" spans="2:11" ht="24.75" thickBot="1">
      <c r="B4" s="17" t="s">
        <v>53</v>
      </c>
      <c r="C4" s="18" t="s">
        <v>54</v>
      </c>
      <c r="D4" s="18" t="s">
        <v>55</v>
      </c>
      <c r="E4" s="18" t="s">
        <v>56</v>
      </c>
      <c r="F4" s="22"/>
      <c r="G4" s="19" t="s">
        <v>57</v>
      </c>
      <c r="H4" s="19" t="s">
        <v>58</v>
      </c>
      <c r="I4" s="19" t="s">
        <v>59</v>
      </c>
      <c r="J4" s="19" t="s">
        <v>60</v>
      </c>
      <c r="K4" s="19" t="s">
        <v>61</v>
      </c>
    </row>
    <row r="5" spans="2:11">
      <c r="B5" s="7" t="s">
        <v>95</v>
      </c>
      <c r="C5" s="13">
        <f>'BS source'!D11</f>
        <v>32883.599999999999</v>
      </c>
      <c r="D5" s="13">
        <f>'BS source'!E11</f>
        <v>38556</v>
      </c>
      <c r="E5" s="13">
        <f>'BS source'!F11</f>
        <v>43581.599999999999</v>
      </c>
      <c r="G5" s="28">
        <f>G6*'P&amp;L assumptions'!G9/360</f>
        <v>47939.759999999995</v>
      </c>
      <c r="H5" s="28">
        <f>H6*'P&amp;L assumptions'!H9/360</f>
        <v>52733.736000000004</v>
      </c>
      <c r="I5" s="28">
        <f>I6*'P&amp;L assumptions'!I9/360</f>
        <v>58007.109600000011</v>
      </c>
      <c r="J5" s="28">
        <f>J6*'P&amp;L assumptions'!J9/360</f>
        <v>63807.820560000022</v>
      </c>
      <c r="K5" s="28">
        <f>K6*'P&amp;L assumptions'!K9/360</f>
        <v>70188.602616000018</v>
      </c>
    </row>
    <row r="6" spans="2:11">
      <c r="B6" s="16" t="s">
        <v>97</v>
      </c>
      <c r="C6" s="16">
        <f>C5/'P&amp;L assumptions'!C9*360</f>
        <v>66.805279820319072</v>
      </c>
      <c r="D6" s="16">
        <f>D5/'P&amp;L assumptions'!D9*360</f>
        <v>73.588734903349632</v>
      </c>
      <c r="E6" s="16">
        <f>E5/'P&amp;L assumptions'!E9*360</f>
        <v>75.297198199322338</v>
      </c>
      <c r="G6" s="53">
        <f>$E$6</f>
        <v>75.297198199322338</v>
      </c>
      <c r="H6" s="53">
        <f t="shared" ref="H6:K6" si="0">$E$6</f>
        <v>75.297198199322338</v>
      </c>
      <c r="I6" s="53">
        <f t="shared" si="0"/>
        <v>75.297198199322338</v>
      </c>
      <c r="J6" s="53">
        <f t="shared" si="0"/>
        <v>75.297198199322338</v>
      </c>
      <c r="K6" s="53">
        <f t="shared" si="0"/>
        <v>75.297198199322338</v>
      </c>
    </row>
    <row r="7" spans="2:11">
      <c r="C7" s="13"/>
      <c r="D7" s="13"/>
      <c r="E7" s="13"/>
      <c r="G7" s="20"/>
      <c r="H7" s="20"/>
      <c r="I7" s="20"/>
      <c r="J7" s="20"/>
      <c r="K7" s="20"/>
    </row>
    <row r="8" spans="2:11">
      <c r="B8" s="7" t="s">
        <v>32</v>
      </c>
      <c r="C8" s="13">
        <f>'BS source'!D10</f>
        <v>31167.200000000001</v>
      </c>
      <c r="D8" s="13">
        <f>'BS source'!E10</f>
        <v>36396.800000000003</v>
      </c>
      <c r="E8" s="13">
        <f>'BS source'!F10</f>
        <v>46212</v>
      </c>
      <c r="G8" s="28">
        <f>-G9*'P&amp;L assumptions'!G$21/360</f>
        <v>51102.670511975753</v>
      </c>
      <c r="H8" s="28">
        <f>-H9*'P&amp;L assumptions'!H$21/360</f>
        <v>56212.937563173342</v>
      </c>
      <c r="I8" s="28">
        <f>-I9*'P&amp;L assumptions'!I$21/360</f>
        <v>61834.231319490689</v>
      </c>
      <c r="J8" s="28">
        <f>-J9*'P&amp;L assumptions'!J$21/360</f>
        <v>68017.654451439768</v>
      </c>
      <c r="K8" s="28">
        <f>-K9*'P&amp;L assumptions'!K$21/360</f>
        <v>74819.419896583742</v>
      </c>
    </row>
    <row r="9" spans="2:11">
      <c r="B9" s="16" t="s">
        <v>98</v>
      </c>
      <c r="C9" s="16">
        <f>-C8/'P&amp;L assumptions'!C$21*360</f>
        <v>78.796599890979181</v>
      </c>
      <c r="D9" s="16">
        <f>-D8/'P&amp;L assumptions'!D$21*360</f>
        <v>87.020385727810066</v>
      </c>
      <c r="E9" s="16">
        <f>-E8/'P&amp;L assumptions'!E$21*360</f>
        <v>105.61192646702818</v>
      </c>
      <c r="G9" s="53">
        <f>$E$9</f>
        <v>105.61192646702818</v>
      </c>
      <c r="H9" s="53">
        <f t="shared" ref="H9:K9" si="1">$E$9</f>
        <v>105.61192646702818</v>
      </c>
      <c r="I9" s="53">
        <f t="shared" si="1"/>
        <v>105.61192646702818</v>
      </c>
      <c r="J9" s="53">
        <f t="shared" si="1"/>
        <v>105.61192646702818</v>
      </c>
      <c r="K9" s="53">
        <f t="shared" si="1"/>
        <v>105.61192646702818</v>
      </c>
    </row>
    <row r="10" spans="2:11">
      <c r="C10" s="13"/>
      <c r="D10" s="13"/>
      <c r="E10" s="13"/>
      <c r="G10" s="20"/>
      <c r="H10" s="20"/>
      <c r="I10" s="20"/>
      <c r="J10" s="20"/>
      <c r="K10" s="20"/>
    </row>
    <row r="11" spans="2:11">
      <c r="B11" s="7" t="s">
        <v>44</v>
      </c>
      <c r="C11" s="13">
        <f>'BS source'!J10</f>
        <v>15891.2</v>
      </c>
      <c r="D11" s="13">
        <f>'BS source'!K10</f>
        <v>26351.599999999999</v>
      </c>
      <c r="E11" s="13">
        <f>'BS source'!L10</f>
        <v>36189.599999999999</v>
      </c>
      <c r="G11" s="28">
        <f>-G12*'P&amp;L assumptions'!G$21/360</f>
        <v>40019.588088812387</v>
      </c>
      <c r="H11" s="28">
        <f>-H12*'P&amp;L assumptions'!H$21/360</f>
        <v>44021.546897693624</v>
      </c>
      <c r="I11" s="28">
        <f>-I12*'P&amp;L assumptions'!I$21/360</f>
        <v>48423.701587462994</v>
      </c>
      <c r="J11" s="28">
        <f>-J12*'P&amp;L assumptions'!J$21/360</f>
        <v>53266.071746209302</v>
      </c>
      <c r="K11" s="28">
        <f>-K12*'P&amp;L assumptions'!K$21/360</f>
        <v>58592.678920830236</v>
      </c>
    </row>
    <row r="12" spans="2:11">
      <c r="B12" s="16" t="s">
        <v>99</v>
      </c>
      <c r="C12" s="16">
        <f>-C11/'P&amp;L assumptions'!C$21*360</f>
        <v>40.175971155173656</v>
      </c>
      <c r="D12" s="16">
        <f>-D11/'P&amp;L assumptions'!D$21*360</f>
        <v>63.003516697758023</v>
      </c>
      <c r="E12" s="16">
        <f>-E11/'P&amp;L assumptions'!E$21*360</f>
        <v>82.706945686643365</v>
      </c>
      <c r="G12" s="53">
        <f>$E$12</f>
        <v>82.706945686643365</v>
      </c>
      <c r="H12" s="53">
        <f t="shared" ref="H12:K12" si="2">$E$12</f>
        <v>82.706945686643365</v>
      </c>
      <c r="I12" s="53">
        <f t="shared" si="2"/>
        <v>82.706945686643365</v>
      </c>
      <c r="J12" s="53">
        <f t="shared" si="2"/>
        <v>82.706945686643365</v>
      </c>
      <c r="K12" s="53">
        <f t="shared" si="2"/>
        <v>82.706945686643365</v>
      </c>
    </row>
    <row r="13" spans="2:11">
      <c r="C13" s="13"/>
      <c r="D13" s="13"/>
      <c r="E13" s="13"/>
      <c r="G13" s="20"/>
      <c r="H13" s="20"/>
      <c r="I13" s="20"/>
      <c r="J13" s="20"/>
      <c r="K13" s="20"/>
    </row>
    <row r="14" spans="2:11">
      <c r="B14" s="7" t="s">
        <v>43</v>
      </c>
      <c r="C14" s="13">
        <f>'BS source'!D5</f>
        <v>45106.400000000001</v>
      </c>
      <c r="D14" s="13">
        <f>'BS source'!E5</f>
        <v>49072.4</v>
      </c>
      <c r="E14" s="13">
        <f>'BS source'!F5</f>
        <v>56109.2</v>
      </c>
      <c r="G14" s="28">
        <f>G15*'P&amp;L assumptions'!G$9</f>
        <v>59898.018769381182</v>
      </c>
      <c r="H14" s="28">
        <f>H15*'P&amp;L assumptions'!H$9</f>
        <v>65887.820646319306</v>
      </c>
      <c r="I14" s="28">
        <f>I15*'P&amp;L assumptions'!I$9</f>
        <v>72476.602710951251</v>
      </c>
      <c r="J14" s="28">
        <f>J15*'P&amp;L assumptions'!J$9</f>
        <v>79724.262982046392</v>
      </c>
      <c r="K14" s="28">
        <f>K15*'P&amp;L assumptions'!K$9</f>
        <v>87696.689280251027</v>
      </c>
    </row>
    <row r="15" spans="2:11">
      <c r="B15" s="16" t="s">
        <v>96</v>
      </c>
      <c r="C15" s="52">
        <f>C14/'P&amp;L assumptions'!C$9</f>
        <v>0.25454648059005774</v>
      </c>
      <c r="D15" s="52">
        <f>D14/'P&amp;L assumptions'!D$9</f>
        <v>0.26016817058817293</v>
      </c>
      <c r="E15" s="52">
        <f>E14/'P&amp;L assumptions'!E$9</f>
        <v>0.26928193659234229</v>
      </c>
      <c r="G15" s="66">
        <f>AVERAGE($C15:$E15)</f>
        <v>0.26133219592352436</v>
      </c>
      <c r="H15" s="66">
        <f t="shared" ref="H15:K15" si="3">AVERAGE($C15:$E15)</f>
        <v>0.26133219592352436</v>
      </c>
      <c r="I15" s="66">
        <f t="shared" si="3"/>
        <v>0.26133219592352436</v>
      </c>
      <c r="J15" s="66">
        <f t="shared" si="3"/>
        <v>0.26133219592352436</v>
      </c>
      <c r="K15" s="66">
        <f t="shared" si="3"/>
        <v>0.26133219592352436</v>
      </c>
    </row>
    <row r="16" spans="2:11">
      <c r="C16" s="13"/>
      <c r="D16" s="13"/>
      <c r="E16" s="13"/>
      <c r="G16" s="67"/>
      <c r="H16" s="67"/>
      <c r="I16" s="67"/>
      <c r="J16" s="67"/>
      <c r="K16" s="67"/>
    </row>
    <row r="17" spans="2:11">
      <c r="B17" s="7" t="s">
        <v>31</v>
      </c>
      <c r="C17" s="13">
        <f>'BS source'!D12</f>
        <v>8841.6</v>
      </c>
      <c r="D17" s="13">
        <f>'BS source'!E12</f>
        <v>11359.199999999999</v>
      </c>
      <c r="E17" s="13">
        <f>'BS source'!F12</f>
        <v>17602.8</v>
      </c>
      <c r="G17" s="28">
        <f>G18*'P&amp;L assumptions'!G$9</f>
        <v>14867.518484339287</v>
      </c>
      <c r="H17" s="28">
        <f>H18*'P&amp;L assumptions'!H$9</f>
        <v>16354.270332773216</v>
      </c>
      <c r="I17" s="28">
        <f>I18*'P&amp;L assumptions'!I$9</f>
        <v>17989.697366050539</v>
      </c>
      <c r="J17" s="28">
        <f>J18*'P&amp;L assumptions'!J$9</f>
        <v>19788.6671026556</v>
      </c>
      <c r="K17" s="28">
        <f>K18*'P&amp;L assumptions'!K$9</f>
        <v>21767.53381292116</v>
      </c>
    </row>
    <row r="18" spans="2:11">
      <c r="B18" s="16" t="s">
        <v>96</v>
      </c>
      <c r="C18" s="52">
        <f>C17/'P&amp;L assumptions'!C$9</f>
        <v>4.9895317799360059E-2</v>
      </c>
      <c r="D18" s="52">
        <f>D17/'P&amp;L assumptions'!D$9</f>
        <v>6.0223308485934532E-2</v>
      </c>
      <c r="E18" s="52">
        <f>E17/'P&amp;L assumptions'!E$9</f>
        <v>8.4480193505658316E-2</v>
      </c>
      <c r="G18" s="66">
        <f>AVERAGE($C18:$E18)</f>
        <v>6.4866273263650964E-2</v>
      </c>
      <c r="H18" s="66">
        <f t="shared" ref="H18:K18" si="4">AVERAGE($C18:$E18)</f>
        <v>6.4866273263650964E-2</v>
      </c>
      <c r="I18" s="66">
        <f t="shared" si="4"/>
        <v>6.4866273263650964E-2</v>
      </c>
      <c r="J18" s="66">
        <f t="shared" si="4"/>
        <v>6.4866273263650964E-2</v>
      </c>
      <c r="K18" s="66">
        <f t="shared" si="4"/>
        <v>6.4866273263650964E-2</v>
      </c>
    </row>
    <row r="19" spans="2:11">
      <c r="C19" s="13"/>
      <c r="D19" s="13"/>
      <c r="E19" s="13"/>
      <c r="G19" s="67"/>
      <c r="H19" s="67"/>
      <c r="I19" s="67"/>
      <c r="J19" s="67"/>
      <c r="K19" s="67"/>
    </row>
    <row r="20" spans="2:11">
      <c r="B20" s="7" t="s">
        <v>45</v>
      </c>
      <c r="C20" s="13">
        <f>'BS source'!J11+'BS source'!J12+'BS source'!J13</f>
        <v>5969.0386666666891</v>
      </c>
      <c r="D20" s="13">
        <f>'BS source'!K11+'BS source'!K12+'BS source'!K13</f>
        <v>5800.3560000000052</v>
      </c>
      <c r="E20" s="13">
        <f>'BS source'!L11+'BS source'!L12+'BS source'!L13</f>
        <v>8473.4464253970418</v>
      </c>
      <c r="G20" s="28">
        <f>G21*'P&amp;L assumptions'!G$9</f>
        <v>8029.9438439337491</v>
      </c>
      <c r="H20" s="28">
        <f>H21*'P&amp;L assumptions'!H$9</f>
        <v>8832.9382283271243</v>
      </c>
      <c r="I20" s="28">
        <f>I21*'P&amp;L assumptions'!I$9</f>
        <v>9716.2320511598391</v>
      </c>
      <c r="J20" s="28">
        <f>J21*'P&amp;L assumptions'!J$9</f>
        <v>10687.855256275825</v>
      </c>
      <c r="K20" s="28">
        <f>K21*'P&amp;L assumptions'!K$9</f>
        <v>11756.640781903407</v>
      </c>
    </row>
    <row r="21" spans="2:11">
      <c r="B21" s="16" t="s">
        <v>96</v>
      </c>
      <c r="C21" s="52">
        <f>C20/'P&amp;L assumptions'!C$9</f>
        <v>3.368474950574589E-2</v>
      </c>
      <c r="D21" s="52">
        <f>D20/'P&amp;L assumptions'!D$9</f>
        <v>3.0751868856630889E-2</v>
      </c>
      <c r="E21" s="52">
        <f>E20/'P&amp;L assumptions'!E$9</f>
        <v>4.0666166387016318E-2</v>
      </c>
      <c r="G21" s="66">
        <f>AVERAGE($C21:$E21)</f>
        <v>3.5034261583131034E-2</v>
      </c>
      <c r="H21" s="66">
        <f t="shared" ref="H21:K21" si="5">AVERAGE($C21:$E21)</f>
        <v>3.5034261583131034E-2</v>
      </c>
      <c r="I21" s="66">
        <f t="shared" si="5"/>
        <v>3.5034261583131034E-2</v>
      </c>
      <c r="J21" s="66">
        <f t="shared" si="5"/>
        <v>3.5034261583131034E-2</v>
      </c>
      <c r="K21" s="66">
        <f t="shared" si="5"/>
        <v>3.5034261583131034E-2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B11"/>
  <sheetViews>
    <sheetView workbookViewId="0">
      <selection activeCell="E11" sqref="E11"/>
    </sheetView>
  </sheetViews>
  <sheetFormatPr defaultRowHeight="12"/>
  <cols>
    <col min="1" max="1" width="2" style="1" customWidth="1"/>
    <col min="2" max="16384" width="9.140625" style="1"/>
  </cols>
  <sheetData>
    <row r="1" spans="2:2" ht="15.75">
      <c r="B1" s="2"/>
    </row>
    <row r="11" spans="2:2" ht="41.25">
      <c r="B11" s="3" t="s"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6"/>
  <sheetViews>
    <sheetView workbookViewId="0">
      <selection activeCell="G4" sqref="G4"/>
    </sheetView>
  </sheetViews>
  <sheetFormatPr defaultRowHeight="12"/>
  <cols>
    <col min="1" max="1" width="2" style="7" customWidth="1"/>
    <col min="2" max="2" width="18.28515625" style="7" bestFit="1" customWidth="1"/>
    <col min="3" max="3" width="10.5703125" style="7" bestFit="1" customWidth="1"/>
    <col min="4" max="5" width="9.140625" style="7"/>
    <col min="6" max="6" width="2" style="7" customWidth="1"/>
    <col min="7" max="7" width="10.5703125" style="7" bestFit="1" customWidth="1"/>
    <col min="8" max="11" width="9.140625" style="7"/>
    <col min="12" max="12" width="2" style="7" customWidth="1"/>
    <col min="13" max="16384" width="9.140625" style="7"/>
  </cols>
  <sheetData>
    <row r="1" spans="2:17" ht="15.75">
      <c r="B1" s="6" t="s">
        <v>6</v>
      </c>
    </row>
    <row r="3" spans="2:17" ht="24.75" thickBot="1">
      <c r="B3" s="17" t="s">
        <v>53</v>
      </c>
      <c r="C3" s="18" t="s">
        <v>54</v>
      </c>
      <c r="D3" s="18" t="s">
        <v>55</v>
      </c>
      <c r="E3" s="18" t="s">
        <v>56</v>
      </c>
      <c r="F3" s="22"/>
      <c r="G3" s="19" t="s">
        <v>57</v>
      </c>
      <c r="H3" s="19" t="s">
        <v>58</v>
      </c>
      <c r="I3" s="19" t="s">
        <v>59</v>
      </c>
      <c r="J3" s="19" t="s">
        <v>60</v>
      </c>
      <c r="K3" s="19" t="s">
        <v>61</v>
      </c>
      <c r="M3" s="23" t="s">
        <v>66</v>
      </c>
    </row>
    <row r="4" spans="2:17">
      <c r="B4" s="7" t="s">
        <v>85</v>
      </c>
      <c r="C4" s="13">
        <f>+SUMIF('P&amp;L assumptions'!$B:$B,'P&amp;L'!$B4,'P&amp;L assumptions'!C:C)</f>
        <v>177203</v>
      </c>
      <c r="D4" s="13">
        <f>+SUMIF('P&amp;L assumptions'!$B:$B,'P&amp;L'!$B4,'P&amp;L assumptions'!D:D)</f>
        <v>188618</v>
      </c>
      <c r="E4" s="13">
        <f>+SUMIF('P&amp;L assumptions'!$B:$B,'P&amp;L'!$B4,'P&amp;L assumptions'!E:E)</f>
        <v>208366</v>
      </c>
      <c r="G4" s="28">
        <f>+SUMIF('P&amp;L assumptions'!$B:$B,'P&amp;L'!$B4,'P&amp;L assumptions'!G:G)</f>
        <v>229202.6</v>
      </c>
      <c r="H4" s="28">
        <f>+SUMIF('P&amp;L assumptions'!$B:$B,'P&amp;L'!$B4,'P&amp;L assumptions'!H:H)</f>
        <v>252122.86000000002</v>
      </c>
      <c r="I4" s="28">
        <f>+SUMIF('P&amp;L assumptions'!$B:$B,'P&amp;L'!$B4,'P&amp;L assumptions'!I:I)</f>
        <v>277335.14600000007</v>
      </c>
      <c r="J4" s="28">
        <f>+SUMIF('P&amp;L assumptions'!$B:$B,'P&amp;L'!$B4,'P&amp;L assumptions'!J:J)</f>
        <v>305068.66060000012</v>
      </c>
      <c r="K4" s="28">
        <f>+SUMIF('P&amp;L assumptions'!$B:$B,'P&amp;L'!$B4,'P&amp;L assumptions'!K:K)</f>
        <v>335575.52666000015</v>
      </c>
    </row>
    <row r="5" spans="2:17">
      <c r="B5" s="21" t="s">
        <v>90</v>
      </c>
      <c r="C5" s="38">
        <f>+SUMIF('P&amp;L assumptions'!$B:$B,'P&amp;L'!$B5,'P&amp;L assumptions'!C:C)</f>
        <v>3520</v>
      </c>
      <c r="D5" s="38">
        <f>+SUMIF('P&amp;L assumptions'!$B:$B,'P&amp;L'!$B5,'P&amp;L assumptions'!D:D)</f>
        <v>2416</v>
      </c>
      <c r="E5" s="38">
        <f>+SUMIF('P&amp;L assumptions'!$B:$B,'P&amp;L'!$B5,'P&amp;L assumptions'!E:E)</f>
        <v>2585</v>
      </c>
      <c r="F5" s="21"/>
      <c r="G5" s="28">
        <f>+SUMIF('P&amp;L assumptions'!$B:$B,'P&amp;L'!$B5,'P&amp;L assumptions'!G:G)</f>
        <v>2585</v>
      </c>
      <c r="H5" s="28">
        <f>+SUMIF('P&amp;L assumptions'!$B:$B,'P&amp;L'!$B5,'P&amp;L assumptions'!H:H)</f>
        <v>2585</v>
      </c>
      <c r="I5" s="28">
        <f>+SUMIF('P&amp;L assumptions'!$B:$B,'P&amp;L'!$B5,'P&amp;L assumptions'!I:I)</f>
        <v>2585</v>
      </c>
      <c r="J5" s="28">
        <f>+SUMIF('P&amp;L assumptions'!$B:$B,'P&amp;L'!$B5,'P&amp;L assumptions'!J:J)</f>
        <v>2585</v>
      </c>
      <c r="K5" s="28">
        <f>+SUMIF('P&amp;L assumptions'!$B:$B,'P&amp;L'!$B5,'P&amp;L assumptions'!K:K)</f>
        <v>2585</v>
      </c>
      <c r="L5" s="21"/>
      <c r="N5" s="21"/>
      <c r="O5" s="21"/>
      <c r="P5" s="21"/>
      <c r="Q5" s="21"/>
    </row>
    <row r="6" spans="2:17">
      <c r="B6" s="70" t="s">
        <v>100</v>
      </c>
      <c r="C6" s="71">
        <f>+C4+C5</f>
        <v>180723</v>
      </c>
      <c r="D6" s="71">
        <f>+D4+D5</f>
        <v>191034</v>
      </c>
      <c r="E6" s="71">
        <f>+E4+E5</f>
        <v>210951</v>
      </c>
      <c r="F6" s="72"/>
      <c r="G6" s="73">
        <f t="shared" ref="G6:K6" si="0">+G4+G5</f>
        <v>231787.6</v>
      </c>
      <c r="H6" s="73">
        <f t="shared" si="0"/>
        <v>254707.86000000002</v>
      </c>
      <c r="I6" s="73">
        <f t="shared" si="0"/>
        <v>279920.14600000007</v>
      </c>
      <c r="J6" s="73">
        <f t="shared" si="0"/>
        <v>307653.66060000012</v>
      </c>
      <c r="K6" s="73">
        <f t="shared" si="0"/>
        <v>338160.52666000015</v>
      </c>
      <c r="L6" s="21"/>
      <c r="M6" s="21"/>
      <c r="N6" s="21"/>
      <c r="O6" s="21"/>
      <c r="P6" s="21"/>
      <c r="Q6" s="21"/>
    </row>
    <row r="7" spans="2:17" ht="3.75" customHeight="1">
      <c r="B7" s="24"/>
      <c r="C7" s="40"/>
      <c r="D7" s="40"/>
      <c r="E7" s="40"/>
      <c r="F7" s="41"/>
      <c r="G7" s="28"/>
      <c r="H7" s="28"/>
      <c r="I7" s="28"/>
      <c r="J7" s="28"/>
      <c r="K7" s="28"/>
      <c r="L7" s="21"/>
      <c r="M7" s="21"/>
      <c r="N7" s="21"/>
      <c r="O7" s="21"/>
      <c r="P7" s="21"/>
      <c r="Q7" s="21"/>
    </row>
    <row r="8" spans="2:17">
      <c r="B8" s="21" t="s">
        <v>91</v>
      </c>
      <c r="C8" s="38">
        <f>+SUMIF('P&amp;L assumptions'!$B:$B,'P&amp;L'!$B8,'P&amp;L assumptions'!C:C)</f>
        <v>-142394.36746666671</v>
      </c>
      <c r="D8" s="38">
        <f>+SUMIF('P&amp;L assumptions'!$B:$B,'P&amp;L'!$B8,'P&amp;L assumptions'!D:D)</f>
        <v>-150572.16639999999</v>
      </c>
      <c r="E8" s="38">
        <f>+SUMIF('P&amp;L assumptions'!$B:$B,'P&amp;L'!$B8,'P&amp;L assumptions'!E:E)</f>
        <v>-157523.118425397</v>
      </c>
      <c r="F8" s="21"/>
      <c r="G8" s="28">
        <f>+SUMIF('P&amp;L assumptions'!$B:$B,'P&amp;L'!$B8,'P&amp;L assumptions'!G:G)</f>
        <v>-174193.976</v>
      </c>
      <c r="H8" s="28">
        <f>+SUMIF('P&amp;L assumptions'!$B:$B,'P&amp;L'!$B8,'P&amp;L assumptions'!H:H)</f>
        <v>-191613.37360000002</v>
      </c>
      <c r="I8" s="28">
        <f>+SUMIF('P&amp;L assumptions'!$B:$B,'P&amp;L'!$B8,'P&amp;L assumptions'!I:I)</f>
        <v>-210774.71096000005</v>
      </c>
      <c r="J8" s="28">
        <f>+SUMIF('P&amp;L assumptions'!$B:$B,'P&amp;L'!$B8,'P&amp;L assumptions'!J:J)</f>
        <v>-231852.18205600011</v>
      </c>
      <c r="K8" s="28">
        <f>+SUMIF('P&amp;L assumptions'!$B:$B,'P&amp;L'!$B8,'P&amp;L assumptions'!K:K)</f>
        <v>-255037.40026160012</v>
      </c>
      <c r="L8" s="21"/>
      <c r="N8" s="21"/>
      <c r="O8" s="21"/>
      <c r="P8" s="21"/>
      <c r="Q8" s="21"/>
    </row>
    <row r="9" spans="2:17">
      <c r="B9" s="70" t="s">
        <v>101</v>
      </c>
      <c r="C9" s="71">
        <f>+C6+C8</f>
        <v>38328.632533333293</v>
      </c>
      <c r="D9" s="71">
        <f>+D6+D8</f>
        <v>40461.833600000013</v>
      </c>
      <c r="E9" s="71">
        <f>+E6+E8</f>
        <v>53427.881574603001</v>
      </c>
      <c r="F9" s="72"/>
      <c r="G9" s="73">
        <f t="shared" ref="G9:K9" si="1">+G6+G8</f>
        <v>57593.624000000011</v>
      </c>
      <c r="H9" s="73">
        <f t="shared" si="1"/>
        <v>63094.486399999994</v>
      </c>
      <c r="I9" s="73">
        <f t="shared" si="1"/>
        <v>69145.435040000011</v>
      </c>
      <c r="J9" s="73">
        <f t="shared" si="1"/>
        <v>75801.478544000012</v>
      </c>
      <c r="K9" s="73">
        <f t="shared" si="1"/>
        <v>83123.126398400025</v>
      </c>
      <c r="L9" s="21"/>
      <c r="M9" s="21"/>
      <c r="N9" s="21"/>
      <c r="O9" s="21"/>
      <c r="P9" s="21"/>
      <c r="Q9" s="21"/>
    </row>
    <row r="10" spans="2:17" ht="3.75" customHeight="1">
      <c r="B10" s="21"/>
      <c r="C10" s="21"/>
      <c r="D10" s="21"/>
      <c r="E10" s="21"/>
      <c r="F10" s="21"/>
      <c r="G10" s="28"/>
      <c r="H10" s="28"/>
      <c r="I10" s="28"/>
      <c r="J10" s="28"/>
      <c r="K10" s="28"/>
      <c r="L10" s="21"/>
      <c r="M10" s="21"/>
      <c r="N10" s="21"/>
      <c r="O10" s="21"/>
      <c r="P10" s="21"/>
      <c r="Q10" s="21"/>
    </row>
    <row r="11" spans="2:17">
      <c r="B11" s="21" t="s">
        <v>93</v>
      </c>
      <c r="C11" s="38">
        <f>+SUMIF('P&amp;L assumptions'!$B:$B,'P&amp;L'!$B11,'P&amp;L assumptions'!C:C)</f>
        <v>-18011.315200000005</v>
      </c>
      <c r="D11" s="38">
        <f>+SUMIF('P&amp;L assumptions'!$B:$B,'P&amp;L'!$B11,'P&amp;L assumptions'!D:D)</f>
        <v>-19247.897599999997</v>
      </c>
      <c r="E11" s="38">
        <f>+SUMIF('P&amp;L assumptions'!$B:$B,'P&amp;L'!$B11,'P&amp;L assumptions'!E:E)</f>
        <v>-23867.008000000009</v>
      </c>
      <c r="F11" s="38"/>
      <c r="G11" s="28">
        <f>+SUMIF('P&amp;L assumptions'!$B:$B,'P&amp;L'!$B11,'P&amp;L assumptions'!G:G)</f>
        <v>-22920.260000000002</v>
      </c>
      <c r="H11" s="28">
        <f>+SUMIF('P&amp;L assumptions'!$B:$B,'P&amp;L'!$B11,'P&amp;L assumptions'!H:H)</f>
        <v>-25212.286000000004</v>
      </c>
      <c r="I11" s="28">
        <f>+SUMIF('P&amp;L assumptions'!$B:$B,'P&amp;L'!$B11,'P&amp;L assumptions'!I:I)</f>
        <v>-27733.51460000001</v>
      </c>
      <c r="J11" s="28">
        <f>+SUMIF('P&amp;L assumptions'!$B:$B,'P&amp;L'!$B11,'P&amp;L assumptions'!J:J)</f>
        <v>-30506.866060000015</v>
      </c>
      <c r="K11" s="28">
        <f>+SUMIF('P&amp;L assumptions'!$B:$B,'P&amp;L'!$B11,'P&amp;L assumptions'!K:K)</f>
        <v>-33557.552666000018</v>
      </c>
      <c r="L11" s="21"/>
      <c r="N11" s="21"/>
      <c r="O11" s="21"/>
      <c r="P11" s="21"/>
      <c r="Q11" s="21"/>
    </row>
    <row r="12" spans="2:17">
      <c r="B12" s="70" t="s">
        <v>14</v>
      </c>
      <c r="C12" s="71">
        <f>+C9+C11</f>
        <v>20317.317333333289</v>
      </c>
      <c r="D12" s="71">
        <f>+D9+D11</f>
        <v>21213.936000000016</v>
      </c>
      <c r="E12" s="71">
        <f>+E9+E11</f>
        <v>29560.873574602992</v>
      </c>
      <c r="F12" s="72"/>
      <c r="G12" s="73">
        <f t="shared" ref="G12:K12" si="2">+G9+G11</f>
        <v>34673.364000000009</v>
      </c>
      <c r="H12" s="73">
        <f t="shared" si="2"/>
        <v>37882.200399999987</v>
      </c>
      <c r="I12" s="73">
        <f t="shared" si="2"/>
        <v>41411.920440000002</v>
      </c>
      <c r="J12" s="73">
        <f t="shared" si="2"/>
        <v>45294.612483999997</v>
      </c>
      <c r="K12" s="73">
        <f t="shared" si="2"/>
        <v>49565.573732400007</v>
      </c>
      <c r="L12" s="21"/>
      <c r="M12" s="21"/>
      <c r="N12" s="21"/>
      <c r="O12" s="21"/>
      <c r="P12" s="21"/>
      <c r="Q12" s="21"/>
    </row>
    <row r="13" spans="2:17" ht="3.75" customHeight="1">
      <c r="B13" s="21"/>
      <c r="C13" s="38"/>
      <c r="D13" s="38"/>
      <c r="E13" s="38"/>
      <c r="F13" s="38"/>
      <c r="G13" s="28"/>
      <c r="H13" s="28"/>
      <c r="I13" s="28"/>
      <c r="J13" s="28"/>
      <c r="K13" s="28"/>
      <c r="L13" s="21"/>
      <c r="M13" s="21"/>
      <c r="N13" s="21"/>
      <c r="O13" s="21"/>
      <c r="P13" s="21"/>
      <c r="Q13" s="21"/>
    </row>
    <row r="14" spans="2:17">
      <c r="B14" s="21" t="s">
        <v>15</v>
      </c>
      <c r="C14" s="38">
        <f>+SUMIF('P&amp;L assumptions'!$B:$B,'P&amp;L'!$B14,'P&amp;L assumptions'!C:C)</f>
        <v>-2907.8000000000006</v>
      </c>
      <c r="D14" s="38">
        <f>+SUMIF('P&amp;L assumptions'!$B:$B,'P&amp;L'!$B14,'P&amp;L assumptions'!D:D)</f>
        <v>-4649.8</v>
      </c>
      <c r="E14" s="38">
        <f>+SUMIF('P&amp;L assumptions'!$B:$B,'P&amp;L'!$B14,'P&amp;L assumptions'!E:E)</f>
        <v>-6430.6600000000008</v>
      </c>
      <c r="F14" s="38"/>
      <c r="G14" s="28">
        <f>+SUMIF('P&amp;L assumptions'!$B:$B,'P&amp;L'!$B14,'P&amp;L assumptions'!G:G)</f>
        <v>-4584.0520000000006</v>
      </c>
      <c r="H14" s="28">
        <f>+SUMIF('P&amp;L assumptions'!$B:$B,'P&amp;L'!$B14,'P&amp;L assumptions'!H:H)</f>
        <v>-5042.4572000000007</v>
      </c>
      <c r="I14" s="28">
        <f>+SUMIF('P&amp;L assumptions'!$B:$B,'P&amp;L'!$B14,'P&amp;L assumptions'!I:I)</f>
        <v>-5546.7029200000015</v>
      </c>
      <c r="J14" s="28">
        <f>+SUMIF('P&amp;L assumptions'!$B:$B,'P&amp;L'!$B14,'P&amp;L assumptions'!J:J)</f>
        <v>-6101.3732120000022</v>
      </c>
      <c r="K14" s="28">
        <f>+SUMIF('P&amp;L assumptions'!$B:$B,'P&amp;L'!$B14,'P&amp;L assumptions'!K:K)</f>
        <v>-6711.510533200003</v>
      </c>
      <c r="L14" s="21"/>
      <c r="N14" s="21"/>
      <c r="O14" s="21"/>
      <c r="P14" s="21"/>
      <c r="Q14" s="21"/>
    </row>
    <row r="15" spans="2:17">
      <c r="B15" s="70" t="s">
        <v>16</v>
      </c>
      <c r="C15" s="71">
        <f>+C12+C14</f>
        <v>17409.51733333329</v>
      </c>
      <c r="D15" s="71">
        <f>+D12+D14</f>
        <v>16564.136000000017</v>
      </c>
      <c r="E15" s="71">
        <f>+E12+E14</f>
        <v>23130.213574602993</v>
      </c>
      <c r="F15" s="72"/>
      <c r="G15" s="73">
        <f t="shared" ref="G15:K15" si="3">+G12+G14</f>
        <v>30089.312000000009</v>
      </c>
      <c r="H15" s="73">
        <f t="shared" si="3"/>
        <v>32839.743199999983</v>
      </c>
      <c r="I15" s="73">
        <f t="shared" si="3"/>
        <v>35865.217519999998</v>
      </c>
      <c r="J15" s="73">
        <f t="shared" si="3"/>
        <v>39193.239271999992</v>
      </c>
      <c r="K15" s="73">
        <f t="shared" si="3"/>
        <v>42854.063199200005</v>
      </c>
      <c r="L15" s="21"/>
      <c r="M15" s="21"/>
      <c r="N15" s="21"/>
      <c r="O15" s="21"/>
      <c r="P15" s="21"/>
      <c r="Q15" s="21"/>
    </row>
    <row r="16" spans="2:17" ht="3.75" customHeight="1">
      <c r="B16" s="24"/>
      <c r="C16" s="30"/>
      <c r="D16" s="30"/>
      <c r="E16" s="30"/>
      <c r="F16" s="30"/>
      <c r="G16" s="28"/>
      <c r="H16" s="28"/>
      <c r="I16" s="28"/>
      <c r="J16" s="28"/>
      <c r="K16" s="28"/>
      <c r="L16" s="21"/>
      <c r="M16" s="21"/>
      <c r="N16" s="21"/>
      <c r="O16" s="21"/>
      <c r="P16" s="21"/>
      <c r="Q16" s="21"/>
    </row>
    <row r="17" spans="2:17" ht="12" customHeight="1">
      <c r="B17" s="21" t="s">
        <v>102</v>
      </c>
      <c r="C17" s="38">
        <f>+SUMIF('P&amp;L assumptions'!$B:$B,'P&amp;L'!$B17,'P&amp;L assumptions'!C:C)</f>
        <v>-1266.3000000000002</v>
      </c>
      <c r="D17" s="38">
        <f>+SUMIF('P&amp;L assumptions'!$B:$B,'P&amp;L'!$B17,'P&amp;L assumptions'!D:D)</f>
        <v>-2190.9</v>
      </c>
      <c r="E17" s="38">
        <f>+SUMIF('P&amp;L assumptions'!$B:$B,'P&amp;L'!$B17,'P&amp;L assumptions'!E:E)</f>
        <v>-2663.92</v>
      </c>
      <c r="F17" s="38"/>
      <c r="G17" s="28">
        <f>+SUMIF('P&amp;L assumptions'!$B:$B,'P&amp;L'!$B17,'P&amp;L assumptions'!G:G)</f>
        <v>-2663.92</v>
      </c>
      <c r="H17" s="28">
        <f>+SUMIF('P&amp;L assumptions'!$B:$B,'P&amp;L'!$B17,'P&amp;L assumptions'!H:H)</f>
        <v>-2663.92</v>
      </c>
      <c r="I17" s="28">
        <f>+SUMIF('P&amp;L assumptions'!$B:$B,'P&amp;L'!$B17,'P&amp;L assumptions'!I:I)</f>
        <v>-2663.92</v>
      </c>
      <c r="J17" s="28">
        <f>+SUMIF('P&amp;L assumptions'!$B:$B,'P&amp;L'!$B17,'P&amp;L assumptions'!J:J)</f>
        <v>-2663.92</v>
      </c>
      <c r="K17" s="28">
        <f>+SUMIF('P&amp;L assumptions'!$B:$B,'P&amp;L'!$B17,'P&amp;L assumptions'!K:K)</f>
        <v>-2663.92</v>
      </c>
      <c r="L17" s="21"/>
      <c r="N17" s="21"/>
      <c r="O17" s="21"/>
      <c r="P17" s="21"/>
      <c r="Q17" s="21"/>
    </row>
    <row r="18" spans="2:17" ht="12" customHeight="1">
      <c r="B18" s="21" t="s">
        <v>103</v>
      </c>
      <c r="C18" s="38">
        <f>+SUMIF('P&amp;L assumptions'!$B:$B,'P&amp;L'!$B18,'P&amp;L assumptions'!C:C)</f>
        <v>-317.58000000000004</v>
      </c>
      <c r="D18" s="38">
        <f>+SUMIF('P&amp;L assumptions'!$B:$B,'P&amp;L'!$B18,'P&amp;L assumptions'!D:D)</f>
        <v>-864.30000000000007</v>
      </c>
      <c r="E18" s="38">
        <f>+SUMIF('P&amp;L assumptions'!$B:$B,'P&amp;L'!$B18,'P&amp;L assumptions'!E:E)</f>
        <v>-320.26</v>
      </c>
      <c r="F18" s="38"/>
      <c r="G18" s="28">
        <f>+SUMIF('P&amp;L assumptions'!$B:$B,'P&amp;L'!$B18,'P&amp;L assumptions'!G:G)</f>
        <v>0</v>
      </c>
      <c r="H18" s="28">
        <f>+SUMIF('P&amp;L assumptions'!$B:$B,'P&amp;L'!$B18,'P&amp;L assumptions'!H:H)</f>
        <v>0</v>
      </c>
      <c r="I18" s="28">
        <f>+SUMIF('P&amp;L assumptions'!$B:$B,'P&amp;L'!$B18,'P&amp;L assumptions'!I:I)</f>
        <v>0</v>
      </c>
      <c r="J18" s="28">
        <f>+SUMIF('P&amp;L assumptions'!$B:$B,'P&amp;L'!$B18,'P&amp;L assumptions'!J:J)</f>
        <v>0</v>
      </c>
      <c r="K18" s="28">
        <f>+SUMIF('P&amp;L assumptions'!$B:$B,'P&amp;L'!$B18,'P&amp;L assumptions'!K:K)</f>
        <v>0</v>
      </c>
      <c r="L18" s="21"/>
      <c r="N18" s="21"/>
      <c r="O18" s="21"/>
      <c r="P18" s="21"/>
      <c r="Q18" s="21"/>
    </row>
    <row r="19" spans="2:17" ht="12" customHeight="1">
      <c r="B19" s="70" t="s">
        <v>19</v>
      </c>
      <c r="C19" s="71">
        <f>+C15+C17+C18</f>
        <v>15825.63733333329</v>
      </c>
      <c r="D19" s="71">
        <f>+D15+D17+D18</f>
        <v>13508.936000000018</v>
      </c>
      <c r="E19" s="71">
        <f>+E15+E17+E18</f>
        <v>20146.033574602992</v>
      </c>
      <c r="F19" s="72"/>
      <c r="G19" s="73">
        <f t="shared" ref="G19:K19" si="4">+G15+G17+G18</f>
        <v>27425.392000000007</v>
      </c>
      <c r="H19" s="73">
        <f t="shared" si="4"/>
        <v>30175.823199999984</v>
      </c>
      <c r="I19" s="73">
        <f t="shared" si="4"/>
        <v>33201.29752</v>
      </c>
      <c r="J19" s="73">
        <f t="shared" si="4"/>
        <v>36529.319271999993</v>
      </c>
      <c r="K19" s="73">
        <f t="shared" si="4"/>
        <v>40190.143199200007</v>
      </c>
      <c r="L19" s="21"/>
      <c r="M19" s="21"/>
      <c r="N19" s="21"/>
      <c r="O19" s="21"/>
      <c r="P19" s="21"/>
      <c r="Q19" s="21"/>
    </row>
    <row r="20" spans="2:17" ht="3.75" customHeight="1">
      <c r="B20" s="21"/>
      <c r="C20" s="38"/>
      <c r="D20" s="38"/>
      <c r="E20" s="38"/>
      <c r="F20" s="38"/>
      <c r="G20" s="28"/>
      <c r="H20" s="28"/>
      <c r="I20" s="28"/>
      <c r="J20" s="28"/>
      <c r="K20" s="28"/>
      <c r="L20" s="21"/>
      <c r="M20" s="21"/>
      <c r="N20" s="21"/>
      <c r="O20" s="21"/>
      <c r="P20" s="21"/>
      <c r="Q20" s="21"/>
    </row>
    <row r="21" spans="2:17">
      <c r="B21" s="21" t="s">
        <v>23</v>
      </c>
      <c r="C21" s="54">
        <f>'P&amp;L assumptions'!C51</f>
        <v>-3805.7759999999998</v>
      </c>
      <c r="D21" s="54">
        <f>'P&amp;L assumptions'!D51</f>
        <v>-3050.192</v>
      </c>
      <c r="E21" s="54">
        <f>'P&amp;L assumptions'!E51</f>
        <v>-3814.88</v>
      </c>
      <c r="F21" s="38"/>
      <c r="G21" s="74">
        <f>G22*G19</f>
        <v>-4936.570560000001</v>
      </c>
      <c r="H21" s="36">
        <f t="shared" ref="H21:K21" si="5">H22*H19</f>
        <v>-5431.648175999997</v>
      </c>
      <c r="I21" s="36">
        <f t="shared" si="5"/>
        <v>-5976.2335536000001</v>
      </c>
      <c r="J21" s="36">
        <f t="shared" si="5"/>
        <v>-6575.2774689599983</v>
      </c>
      <c r="K21" s="36">
        <f t="shared" si="5"/>
        <v>-7234.2257758560008</v>
      </c>
      <c r="L21" s="21"/>
      <c r="N21" s="21"/>
      <c r="O21" s="21"/>
      <c r="P21" s="21"/>
      <c r="Q21" s="21"/>
    </row>
    <row r="22" spans="2:17">
      <c r="B22" s="21" t="s">
        <v>104</v>
      </c>
      <c r="C22" s="39">
        <f>C21/C19</f>
        <v>-0.24048168928931246</v>
      </c>
      <c r="D22" s="39">
        <f t="shared" ref="D22:E22" si="6">D21/D19</f>
        <v>-0.22579069143565386</v>
      </c>
      <c r="E22" s="39">
        <f t="shared" si="6"/>
        <v>-0.18936134430001206</v>
      </c>
      <c r="F22" s="38"/>
      <c r="G22" s="43">
        <f>'P&amp;L assumptions'!G52</f>
        <v>-0.18</v>
      </c>
      <c r="H22" s="43">
        <f>'P&amp;L assumptions'!H52</f>
        <v>-0.18</v>
      </c>
      <c r="I22" s="43">
        <f>'P&amp;L assumptions'!I52</f>
        <v>-0.18</v>
      </c>
      <c r="J22" s="43">
        <f>'P&amp;L assumptions'!J52</f>
        <v>-0.18</v>
      </c>
      <c r="K22" s="43">
        <f>'P&amp;L assumptions'!K52</f>
        <v>-0.18</v>
      </c>
      <c r="L22" s="21"/>
      <c r="M22" s="21"/>
      <c r="N22" s="21"/>
      <c r="O22" s="21"/>
      <c r="P22" s="21"/>
      <c r="Q22" s="21"/>
    </row>
    <row r="23" spans="2:17" ht="3.75" customHeight="1">
      <c r="B23" s="21"/>
      <c r="C23" s="38"/>
      <c r="D23" s="38"/>
      <c r="E23" s="38"/>
      <c r="F23" s="38"/>
      <c r="G23" s="42"/>
      <c r="H23" s="42"/>
      <c r="I23" s="42"/>
      <c r="J23" s="42"/>
      <c r="K23" s="42"/>
      <c r="L23" s="21"/>
      <c r="M23" s="21"/>
      <c r="N23" s="21"/>
      <c r="O23" s="21"/>
      <c r="P23" s="21"/>
      <c r="Q23" s="21"/>
    </row>
    <row r="24" spans="2:17">
      <c r="B24" s="68" t="s">
        <v>24</v>
      </c>
      <c r="C24" s="69">
        <f>+C19+C21</f>
        <v>12019.861333333291</v>
      </c>
      <c r="D24" s="69">
        <f>+D19+D21</f>
        <v>10458.744000000017</v>
      </c>
      <c r="E24" s="69">
        <f>+E19+E21</f>
        <v>16331.153574602991</v>
      </c>
      <c r="F24" s="69"/>
      <c r="G24" s="69">
        <f t="shared" ref="G24:K24" si="7">+G19+G21</f>
        <v>22488.821440000007</v>
      </c>
      <c r="H24" s="69">
        <f t="shared" si="7"/>
        <v>24744.175023999989</v>
      </c>
      <c r="I24" s="69">
        <f t="shared" si="7"/>
        <v>27225.063966400001</v>
      </c>
      <c r="J24" s="69">
        <f t="shared" si="7"/>
        <v>29954.041803039996</v>
      </c>
      <c r="K24" s="69">
        <f t="shared" si="7"/>
        <v>32955.917423344006</v>
      </c>
      <c r="L24" s="21"/>
      <c r="M24" s="21"/>
      <c r="N24" s="21"/>
      <c r="O24" s="21"/>
      <c r="P24" s="21"/>
      <c r="Q24" s="21"/>
    </row>
    <row r="25" spans="2:17">
      <c r="B25" s="21"/>
      <c r="C25" s="38"/>
      <c r="D25" s="38"/>
      <c r="E25" s="38"/>
      <c r="F25" s="38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 spans="2:17">
      <c r="B26" s="21"/>
      <c r="C26" s="38"/>
      <c r="D26" s="38"/>
      <c r="E26" s="38"/>
      <c r="F26" s="38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 spans="2:17">
      <c r="B27" s="21"/>
      <c r="C27" s="38"/>
      <c r="D27" s="38"/>
      <c r="E27" s="38"/>
      <c r="F27" s="38"/>
      <c r="G27" s="21"/>
      <c r="H27" s="21"/>
      <c r="I27" s="21"/>
      <c r="J27" s="21"/>
      <c r="K27" s="21"/>
      <c r="L27" s="21"/>
      <c r="M27" s="21"/>
      <c r="N27" s="21"/>
    </row>
    <row r="28" spans="2:17">
      <c r="B28" s="21"/>
      <c r="C28" s="38"/>
      <c r="D28" s="38"/>
      <c r="E28" s="38"/>
      <c r="F28" s="38"/>
      <c r="G28" s="21"/>
      <c r="H28" s="21"/>
      <c r="I28" s="21"/>
      <c r="J28" s="21"/>
      <c r="K28" s="21" t="s">
        <v>105</v>
      </c>
      <c r="L28" s="21"/>
      <c r="M28" s="21"/>
      <c r="N28" s="21"/>
    </row>
    <row r="29" spans="2:17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56" spans="2:2">
      <c r="B56" s="7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workbookViewId="0">
      <selection activeCell="G8" sqref="G8"/>
    </sheetView>
  </sheetViews>
  <sheetFormatPr defaultRowHeight="12"/>
  <cols>
    <col min="1" max="1" width="2" style="7" customWidth="1"/>
    <col min="2" max="2" width="22.7109375" style="7" bestFit="1" customWidth="1"/>
    <col min="3" max="3" width="9.140625" style="7"/>
    <col min="4" max="4" width="9.5703125" style="7" bestFit="1" customWidth="1"/>
    <col min="5" max="5" width="9.140625" style="7"/>
    <col min="6" max="6" width="2" style="7" customWidth="1"/>
    <col min="7" max="7" width="9.5703125" style="7" bestFit="1" customWidth="1"/>
    <col min="8" max="11" width="9.140625" style="7"/>
    <col min="12" max="12" width="2" style="7" customWidth="1"/>
    <col min="13" max="16384" width="9.140625" style="7"/>
  </cols>
  <sheetData>
    <row r="1" spans="2:13" ht="15.75">
      <c r="B1" s="6" t="s">
        <v>67</v>
      </c>
    </row>
    <row r="3" spans="2:13" ht="24.75" thickBot="1">
      <c r="B3" s="17" t="s">
        <v>53</v>
      </c>
      <c r="C3" s="18" t="s">
        <v>54</v>
      </c>
      <c r="D3" s="18" t="s">
        <v>55</v>
      </c>
      <c r="E3" s="18" t="s">
        <v>56</v>
      </c>
      <c r="F3" s="22"/>
      <c r="G3" s="19" t="s">
        <v>57</v>
      </c>
      <c r="H3" s="19" t="s">
        <v>58</v>
      </c>
      <c r="I3" s="19" t="s">
        <v>59</v>
      </c>
      <c r="J3" s="19" t="s">
        <v>60</v>
      </c>
      <c r="K3" s="19" t="s">
        <v>61</v>
      </c>
      <c r="M3" s="23" t="s">
        <v>66</v>
      </c>
    </row>
    <row r="4" spans="2:13">
      <c r="B4" s="7" t="s">
        <v>29</v>
      </c>
      <c r="C4" s="13">
        <f>'BS source'!D4</f>
        <v>5961.6</v>
      </c>
      <c r="D4" s="13">
        <f>'BS source'!E4</f>
        <v>5840</v>
      </c>
      <c r="E4" s="13">
        <f>'BS source'!F4</f>
        <v>5650</v>
      </c>
      <c r="G4" s="28">
        <f>$E$4</f>
        <v>5650</v>
      </c>
      <c r="H4" s="28">
        <f t="shared" ref="H4:K4" si="0">$E$4</f>
        <v>5650</v>
      </c>
      <c r="I4" s="28">
        <f t="shared" si="0"/>
        <v>5650</v>
      </c>
      <c r="J4" s="28">
        <f t="shared" si="0"/>
        <v>5650</v>
      </c>
      <c r="K4" s="28">
        <f t="shared" si="0"/>
        <v>5650</v>
      </c>
      <c r="M4" s="7" t="s">
        <v>110</v>
      </c>
    </row>
    <row r="5" spans="2:13">
      <c r="B5" s="7" t="s">
        <v>43</v>
      </c>
      <c r="C5" s="13">
        <f>+SUMIF('BS assumptions'!$B:$B,BS!$B5,'BS assumptions'!C:C)</f>
        <v>45106.400000000001</v>
      </c>
      <c r="D5" s="13">
        <f>+SUMIF('BS assumptions'!$B:$B,BS!$B5,'BS assumptions'!D:D)</f>
        <v>49072.4</v>
      </c>
      <c r="E5" s="13">
        <f>+SUMIF('BS assumptions'!$B:$B,BS!$B5,'BS assumptions'!E:E)</f>
        <v>56109.2</v>
      </c>
      <c r="G5" s="28">
        <f>+SUMIF('BS assumptions'!$B:$B,BS!$B5,'BS assumptions'!G:G)</f>
        <v>59898.018769381182</v>
      </c>
      <c r="H5" s="28">
        <f>+SUMIF('BS assumptions'!$B:$B,BS!$B5,'BS assumptions'!H:H)</f>
        <v>65887.820646319306</v>
      </c>
      <c r="I5" s="28">
        <f>+SUMIF('BS assumptions'!$B:$B,BS!$B5,'BS assumptions'!I:I)</f>
        <v>72476.602710951251</v>
      </c>
      <c r="J5" s="28">
        <f>+SUMIF('BS assumptions'!$B:$B,BS!$B5,'BS assumptions'!J:J)</f>
        <v>79724.262982046392</v>
      </c>
      <c r="K5" s="28">
        <f>+SUMIF('BS assumptions'!$B:$B,BS!$B5,'BS assumptions'!K:K)</f>
        <v>87696.689280251027</v>
      </c>
    </row>
    <row r="6" spans="2:13">
      <c r="B6" s="7" t="s">
        <v>52</v>
      </c>
      <c r="C6" s="13">
        <f>'BS source'!D6</f>
        <v>8824</v>
      </c>
      <c r="D6" s="13">
        <f>'BS source'!E6</f>
        <v>9831</v>
      </c>
      <c r="E6" s="13">
        <f>'BS source'!F6</f>
        <v>10323</v>
      </c>
      <c r="G6" s="28">
        <f>$E$6</f>
        <v>10323</v>
      </c>
      <c r="H6" s="28">
        <f t="shared" ref="H6:K6" si="1">$E$6</f>
        <v>10323</v>
      </c>
      <c r="I6" s="28">
        <f t="shared" si="1"/>
        <v>10323</v>
      </c>
      <c r="J6" s="28">
        <f t="shared" si="1"/>
        <v>10323</v>
      </c>
      <c r="K6" s="28">
        <f t="shared" si="1"/>
        <v>10323</v>
      </c>
      <c r="M6" s="7" t="s">
        <v>110</v>
      </c>
    </row>
    <row r="7" spans="2:13" ht="3.75" customHeight="1">
      <c r="C7" s="13"/>
      <c r="D7" s="13"/>
      <c r="E7" s="13"/>
      <c r="G7" s="28"/>
      <c r="H7" s="28"/>
      <c r="I7" s="28"/>
      <c r="J7" s="28"/>
      <c r="K7" s="28"/>
    </row>
    <row r="8" spans="2:13">
      <c r="B8" s="7" t="s">
        <v>32</v>
      </c>
      <c r="C8" s="13">
        <f>+SUMIF('BS assumptions'!$B:$B,BS!$B8,'BS assumptions'!C:C)</f>
        <v>31167.200000000001</v>
      </c>
      <c r="D8" s="13">
        <f>+SUMIF('BS assumptions'!$B:$B,BS!$B8,'BS assumptions'!D:D)</f>
        <v>36396.800000000003</v>
      </c>
      <c r="E8" s="13">
        <f>+SUMIF('BS assumptions'!$B:$B,BS!$B8,'BS assumptions'!E:E)</f>
        <v>46212</v>
      </c>
      <c r="G8" s="28">
        <f>+SUMIF('BS assumptions'!$B:$B,BS!$B8,'BS assumptions'!G:G)</f>
        <v>51102.670511975753</v>
      </c>
      <c r="H8" s="28">
        <f>+SUMIF('BS assumptions'!$B:$B,BS!$B8,'BS assumptions'!H:H)</f>
        <v>56212.937563173342</v>
      </c>
      <c r="I8" s="28">
        <f>+SUMIF('BS assumptions'!$B:$B,BS!$B8,'BS assumptions'!I:I)</f>
        <v>61834.231319490689</v>
      </c>
      <c r="J8" s="28">
        <f>+SUMIF('BS assumptions'!$B:$B,BS!$B8,'BS assumptions'!J:J)</f>
        <v>68017.654451439768</v>
      </c>
      <c r="K8" s="28">
        <f>+SUMIF('BS assumptions'!$B:$B,BS!$B8,'BS assumptions'!K:K)</f>
        <v>74819.419896583742</v>
      </c>
    </row>
    <row r="9" spans="2:13">
      <c r="B9" s="7" t="s">
        <v>95</v>
      </c>
      <c r="C9" s="13">
        <f>+SUMIF('BS assumptions'!$B:$B,BS!$B9,'BS assumptions'!C:C)</f>
        <v>32883.599999999999</v>
      </c>
      <c r="D9" s="13">
        <f>+SUMIF('BS assumptions'!$B:$B,BS!$B9,'BS assumptions'!D:D)</f>
        <v>38556</v>
      </c>
      <c r="E9" s="13">
        <f>+SUMIF('BS assumptions'!$B:$B,BS!$B9,'BS assumptions'!E:E)</f>
        <v>43581.599999999999</v>
      </c>
      <c r="G9" s="28">
        <f>+SUMIF('BS assumptions'!$B:$B,BS!$B9,'BS assumptions'!G:G)</f>
        <v>47939.759999999995</v>
      </c>
      <c r="H9" s="28">
        <f>+SUMIF('BS assumptions'!$B:$B,BS!$B9,'BS assumptions'!H:H)</f>
        <v>52733.736000000004</v>
      </c>
      <c r="I9" s="28">
        <f>+SUMIF('BS assumptions'!$B:$B,BS!$B9,'BS assumptions'!I:I)</f>
        <v>58007.109600000011</v>
      </c>
      <c r="J9" s="28">
        <f>+SUMIF('BS assumptions'!$B:$B,BS!$B9,'BS assumptions'!J:J)</f>
        <v>63807.820560000022</v>
      </c>
      <c r="K9" s="28">
        <f>+SUMIF('BS assumptions'!$B:$B,BS!$B9,'BS assumptions'!K:K)</f>
        <v>70188.602616000018</v>
      </c>
    </row>
    <row r="10" spans="2:13">
      <c r="B10" s="7" t="s">
        <v>31</v>
      </c>
      <c r="C10" s="38">
        <f>+SUMIF('BS assumptions'!$B:$B,BS!$B10,'BS assumptions'!C:C)</f>
        <v>8841.6</v>
      </c>
      <c r="D10" s="38">
        <f>+SUMIF('BS assumptions'!$B:$B,BS!$B10,'BS assumptions'!D:D)</f>
        <v>11359.199999999999</v>
      </c>
      <c r="E10" s="38">
        <f>+SUMIF('BS assumptions'!$B:$B,BS!$B10,'BS assumptions'!E:E)</f>
        <v>17602.8</v>
      </c>
      <c r="F10" s="21"/>
      <c r="G10" s="36">
        <f>+SUMIF('BS assumptions'!$B:$B,BS!$B10,'BS assumptions'!G:G)</f>
        <v>14867.518484339287</v>
      </c>
      <c r="H10" s="36">
        <f>+SUMIF('BS assumptions'!$B:$B,BS!$B10,'BS assumptions'!H:H)</f>
        <v>16354.270332773216</v>
      </c>
      <c r="I10" s="36">
        <f>+SUMIF('BS assumptions'!$B:$B,BS!$B10,'BS assumptions'!I:I)</f>
        <v>17989.697366050539</v>
      </c>
      <c r="J10" s="36">
        <f>+SUMIF('BS assumptions'!$B:$B,BS!$B10,'BS assumptions'!J:J)</f>
        <v>19788.6671026556</v>
      </c>
      <c r="K10" s="36">
        <f>+SUMIF('BS assumptions'!$B:$B,BS!$B10,'BS assumptions'!K:K)</f>
        <v>21767.53381292116</v>
      </c>
      <c r="L10" s="21"/>
      <c r="M10" s="21"/>
    </row>
    <row r="11" spans="2:13" ht="3.75" customHeight="1">
      <c r="C11" s="38"/>
      <c r="D11" s="38"/>
      <c r="E11" s="38"/>
      <c r="F11" s="21"/>
      <c r="G11" s="36"/>
      <c r="H11" s="36"/>
      <c r="I11" s="36"/>
      <c r="J11" s="36"/>
      <c r="K11" s="36"/>
      <c r="L11" s="21"/>
      <c r="M11" s="21"/>
    </row>
    <row r="12" spans="2:13">
      <c r="B12" s="7" t="s">
        <v>36</v>
      </c>
      <c r="C12" s="38">
        <f>'BS source'!D14</f>
        <v>11791.199999999999</v>
      </c>
      <c r="D12" s="38">
        <f>'BS source'!E14</f>
        <v>19408.8</v>
      </c>
      <c r="E12" s="38">
        <f>'BS source'!F14</f>
        <v>8173.6</v>
      </c>
      <c r="F12" s="21"/>
      <c r="G12" s="36">
        <f>E12+'Cash Flow'!G30</f>
        <v>23746.539181652883</v>
      </c>
      <c r="H12" s="36">
        <f>G12+'Cash Flow'!H30</f>
        <v>35914.870622357834</v>
      </c>
      <c r="I12" s="36">
        <f>H12+'Cash Flow'!I30</f>
        <v>49306.506647133298</v>
      </c>
      <c r="J12" s="36">
        <f>I12+'Cash Flow'!J30</f>
        <v>64043.777714386291</v>
      </c>
      <c r="K12" s="36">
        <f>J12+'Cash Flow'!K30</f>
        <v>80261.24732836464</v>
      </c>
      <c r="L12" s="21"/>
      <c r="M12" s="21" t="s">
        <v>111</v>
      </c>
    </row>
    <row r="13" spans="2:13" ht="3.75" customHeight="1">
      <c r="C13" s="21"/>
      <c r="D13" s="21"/>
      <c r="E13" s="21"/>
      <c r="F13" s="21"/>
      <c r="G13" s="36"/>
      <c r="H13" s="36"/>
      <c r="I13" s="36"/>
      <c r="J13" s="36"/>
      <c r="K13" s="36"/>
      <c r="L13" s="21"/>
      <c r="M13" s="21"/>
    </row>
    <row r="14" spans="2:13" ht="12.75" thickBot="1">
      <c r="B14" s="75" t="s">
        <v>37</v>
      </c>
      <c r="C14" s="76">
        <f>SUM(C4:C12)</f>
        <v>144575.6</v>
      </c>
      <c r="D14" s="76">
        <f t="shared" ref="D14:E14" si="2">SUM(D4:D12)</f>
        <v>170464.2</v>
      </c>
      <c r="E14" s="76">
        <f t="shared" si="2"/>
        <v>187652.19999999998</v>
      </c>
      <c r="F14" s="77"/>
      <c r="G14" s="78">
        <f t="shared" ref="G14:K14" si="3">SUM(G4:G12)</f>
        <v>213527.50694734912</v>
      </c>
      <c r="H14" s="78">
        <f t="shared" si="3"/>
        <v>243076.63516462373</v>
      </c>
      <c r="I14" s="78">
        <f t="shared" si="3"/>
        <v>275587.14764362579</v>
      </c>
      <c r="J14" s="78">
        <f t="shared" si="3"/>
        <v>311355.18281052809</v>
      </c>
      <c r="K14" s="78">
        <f t="shared" si="3"/>
        <v>350706.49293412059</v>
      </c>
      <c r="L14" s="21"/>
      <c r="M14" s="21"/>
    </row>
    <row r="15" spans="2:13">
      <c r="C15" s="38"/>
      <c r="D15" s="38"/>
      <c r="E15" s="38"/>
      <c r="F15" s="38"/>
      <c r="G15" s="36"/>
      <c r="H15" s="36"/>
      <c r="I15" s="36"/>
      <c r="J15" s="36"/>
      <c r="K15" s="36"/>
      <c r="L15" s="21"/>
      <c r="M15" s="21"/>
    </row>
    <row r="16" spans="2:13">
      <c r="B16" s="7" t="s">
        <v>44</v>
      </c>
      <c r="C16" s="38">
        <f>+SUMIF('BS assumptions'!$B:$B,BS!$B16,'BS assumptions'!C:C)</f>
        <v>15891.2</v>
      </c>
      <c r="D16" s="38">
        <f>+SUMIF('BS assumptions'!$B:$B,BS!$B16,'BS assumptions'!D:D)</f>
        <v>26351.599999999999</v>
      </c>
      <c r="E16" s="38">
        <f>+SUMIF('BS assumptions'!$B:$B,BS!$B16,'BS assumptions'!E:E)</f>
        <v>36189.599999999999</v>
      </c>
      <c r="F16" s="38"/>
      <c r="G16" s="36">
        <f>+SUMIF('BS assumptions'!$B:$B,BS!$B16,'BS assumptions'!G:G)</f>
        <v>40019.588088812387</v>
      </c>
      <c r="H16" s="36">
        <f>+SUMIF('BS assumptions'!$B:$B,BS!$B16,'BS assumptions'!H:H)</f>
        <v>44021.546897693624</v>
      </c>
      <c r="I16" s="36">
        <f>+SUMIF('BS assumptions'!$B:$B,BS!$B16,'BS assumptions'!I:I)</f>
        <v>48423.701587462994</v>
      </c>
      <c r="J16" s="36">
        <f>+SUMIF('BS assumptions'!$B:$B,BS!$B16,'BS assumptions'!J:J)</f>
        <v>53266.071746209302</v>
      </c>
      <c r="K16" s="36">
        <f>+SUMIF('BS assumptions'!$B:$B,BS!$B16,'BS assumptions'!K:K)</f>
        <v>58592.678920830236</v>
      </c>
      <c r="L16" s="21"/>
      <c r="M16" s="21"/>
    </row>
    <row r="17" spans="2:13">
      <c r="B17" s="7" t="s">
        <v>45</v>
      </c>
      <c r="C17" s="38">
        <f>+SUMIF('BS assumptions'!$B:$B,BS!$B17,'BS assumptions'!C:C)</f>
        <v>5969.0386666666891</v>
      </c>
      <c r="D17" s="38">
        <f>+SUMIF('BS assumptions'!$B:$B,BS!$B17,'BS assumptions'!D:D)</f>
        <v>5800.3560000000052</v>
      </c>
      <c r="E17" s="38">
        <f>+SUMIF('BS assumptions'!$B:$B,BS!$B17,'BS assumptions'!E:E)</f>
        <v>8473.4464253970418</v>
      </c>
      <c r="F17" s="38"/>
      <c r="G17" s="36">
        <f>+SUMIF('BS assumptions'!$B:$B,BS!$B17,'BS assumptions'!G:G)</f>
        <v>8029.9438439337491</v>
      </c>
      <c r="H17" s="36">
        <f>+SUMIF('BS assumptions'!$B:$B,BS!$B17,'BS assumptions'!H:H)</f>
        <v>8832.9382283271243</v>
      </c>
      <c r="I17" s="36">
        <f>+SUMIF('BS assumptions'!$B:$B,BS!$B17,'BS assumptions'!I:I)</f>
        <v>9716.2320511598391</v>
      </c>
      <c r="J17" s="36">
        <f>+SUMIF('BS assumptions'!$B:$B,BS!$B17,'BS assumptions'!J:J)</f>
        <v>10687.855256275825</v>
      </c>
      <c r="K17" s="36">
        <f>+SUMIF('BS assumptions'!$B:$B,BS!$B17,'BS assumptions'!K:K)</f>
        <v>11756.640781903407</v>
      </c>
      <c r="L17" s="21"/>
      <c r="M17" s="21"/>
    </row>
    <row r="18" spans="2:13" ht="3.75" customHeight="1">
      <c r="C18" s="38"/>
      <c r="D18" s="38"/>
      <c r="E18" s="38"/>
      <c r="F18" s="38"/>
      <c r="G18" s="36"/>
      <c r="H18" s="36"/>
      <c r="I18" s="36"/>
      <c r="J18" s="36"/>
      <c r="K18" s="36"/>
      <c r="L18" s="21"/>
      <c r="M18" s="21"/>
    </row>
    <row r="19" spans="2:13">
      <c r="B19" s="7" t="s">
        <v>106</v>
      </c>
      <c r="C19" s="38">
        <f>'BS source'!J15+'BS source'!J16</f>
        <v>41293.000000000007</v>
      </c>
      <c r="D19" s="38">
        <f>'BS source'!K15+'BS source'!K16</f>
        <v>50645.4</v>
      </c>
      <c r="E19" s="38">
        <f>'BS source'!L15+'BS source'!L16</f>
        <v>51120.799999999996</v>
      </c>
      <c r="F19" s="38"/>
      <c r="G19" s="36">
        <f>$E$19</f>
        <v>51120.799999999996</v>
      </c>
      <c r="H19" s="36">
        <f t="shared" ref="H19:K19" si="4">$E$19</f>
        <v>51120.799999999996</v>
      </c>
      <c r="I19" s="36">
        <f t="shared" si="4"/>
        <v>51120.799999999996</v>
      </c>
      <c r="J19" s="36">
        <f t="shared" si="4"/>
        <v>51120.799999999996</v>
      </c>
      <c r="K19" s="36">
        <f t="shared" si="4"/>
        <v>51120.799999999996</v>
      </c>
      <c r="L19" s="21"/>
      <c r="M19" s="21" t="s">
        <v>112</v>
      </c>
    </row>
    <row r="20" spans="2:13" ht="3.75" customHeight="1">
      <c r="C20" s="38"/>
      <c r="D20" s="38"/>
      <c r="E20" s="38"/>
      <c r="F20" s="38"/>
      <c r="G20" s="36"/>
      <c r="H20" s="36"/>
      <c r="I20" s="36"/>
      <c r="J20" s="36"/>
      <c r="K20" s="36"/>
      <c r="L20" s="21"/>
      <c r="M20" s="21"/>
    </row>
    <row r="21" spans="2:13">
      <c r="B21" s="7" t="s">
        <v>107</v>
      </c>
      <c r="C21" s="38">
        <f>'BS source'!J8</f>
        <v>81422.361333333276</v>
      </c>
      <c r="D21" s="38">
        <f>'BS source'!K8</f>
        <v>87666.844000000026</v>
      </c>
      <c r="E21" s="38">
        <f>'BS source'!L8</f>
        <v>91868.353574602996</v>
      </c>
      <c r="F21" s="38"/>
      <c r="G21" s="36">
        <f>E21+'P&amp;L'!G24</f>
        <v>114357.17501460301</v>
      </c>
      <c r="H21" s="36">
        <f>G21+'P&amp;L'!H24</f>
        <v>139101.35003860301</v>
      </c>
      <c r="I21" s="36">
        <f>H21+'P&amp;L'!I24</f>
        <v>166326.414005003</v>
      </c>
      <c r="J21" s="36">
        <f>I21+'P&amp;L'!J24</f>
        <v>196280.45580804299</v>
      </c>
      <c r="K21" s="36">
        <f>J21+'P&amp;L'!K24</f>
        <v>229236.373231387</v>
      </c>
      <c r="L21" s="21"/>
      <c r="M21" s="21"/>
    </row>
    <row r="22" spans="2:13" ht="3.75" customHeight="1">
      <c r="C22" s="38"/>
      <c r="D22" s="38"/>
      <c r="E22" s="38"/>
      <c r="F22" s="38"/>
      <c r="G22" s="36"/>
      <c r="H22" s="36"/>
      <c r="I22" s="36"/>
      <c r="J22" s="36"/>
      <c r="K22" s="36"/>
      <c r="L22" s="21"/>
      <c r="M22" s="21"/>
    </row>
    <row r="23" spans="2:13" ht="12.75" thickBot="1">
      <c r="B23" s="75" t="s">
        <v>108</v>
      </c>
      <c r="C23" s="76">
        <f>+SUM(C16:C21)</f>
        <v>144575.59999999998</v>
      </c>
      <c r="D23" s="76">
        <f t="shared" ref="D23:E23" si="5">+SUM(D16:D21)</f>
        <v>170464.2</v>
      </c>
      <c r="E23" s="76">
        <f t="shared" si="5"/>
        <v>187652.2</v>
      </c>
      <c r="F23" s="77"/>
      <c r="G23" s="78">
        <f t="shared" ref="G23:K23" si="6">+SUM(G16:G21)</f>
        <v>213527.50694734915</v>
      </c>
      <c r="H23" s="78">
        <f t="shared" si="6"/>
        <v>243076.63516462376</v>
      </c>
      <c r="I23" s="78">
        <f t="shared" si="6"/>
        <v>275587.14764362585</v>
      </c>
      <c r="J23" s="78">
        <f t="shared" si="6"/>
        <v>311355.18281052809</v>
      </c>
      <c r="K23" s="78">
        <f t="shared" si="6"/>
        <v>350706.49293412064</v>
      </c>
      <c r="L23" s="21"/>
      <c r="M23" s="21"/>
    </row>
    <row r="24" spans="2:13">
      <c r="B24" s="21"/>
      <c r="C24" s="21"/>
      <c r="D24" s="21"/>
      <c r="E24" s="21"/>
      <c r="F24" s="21"/>
      <c r="G24" s="38"/>
      <c r="H24" s="38"/>
      <c r="I24" s="38"/>
      <c r="J24" s="38"/>
      <c r="K24" s="38"/>
      <c r="L24" s="21"/>
      <c r="M24" s="21"/>
    </row>
    <row r="25" spans="2:13">
      <c r="B25" s="21"/>
      <c r="C25" s="21"/>
      <c r="D25" s="21"/>
      <c r="E25" s="21"/>
      <c r="F25" s="21"/>
      <c r="G25" s="38"/>
      <c r="H25" s="38"/>
      <c r="I25" s="38"/>
      <c r="J25" s="38"/>
      <c r="K25" s="38"/>
      <c r="L25" s="21"/>
      <c r="M25" s="21"/>
    </row>
    <row r="26" spans="2:13">
      <c r="B26" s="7" t="s">
        <v>109</v>
      </c>
      <c r="C26" s="7">
        <f>C14-C23</f>
        <v>0</v>
      </c>
      <c r="D26" s="7">
        <f>D14-D23</f>
        <v>0</v>
      </c>
      <c r="E26" s="7">
        <f>E14-E23</f>
        <v>0</v>
      </c>
      <c r="G26" s="13">
        <f>G14-G23</f>
        <v>0</v>
      </c>
      <c r="H26" s="13">
        <f>H14-H23</f>
        <v>0</v>
      </c>
      <c r="I26" s="13">
        <f>I14-I23</f>
        <v>0</v>
      </c>
      <c r="J26" s="13">
        <f>J14-J23</f>
        <v>0</v>
      </c>
      <c r="K26" s="13">
        <f>K14-K23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O36"/>
  <sheetViews>
    <sheetView tabSelected="1" topLeftCell="A2" workbookViewId="0">
      <selection activeCell="E10" sqref="E10"/>
    </sheetView>
  </sheetViews>
  <sheetFormatPr defaultRowHeight="12" outlineLevelRow="1"/>
  <cols>
    <col min="1" max="1" width="2" style="11" customWidth="1"/>
    <col min="2" max="2" width="31.5703125" style="11" bestFit="1" customWidth="1"/>
    <col min="3" max="3" width="9.140625" style="11" customWidth="1"/>
    <col min="4" max="4" width="9.5703125" style="11" bestFit="1" customWidth="1"/>
    <col min="5" max="5" width="9.140625" style="11"/>
    <col min="6" max="6" width="2" style="11" customWidth="1"/>
    <col min="7" max="11" width="9.140625" style="11"/>
    <col min="12" max="12" width="2" style="11" customWidth="1"/>
    <col min="13" max="16384" width="9.140625" style="11"/>
  </cols>
  <sheetData>
    <row r="1" spans="2:15" ht="15.75">
      <c r="B1" s="12" t="s">
        <v>28</v>
      </c>
      <c r="C1" s="12"/>
    </row>
    <row r="2" spans="2:15">
      <c r="B2" s="11" t="s">
        <v>79</v>
      </c>
    </row>
    <row r="3" spans="2:15" ht="24.75" thickBot="1">
      <c r="B3" s="17" t="s">
        <v>53</v>
      </c>
      <c r="C3" s="17"/>
      <c r="D3" s="18" t="s">
        <v>55</v>
      </c>
      <c r="E3" s="18" t="s">
        <v>56</v>
      </c>
      <c r="F3" s="22"/>
      <c r="G3" s="19" t="s">
        <v>57</v>
      </c>
      <c r="H3" s="19" t="s">
        <v>58</v>
      </c>
      <c r="I3" s="19" t="s">
        <v>59</v>
      </c>
      <c r="J3" s="19" t="s">
        <v>60</v>
      </c>
      <c r="K3" s="19" t="s">
        <v>61</v>
      </c>
      <c r="L3" s="7"/>
      <c r="M3" s="23" t="s">
        <v>66</v>
      </c>
    </row>
    <row r="4" spans="2:15">
      <c r="B4" s="11" t="s">
        <v>16</v>
      </c>
      <c r="C4" s="11" t="s">
        <v>6</v>
      </c>
      <c r="D4" s="32">
        <f>'P&amp;L'!D15</f>
        <v>16564.136000000017</v>
      </c>
      <c r="E4" s="32">
        <f>'P&amp;L'!E15</f>
        <v>23130.213574602993</v>
      </c>
      <c r="F4" s="32"/>
      <c r="G4" s="33">
        <f>'P&amp;L'!G15</f>
        <v>30089.312000000009</v>
      </c>
      <c r="H4" s="33">
        <f>'P&amp;L'!H15</f>
        <v>32839.743199999983</v>
      </c>
      <c r="I4" s="33">
        <f>'P&amp;L'!I15</f>
        <v>35865.217519999998</v>
      </c>
      <c r="J4" s="33">
        <f>'P&amp;L'!J15</f>
        <v>39193.239271999992</v>
      </c>
      <c r="K4" s="33">
        <f>'P&amp;L'!K15</f>
        <v>42854.063199200005</v>
      </c>
      <c r="M4" s="11" t="s">
        <v>131</v>
      </c>
    </row>
    <row r="5" spans="2:15">
      <c r="B5" s="11" t="s">
        <v>113</v>
      </c>
      <c r="C5" s="11" t="s">
        <v>6</v>
      </c>
      <c r="D5" s="50">
        <f>+D6*D4</f>
        <v>-3740.0277204742097</v>
      </c>
      <c r="E5" s="32">
        <f>+E6*E4</f>
        <v>-4379.9683364332095</v>
      </c>
      <c r="F5" s="32"/>
      <c r="G5" s="33">
        <f>+G6*G4</f>
        <v>-5416.0761600000014</v>
      </c>
      <c r="H5" s="33">
        <f>+H6*H4</f>
        <v>-5911.1537759999965</v>
      </c>
      <c r="I5" s="33">
        <f>+I6*I4</f>
        <v>-6455.7391535999996</v>
      </c>
      <c r="J5" s="33">
        <f>+J6*J4</f>
        <v>-7054.7830689599987</v>
      </c>
      <c r="K5" s="33">
        <f>+K6*K4</f>
        <v>-7713.7313758560003</v>
      </c>
      <c r="M5" s="11" t="s">
        <v>131</v>
      </c>
    </row>
    <row r="6" spans="2:15">
      <c r="B6" s="44" t="s">
        <v>120</v>
      </c>
      <c r="C6" s="44"/>
      <c r="D6" s="39">
        <f>'P&amp;L'!D22</f>
        <v>-0.22579069143565386</v>
      </c>
      <c r="E6" s="39">
        <f>'P&amp;L'!E22</f>
        <v>-0.18936134430001206</v>
      </c>
      <c r="F6" s="39"/>
      <c r="G6" s="43">
        <f>'P&amp;L'!G22</f>
        <v>-0.18</v>
      </c>
      <c r="H6" s="43">
        <f>'P&amp;L'!H22</f>
        <v>-0.18</v>
      </c>
      <c r="I6" s="43">
        <f>'P&amp;L'!I22</f>
        <v>-0.18</v>
      </c>
      <c r="J6" s="43">
        <f>'P&amp;L'!J22</f>
        <v>-0.18</v>
      </c>
      <c r="K6" s="43">
        <f>'P&amp;L'!K22</f>
        <v>-0.18</v>
      </c>
      <c r="L6" s="44"/>
      <c r="M6" s="44"/>
      <c r="N6" s="44"/>
      <c r="O6" s="44"/>
    </row>
    <row r="7" spans="2:15">
      <c r="B7" s="70" t="s">
        <v>114</v>
      </c>
      <c r="C7" s="70"/>
      <c r="D7" s="71">
        <f>SUM(D4:D5)</f>
        <v>12824.108279525808</v>
      </c>
      <c r="E7" s="71">
        <f>SUM(E4:E5)</f>
        <v>18750.245238169784</v>
      </c>
      <c r="F7" s="79"/>
      <c r="G7" s="80">
        <f>SUM(G4:G5)</f>
        <v>24673.235840000008</v>
      </c>
      <c r="H7" s="80">
        <f>SUM(H4:H5)</f>
        <v>26928.589423999987</v>
      </c>
      <c r="I7" s="80">
        <f>SUM(I4:I5)</f>
        <v>29409.478366399999</v>
      </c>
      <c r="J7" s="80">
        <f>SUM(J4:J5)</f>
        <v>32138.456203039994</v>
      </c>
      <c r="K7" s="80">
        <f>SUM(K4:K5)</f>
        <v>35140.331823344008</v>
      </c>
      <c r="L7" s="44"/>
      <c r="N7" s="44"/>
      <c r="O7" s="44"/>
    </row>
    <row r="8" spans="2:15" ht="3.75" customHeight="1">
      <c r="B8" s="24"/>
      <c r="C8" s="24"/>
      <c r="D8" s="40"/>
      <c r="E8" s="40"/>
      <c r="F8" s="30"/>
      <c r="G8" s="37"/>
      <c r="H8" s="37"/>
      <c r="I8" s="37"/>
      <c r="J8" s="37"/>
      <c r="K8" s="37"/>
      <c r="L8" s="44"/>
      <c r="N8" s="44"/>
      <c r="O8" s="44"/>
    </row>
    <row r="9" spans="2:15">
      <c r="B9" s="44" t="s">
        <v>129</v>
      </c>
      <c r="C9" s="44" t="s">
        <v>6</v>
      </c>
      <c r="D9" s="45">
        <f>-'P&amp;L'!D14</f>
        <v>4649.8</v>
      </c>
      <c r="E9" s="45">
        <f>-'P&amp;L'!E14</f>
        <v>6430.6600000000008</v>
      </c>
      <c r="F9" s="44"/>
      <c r="G9" s="36">
        <f>-'P&amp;L'!G14</f>
        <v>4584.0520000000006</v>
      </c>
      <c r="H9" s="36">
        <f>-'P&amp;L'!H14</f>
        <v>5042.4572000000007</v>
      </c>
      <c r="I9" s="36">
        <f>-'P&amp;L'!I14</f>
        <v>5546.7029200000015</v>
      </c>
      <c r="J9" s="36">
        <f>-'P&amp;L'!J14</f>
        <v>6101.3732120000022</v>
      </c>
      <c r="K9" s="36">
        <f>-'P&amp;L'!K14</f>
        <v>6711.510533200003</v>
      </c>
      <c r="L9" s="44"/>
      <c r="M9" s="11" t="s">
        <v>131</v>
      </c>
      <c r="N9" s="44"/>
      <c r="O9" s="44"/>
    </row>
    <row r="10" spans="2:15">
      <c r="B10" s="70" t="s">
        <v>130</v>
      </c>
      <c r="C10" s="70"/>
      <c r="D10" s="71">
        <f>D7+D9</f>
        <v>17473.908279525807</v>
      </c>
      <c r="E10" s="71">
        <f>E7+E9</f>
        <v>25180.905238169784</v>
      </c>
      <c r="F10" s="79"/>
      <c r="G10" s="80">
        <f t="shared" ref="G10:K10" si="0">G7+G9</f>
        <v>29257.287840000008</v>
      </c>
      <c r="H10" s="80">
        <f t="shared" si="0"/>
        <v>31971.046623999988</v>
      </c>
      <c r="I10" s="80">
        <f t="shared" si="0"/>
        <v>34956.181286400002</v>
      </c>
      <c r="J10" s="80">
        <f t="shared" si="0"/>
        <v>38239.829415039996</v>
      </c>
      <c r="K10" s="80">
        <f t="shared" si="0"/>
        <v>41851.84235654401</v>
      </c>
      <c r="L10" s="44"/>
      <c r="N10" s="44"/>
      <c r="O10" s="44"/>
    </row>
    <row r="11" spans="2:15" ht="3.75" customHeight="1">
      <c r="B11" s="24"/>
      <c r="C11" s="24"/>
      <c r="D11" s="40"/>
      <c r="E11" s="40"/>
      <c r="F11" s="30"/>
      <c r="G11" s="37"/>
      <c r="H11" s="37"/>
      <c r="I11" s="37"/>
      <c r="J11" s="37"/>
      <c r="K11" s="37"/>
      <c r="L11" s="44"/>
      <c r="N11" s="44"/>
      <c r="O11" s="44"/>
    </row>
    <row r="12" spans="2:15">
      <c r="B12" s="44" t="s">
        <v>32</v>
      </c>
      <c r="C12" s="44" t="s">
        <v>25</v>
      </c>
      <c r="D12" s="45">
        <f>-(BS!D8-BS!C8)</f>
        <v>-5229.6000000000022</v>
      </c>
      <c r="E12" s="45">
        <f>-(BS!E8-BS!D8)</f>
        <v>-9815.1999999999971</v>
      </c>
      <c r="F12" s="44"/>
      <c r="G12" s="36">
        <f>-(BS!G8-BS!E8)</f>
        <v>-4890.6705119757535</v>
      </c>
      <c r="H12" s="36">
        <f>-(BS!H8-BS!G8)</f>
        <v>-5110.2670511975884</v>
      </c>
      <c r="I12" s="36">
        <f>-(BS!I8-BS!H8)</f>
        <v>-5621.2937563173473</v>
      </c>
      <c r="J12" s="36">
        <f>-(BS!J8-BS!I8)</f>
        <v>-6183.4231319490791</v>
      </c>
      <c r="K12" s="36">
        <f>-(BS!K8-BS!J8)</f>
        <v>-6801.7654451439739</v>
      </c>
      <c r="L12" s="44"/>
      <c r="M12" s="11" t="s">
        <v>131</v>
      </c>
      <c r="N12" s="44"/>
      <c r="O12" s="44"/>
    </row>
    <row r="13" spans="2:15">
      <c r="B13" s="44" t="s">
        <v>30</v>
      </c>
      <c r="C13" s="44" t="s">
        <v>25</v>
      </c>
      <c r="D13" s="45">
        <f>-(BS!D9-BS!C9)</f>
        <v>-5672.4000000000015</v>
      </c>
      <c r="E13" s="45">
        <f>-(BS!E9-BS!D9)</f>
        <v>-5025.5999999999985</v>
      </c>
      <c r="F13" s="44"/>
      <c r="G13" s="36">
        <f>-(BS!G9-BS!E9)</f>
        <v>-4358.1599999999962</v>
      </c>
      <c r="H13" s="36">
        <f>-(BS!H9-BS!G9)</f>
        <v>-4793.9760000000097</v>
      </c>
      <c r="I13" s="36">
        <f>-(BS!I9-BS!H9)</f>
        <v>-5273.3736000000063</v>
      </c>
      <c r="J13" s="36">
        <f>-(BS!J9-BS!I9)</f>
        <v>-5800.7109600000113</v>
      </c>
      <c r="K13" s="36">
        <f>-(BS!K9-BS!J9)</f>
        <v>-6380.7820559999964</v>
      </c>
      <c r="L13" s="44"/>
      <c r="M13" s="11" t="s">
        <v>131</v>
      </c>
      <c r="N13" s="44"/>
      <c r="O13" s="44"/>
    </row>
    <row r="14" spans="2:15">
      <c r="B14" s="44" t="s">
        <v>115</v>
      </c>
      <c r="C14" s="44" t="s">
        <v>25</v>
      </c>
      <c r="D14" s="45">
        <f>BS!D16-BS!C16</f>
        <v>10460.399999999998</v>
      </c>
      <c r="E14" s="45">
        <f>BS!E16-BS!D16</f>
        <v>9838</v>
      </c>
      <c r="F14" s="44"/>
      <c r="G14" s="36">
        <f>BS!G16-BS!E16</f>
        <v>3829.988088812388</v>
      </c>
      <c r="H14" s="36">
        <f>BS!H16-BS!G16</f>
        <v>4001.9588088812379</v>
      </c>
      <c r="I14" s="36">
        <f>BS!I16-BS!H16</f>
        <v>4402.1546897693697</v>
      </c>
      <c r="J14" s="36">
        <f>BS!J16-BS!I16</f>
        <v>4842.3701587463074</v>
      </c>
      <c r="K14" s="36">
        <f>BS!K16-BS!J16</f>
        <v>5326.6071746209345</v>
      </c>
      <c r="L14" s="44"/>
      <c r="M14" s="11" t="s">
        <v>131</v>
      </c>
      <c r="N14" s="44"/>
      <c r="O14" s="44"/>
    </row>
    <row r="15" spans="2:15">
      <c r="B15" s="70" t="s">
        <v>116</v>
      </c>
      <c r="C15" s="70"/>
      <c r="D15" s="71">
        <f>+SUM(D12:D14)</f>
        <v>-441.60000000000582</v>
      </c>
      <c r="E15" s="71">
        <f>+SUM(E12:E14)</f>
        <v>-5002.7999999999956</v>
      </c>
      <c r="F15" s="79"/>
      <c r="G15" s="80">
        <f>+SUM(G12:G14)</f>
        <v>-5418.8424231633617</v>
      </c>
      <c r="H15" s="80">
        <f>+SUM(H12:H14)</f>
        <v>-5902.2842423163602</v>
      </c>
      <c r="I15" s="80">
        <f>+SUM(I12:I14)</f>
        <v>-6492.5126665479838</v>
      </c>
      <c r="J15" s="80">
        <f>+SUM(J12:J14)</f>
        <v>-7141.7639332027829</v>
      </c>
      <c r="K15" s="80">
        <f>+SUM(K12:K14)</f>
        <v>-7855.9403265230358</v>
      </c>
      <c r="L15" s="44"/>
      <c r="N15" s="44"/>
      <c r="O15" s="44"/>
    </row>
    <row r="16" spans="2:15">
      <c r="B16" s="46" t="s">
        <v>117</v>
      </c>
      <c r="C16" s="57" t="s">
        <v>25</v>
      </c>
      <c r="D16" s="47">
        <f>-(BS!D10-BS!C10)+(BS!D17-BS!C17)</f>
        <v>-2686.2826666666824</v>
      </c>
      <c r="E16" s="47">
        <f>-(BS!E10-BS!D10)+(BS!E17-BS!D17)</f>
        <v>-3570.5095746029638</v>
      </c>
      <c r="F16" s="48"/>
      <c r="G16" s="37">
        <f>-(BS!G10-BS!E10)+(BS!G17-BS!E17)</f>
        <v>2291.7789341974194</v>
      </c>
      <c r="H16" s="37">
        <f>-(BS!H10-BS!G10)+(BS!H17-BS!G17)</f>
        <v>-683.75746404055371</v>
      </c>
      <c r="I16" s="37">
        <f>-(BS!I10-BS!H10)+(BS!I17-BS!H17)</f>
        <v>-752.13321044460827</v>
      </c>
      <c r="J16" s="37">
        <f>-(BS!J10-BS!I10)+(BS!J17-BS!I17)</f>
        <v>-827.34653148907455</v>
      </c>
      <c r="K16" s="37">
        <f>-(BS!K10-BS!J10)+(BS!K17-BS!J17)</f>
        <v>-910.08118463797837</v>
      </c>
      <c r="L16" s="44"/>
      <c r="M16" s="11" t="s">
        <v>132</v>
      </c>
      <c r="N16" s="44"/>
      <c r="O16" s="44"/>
    </row>
    <row r="17" spans="2:15" ht="3.75" customHeight="1">
      <c r="B17" s="46"/>
      <c r="C17" s="57"/>
      <c r="D17" s="48"/>
      <c r="E17" s="48"/>
      <c r="F17" s="48"/>
      <c r="G17" s="36"/>
      <c r="H17" s="36"/>
      <c r="I17" s="36"/>
      <c r="J17" s="36"/>
      <c r="K17" s="36"/>
      <c r="L17" s="44"/>
      <c r="N17" s="44"/>
      <c r="O17" s="44"/>
    </row>
    <row r="18" spans="2:15">
      <c r="B18" s="46" t="s">
        <v>118</v>
      </c>
      <c r="C18" s="57" t="s">
        <v>25</v>
      </c>
      <c r="D18" s="47">
        <f>-(BS!D5-BS!C5)+'P&amp;L'!D14</f>
        <v>-8615.7999999999993</v>
      </c>
      <c r="E18" s="47">
        <f>-(BS!E5-BS!D5)+'P&amp;L'!E14</f>
        <v>-13467.459999999995</v>
      </c>
      <c r="F18" s="44"/>
      <c r="G18" s="37">
        <f>-(BS!G5-BS!E5)+'P&amp;L'!G14</f>
        <v>-8372.8707693811848</v>
      </c>
      <c r="H18" s="37">
        <f>-(BS!H5-BS!G5)+'P&amp;L'!H14</f>
        <v>-11032.259076938124</v>
      </c>
      <c r="I18" s="37">
        <f>-(BS!I5-BS!H5)+'P&amp;L'!I14</f>
        <v>-12135.484984631947</v>
      </c>
      <c r="J18" s="37">
        <f>-(BS!J5-BS!I5)+'P&amp;L'!J14</f>
        <v>-13349.033483095143</v>
      </c>
      <c r="K18" s="37">
        <f>-(BS!K5-BS!J5)+'P&amp;L'!K14</f>
        <v>-14683.936831404637</v>
      </c>
      <c r="L18" s="44"/>
      <c r="M18" s="11" t="s">
        <v>132</v>
      </c>
      <c r="N18" s="44"/>
      <c r="O18" s="44"/>
    </row>
    <row r="19" spans="2:15">
      <c r="B19" s="46" t="s">
        <v>119</v>
      </c>
      <c r="C19" s="57" t="s">
        <v>25</v>
      </c>
      <c r="D19" s="47">
        <f>-(BS!D4-BS!C4)-(BS!D6-BS!C6)</f>
        <v>-885.39999999999964</v>
      </c>
      <c r="E19" s="47">
        <f>-(BS!E4-BS!D4)-(BS!E6-BS!D6)</f>
        <v>-302</v>
      </c>
      <c r="F19" s="44"/>
      <c r="G19" s="37">
        <f>-(BS!G4-BS!E4)-(BS!G6-BS!E6)</f>
        <v>0</v>
      </c>
      <c r="H19" s="37">
        <f>-(BS!H4-BS!G4)-(BS!H6-BS!G6)</f>
        <v>0</v>
      </c>
      <c r="I19" s="37">
        <f>-(BS!I4-BS!H4)-(BS!I6-BS!H6)</f>
        <v>0</v>
      </c>
      <c r="J19" s="37">
        <f>-(BS!J4-BS!I4)-(BS!J6-BS!I6)</f>
        <v>0</v>
      </c>
      <c r="K19" s="37">
        <f>-(BS!K4-BS!J4)-(BS!K6-BS!J6)</f>
        <v>0</v>
      </c>
      <c r="L19" s="44"/>
      <c r="M19" s="11" t="s">
        <v>132</v>
      </c>
      <c r="N19" s="44"/>
      <c r="O19" s="44"/>
    </row>
    <row r="20" spans="2:15" ht="3.75" customHeight="1">
      <c r="B20" s="44"/>
      <c r="C20" s="44"/>
      <c r="D20" s="44"/>
      <c r="E20" s="44"/>
      <c r="F20" s="44"/>
      <c r="G20" s="37"/>
      <c r="H20" s="37"/>
      <c r="I20" s="37"/>
      <c r="J20" s="37"/>
      <c r="K20" s="37"/>
      <c r="L20" s="44"/>
      <c r="N20" s="44"/>
      <c r="O20" s="44"/>
    </row>
    <row r="21" spans="2:15" ht="12" customHeight="1">
      <c r="B21" s="46" t="s">
        <v>103</v>
      </c>
      <c r="C21" s="57" t="s">
        <v>6</v>
      </c>
      <c r="D21" s="47">
        <f>'P&amp;L'!D18</f>
        <v>-864.30000000000007</v>
      </c>
      <c r="E21" s="47">
        <f>'P&amp;L'!E18</f>
        <v>-320.26</v>
      </c>
      <c r="F21" s="44"/>
      <c r="G21" s="37">
        <f>'P&amp;L'!G18</f>
        <v>0</v>
      </c>
      <c r="H21" s="37">
        <f>'P&amp;L'!H18</f>
        <v>0</v>
      </c>
      <c r="I21" s="37">
        <f>'P&amp;L'!I18</f>
        <v>0</v>
      </c>
      <c r="J21" s="37">
        <f>'P&amp;L'!J18</f>
        <v>0</v>
      </c>
      <c r="K21" s="37">
        <f>'P&amp;L'!K18</f>
        <v>0</v>
      </c>
      <c r="L21" s="44"/>
      <c r="M21" s="11" t="s">
        <v>131</v>
      </c>
      <c r="N21" s="44"/>
      <c r="O21" s="44"/>
    </row>
    <row r="22" spans="2:15" ht="3.75" customHeight="1">
      <c r="B22" s="44"/>
      <c r="C22" s="44"/>
      <c r="D22" s="44"/>
      <c r="E22" s="44"/>
      <c r="F22" s="44"/>
      <c r="G22" s="62"/>
      <c r="H22" s="62"/>
      <c r="I22" s="62"/>
      <c r="J22" s="62"/>
      <c r="K22" s="62"/>
      <c r="L22" s="44"/>
      <c r="N22" s="44"/>
      <c r="O22" s="44"/>
    </row>
    <row r="23" spans="2:15">
      <c r="B23" s="68" t="s">
        <v>121</v>
      </c>
      <c r="C23" s="68"/>
      <c r="D23" s="69">
        <f>SUM(D10,D15,D16,D18,D19,D21)</f>
        <v>3980.52561285912</v>
      </c>
      <c r="E23" s="69">
        <f>SUM(E10,E15,E16,E18,E19,E21)</f>
        <v>2517.8756635668306</v>
      </c>
      <c r="F23" s="68"/>
      <c r="G23" s="69">
        <f t="shared" ref="G23:K23" si="1">SUM(G10,G15,G16,G18,G19,G21)</f>
        <v>17757.353581652882</v>
      </c>
      <c r="H23" s="69">
        <f t="shared" si="1"/>
        <v>14352.745840704949</v>
      </c>
      <c r="I23" s="69">
        <f t="shared" si="1"/>
        <v>15576.050424775463</v>
      </c>
      <c r="J23" s="69">
        <f t="shared" si="1"/>
        <v>16921.685467252995</v>
      </c>
      <c r="K23" s="69">
        <f t="shared" si="1"/>
        <v>18401.884013978357</v>
      </c>
      <c r="L23" s="44"/>
      <c r="N23" s="44"/>
      <c r="O23" s="44"/>
    </row>
    <row r="24" spans="2:15" ht="3.75" customHeight="1">
      <c r="B24" s="44"/>
      <c r="C24" s="44"/>
      <c r="D24" s="44"/>
      <c r="E24" s="44"/>
      <c r="F24" s="44"/>
      <c r="G24" s="62"/>
      <c r="H24" s="62"/>
      <c r="I24" s="62"/>
      <c r="J24" s="62"/>
      <c r="K24" s="62"/>
      <c r="L24" s="44"/>
      <c r="N24" s="44"/>
      <c r="O24" s="44"/>
    </row>
    <row r="25" spans="2:15">
      <c r="B25" s="44" t="s">
        <v>102</v>
      </c>
      <c r="C25" s="44" t="s">
        <v>6</v>
      </c>
      <c r="D25" s="45">
        <f>'P&amp;L'!D17</f>
        <v>-2190.9</v>
      </c>
      <c r="E25" s="45">
        <f>'P&amp;L'!E17</f>
        <v>-2663.92</v>
      </c>
      <c r="F25" s="44"/>
      <c r="G25" s="37">
        <f>'P&amp;L'!G17</f>
        <v>-2663.92</v>
      </c>
      <c r="H25" s="37">
        <f>'P&amp;L'!H17</f>
        <v>-2663.92</v>
      </c>
      <c r="I25" s="37">
        <f>'P&amp;L'!I17</f>
        <v>-2663.92</v>
      </c>
      <c r="J25" s="37">
        <f>'P&amp;L'!J17</f>
        <v>-2663.92</v>
      </c>
      <c r="K25" s="37">
        <f>'P&amp;L'!K17</f>
        <v>-2663.92</v>
      </c>
      <c r="L25" s="44"/>
      <c r="M25" s="11" t="s">
        <v>131</v>
      </c>
      <c r="N25" s="44"/>
      <c r="O25" s="44"/>
    </row>
    <row r="26" spans="2:15">
      <c r="B26" s="44" t="s">
        <v>122</v>
      </c>
      <c r="C26" s="44" t="s">
        <v>6</v>
      </c>
      <c r="D26" s="45">
        <f>'P&amp;L'!D21-'Cash Flow'!D5</f>
        <v>689.83572047420967</v>
      </c>
      <c r="E26" s="44">
        <f>'P&amp;L'!E21-'Cash Flow'!E5</f>
        <v>565.08833643320941</v>
      </c>
      <c r="F26" s="44"/>
      <c r="G26" s="37">
        <f>'P&amp;L'!G21-'Cash Flow'!G5</f>
        <v>479.50560000000041</v>
      </c>
      <c r="H26" s="37">
        <f>'P&amp;L'!H21-'Cash Flow'!H5</f>
        <v>479.5055999999995</v>
      </c>
      <c r="I26" s="37">
        <f>'P&amp;L'!I21-'Cash Flow'!I5</f>
        <v>479.5055999999995</v>
      </c>
      <c r="J26" s="37">
        <f>'P&amp;L'!J21-'Cash Flow'!J5</f>
        <v>479.50560000000041</v>
      </c>
      <c r="K26" s="37">
        <f>'P&amp;L'!K21-'Cash Flow'!K5</f>
        <v>479.5055999999995</v>
      </c>
      <c r="L26" s="44"/>
      <c r="M26" s="11" t="s">
        <v>131</v>
      </c>
      <c r="N26" s="44"/>
      <c r="O26" s="44"/>
    </row>
    <row r="27" spans="2:15">
      <c r="B27" s="44" t="s">
        <v>123</v>
      </c>
      <c r="C27" s="44" t="s">
        <v>25</v>
      </c>
      <c r="D27" s="45">
        <f>BS!D19-BS!C19</f>
        <v>9352.3999999999942</v>
      </c>
      <c r="E27" s="45">
        <f>BS!E19-BS!D19</f>
        <v>475.39999999999418</v>
      </c>
      <c r="F27" s="44"/>
      <c r="G27" s="37">
        <f>BS!G19-BS!E19</f>
        <v>0</v>
      </c>
      <c r="H27" s="37">
        <f>BS!H19-BS!G19</f>
        <v>0</v>
      </c>
      <c r="I27" s="37">
        <f>BS!I19-BS!H19</f>
        <v>0</v>
      </c>
      <c r="J27" s="37">
        <f>BS!J19-BS!I19</f>
        <v>0</v>
      </c>
      <c r="K27" s="37">
        <f>BS!K19-BS!J19</f>
        <v>0</v>
      </c>
      <c r="L27" s="44"/>
      <c r="M27" s="11" t="s">
        <v>133</v>
      </c>
      <c r="N27" s="44"/>
      <c r="O27" s="44"/>
    </row>
    <row r="28" spans="2:15">
      <c r="B28" s="44" t="s">
        <v>124</v>
      </c>
      <c r="C28" s="44" t="s">
        <v>126</v>
      </c>
      <c r="D28" s="45">
        <f>BS!D21-BS!C21-'P&amp;L'!D24</f>
        <v>-4214.2613333332665</v>
      </c>
      <c r="E28" s="45">
        <f>BS!E21-BS!D21-'P&amp;L'!E24</f>
        <v>-12129.644000000022</v>
      </c>
      <c r="F28" s="44"/>
      <c r="G28" s="37">
        <f>BS!G21-BS!E21-'P&amp;L'!G24</f>
        <v>0</v>
      </c>
      <c r="H28" s="37">
        <f>BS!H21-BS!G21-'P&amp;L'!H24</f>
        <v>0</v>
      </c>
      <c r="I28" s="37">
        <f>BS!I21-BS!H21-'P&amp;L'!I24</f>
        <v>0</v>
      </c>
      <c r="J28" s="37">
        <f>BS!J21-BS!I21-'P&amp;L'!J24</f>
        <v>0</v>
      </c>
      <c r="K28" s="37">
        <f>BS!K21-BS!J21-'P&amp;L'!K24</f>
        <v>0</v>
      </c>
      <c r="L28" s="44"/>
      <c r="M28" s="11" t="s">
        <v>133</v>
      </c>
      <c r="N28" s="44"/>
      <c r="O28" s="44"/>
    </row>
    <row r="29" spans="2:15" ht="3.75" customHeight="1">
      <c r="B29" s="44"/>
      <c r="C29" s="44"/>
      <c r="D29" s="44"/>
      <c r="E29" s="44"/>
      <c r="F29" s="44"/>
      <c r="G29" s="37"/>
      <c r="H29" s="37"/>
      <c r="I29" s="37"/>
      <c r="J29" s="37"/>
      <c r="K29" s="37"/>
      <c r="L29" s="44"/>
      <c r="N29" s="44"/>
      <c r="O29" s="44"/>
    </row>
    <row r="30" spans="2:15">
      <c r="B30" s="68" t="s">
        <v>125</v>
      </c>
      <c r="C30" s="68"/>
      <c r="D30" s="69">
        <f>SUM(D23,D25,D26,D27,D28)</f>
        <v>7617.6000000000568</v>
      </c>
      <c r="E30" s="69">
        <f>SUM(E23,E25,E26,E27,E28)</f>
        <v>-11235.199999999988</v>
      </c>
      <c r="F30" s="68"/>
      <c r="G30" s="69">
        <f>SUM(G23,G25,G26,G27,G28)</f>
        <v>15572.939181652882</v>
      </c>
      <c r="H30" s="69">
        <f>SUM(H23,H25,H26,H27,H28)</f>
        <v>12168.331440704947</v>
      </c>
      <c r="I30" s="69">
        <f>SUM(I23,I25,I26,I27,I28)</f>
        <v>13391.636024775464</v>
      </c>
      <c r="J30" s="69">
        <f>SUM(J23,J25,J26,J27,J28)</f>
        <v>14737.271067252996</v>
      </c>
      <c r="K30" s="69">
        <f>SUM(K23,K25,K26,K27,K28)</f>
        <v>16217.469613978355</v>
      </c>
      <c r="L30" s="44"/>
      <c r="N30" s="44"/>
      <c r="O30" s="44"/>
    </row>
    <row r="31" spans="2:15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</row>
    <row r="32" spans="2:15">
      <c r="B32" s="58" t="s">
        <v>127</v>
      </c>
      <c r="C32" s="58"/>
      <c r="D32" s="59">
        <f>BS!C12</f>
        <v>11791.199999999999</v>
      </c>
      <c r="E32" s="59">
        <f>BS!D12</f>
        <v>19408.8</v>
      </c>
      <c r="F32" s="59"/>
      <c r="G32" s="59">
        <f>BS!E12</f>
        <v>8173.6</v>
      </c>
      <c r="H32" s="59">
        <f>BS!G12</f>
        <v>23746.539181652883</v>
      </c>
      <c r="I32" s="59">
        <f>BS!H12</f>
        <v>35914.870622357834</v>
      </c>
      <c r="J32" s="59">
        <f>BS!I12</f>
        <v>49306.506647133298</v>
      </c>
      <c r="K32" s="59">
        <f>BS!J12</f>
        <v>64043.777714386291</v>
      </c>
      <c r="L32" s="44"/>
    </row>
    <row r="33" spans="2:12">
      <c r="B33" s="58" t="s">
        <v>128</v>
      </c>
      <c r="C33" s="58"/>
      <c r="D33" s="59">
        <f>D30+D32</f>
        <v>19408.800000000054</v>
      </c>
      <c r="E33" s="59">
        <f>E30+E32</f>
        <v>8173.6000000000113</v>
      </c>
      <c r="F33" s="59"/>
      <c r="G33" s="59">
        <f>G30+G32</f>
        <v>23746.539181652883</v>
      </c>
      <c r="H33" s="59">
        <f>H30+H32</f>
        <v>35914.870622357834</v>
      </c>
      <c r="I33" s="59">
        <f>I30+I32</f>
        <v>49306.506647133298</v>
      </c>
      <c r="J33" s="59">
        <f>J30+J32</f>
        <v>64043.777714386291</v>
      </c>
      <c r="K33" s="59">
        <f>K30+K32</f>
        <v>80261.24732836464</v>
      </c>
      <c r="L33" s="44"/>
    </row>
    <row r="34" spans="2:12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</row>
    <row r="35" spans="2:12" outlineLevel="1">
      <c r="B35" s="81" t="s">
        <v>109</v>
      </c>
      <c r="C35" s="81"/>
      <c r="D35" s="82">
        <f>BS!D12</f>
        <v>19408.8</v>
      </c>
      <c r="E35" s="81">
        <f>BS!E12</f>
        <v>8173.6</v>
      </c>
      <c r="F35" s="81"/>
      <c r="G35" s="82">
        <f>BS!G12</f>
        <v>23746.539181652883</v>
      </c>
      <c r="H35" s="82">
        <f>BS!H12</f>
        <v>35914.870622357834</v>
      </c>
      <c r="I35" s="82">
        <f>BS!I12</f>
        <v>49306.506647133298</v>
      </c>
      <c r="J35" s="82">
        <f>BS!J12</f>
        <v>64043.777714386291</v>
      </c>
      <c r="K35" s="82">
        <f>BS!K12</f>
        <v>80261.24732836464</v>
      </c>
      <c r="L35" s="44"/>
    </row>
    <row r="36" spans="2:12" outlineLevel="1">
      <c r="B36" s="83"/>
      <c r="C36" s="83"/>
      <c r="D36" s="84">
        <f>D33-D35</f>
        <v>5.4569682106375694E-11</v>
      </c>
      <c r="E36" s="84">
        <f>E33-E35</f>
        <v>1.0913936421275139E-11</v>
      </c>
      <c r="F36" s="83"/>
      <c r="G36" s="83">
        <f>G33-G35</f>
        <v>0</v>
      </c>
      <c r="H36" s="83">
        <f>H33-H35</f>
        <v>0</v>
      </c>
      <c r="I36" s="83">
        <f>I33-I35</f>
        <v>0</v>
      </c>
      <c r="J36" s="83">
        <f>J33-J35</f>
        <v>0</v>
      </c>
      <c r="K36" s="83">
        <f>K33-K35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K30"/>
  <sheetViews>
    <sheetView workbookViewId="0">
      <selection activeCell="C31" sqref="C31"/>
    </sheetView>
  </sheetViews>
  <sheetFormatPr defaultRowHeight="12" outlineLevelRow="1"/>
  <cols>
    <col min="1" max="1" width="2" style="11" customWidth="1"/>
    <col min="2" max="2" width="31.5703125" style="11" bestFit="1" customWidth="1"/>
    <col min="3" max="3" width="9.140625" style="11" customWidth="1"/>
    <col min="4" max="4" width="9.5703125" style="11" bestFit="1" customWidth="1"/>
    <col min="5" max="5" width="9.140625" style="11"/>
    <col min="6" max="6" width="2" style="11" customWidth="1"/>
    <col min="7" max="11" width="9.140625" style="11"/>
    <col min="12" max="12" width="2" style="11" customWidth="1"/>
    <col min="13" max="15" width="9.140625" style="11"/>
    <col min="16" max="16" width="31" style="11" bestFit="1" customWidth="1"/>
    <col min="17" max="17" width="2" style="11" customWidth="1"/>
    <col min="18" max="19" width="9.140625" style="11"/>
    <col min="20" max="20" width="2" style="11" customWidth="1"/>
    <col min="21" max="16384" width="9.140625" style="11"/>
  </cols>
  <sheetData>
    <row r="1" spans="2:11" ht="15.75">
      <c r="B1" s="12" t="s">
        <v>28</v>
      </c>
      <c r="C1" s="12"/>
    </row>
    <row r="2" spans="2:11">
      <c r="B2" s="11" t="s">
        <v>79</v>
      </c>
    </row>
    <row r="3" spans="2:11" ht="24.75" thickBot="1">
      <c r="B3" s="17" t="s">
        <v>53</v>
      </c>
      <c r="C3" s="17"/>
      <c r="D3" s="18" t="s">
        <v>55</v>
      </c>
      <c r="E3" s="18" t="s">
        <v>56</v>
      </c>
      <c r="F3" s="22"/>
      <c r="G3" s="19" t="s">
        <v>57</v>
      </c>
      <c r="H3" s="19" t="s">
        <v>58</v>
      </c>
      <c r="I3" s="19" t="s">
        <v>59</v>
      </c>
      <c r="J3" s="19" t="s">
        <v>60</v>
      </c>
      <c r="K3" s="19" t="s">
        <v>61</v>
      </c>
    </row>
    <row r="4" spans="2:11">
      <c r="B4" s="11" t="s">
        <v>16</v>
      </c>
      <c r="D4" s="32">
        <f>INDEX('Cash Flow'!$1:$1048576,MATCH('Cash Flow diff. class.'!$B4,'Cash Flow'!$B:$B,0),MATCH('Cash Flow diff. class.'!D$3,'Cash Flow'!$3:$3,0))</f>
        <v>16564.136000000017</v>
      </c>
      <c r="E4" s="32">
        <f>INDEX('Cash Flow'!$1:$1048576,MATCH('Cash Flow diff. class.'!$B4,'Cash Flow'!$B:$B,0),MATCH('Cash Flow diff. class.'!E$3,'Cash Flow'!$3:$3,0))</f>
        <v>23130.213574602993</v>
      </c>
      <c r="G4" s="33">
        <f>INDEX('Cash Flow'!$1:$1048576,MATCH('Cash Flow diff. class.'!$B4,'Cash Flow'!$B:$B,0),MATCH('Cash Flow diff. class.'!G$3,'Cash Flow'!$3:$3,0))</f>
        <v>30089.312000000009</v>
      </c>
      <c r="H4" s="33">
        <f>INDEX('Cash Flow'!$1:$1048576,MATCH('Cash Flow diff. class.'!$B4,'Cash Flow'!$B:$B,0),MATCH('Cash Flow diff. class.'!H$3,'Cash Flow'!$3:$3,0))</f>
        <v>32839.743199999983</v>
      </c>
      <c r="I4" s="33">
        <f>INDEX('Cash Flow'!$1:$1048576,MATCH('Cash Flow diff. class.'!$B4,'Cash Flow'!$B:$B,0),MATCH('Cash Flow diff. class.'!I$3,'Cash Flow'!$3:$3,0))</f>
        <v>35865.217519999998</v>
      </c>
      <c r="J4" s="33">
        <f>INDEX('Cash Flow'!$1:$1048576,MATCH('Cash Flow diff. class.'!$B4,'Cash Flow'!$B:$B,0),MATCH('Cash Flow diff. class.'!J$3,'Cash Flow'!$3:$3,0))</f>
        <v>39193.239271999992</v>
      </c>
      <c r="K4" s="33">
        <f>INDEX('Cash Flow'!$1:$1048576,MATCH('Cash Flow diff. class.'!$B4,'Cash Flow'!$B:$B,0),MATCH('Cash Flow diff. class.'!K$3,'Cash Flow'!$3:$3,0))</f>
        <v>42854.063199200005</v>
      </c>
    </row>
    <row r="5" spans="2:11">
      <c r="B5" s="44" t="s">
        <v>129</v>
      </c>
      <c r="D5" s="32">
        <f>INDEX('Cash Flow'!$1:$1048576,MATCH('Cash Flow diff. class.'!$B5,'Cash Flow'!$B:$B,0),MATCH('Cash Flow diff. class.'!D$3,'Cash Flow'!$3:$3,0))</f>
        <v>4649.8</v>
      </c>
      <c r="E5" s="32">
        <f>INDEX('Cash Flow'!$1:$1048576,MATCH('Cash Flow diff. class.'!$B5,'Cash Flow'!$B:$B,0),MATCH('Cash Flow diff. class.'!E$3,'Cash Flow'!$3:$3,0))</f>
        <v>6430.6600000000008</v>
      </c>
      <c r="G5" s="33">
        <f>INDEX('Cash Flow'!$1:$1048576,MATCH('Cash Flow diff. class.'!$B5,'Cash Flow'!$B:$B,0),MATCH('Cash Flow diff. class.'!G$3,'Cash Flow'!$3:$3,0))</f>
        <v>4584.0520000000006</v>
      </c>
      <c r="H5" s="33">
        <f>INDEX('Cash Flow'!$1:$1048576,MATCH('Cash Flow diff. class.'!$B5,'Cash Flow'!$B:$B,0),MATCH('Cash Flow diff. class.'!H$3,'Cash Flow'!$3:$3,0))</f>
        <v>5042.4572000000007</v>
      </c>
      <c r="I5" s="33">
        <f>INDEX('Cash Flow'!$1:$1048576,MATCH('Cash Flow diff. class.'!$B5,'Cash Flow'!$B:$B,0),MATCH('Cash Flow diff. class.'!I$3,'Cash Flow'!$3:$3,0))</f>
        <v>5546.7029200000015</v>
      </c>
      <c r="J5" s="33">
        <f>INDEX('Cash Flow'!$1:$1048576,MATCH('Cash Flow diff. class.'!$B5,'Cash Flow'!$B:$B,0),MATCH('Cash Flow diff. class.'!J$3,'Cash Flow'!$3:$3,0))</f>
        <v>6101.3732120000022</v>
      </c>
      <c r="K5" s="33">
        <f>INDEX('Cash Flow'!$1:$1048576,MATCH('Cash Flow diff. class.'!$B5,'Cash Flow'!$B:$B,0),MATCH('Cash Flow diff. class.'!K$3,'Cash Flow'!$3:$3,0))</f>
        <v>6711.510533200003</v>
      </c>
    </row>
    <row r="6" spans="2:11">
      <c r="B6" s="11" t="s">
        <v>113</v>
      </c>
      <c r="D6" s="32">
        <f>INDEX('Cash Flow'!$1:$1048576,MATCH('Cash Flow diff. class.'!$B6,'Cash Flow'!$B:$B,0),MATCH('Cash Flow diff. class.'!D$3,'Cash Flow'!$3:$3,0))</f>
        <v>-3740.0277204742097</v>
      </c>
      <c r="E6" s="32">
        <f>INDEX('Cash Flow'!$1:$1048576,MATCH('Cash Flow diff. class.'!$B6,'Cash Flow'!$B:$B,0),MATCH('Cash Flow diff. class.'!E$3,'Cash Flow'!$3:$3,0))</f>
        <v>-4379.9683364332095</v>
      </c>
      <c r="G6" s="33">
        <f>INDEX('Cash Flow'!$1:$1048576,MATCH('Cash Flow diff. class.'!$B6,'Cash Flow'!$B:$B,0),MATCH('Cash Flow diff. class.'!G$3,'Cash Flow'!$3:$3,0))</f>
        <v>-5416.0761600000014</v>
      </c>
      <c r="H6" s="33">
        <f>INDEX('Cash Flow'!$1:$1048576,MATCH('Cash Flow diff. class.'!$B6,'Cash Flow'!$B:$B,0),MATCH('Cash Flow diff. class.'!H$3,'Cash Flow'!$3:$3,0))</f>
        <v>-5911.1537759999965</v>
      </c>
      <c r="I6" s="33">
        <f>INDEX('Cash Flow'!$1:$1048576,MATCH('Cash Flow diff. class.'!$B6,'Cash Flow'!$B:$B,0),MATCH('Cash Flow diff. class.'!I$3,'Cash Flow'!$3:$3,0))</f>
        <v>-6455.7391535999996</v>
      </c>
      <c r="J6" s="33">
        <f>INDEX('Cash Flow'!$1:$1048576,MATCH('Cash Flow diff. class.'!$B6,'Cash Flow'!$B:$B,0),MATCH('Cash Flow diff. class.'!J$3,'Cash Flow'!$3:$3,0))</f>
        <v>-7054.7830689599987</v>
      </c>
      <c r="K6" s="33">
        <f>INDEX('Cash Flow'!$1:$1048576,MATCH('Cash Flow diff. class.'!$B6,'Cash Flow'!$B:$B,0),MATCH('Cash Flow diff. class.'!K$3,'Cash Flow'!$3:$3,0))</f>
        <v>-7713.7313758560003</v>
      </c>
    </row>
    <row r="7" spans="2:11">
      <c r="B7" s="44" t="s">
        <v>122</v>
      </c>
      <c r="D7" s="32">
        <f>INDEX('Cash Flow'!$1:$1048576,MATCH('Cash Flow diff. class.'!$B7,'Cash Flow'!$B:$B,0),MATCH('Cash Flow diff. class.'!D$3,'Cash Flow'!$3:$3,0))</f>
        <v>689.83572047420967</v>
      </c>
      <c r="E7" s="32">
        <f>INDEX('Cash Flow'!$1:$1048576,MATCH('Cash Flow diff. class.'!$B7,'Cash Flow'!$B:$B,0),MATCH('Cash Flow diff. class.'!E$3,'Cash Flow'!$3:$3,0))</f>
        <v>565.08833643320941</v>
      </c>
      <c r="G7" s="33">
        <f>INDEX('Cash Flow'!$1:$1048576,MATCH('Cash Flow diff. class.'!$B7,'Cash Flow'!$B:$B,0),MATCH('Cash Flow diff. class.'!G$3,'Cash Flow'!$3:$3,0))</f>
        <v>479.50560000000041</v>
      </c>
      <c r="H7" s="33">
        <f>INDEX('Cash Flow'!$1:$1048576,MATCH('Cash Flow diff. class.'!$B7,'Cash Flow'!$B:$B,0),MATCH('Cash Flow diff. class.'!H$3,'Cash Flow'!$3:$3,0))</f>
        <v>479.5055999999995</v>
      </c>
      <c r="I7" s="33">
        <f>INDEX('Cash Flow'!$1:$1048576,MATCH('Cash Flow diff. class.'!$B7,'Cash Flow'!$B:$B,0),MATCH('Cash Flow diff. class.'!I$3,'Cash Flow'!$3:$3,0))</f>
        <v>479.5055999999995</v>
      </c>
      <c r="J7" s="33">
        <f>INDEX('Cash Flow'!$1:$1048576,MATCH('Cash Flow diff. class.'!$B7,'Cash Flow'!$B:$B,0),MATCH('Cash Flow diff. class.'!J$3,'Cash Flow'!$3:$3,0))</f>
        <v>479.50560000000041</v>
      </c>
      <c r="K7" s="33">
        <f>INDEX('Cash Flow'!$1:$1048576,MATCH('Cash Flow diff. class.'!$B7,'Cash Flow'!$B:$B,0),MATCH('Cash Flow diff. class.'!K$3,'Cash Flow'!$3:$3,0))</f>
        <v>479.5055999999995</v>
      </c>
    </row>
    <row r="8" spans="2:11">
      <c r="B8" s="44" t="s">
        <v>102</v>
      </c>
      <c r="D8" s="32">
        <f>INDEX('Cash Flow'!$1:$1048576,MATCH('Cash Flow diff. class.'!$B8,'Cash Flow'!$B:$B,0),MATCH('Cash Flow diff. class.'!D$3,'Cash Flow'!$3:$3,0))</f>
        <v>-2190.9</v>
      </c>
      <c r="E8" s="32">
        <f>INDEX('Cash Flow'!$1:$1048576,MATCH('Cash Flow diff. class.'!$B8,'Cash Flow'!$B:$B,0),MATCH('Cash Flow diff. class.'!E$3,'Cash Flow'!$3:$3,0))</f>
        <v>-2663.92</v>
      </c>
      <c r="G8" s="33">
        <f>INDEX('Cash Flow'!$1:$1048576,MATCH('Cash Flow diff. class.'!$B8,'Cash Flow'!$B:$B,0),MATCH('Cash Flow diff. class.'!G$3,'Cash Flow'!$3:$3,0))</f>
        <v>-2663.92</v>
      </c>
      <c r="H8" s="33">
        <f>INDEX('Cash Flow'!$1:$1048576,MATCH('Cash Flow diff. class.'!$B8,'Cash Flow'!$B:$B,0),MATCH('Cash Flow diff. class.'!H$3,'Cash Flow'!$3:$3,0))</f>
        <v>-2663.92</v>
      </c>
      <c r="I8" s="33">
        <f>INDEX('Cash Flow'!$1:$1048576,MATCH('Cash Flow diff. class.'!$B8,'Cash Flow'!$B:$B,0),MATCH('Cash Flow diff. class.'!I$3,'Cash Flow'!$3:$3,0))</f>
        <v>-2663.92</v>
      </c>
      <c r="J8" s="33">
        <f>INDEX('Cash Flow'!$1:$1048576,MATCH('Cash Flow diff. class.'!$B8,'Cash Flow'!$B:$B,0),MATCH('Cash Flow diff. class.'!J$3,'Cash Flow'!$3:$3,0))</f>
        <v>-2663.92</v>
      </c>
      <c r="K8" s="33">
        <f>INDEX('Cash Flow'!$1:$1048576,MATCH('Cash Flow diff. class.'!$B8,'Cash Flow'!$B:$B,0),MATCH('Cash Flow diff. class.'!K$3,'Cash Flow'!$3:$3,0))</f>
        <v>-2663.92</v>
      </c>
    </row>
    <row r="9" spans="2:11">
      <c r="B9" s="44" t="s">
        <v>103</v>
      </c>
      <c r="D9" s="32">
        <f>INDEX('Cash Flow'!$1:$1048576,MATCH('Cash Flow diff. class.'!$B9,'Cash Flow'!$B:$B,0),MATCH('Cash Flow diff. class.'!D$3,'Cash Flow'!$3:$3,0))</f>
        <v>-864.30000000000007</v>
      </c>
      <c r="E9" s="32">
        <f>INDEX('Cash Flow'!$1:$1048576,MATCH('Cash Flow diff. class.'!$B9,'Cash Flow'!$B:$B,0),MATCH('Cash Flow diff. class.'!E$3,'Cash Flow'!$3:$3,0))</f>
        <v>-320.26</v>
      </c>
      <c r="G9" s="33">
        <f>INDEX('Cash Flow'!$1:$1048576,MATCH('Cash Flow diff. class.'!$B9,'Cash Flow'!$B:$B,0),MATCH('Cash Flow diff. class.'!G$3,'Cash Flow'!$3:$3,0))</f>
        <v>0</v>
      </c>
      <c r="H9" s="33">
        <f>INDEX('Cash Flow'!$1:$1048576,MATCH('Cash Flow diff. class.'!$B9,'Cash Flow'!$B:$B,0),MATCH('Cash Flow diff. class.'!H$3,'Cash Flow'!$3:$3,0))</f>
        <v>0</v>
      </c>
      <c r="I9" s="33">
        <f>INDEX('Cash Flow'!$1:$1048576,MATCH('Cash Flow diff. class.'!$B9,'Cash Flow'!$B:$B,0),MATCH('Cash Flow diff. class.'!I$3,'Cash Flow'!$3:$3,0))</f>
        <v>0</v>
      </c>
      <c r="J9" s="33">
        <f>INDEX('Cash Flow'!$1:$1048576,MATCH('Cash Flow diff. class.'!$B9,'Cash Flow'!$B:$B,0),MATCH('Cash Flow diff. class.'!J$3,'Cash Flow'!$3:$3,0))</f>
        <v>0</v>
      </c>
      <c r="K9" s="33">
        <f>INDEX('Cash Flow'!$1:$1048576,MATCH('Cash Flow diff. class.'!$B9,'Cash Flow'!$B:$B,0),MATCH('Cash Flow diff. class.'!K$3,'Cash Flow'!$3:$3,0))</f>
        <v>0</v>
      </c>
    </row>
    <row r="10" spans="2:11">
      <c r="B10" s="11" t="s">
        <v>32</v>
      </c>
      <c r="D10" s="32">
        <f>INDEX('Cash Flow'!$1:$1048576,MATCH('Cash Flow diff. class.'!$B10,'Cash Flow'!$B:$B,0),MATCH('Cash Flow diff. class.'!D$3,'Cash Flow'!$3:$3,0))</f>
        <v>-5229.6000000000022</v>
      </c>
      <c r="E10" s="32">
        <f>INDEX('Cash Flow'!$1:$1048576,MATCH('Cash Flow diff. class.'!$B10,'Cash Flow'!$B:$B,0),MATCH('Cash Flow diff. class.'!E$3,'Cash Flow'!$3:$3,0))</f>
        <v>-9815.1999999999971</v>
      </c>
      <c r="G10" s="33">
        <f>INDEX('Cash Flow'!$1:$1048576,MATCH('Cash Flow diff. class.'!$B10,'Cash Flow'!$B:$B,0),MATCH('Cash Flow diff. class.'!G$3,'Cash Flow'!$3:$3,0))</f>
        <v>-4890.6705119757535</v>
      </c>
      <c r="H10" s="33">
        <f>INDEX('Cash Flow'!$1:$1048576,MATCH('Cash Flow diff. class.'!$B10,'Cash Flow'!$B:$B,0),MATCH('Cash Flow diff. class.'!H$3,'Cash Flow'!$3:$3,0))</f>
        <v>-5110.2670511975884</v>
      </c>
      <c r="I10" s="33">
        <f>INDEX('Cash Flow'!$1:$1048576,MATCH('Cash Flow diff. class.'!$B10,'Cash Flow'!$B:$B,0),MATCH('Cash Flow diff. class.'!I$3,'Cash Flow'!$3:$3,0))</f>
        <v>-5621.2937563173473</v>
      </c>
      <c r="J10" s="33">
        <f>INDEX('Cash Flow'!$1:$1048576,MATCH('Cash Flow diff. class.'!$B10,'Cash Flow'!$B:$B,0),MATCH('Cash Flow diff. class.'!J$3,'Cash Flow'!$3:$3,0))</f>
        <v>-6183.4231319490791</v>
      </c>
      <c r="K10" s="33">
        <f>INDEX('Cash Flow'!$1:$1048576,MATCH('Cash Flow diff. class.'!$B10,'Cash Flow'!$B:$B,0),MATCH('Cash Flow diff. class.'!K$3,'Cash Flow'!$3:$3,0))</f>
        <v>-6801.7654451439739</v>
      </c>
    </row>
    <row r="11" spans="2:11">
      <c r="B11" s="11" t="s">
        <v>30</v>
      </c>
      <c r="D11" s="32">
        <f>INDEX('Cash Flow'!$1:$1048576,MATCH('Cash Flow diff. class.'!$B11,'Cash Flow'!$B:$B,0),MATCH('Cash Flow diff. class.'!D$3,'Cash Flow'!$3:$3,0))</f>
        <v>-5672.4000000000015</v>
      </c>
      <c r="E11" s="32">
        <f>INDEX('Cash Flow'!$1:$1048576,MATCH('Cash Flow diff. class.'!$B11,'Cash Flow'!$B:$B,0),MATCH('Cash Flow diff. class.'!E$3,'Cash Flow'!$3:$3,0))</f>
        <v>-5025.5999999999985</v>
      </c>
      <c r="G11" s="33">
        <f>INDEX('Cash Flow'!$1:$1048576,MATCH('Cash Flow diff. class.'!$B11,'Cash Flow'!$B:$B,0),MATCH('Cash Flow diff. class.'!G$3,'Cash Flow'!$3:$3,0))</f>
        <v>-4358.1599999999962</v>
      </c>
      <c r="H11" s="33">
        <f>INDEX('Cash Flow'!$1:$1048576,MATCH('Cash Flow diff. class.'!$B11,'Cash Flow'!$B:$B,0),MATCH('Cash Flow diff. class.'!H$3,'Cash Flow'!$3:$3,0))</f>
        <v>-4793.9760000000097</v>
      </c>
      <c r="I11" s="33">
        <f>INDEX('Cash Flow'!$1:$1048576,MATCH('Cash Flow diff. class.'!$B11,'Cash Flow'!$B:$B,0),MATCH('Cash Flow diff. class.'!I$3,'Cash Flow'!$3:$3,0))</f>
        <v>-5273.3736000000063</v>
      </c>
      <c r="J11" s="33">
        <f>INDEX('Cash Flow'!$1:$1048576,MATCH('Cash Flow diff. class.'!$B11,'Cash Flow'!$B:$B,0),MATCH('Cash Flow diff. class.'!J$3,'Cash Flow'!$3:$3,0))</f>
        <v>-5800.7109600000113</v>
      </c>
      <c r="K11" s="33">
        <f>INDEX('Cash Flow'!$1:$1048576,MATCH('Cash Flow diff. class.'!$B11,'Cash Flow'!$B:$B,0),MATCH('Cash Flow diff. class.'!K$3,'Cash Flow'!$3:$3,0))</f>
        <v>-6380.7820559999964</v>
      </c>
    </row>
    <row r="12" spans="2:11">
      <c r="B12" s="11" t="s">
        <v>115</v>
      </c>
      <c r="D12" s="32">
        <f>INDEX('Cash Flow'!$1:$1048576,MATCH('Cash Flow diff. class.'!$B12,'Cash Flow'!$B:$B,0),MATCH('Cash Flow diff. class.'!D$3,'Cash Flow'!$3:$3,0))</f>
        <v>10460.399999999998</v>
      </c>
      <c r="E12" s="32">
        <f>INDEX('Cash Flow'!$1:$1048576,MATCH('Cash Flow diff. class.'!$B12,'Cash Flow'!$B:$B,0),MATCH('Cash Flow diff. class.'!E$3,'Cash Flow'!$3:$3,0))</f>
        <v>9838</v>
      </c>
      <c r="G12" s="33">
        <f>INDEX('Cash Flow'!$1:$1048576,MATCH('Cash Flow diff. class.'!$B12,'Cash Flow'!$B:$B,0),MATCH('Cash Flow diff. class.'!G$3,'Cash Flow'!$3:$3,0))</f>
        <v>3829.988088812388</v>
      </c>
      <c r="H12" s="33">
        <f>INDEX('Cash Flow'!$1:$1048576,MATCH('Cash Flow diff. class.'!$B12,'Cash Flow'!$B:$B,0),MATCH('Cash Flow diff. class.'!H$3,'Cash Flow'!$3:$3,0))</f>
        <v>4001.9588088812379</v>
      </c>
      <c r="I12" s="33">
        <f>INDEX('Cash Flow'!$1:$1048576,MATCH('Cash Flow diff. class.'!$B12,'Cash Flow'!$B:$B,0),MATCH('Cash Flow diff. class.'!I$3,'Cash Flow'!$3:$3,0))</f>
        <v>4402.1546897693697</v>
      </c>
      <c r="J12" s="33">
        <f>INDEX('Cash Flow'!$1:$1048576,MATCH('Cash Flow diff. class.'!$B12,'Cash Flow'!$B:$B,0),MATCH('Cash Flow diff. class.'!J$3,'Cash Flow'!$3:$3,0))</f>
        <v>4842.3701587463074</v>
      </c>
      <c r="K12" s="33">
        <f>INDEX('Cash Flow'!$1:$1048576,MATCH('Cash Flow diff. class.'!$B12,'Cash Flow'!$B:$B,0),MATCH('Cash Flow diff. class.'!K$3,'Cash Flow'!$3:$3,0))</f>
        <v>5326.6071746209345</v>
      </c>
    </row>
    <row r="13" spans="2:11">
      <c r="B13" s="70" t="s">
        <v>134</v>
      </c>
      <c r="C13" s="86"/>
      <c r="D13" s="88">
        <f>SUM(D4:D12)</f>
        <v>14666.944000000012</v>
      </c>
      <c r="E13" s="88">
        <f>SUM(E4:E12)</f>
        <v>17759.013574603003</v>
      </c>
      <c r="F13" s="86"/>
      <c r="G13" s="90">
        <f t="shared" ref="G13:K13" si="0">SUM(G4:G12)</f>
        <v>21654.031016836649</v>
      </c>
      <c r="H13" s="90">
        <f t="shared" si="0"/>
        <v>23884.347981683633</v>
      </c>
      <c r="I13" s="90">
        <f t="shared" si="0"/>
        <v>26279.254219852017</v>
      </c>
      <c r="J13" s="90">
        <f t="shared" si="0"/>
        <v>28913.651081837212</v>
      </c>
      <c r="K13" s="90">
        <f t="shared" si="0"/>
        <v>31811.487630020973</v>
      </c>
    </row>
    <row r="14" spans="2:11">
      <c r="D14" s="32"/>
      <c r="E14" s="32"/>
      <c r="G14" s="85"/>
      <c r="H14" s="85"/>
      <c r="I14" s="85"/>
      <c r="J14" s="85"/>
      <c r="K14" s="85"/>
    </row>
    <row r="15" spans="2:11">
      <c r="B15" s="44" t="s">
        <v>117</v>
      </c>
      <c r="D15" s="32">
        <f>INDEX('Cash Flow'!$1:$1048576,MATCH('Cash Flow diff. class.'!$B15,'Cash Flow'!$B:$B,0),MATCH('Cash Flow diff. class.'!D$3,'Cash Flow'!$3:$3,0))</f>
        <v>-2686.2826666666824</v>
      </c>
      <c r="E15" s="32">
        <f>INDEX('Cash Flow'!$1:$1048576,MATCH('Cash Flow diff. class.'!$B15,'Cash Flow'!$B:$B,0),MATCH('Cash Flow diff. class.'!E$3,'Cash Flow'!$3:$3,0))</f>
        <v>-3570.5095746029638</v>
      </c>
      <c r="G15" s="33">
        <f>INDEX('Cash Flow'!$1:$1048576,MATCH('Cash Flow diff. class.'!$B15,'Cash Flow'!$B:$B,0),MATCH('Cash Flow diff. class.'!G$3,'Cash Flow'!$3:$3,0))</f>
        <v>2291.7789341974194</v>
      </c>
      <c r="H15" s="33">
        <f>INDEX('Cash Flow'!$1:$1048576,MATCH('Cash Flow diff. class.'!$B15,'Cash Flow'!$B:$B,0),MATCH('Cash Flow diff. class.'!H$3,'Cash Flow'!$3:$3,0))</f>
        <v>-683.75746404055371</v>
      </c>
      <c r="I15" s="33">
        <f>INDEX('Cash Flow'!$1:$1048576,MATCH('Cash Flow diff. class.'!$B15,'Cash Flow'!$B:$B,0),MATCH('Cash Flow diff. class.'!I$3,'Cash Flow'!$3:$3,0))</f>
        <v>-752.13321044460827</v>
      </c>
      <c r="J15" s="33">
        <f>INDEX('Cash Flow'!$1:$1048576,MATCH('Cash Flow diff. class.'!$B15,'Cash Flow'!$B:$B,0),MATCH('Cash Flow diff. class.'!J$3,'Cash Flow'!$3:$3,0))</f>
        <v>-827.34653148907455</v>
      </c>
      <c r="K15" s="33">
        <f>INDEX('Cash Flow'!$1:$1048576,MATCH('Cash Flow diff. class.'!$B15,'Cash Flow'!$B:$B,0),MATCH('Cash Flow diff. class.'!K$3,'Cash Flow'!$3:$3,0))</f>
        <v>-910.08118463797837</v>
      </c>
    </row>
    <row r="16" spans="2:11">
      <c r="B16" s="11" t="s">
        <v>118</v>
      </c>
      <c r="D16" s="32">
        <f>INDEX('Cash Flow'!$1:$1048576,MATCH('Cash Flow diff. class.'!$B16,'Cash Flow'!$B:$B,0),MATCH('Cash Flow diff. class.'!D$3,'Cash Flow'!$3:$3,0))</f>
        <v>-8615.7999999999993</v>
      </c>
      <c r="E16" s="32">
        <f>INDEX('Cash Flow'!$1:$1048576,MATCH('Cash Flow diff. class.'!$B16,'Cash Flow'!$B:$B,0),MATCH('Cash Flow diff. class.'!E$3,'Cash Flow'!$3:$3,0))</f>
        <v>-13467.459999999995</v>
      </c>
      <c r="G16" s="33">
        <f>INDEX('Cash Flow'!$1:$1048576,MATCH('Cash Flow diff. class.'!$B16,'Cash Flow'!$B:$B,0),MATCH('Cash Flow diff. class.'!G$3,'Cash Flow'!$3:$3,0))</f>
        <v>-8372.8707693811848</v>
      </c>
      <c r="H16" s="33">
        <f>INDEX('Cash Flow'!$1:$1048576,MATCH('Cash Flow diff. class.'!$B16,'Cash Flow'!$B:$B,0),MATCH('Cash Flow diff. class.'!H$3,'Cash Flow'!$3:$3,0))</f>
        <v>-11032.259076938124</v>
      </c>
      <c r="I16" s="33">
        <f>INDEX('Cash Flow'!$1:$1048576,MATCH('Cash Flow diff. class.'!$B16,'Cash Flow'!$B:$B,0),MATCH('Cash Flow diff. class.'!I$3,'Cash Flow'!$3:$3,0))</f>
        <v>-12135.484984631947</v>
      </c>
      <c r="J16" s="33">
        <f>INDEX('Cash Flow'!$1:$1048576,MATCH('Cash Flow diff. class.'!$B16,'Cash Flow'!$B:$B,0),MATCH('Cash Flow diff. class.'!J$3,'Cash Flow'!$3:$3,0))</f>
        <v>-13349.033483095143</v>
      </c>
      <c r="K16" s="33">
        <f>INDEX('Cash Flow'!$1:$1048576,MATCH('Cash Flow diff. class.'!$B16,'Cash Flow'!$B:$B,0),MATCH('Cash Flow diff. class.'!K$3,'Cash Flow'!$3:$3,0))</f>
        <v>-14683.936831404637</v>
      </c>
    </row>
    <row r="17" spans="2:11" ht="12" customHeight="1">
      <c r="B17" s="11" t="s">
        <v>119</v>
      </c>
      <c r="D17" s="32">
        <f>INDEX('Cash Flow'!$1:$1048576,MATCH('Cash Flow diff. class.'!$B17,'Cash Flow'!$B:$B,0),MATCH('Cash Flow diff. class.'!D$3,'Cash Flow'!$3:$3,0))</f>
        <v>-885.39999999999964</v>
      </c>
      <c r="E17" s="32">
        <f>INDEX('Cash Flow'!$1:$1048576,MATCH('Cash Flow diff. class.'!$B17,'Cash Flow'!$B:$B,0),MATCH('Cash Flow diff. class.'!E$3,'Cash Flow'!$3:$3,0))</f>
        <v>-302</v>
      </c>
      <c r="G17" s="33">
        <f>INDEX('Cash Flow'!$1:$1048576,MATCH('Cash Flow diff. class.'!$B17,'Cash Flow'!$B:$B,0),MATCH('Cash Flow diff. class.'!G$3,'Cash Flow'!$3:$3,0))</f>
        <v>0</v>
      </c>
      <c r="H17" s="33">
        <f>INDEX('Cash Flow'!$1:$1048576,MATCH('Cash Flow diff. class.'!$B17,'Cash Flow'!$B:$B,0),MATCH('Cash Flow diff. class.'!H$3,'Cash Flow'!$3:$3,0))</f>
        <v>0</v>
      </c>
      <c r="I17" s="33">
        <f>INDEX('Cash Flow'!$1:$1048576,MATCH('Cash Flow diff. class.'!$B17,'Cash Flow'!$B:$B,0),MATCH('Cash Flow diff. class.'!I$3,'Cash Flow'!$3:$3,0))</f>
        <v>0</v>
      </c>
      <c r="J17" s="33">
        <f>INDEX('Cash Flow'!$1:$1048576,MATCH('Cash Flow diff. class.'!$B17,'Cash Flow'!$B:$B,0),MATCH('Cash Flow diff. class.'!J$3,'Cash Flow'!$3:$3,0))</f>
        <v>0</v>
      </c>
      <c r="K17" s="33">
        <f>INDEX('Cash Flow'!$1:$1048576,MATCH('Cash Flow diff. class.'!$B17,'Cash Flow'!$B:$B,0),MATCH('Cash Flow diff. class.'!K$3,'Cash Flow'!$3:$3,0))</f>
        <v>0</v>
      </c>
    </row>
    <row r="18" spans="2:11">
      <c r="B18" s="70" t="s">
        <v>135</v>
      </c>
      <c r="C18" s="86"/>
      <c r="D18" s="88">
        <f>SUM(D15:D17)</f>
        <v>-12187.482666666681</v>
      </c>
      <c r="E18" s="88">
        <f>SUM(E15:E17)</f>
        <v>-17339.969574602961</v>
      </c>
      <c r="F18" s="86"/>
      <c r="G18" s="90">
        <f t="shared" ref="G18:K18" si="1">SUM(G15:G17)</f>
        <v>-6081.0918351837654</v>
      </c>
      <c r="H18" s="90">
        <f t="shared" si="1"/>
        <v>-11716.016540978679</v>
      </c>
      <c r="I18" s="90">
        <f t="shared" si="1"/>
        <v>-12887.618195076555</v>
      </c>
      <c r="J18" s="90">
        <f t="shared" si="1"/>
        <v>-14176.380014584218</v>
      </c>
      <c r="K18" s="90">
        <f t="shared" si="1"/>
        <v>-15594.018016042615</v>
      </c>
    </row>
    <row r="19" spans="2:11" ht="3.75" customHeight="1">
      <c r="D19" s="32"/>
      <c r="E19" s="32"/>
      <c r="G19" s="85"/>
      <c r="H19" s="85"/>
      <c r="I19" s="85"/>
      <c r="J19" s="85"/>
      <c r="K19" s="85"/>
    </row>
    <row r="20" spans="2:11">
      <c r="D20" s="32"/>
      <c r="E20" s="32"/>
      <c r="G20" s="85"/>
      <c r="H20" s="85"/>
      <c r="I20" s="85"/>
      <c r="J20" s="85"/>
      <c r="K20" s="85"/>
    </row>
    <row r="21" spans="2:11">
      <c r="B21" s="44" t="s">
        <v>123</v>
      </c>
      <c r="D21" s="32">
        <f>INDEX('Cash Flow'!$1:$1048576,MATCH('Cash Flow diff. class.'!$B21,'Cash Flow'!$B:$B,0),MATCH('Cash Flow diff. class.'!D$3,'Cash Flow'!$3:$3,0))</f>
        <v>9352.3999999999942</v>
      </c>
      <c r="E21" s="32">
        <f>INDEX('Cash Flow'!$1:$1048576,MATCH('Cash Flow diff. class.'!$B21,'Cash Flow'!$B:$B,0),MATCH('Cash Flow diff. class.'!E$3,'Cash Flow'!$3:$3,0))</f>
        <v>475.39999999999418</v>
      </c>
      <c r="G21" s="85">
        <f>INDEX('Cash Flow'!$1:$1048576,MATCH('Cash Flow diff. class.'!$B21,'Cash Flow'!$B:$B,0),MATCH('Cash Flow diff. class.'!G$3,'Cash Flow'!$3:$3,0))</f>
        <v>0</v>
      </c>
      <c r="H21" s="85">
        <f>INDEX('Cash Flow'!$1:$1048576,MATCH('Cash Flow diff. class.'!$B21,'Cash Flow'!$B:$B,0),MATCH('Cash Flow diff. class.'!H$3,'Cash Flow'!$3:$3,0))</f>
        <v>0</v>
      </c>
      <c r="I21" s="85">
        <f>INDEX('Cash Flow'!$1:$1048576,MATCH('Cash Flow diff. class.'!$B21,'Cash Flow'!$B:$B,0),MATCH('Cash Flow diff. class.'!I$3,'Cash Flow'!$3:$3,0))</f>
        <v>0</v>
      </c>
      <c r="J21" s="85">
        <f>INDEX('Cash Flow'!$1:$1048576,MATCH('Cash Flow diff. class.'!$B21,'Cash Flow'!$B:$B,0),MATCH('Cash Flow diff. class.'!J$3,'Cash Flow'!$3:$3,0))</f>
        <v>0</v>
      </c>
      <c r="K21" s="85">
        <f>INDEX('Cash Flow'!$1:$1048576,MATCH('Cash Flow diff. class.'!$B21,'Cash Flow'!$B:$B,0),MATCH('Cash Flow diff. class.'!K$3,'Cash Flow'!$3:$3,0))</f>
        <v>0</v>
      </c>
    </row>
    <row r="22" spans="2:11">
      <c r="B22" s="44" t="s">
        <v>124</v>
      </c>
      <c r="D22" s="32">
        <f>INDEX('Cash Flow'!$1:$1048576,MATCH('Cash Flow diff. class.'!$B22,'Cash Flow'!$B:$B,0),MATCH('Cash Flow diff. class.'!D$3,'Cash Flow'!$3:$3,0))</f>
        <v>-4214.2613333332665</v>
      </c>
      <c r="E22" s="32">
        <f>INDEX('Cash Flow'!$1:$1048576,MATCH('Cash Flow diff. class.'!$B22,'Cash Flow'!$B:$B,0),MATCH('Cash Flow diff. class.'!E$3,'Cash Flow'!$3:$3,0))</f>
        <v>-12129.644000000022</v>
      </c>
      <c r="G22" s="85">
        <f>INDEX('Cash Flow'!$1:$1048576,MATCH('Cash Flow diff. class.'!$B22,'Cash Flow'!$B:$B,0),MATCH('Cash Flow diff. class.'!G$3,'Cash Flow'!$3:$3,0))</f>
        <v>0</v>
      </c>
      <c r="H22" s="85">
        <f>INDEX('Cash Flow'!$1:$1048576,MATCH('Cash Flow diff. class.'!$B22,'Cash Flow'!$B:$B,0),MATCH('Cash Flow diff. class.'!H$3,'Cash Flow'!$3:$3,0))</f>
        <v>0</v>
      </c>
      <c r="I22" s="85">
        <f>INDEX('Cash Flow'!$1:$1048576,MATCH('Cash Flow diff. class.'!$B22,'Cash Flow'!$B:$B,0),MATCH('Cash Flow diff. class.'!I$3,'Cash Flow'!$3:$3,0))</f>
        <v>0</v>
      </c>
      <c r="J22" s="85">
        <f>INDEX('Cash Flow'!$1:$1048576,MATCH('Cash Flow diff. class.'!$B22,'Cash Flow'!$B:$B,0),MATCH('Cash Flow diff. class.'!J$3,'Cash Flow'!$3:$3,0))</f>
        <v>0</v>
      </c>
      <c r="K22" s="85">
        <f>INDEX('Cash Flow'!$1:$1048576,MATCH('Cash Flow diff. class.'!$B22,'Cash Flow'!$B:$B,0),MATCH('Cash Flow diff. class.'!K$3,'Cash Flow'!$3:$3,0))</f>
        <v>0</v>
      </c>
    </row>
    <row r="23" spans="2:11">
      <c r="B23" s="70" t="s">
        <v>136</v>
      </c>
      <c r="C23" s="86"/>
      <c r="D23" s="88">
        <f>SUM(D21:D22)</f>
        <v>5138.1386666667277</v>
      </c>
      <c r="E23" s="88">
        <f>SUM(E21:E22)</f>
        <v>-11654.244000000028</v>
      </c>
      <c r="F23" s="86"/>
      <c r="G23" s="87">
        <f t="shared" ref="G23:K23" si="2">SUM(G21:G22)</f>
        <v>0</v>
      </c>
      <c r="H23" s="87">
        <f t="shared" si="2"/>
        <v>0</v>
      </c>
      <c r="I23" s="87">
        <f t="shared" si="2"/>
        <v>0</v>
      </c>
      <c r="J23" s="87">
        <f t="shared" si="2"/>
        <v>0</v>
      </c>
      <c r="K23" s="87">
        <f t="shared" si="2"/>
        <v>0</v>
      </c>
    </row>
    <row r="24" spans="2:11">
      <c r="D24" s="32"/>
      <c r="E24" s="32"/>
      <c r="G24" s="85"/>
      <c r="H24" s="85"/>
      <c r="I24" s="85"/>
      <c r="J24" s="85"/>
      <c r="K24" s="85"/>
    </row>
    <row r="25" spans="2:11">
      <c r="B25" s="68" t="s">
        <v>125</v>
      </c>
      <c r="C25" s="68"/>
      <c r="D25" s="89">
        <f>D23+D18+D13</f>
        <v>7617.6000000000586</v>
      </c>
      <c r="E25" s="89">
        <f>E23+E18+E13</f>
        <v>-11235.199999999986</v>
      </c>
      <c r="F25" s="68"/>
      <c r="G25" s="69">
        <f t="shared" ref="G25:K25" si="3">G23+G18+G13</f>
        <v>15572.939181652884</v>
      </c>
      <c r="H25" s="69">
        <f t="shared" si="3"/>
        <v>12168.331440704955</v>
      </c>
      <c r="I25" s="69">
        <f t="shared" si="3"/>
        <v>13391.636024775462</v>
      </c>
      <c r="J25" s="69">
        <f t="shared" si="3"/>
        <v>14737.271067252994</v>
      </c>
      <c r="K25" s="69">
        <f t="shared" si="3"/>
        <v>16217.469613978357</v>
      </c>
    </row>
    <row r="27" spans="2:11">
      <c r="B27" s="83" t="s">
        <v>109</v>
      </c>
      <c r="C27" s="83"/>
      <c r="D27" s="91">
        <f>'Cash Flow'!D30</f>
        <v>7617.6000000000568</v>
      </c>
      <c r="E27" s="91">
        <f>'Cash Flow'!E30</f>
        <v>-11235.199999999988</v>
      </c>
      <c r="F27" s="83"/>
      <c r="G27" s="91">
        <f>'Cash Flow'!G30</f>
        <v>15572.939181652882</v>
      </c>
      <c r="H27" s="91">
        <f>'Cash Flow'!H30</f>
        <v>12168.331440704947</v>
      </c>
      <c r="I27" s="91">
        <f>'Cash Flow'!I30</f>
        <v>13391.636024775464</v>
      </c>
      <c r="J27" s="91">
        <f>'Cash Flow'!J30</f>
        <v>14737.271067252996</v>
      </c>
      <c r="K27" s="91">
        <f>'Cash Flow'!K30</f>
        <v>16217.469613978355</v>
      </c>
    </row>
    <row r="28" spans="2:11">
      <c r="B28" s="83"/>
      <c r="C28" s="83"/>
      <c r="D28" s="83">
        <f>D25-D27</f>
        <v>0</v>
      </c>
      <c r="E28" s="83">
        <f>E25-E27</f>
        <v>0</v>
      </c>
      <c r="F28" s="83"/>
      <c r="G28" s="83">
        <f t="shared" ref="G28:K28" si="4">G25-G27</f>
        <v>0</v>
      </c>
      <c r="H28" s="83">
        <f t="shared" si="4"/>
        <v>0</v>
      </c>
      <c r="I28" s="83">
        <f t="shared" si="4"/>
        <v>0</v>
      </c>
      <c r="J28" s="83">
        <f t="shared" si="4"/>
        <v>0</v>
      </c>
      <c r="K28" s="83">
        <f t="shared" si="4"/>
        <v>0</v>
      </c>
    </row>
    <row r="29" spans="2:11" outlineLevel="1"/>
    <row r="30" spans="2:11" outlineLevel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1.Input --&gt;</vt:lpstr>
      <vt:lpstr>P&amp;L assumptions</vt:lpstr>
      <vt:lpstr>BS assumptions</vt:lpstr>
      <vt:lpstr>2.Output--&gt;</vt:lpstr>
      <vt:lpstr>P&amp;L</vt:lpstr>
      <vt:lpstr>BS</vt:lpstr>
      <vt:lpstr>Cash Flow</vt:lpstr>
      <vt:lpstr>Cash Flow diff. class.</vt:lpstr>
      <vt:lpstr>4.Sources --&gt;</vt:lpstr>
      <vt:lpstr>P&amp;L source</vt:lpstr>
      <vt:lpstr>BS 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2015-04-25T09:16:39Z</dcterms:modified>
</cp:coreProperties>
</file>