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105" windowWidth="12120" windowHeight="8595" tabRatio="607" firstSheet="1" activeTab="1"/>
  </bookViews>
  <sheets>
    <sheet name="1ST TR FUAR" sheetId="28" r:id="rId1"/>
    <sheet name="2ND TR FUAR" sheetId="41" r:id="rId2"/>
    <sheet name="2ND TR BAAR" sheetId="42" r:id="rId3"/>
    <sheet name="1ST TR BAAR " sheetId="17" r:id="rId4"/>
    <sheet name="Asset register" sheetId="38" r:id="rId5"/>
    <sheet name="Bank reconciliation" sheetId="39" r:id="rId6"/>
  </sheets>
  <definedNames>
    <definedName name="_xlnm.Print_Area" localSheetId="4">'Asset register'!$A$1:$J$51</definedName>
  </definedNames>
  <calcPr calcId="124519"/>
</workbook>
</file>

<file path=xl/calcChain.xml><?xml version="1.0" encoding="utf-8"?>
<calcChain xmlns="http://schemas.openxmlformats.org/spreadsheetml/2006/main">
  <c r="L320" i="41"/>
  <c r="K320"/>
  <c r="L302"/>
  <c r="H159"/>
  <c r="H143"/>
  <c r="H142"/>
  <c r="H145"/>
  <c r="H129"/>
  <c r="I126"/>
  <c r="I164"/>
  <c r="H94"/>
  <c r="H93"/>
  <c r="C69" i="42"/>
  <c r="E339" i="39"/>
  <c r="E332"/>
  <c r="E334"/>
  <c r="E341"/>
  <c r="E300"/>
  <c r="E293"/>
  <c r="E295"/>
  <c r="E302"/>
  <c r="E265"/>
  <c r="E258"/>
  <c r="E260"/>
  <c r="E267"/>
  <c r="E233"/>
  <c r="E226"/>
  <c r="E228"/>
  <c r="E235"/>
  <c r="E200"/>
  <c r="E193"/>
  <c r="E195"/>
  <c r="E202"/>
  <c r="E162"/>
  <c r="E155"/>
  <c r="E157"/>
  <c r="E164"/>
  <c r="E122"/>
  <c r="E115"/>
  <c r="E117"/>
  <c r="E124"/>
  <c r="E84"/>
  <c r="E77"/>
  <c r="E79"/>
  <c r="E86"/>
  <c r="E50"/>
  <c r="E43"/>
  <c r="E45"/>
  <c r="E52"/>
  <c r="E17"/>
  <c r="E10"/>
  <c r="E12"/>
  <c r="E19"/>
  <c r="E55" i="42"/>
  <c r="J167" i="41"/>
  <c r="L167"/>
  <c r="M167"/>
  <c r="N167"/>
  <c r="O167"/>
  <c r="P167"/>
  <c r="Q167"/>
  <c r="R167"/>
  <c r="S167"/>
  <c r="T167"/>
  <c r="U167"/>
  <c r="V167"/>
  <c r="W167"/>
  <c r="X167"/>
  <c r="I131"/>
  <c r="I83"/>
  <c r="I77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61"/>
  <c r="J50"/>
  <c r="J51"/>
  <c r="J114"/>
  <c r="J52"/>
  <c r="J53"/>
  <c r="J54"/>
  <c r="J55"/>
  <c r="J56"/>
  <c r="J57"/>
  <c r="J58"/>
  <c r="J59"/>
  <c r="J60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5"/>
  <c r="J86"/>
  <c r="J87"/>
  <c r="J88"/>
  <c r="J89"/>
  <c r="J90"/>
  <c r="J91"/>
  <c r="J92"/>
  <c r="J93"/>
  <c r="J95"/>
  <c r="J96"/>
  <c r="J97"/>
  <c r="J98"/>
  <c r="J99"/>
  <c r="J100"/>
  <c r="J101"/>
  <c r="J102"/>
  <c r="J103"/>
  <c r="J104"/>
  <c r="J105"/>
  <c r="J106"/>
  <c r="J107"/>
  <c r="J108"/>
  <c r="J109"/>
  <c r="J110"/>
  <c r="J112"/>
  <c r="J113"/>
  <c r="J115"/>
  <c r="J116"/>
  <c r="J117"/>
  <c r="J118"/>
  <c r="J119"/>
  <c r="J120"/>
  <c r="J121"/>
  <c r="J122"/>
  <c r="J123"/>
  <c r="J124"/>
  <c r="J125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50"/>
  <c r="J152"/>
  <c r="J153"/>
  <c r="J111"/>
  <c r="J84"/>
  <c r="J157"/>
  <c r="J165"/>
  <c r="J149"/>
  <c r="J151"/>
  <c r="J154"/>
  <c r="J155"/>
  <c r="J156"/>
  <c r="J159"/>
  <c r="J160"/>
  <c r="J166"/>
  <c r="J162"/>
  <c r="J161"/>
  <c r="J163"/>
  <c r="J158"/>
  <c r="J164"/>
  <c r="J94"/>
  <c r="J126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D57" i="17"/>
  <c r="I150" i="41"/>
  <c r="I111"/>
  <c r="I48"/>
  <c r="I12"/>
  <c r="E86"/>
  <c r="H38"/>
  <c r="H37"/>
  <c r="H44"/>
  <c r="E44"/>
  <c r="B11" i="42"/>
  <c r="E35" i="17"/>
  <c r="E40"/>
  <c r="H85" i="41"/>
  <c r="H68"/>
  <c r="H70"/>
  <c r="H69"/>
  <c r="H46"/>
  <c r="H45"/>
  <c r="H22"/>
  <c r="H20"/>
  <c r="H19"/>
  <c r="C68" i="42"/>
  <c r="A1" i="17"/>
  <c r="B10"/>
  <c r="B11"/>
  <c r="B12"/>
  <c r="B21"/>
  <c r="B13"/>
  <c r="B14"/>
  <c r="B15"/>
  <c r="B16"/>
  <c r="B17"/>
  <c r="C24"/>
  <c r="C57"/>
  <c r="C60"/>
  <c r="C62"/>
  <c r="C67"/>
  <c r="C73"/>
  <c r="C71"/>
  <c r="J6" i="28"/>
  <c r="K6"/>
  <c r="L6"/>
  <c r="M6"/>
  <c r="N6"/>
  <c r="O6"/>
  <c r="P6"/>
  <c r="Q6"/>
  <c r="R6"/>
  <c r="S6"/>
  <c r="T6"/>
  <c r="U6"/>
  <c r="V6"/>
  <c r="W6"/>
  <c r="J7"/>
  <c r="K7"/>
  <c r="L7"/>
  <c r="M7"/>
  <c r="N7"/>
  <c r="O7"/>
  <c r="P7"/>
  <c r="Q7"/>
  <c r="R7"/>
  <c r="S7"/>
  <c r="T7"/>
  <c r="U7"/>
  <c r="V7"/>
  <c r="W7"/>
  <c r="J8"/>
  <c r="K8"/>
  <c r="L8"/>
  <c r="M8"/>
  <c r="N8"/>
  <c r="O8"/>
  <c r="P8"/>
  <c r="Q8"/>
  <c r="R8"/>
  <c r="S8"/>
  <c r="T8"/>
  <c r="U8"/>
  <c r="V8"/>
  <c r="W8"/>
  <c r="J9"/>
  <c r="K9"/>
  <c r="L9"/>
  <c r="M9"/>
  <c r="N9"/>
  <c r="O9"/>
  <c r="P9"/>
  <c r="Q9"/>
  <c r="R9"/>
  <c r="S9"/>
  <c r="T9"/>
  <c r="U9"/>
  <c r="V9"/>
  <c r="W9"/>
  <c r="J10"/>
  <c r="K10"/>
  <c r="L10"/>
  <c r="M10"/>
  <c r="N10"/>
  <c r="O10"/>
  <c r="P10"/>
  <c r="Q10"/>
  <c r="R10"/>
  <c r="S10"/>
  <c r="T10"/>
  <c r="U10"/>
  <c r="V10"/>
  <c r="W10"/>
  <c r="J11"/>
  <c r="K11"/>
  <c r="L11"/>
  <c r="M11"/>
  <c r="N11"/>
  <c r="O11"/>
  <c r="P11"/>
  <c r="Q11"/>
  <c r="R11"/>
  <c r="S11"/>
  <c r="T11"/>
  <c r="U11"/>
  <c r="V11"/>
  <c r="W11"/>
  <c r="J12"/>
  <c r="K12"/>
  <c r="L12"/>
  <c r="M12"/>
  <c r="N12"/>
  <c r="O12"/>
  <c r="P12"/>
  <c r="Q12"/>
  <c r="R12"/>
  <c r="S12"/>
  <c r="T12"/>
  <c r="U12"/>
  <c r="V12"/>
  <c r="W12"/>
  <c r="J13"/>
  <c r="K13"/>
  <c r="L13"/>
  <c r="M13"/>
  <c r="N13"/>
  <c r="O13"/>
  <c r="P13"/>
  <c r="Q13"/>
  <c r="R13"/>
  <c r="S13"/>
  <c r="T13"/>
  <c r="U13"/>
  <c r="V13"/>
  <c r="W13"/>
  <c r="J14"/>
  <c r="K14"/>
  <c r="L14"/>
  <c r="M14"/>
  <c r="N14"/>
  <c r="O14"/>
  <c r="P14"/>
  <c r="Q14"/>
  <c r="R14"/>
  <c r="S14"/>
  <c r="T14"/>
  <c r="U14"/>
  <c r="V14"/>
  <c r="W14"/>
  <c r="J15"/>
  <c r="K15"/>
  <c r="L15"/>
  <c r="M15"/>
  <c r="N15"/>
  <c r="O15"/>
  <c r="P15"/>
  <c r="Q15"/>
  <c r="R15"/>
  <c r="S15"/>
  <c r="T15"/>
  <c r="U15"/>
  <c r="V15"/>
  <c r="W15"/>
  <c r="J16"/>
  <c r="K16"/>
  <c r="L16"/>
  <c r="M16"/>
  <c r="N16"/>
  <c r="O16"/>
  <c r="P16"/>
  <c r="Q16"/>
  <c r="R16"/>
  <c r="S16"/>
  <c r="T16"/>
  <c r="U16"/>
  <c r="V16"/>
  <c r="W16"/>
  <c r="J17"/>
  <c r="K17"/>
  <c r="L17"/>
  <c r="M17"/>
  <c r="N17"/>
  <c r="O17"/>
  <c r="P17"/>
  <c r="Q17"/>
  <c r="R17"/>
  <c r="S17"/>
  <c r="T17"/>
  <c r="U17"/>
  <c r="V17"/>
  <c r="W17"/>
  <c r="J18"/>
  <c r="K18"/>
  <c r="L18"/>
  <c r="M18"/>
  <c r="N18"/>
  <c r="O18"/>
  <c r="P18"/>
  <c r="Q18"/>
  <c r="R18"/>
  <c r="S18"/>
  <c r="T18"/>
  <c r="U18"/>
  <c r="V18"/>
  <c r="W18"/>
  <c r="J19"/>
  <c r="K19"/>
  <c r="L19"/>
  <c r="M19"/>
  <c r="N19"/>
  <c r="O19"/>
  <c r="P19"/>
  <c r="Q19"/>
  <c r="R19"/>
  <c r="S19"/>
  <c r="T19"/>
  <c r="U19"/>
  <c r="V19"/>
  <c r="W19"/>
  <c r="J20"/>
  <c r="K20"/>
  <c r="L20"/>
  <c r="M20"/>
  <c r="N20"/>
  <c r="O20"/>
  <c r="P20"/>
  <c r="Q20"/>
  <c r="R20"/>
  <c r="S20"/>
  <c r="T20"/>
  <c r="U20"/>
  <c r="V20"/>
  <c r="W20"/>
  <c r="J21"/>
  <c r="K21"/>
  <c r="L21"/>
  <c r="M21"/>
  <c r="N21"/>
  <c r="O21"/>
  <c r="P21"/>
  <c r="Q21"/>
  <c r="R21"/>
  <c r="S21"/>
  <c r="T21"/>
  <c r="U21"/>
  <c r="V21"/>
  <c r="W21"/>
  <c r="J22"/>
  <c r="K22"/>
  <c r="L22"/>
  <c r="M22"/>
  <c r="N22"/>
  <c r="O22"/>
  <c r="P22"/>
  <c r="Q22"/>
  <c r="R22"/>
  <c r="S22"/>
  <c r="T22"/>
  <c r="U22"/>
  <c r="V22"/>
  <c r="W22"/>
  <c r="J23"/>
  <c r="K23"/>
  <c r="L23"/>
  <c r="M23"/>
  <c r="N23"/>
  <c r="O23"/>
  <c r="P23"/>
  <c r="Q23"/>
  <c r="R23"/>
  <c r="S23"/>
  <c r="T23"/>
  <c r="U23"/>
  <c r="V23"/>
  <c r="W23"/>
  <c r="J24"/>
  <c r="K24"/>
  <c r="L24"/>
  <c r="M24"/>
  <c r="N24"/>
  <c r="O24"/>
  <c r="P24"/>
  <c r="Q24"/>
  <c r="R24"/>
  <c r="S24"/>
  <c r="T24"/>
  <c r="U24"/>
  <c r="V24"/>
  <c r="W24"/>
  <c r="J25"/>
  <c r="K25"/>
  <c r="L25"/>
  <c r="M25"/>
  <c r="N25"/>
  <c r="O25"/>
  <c r="P25"/>
  <c r="Q25"/>
  <c r="R25"/>
  <c r="S25"/>
  <c r="T25"/>
  <c r="U25"/>
  <c r="V25"/>
  <c r="W25"/>
  <c r="J26"/>
  <c r="K26"/>
  <c r="L26"/>
  <c r="M26"/>
  <c r="N26"/>
  <c r="O26"/>
  <c r="P26"/>
  <c r="Q26"/>
  <c r="R26"/>
  <c r="S26"/>
  <c r="T26"/>
  <c r="U26"/>
  <c r="V26"/>
  <c r="W26"/>
  <c r="J27"/>
  <c r="K27"/>
  <c r="L27"/>
  <c r="M27"/>
  <c r="N27"/>
  <c r="O27"/>
  <c r="P27"/>
  <c r="Q27"/>
  <c r="R27"/>
  <c r="S27"/>
  <c r="T27"/>
  <c r="U27"/>
  <c r="V27"/>
  <c r="W27"/>
  <c r="J28"/>
  <c r="K28"/>
  <c r="L28"/>
  <c r="M28"/>
  <c r="N28"/>
  <c r="O28"/>
  <c r="P28"/>
  <c r="Q28"/>
  <c r="R28"/>
  <c r="S28"/>
  <c r="T28"/>
  <c r="U28"/>
  <c r="V28"/>
  <c r="W28"/>
  <c r="J29"/>
  <c r="K29"/>
  <c r="L29"/>
  <c r="M29"/>
  <c r="N29"/>
  <c r="O29"/>
  <c r="P29"/>
  <c r="Q29"/>
  <c r="R29"/>
  <c r="S29"/>
  <c r="T29"/>
  <c r="U29"/>
  <c r="V29"/>
  <c r="W29"/>
  <c r="J30"/>
  <c r="K30"/>
  <c r="L30"/>
  <c r="M30"/>
  <c r="N30"/>
  <c r="O30"/>
  <c r="P30"/>
  <c r="Q30"/>
  <c r="R30"/>
  <c r="S30"/>
  <c r="T30"/>
  <c r="U30"/>
  <c r="V30"/>
  <c r="W30"/>
  <c r="J31"/>
  <c r="K31"/>
  <c r="L31"/>
  <c r="M31"/>
  <c r="N31"/>
  <c r="O31"/>
  <c r="P31"/>
  <c r="Q31"/>
  <c r="R31"/>
  <c r="S31"/>
  <c r="T31"/>
  <c r="U31"/>
  <c r="V31"/>
  <c r="W31"/>
  <c r="J32"/>
  <c r="K32"/>
  <c r="L32"/>
  <c r="M32"/>
  <c r="N32"/>
  <c r="O32"/>
  <c r="P32"/>
  <c r="Q32"/>
  <c r="R32"/>
  <c r="S32"/>
  <c r="T32"/>
  <c r="U32"/>
  <c r="V32"/>
  <c r="W32"/>
  <c r="J33"/>
  <c r="K33"/>
  <c r="L33"/>
  <c r="M33"/>
  <c r="N33"/>
  <c r="O33"/>
  <c r="P33"/>
  <c r="Q33"/>
  <c r="R33"/>
  <c r="S33"/>
  <c r="T33"/>
  <c r="U33"/>
  <c r="V33"/>
  <c r="W33"/>
  <c r="J34"/>
  <c r="K34"/>
  <c r="L34"/>
  <c r="M34"/>
  <c r="N34"/>
  <c r="O34"/>
  <c r="P34"/>
  <c r="Q34"/>
  <c r="R34"/>
  <c r="S34"/>
  <c r="T34"/>
  <c r="U34"/>
  <c r="V34"/>
  <c r="W34"/>
  <c r="J35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L35"/>
  <c r="M35"/>
  <c r="N35"/>
  <c r="O35"/>
  <c r="P35"/>
  <c r="Q35"/>
  <c r="R35"/>
  <c r="S35"/>
  <c r="T35"/>
  <c r="U35"/>
  <c r="V35"/>
  <c r="W35"/>
  <c r="J36"/>
  <c r="L36"/>
  <c r="M36"/>
  <c r="N36"/>
  <c r="O36"/>
  <c r="P36"/>
  <c r="Q36"/>
  <c r="R36"/>
  <c r="S36"/>
  <c r="T36"/>
  <c r="U36"/>
  <c r="V36"/>
  <c r="W36"/>
  <c r="J37"/>
  <c r="L37"/>
  <c r="M37"/>
  <c r="N37"/>
  <c r="O37"/>
  <c r="P37"/>
  <c r="Q37"/>
  <c r="R37"/>
  <c r="S37"/>
  <c r="T37"/>
  <c r="U37"/>
  <c r="V37"/>
  <c r="W37"/>
  <c r="J38"/>
  <c r="L38"/>
  <c r="M38"/>
  <c r="N38"/>
  <c r="O38"/>
  <c r="P38"/>
  <c r="Q38"/>
  <c r="R38"/>
  <c r="S38"/>
  <c r="T38"/>
  <c r="U38"/>
  <c r="V38"/>
  <c r="W38"/>
  <c r="J39"/>
  <c r="L39"/>
  <c r="M39"/>
  <c r="N39"/>
  <c r="O39"/>
  <c r="P39"/>
  <c r="Q39"/>
  <c r="R39"/>
  <c r="S39"/>
  <c r="T39"/>
  <c r="U39"/>
  <c r="V39"/>
  <c r="W39"/>
  <c r="J40"/>
  <c r="L40"/>
  <c r="M40"/>
  <c r="N40"/>
  <c r="O40"/>
  <c r="P40"/>
  <c r="Q40"/>
  <c r="R40"/>
  <c r="S40"/>
  <c r="T40"/>
  <c r="U40"/>
  <c r="V40"/>
  <c r="W40"/>
  <c r="J41"/>
  <c r="L41"/>
  <c r="M41"/>
  <c r="N41"/>
  <c r="O41"/>
  <c r="P41"/>
  <c r="Q41"/>
  <c r="R41"/>
  <c r="S41"/>
  <c r="T41"/>
  <c r="U41"/>
  <c r="V41"/>
  <c r="W41"/>
  <c r="J42"/>
  <c r="L42"/>
  <c r="M42"/>
  <c r="N42"/>
  <c r="O42"/>
  <c r="P42"/>
  <c r="Q42"/>
  <c r="R42"/>
  <c r="S42"/>
  <c r="T42"/>
  <c r="U42"/>
  <c r="V42"/>
  <c r="W42"/>
  <c r="J43"/>
  <c r="L43"/>
  <c r="M43"/>
  <c r="N43"/>
  <c r="O43"/>
  <c r="P43"/>
  <c r="Q43"/>
  <c r="R43"/>
  <c r="S43"/>
  <c r="T43"/>
  <c r="U43"/>
  <c r="V43"/>
  <c r="W43"/>
  <c r="J44"/>
  <c r="L44"/>
  <c r="M44"/>
  <c r="N44"/>
  <c r="O44"/>
  <c r="P44"/>
  <c r="Q44"/>
  <c r="R44"/>
  <c r="S44"/>
  <c r="T44"/>
  <c r="U44"/>
  <c r="V44"/>
  <c r="W44"/>
  <c r="J45"/>
  <c r="L45"/>
  <c r="M45"/>
  <c r="N45"/>
  <c r="O45"/>
  <c r="P45"/>
  <c r="Q45"/>
  <c r="R45"/>
  <c r="S45"/>
  <c r="T45"/>
  <c r="U45"/>
  <c r="V45"/>
  <c r="W45"/>
  <c r="J46"/>
  <c r="L46"/>
  <c r="M46"/>
  <c r="N46"/>
  <c r="O46"/>
  <c r="P46"/>
  <c r="Q46"/>
  <c r="R46"/>
  <c r="S46"/>
  <c r="T46"/>
  <c r="U46"/>
  <c r="W46"/>
  <c r="V46"/>
  <c r="J47"/>
  <c r="L47"/>
  <c r="M47"/>
  <c r="N47"/>
  <c r="O47"/>
  <c r="P47"/>
  <c r="Q47"/>
  <c r="R47"/>
  <c r="S47"/>
  <c r="T47"/>
  <c r="U47"/>
  <c r="W47"/>
  <c r="V47"/>
  <c r="J48"/>
  <c r="L48"/>
  <c r="M48"/>
  <c r="N48"/>
  <c r="O48"/>
  <c r="P48"/>
  <c r="Q48"/>
  <c r="R48"/>
  <c r="S48"/>
  <c r="T48"/>
  <c r="U48"/>
  <c r="W48"/>
  <c r="V48"/>
  <c r="J49"/>
  <c r="L49"/>
  <c r="M49"/>
  <c r="N49"/>
  <c r="O49"/>
  <c r="P49"/>
  <c r="Q49"/>
  <c r="R49"/>
  <c r="S49"/>
  <c r="T49"/>
  <c r="U49"/>
  <c r="W49"/>
  <c r="V49"/>
  <c r="J50"/>
  <c r="L50"/>
  <c r="M50"/>
  <c r="N50"/>
  <c r="O50"/>
  <c r="P50"/>
  <c r="Q50"/>
  <c r="R50"/>
  <c r="S50"/>
  <c r="T50"/>
  <c r="U50"/>
  <c r="W50"/>
  <c r="V50"/>
  <c r="J51"/>
  <c r="L51"/>
  <c r="M51"/>
  <c r="N51"/>
  <c r="O51"/>
  <c r="P51"/>
  <c r="Q51"/>
  <c r="R51"/>
  <c r="S51"/>
  <c r="T51"/>
  <c r="U51"/>
  <c r="W51"/>
  <c r="V51"/>
  <c r="J52"/>
  <c r="L52"/>
  <c r="M52"/>
  <c r="N52"/>
  <c r="O52"/>
  <c r="P52"/>
  <c r="Q52"/>
  <c r="R52"/>
  <c r="S52"/>
  <c r="W52"/>
  <c r="T52"/>
  <c r="U52"/>
  <c r="V52"/>
  <c r="J53"/>
  <c r="L53"/>
  <c r="M53"/>
  <c r="N53"/>
  <c r="O53"/>
  <c r="P53"/>
  <c r="Q53"/>
  <c r="R53"/>
  <c r="S53"/>
  <c r="W53"/>
  <c r="T53"/>
  <c r="U53"/>
  <c r="V53"/>
  <c r="J54"/>
  <c r="L54"/>
  <c r="M54"/>
  <c r="N54"/>
  <c r="O54"/>
  <c r="P54"/>
  <c r="Q54"/>
  <c r="R54"/>
  <c r="S54"/>
  <c r="W54"/>
  <c r="T54"/>
  <c r="U54"/>
  <c r="V54"/>
  <c r="J55"/>
  <c r="L55"/>
  <c r="M55"/>
  <c r="N55"/>
  <c r="O55"/>
  <c r="P55"/>
  <c r="Q55"/>
  <c r="W55"/>
  <c r="R55"/>
  <c r="S55"/>
  <c r="T55"/>
  <c r="U55"/>
  <c r="V55"/>
  <c r="J56"/>
  <c r="L56"/>
  <c r="M56"/>
  <c r="N56"/>
  <c r="O56"/>
  <c r="P56"/>
  <c r="Q56"/>
  <c r="W56"/>
  <c r="R56"/>
  <c r="S56"/>
  <c r="T56"/>
  <c r="U56"/>
  <c r="V56"/>
  <c r="J57"/>
  <c r="L57"/>
  <c r="M57"/>
  <c r="N57"/>
  <c r="O57"/>
  <c r="P57"/>
  <c r="Q57"/>
  <c r="W57"/>
  <c r="R57"/>
  <c r="S57"/>
  <c r="T57"/>
  <c r="U57"/>
  <c r="V57"/>
  <c r="J58"/>
  <c r="L58"/>
  <c r="M58"/>
  <c r="N58"/>
  <c r="O58"/>
  <c r="W58"/>
  <c r="P58"/>
  <c r="Q58"/>
  <c r="R58"/>
  <c r="S58"/>
  <c r="T58"/>
  <c r="U58"/>
  <c r="V58"/>
  <c r="J59"/>
  <c r="L59"/>
  <c r="M59"/>
  <c r="N59"/>
  <c r="O59"/>
  <c r="W59"/>
  <c r="P59"/>
  <c r="Q59"/>
  <c r="R59"/>
  <c r="S59"/>
  <c r="T59"/>
  <c r="U59"/>
  <c r="V59"/>
  <c r="J60"/>
  <c r="L60"/>
  <c r="M60"/>
  <c r="N60"/>
  <c r="O60"/>
  <c r="W60"/>
  <c r="P60"/>
  <c r="Q60"/>
  <c r="R60"/>
  <c r="S60"/>
  <c r="T60"/>
  <c r="U60"/>
  <c r="V60"/>
  <c r="J61"/>
  <c r="L61"/>
  <c r="M61"/>
  <c r="W61"/>
  <c r="N61"/>
  <c r="O61"/>
  <c r="P61"/>
  <c r="Q61"/>
  <c r="R61"/>
  <c r="S61"/>
  <c r="T61"/>
  <c r="U61"/>
  <c r="V61"/>
  <c r="J62"/>
  <c r="L62"/>
  <c r="M62"/>
  <c r="W62"/>
  <c r="N62"/>
  <c r="O62"/>
  <c r="P62"/>
  <c r="Q62"/>
  <c r="R62"/>
  <c r="S62"/>
  <c r="T62"/>
  <c r="U62"/>
  <c r="V62"/>
  <c r="J63"/>
  <c r="L63"/>
  <c r="M63"/>
  <c r="W63"/>
  <c r="N63"/>
  <c r="O63"/>
  <c r="P63"/>
  <c r="Q63"/>
  <c r="R63"/>
  <c r="S63"/>
  <c r="T63"/>
  <c r="U63"/>
  <c r="V63"/>
  <c r="J64"/>
  <c r="L64"/>
  <c r="M64"/>
  <c r="W64"/>
  <c r="N64"/>
  <c r="O64"/>
  <c r="P64"/>
  <c r="Q64"/>
  <c r="R64"/>
  <c r="S64"/>
  <c r="T64"/>
  <c r="U64"/>
  <c r="V64"/>
  <c r="J65"/>
  <c r="L65"/>
  <c r="M65"/>
  <c r="W65"/>
  <c r="N65"/>
  <c r="O65"/>
  <c r="P65"/>
  <c r="Q65"/>
  <c r="R65"/>
  <c r="S65"/>
  <c r="T65"/>
  <c r="U65"/>
  <c r="V65"/>
  <c r="J66"/>
  <c r="L66"/>
  <c r="M66"/>
  <c r="W66"/>
  <c r="N66"/>
  <c r="O66"/>
  <c r="P66"/>
  <c r="Q66"/>
  <c r="R66"/>
  <c r="S66"/>
  <c r="T66"/>
  <c r="U66"/>
  <c r="V66"/>
  <c r="J67"/>
  <c r="L67"/>
  <c r="M67"/>
  <c r="W67"/>
  <c r="N67"/>
  <c r="O67"/>
  <c r="P67"/>
  <c r="Q67"/>
  <c r="R67"/>
  <c r="S67"/>
  <c r="T67"/>
  <c r="U67"/>
  <c r="V67"/>
  <c r="J68"/>
  <c r="L68"/>
  <c r="M68"/>
  <c r="W68"/>
  <c r="N68"/>
  <c r="O68"/>
  <c r="P68"/>
  <c r="Q68"/>
  <c r="R68"/>
  <c r="S68"/>
  <c r="T68"/>
  <c r="U68"/>
  <c r="V68"/>
  <c r="J69"/>
  <c r="L69"/>
  <c r="M69"/>
  <c r="W69"/>
  <c r="N69"/>
  <c r="O69"/>
  <c r="P69"/>
  <c r="Q69"/>
  <c r="R69"/>
  <c r="S69"/>
  <c r="T69"/>
  <c r="U69"/>
  <c r="V69"/>
  <c r="J70"/>
  <c r="L70"/>
  <c r="M70"/>
  <c r="W70"/>
  <c r="N70"/>
  <c r="O70"/>
  <c r="P70"/>
  <c r="Q70"/>
  <c r="R70"/>
  <c r="S70"/>
  <c r="T70"/>
  <c r="U70"/>
  <c r="V70"/>
  <c r="J71"/>
  <c r="L71"/>
  <c r="M71"/>
  <c r="W71"/>
  <c r="N71"/>
  <c r="O71"/>
  <c r="P71"/>
  <c r="Q71"/>
  <c r="R71"/>
  <c r="S71"/>
  <c r="T71"/>
  <c r="U71"/>
  <c r="V71"/>
  <c r="J72"/>
  <c r="L72"/>
  <c r="M72"/>
  <c r="W72"/>
  <c r="N72"/>
  <c r="O72"/>
  <c r="P72"/>
  <c r="Q72"/>
  <c r="R72"/>
  <c r="S72"/>
  <c r="T72"/>
  <c r="U72"/>
  <c r="V72"/>
  <c r="J73"/>
  <c r="L73"/>
  <c r="M73"/>
  <c r="W73"/>
  <c r="N73"/>
  <c r="O73"/>
  <c r="P73"/>
  <c r="Q73"/>
  <c r="R73"/>
  <c r="S73"/>
  <c r="T73"/>
  <c r="U73"/>
  <c r="V73"/>
  <c r="J74"/>
  <c r="L74"/>
  <c r="M74"/>
  <c r="W74"/>
  <c r="N74"/>
  <c r="O74"/>
  <c r="P74"/>
  <c r="Q74"/>
  <c r="R74"/>
  <c r="S74"/>
  <c r="T74"/>
  <c r="U74"/>
  <c r="V74"/>
  <c r="J75"/>
  <c r="L75"/>
  <c r="M75"/>
  <c r="W75"/>
  <c r="N75"/>
  <c r="O75"/>
  <c r="P75"/>
  <c r="Q75"/>
  <c r="R75"/>
  <c r="S75"/>
  <c r="T75"/>
  <c r="U75"/>
  <c r="V75"/>
  <c r="J76"/>
  <c r="L76"/>
  <c r="M76"/>
  <c r="W76"/>
  <c r="N76"/>
  <c r="O76"/>
  <c r="P76"/>
  <c r="Q76"/>
  <c r="R76"/>
  <c r="S76"/>
  <c r="T76"/>
  <c r="U76"/>
  <c r="V76"/>
  <c r="J77"/>
  <c r="L77"/>
  <c r="M77"/>
  <c r="W77"/>
  <c r="N77"/>
  <c r="O77"/>
  <c r="P77"/>
  <c r="Q77"/>
  <c r="R77"/>
  <c r="S77"/>
  <c r="T77"/>
  <c r="U77"/>
  <c r="V77"/>
  <c r="J78"/>
  <c r="L78"/>
  <c r="M78"/>
  <c r="W78"/>
  <c r="N78"/>
  <c r="O78"/>
  <c r="P78"/>
  <c r="Q78"/>
  <c r="R78"/>
  <c r="S78"/>
  <c r="T78"/>
  <c r="U78"/>
  <c r="V78"/>
  <c r="J79"/>
  <c r="L79"/>
  <c r="M79"/>
  <c r="W79"/>
  <c r="N79"/>
  <c r="O79"/>
  <c r="P79"/>
  <c r="Q79"/>
  <c r="R79"/>
  <c r="S79"/>
  <c r="T79"/>
  <c r="U79"/>
  <c r="V79"/>
  <c r="J80"/>
  <c r="L80"/>
  <c r="M80"/>
  <c r="W80"/>
  <c r="N80"/>
  <c r="O80"/>
  <c r="P80"/>
  <c r="Q80"/>
  <c r="R80"/>
  <c r="S80"/>
  <c r="T80"/>
  <c r="U80"/>
  <c r="V80"/>
  <c r="J81"/>
  <c r="L81"/>
  <c r="M81"/>
  <c r="W81"/>
  <c r="N81"/>
  <c r="O81"/>
  <c r="P81"/>
  <c r="Q81"/>
  <c r="R81"/>
  <c r="S81"/>
  <c r="T81"/>
  <c r="U81"/>
  <c r="V81"/>
  <c r="J82"/>
  <c r="L82"/>
  <c r="M82"/>
  <c r="W82"/>
  <c r="N82"/>
  <c r="O82"/>
  <c r="P82"/>
  <c r="Q82"/>
  <c r="R82"/>
  <c r="S82"/>
  <c r="T82"/>
  <c r="U82"/>
  <c r="V82"/>
  <c r="J83"/>
  <c r="L83"/>
  <c r="M83"/>
  <c r="W83"/>
  <c r="N83"/>
  <c r="O83"/>
  <c r="P83"/>
  <c r="Q83"/>
  <c r="R83"/>
  <c r="S83"/>
  <c r="T83"/>
  <c r="U83"/>
  <c r="V83"/>
  <c r="J84"/>
  <c r="L84"/>
  <c r="M84"/>
  <c r="W84"/>
  <c r="N84"/>
  <c r="O84"/>
  <c r="P84"/>
  <c r="Q84"/>
  <c r="R84"/>
  <c r="S84"/>
  <c r="T84"/>
  <c r="U84"/>
  <c r="V84"/>
  <c r="J85"/>
  <c r="L85"/>
  <c r="M85"/>
  <c r="W85"/>
  <c r="N85"/>
  <c r="O85"/>
  <c r="P85"/>
  <c r="Q85"/>
  <c r="R85"/>
  <c r="S85"/>
  <c r="T85"/>
  <c r="U85"/>
  <c r="V85"/>
  <c r="H86"/>
  <c r="J86"/>
  <c r="L86"/>
  <c r="M86"/>
  <c r="N86"/>
  <c r="O86"/>
  <c r="P86"/>
  <c r="Q86"/>
  <c r="R86"/>
  <c r="S86"/>
  <c r="T86"/>
  <c r="U86"/>
  <c r="V86"/>
  <c r="W86"/>
  <c r="H87"/>
  <c r="J87"/>
  <c r="L87"/>
  <c r="M87"/>
  <c r="W87"/>
  <c r="N87"/>
  <c r="O87"/>
  <c r="P87"/>
  <c r="Q87"/>
  <c r="R87"/>
  <c r="S87"/>
  <c r="T87"/>
  <c r="U87"/>
  <c r="V87"/>
  <c r="E88"/>
  <c r="H88"/>
  <c r="S88"/>
  <c r="J88"/>
  <c r="L88"/>
  <c r="M88"/>
  <c r="W88"/>
  <c r="N88"/>
  <c r="O88"/>
  <c r="P88"/>
  <c r="Q88"/>
  <c r="R88"/>
  <c r="T88"/>
  <c r="U88"/>
  <c r="V88"/>
  <c r="J89"/>
  <c r="L89"/>
  <c r="M89"/>
  <c r="W89"/>
  <c r="N89"/>
  <c r="O89"/>
  <c r="P89"/>
  <c r="Q89"/>
  <c r="R89"/>
  <c r="S89"/>
  <c r="T89"/>
  <c r="U89"/>
  <c r="V89"/>
  <c r="J90"/>
  <c r="L90"/>
  <c r="M90"/>
  <c r="W90"/>
  <c r="N90"/>
  <c r="O90"/>
  <c r="P90"/>
  <c r="Q90"/>
  <c r="R90"/>
  <c r="S90"/>
  <c r="T90"/>
  <c r="U90"/>
  <c r="V90"/>
  <c r="J91"/>
  <c r="L91"/>
  <c r="M91"/>
  <c r="W91"/>
  <c r="N91"/>
  <c r="O91"/>
  <c r="P91"/>
  <c r="Q91"/>
  <c r="R91"/>
  <c r="S91"/>
  <c r="T91"/>
  <c r="U91"/>
  <c r="V91"/>
  <c r="J92"/>
  <c r="L92"/>
  <c r="M92"/>
  <c r="W92"/>
  <c r="N92"/>
  <c r="O92"/>
  <c r="P92"/>
  <c r="Q92"/>
  <c r="R92"/>
  <c r="S92"/>
  <c r="T92"/>
  <c r="U92"/>
  <c r="V92"/>
  <c r="J93"/>
  <c r="L93"/>
  <c r="M93"/>
  <c r="W93"/>
  <c r="N93"/>
  <c r="O93"/>
  <c r="P93"/>
  <c r="Q93"/>
  <c r="R93"/>
  <c r="S93"/>
  <c r="T93"/>
  <c r="U93"/>
  <c r="V93"/>
  <c r="J94"/>
  <c r="L94"/>
  <c r="M94"/>
  <c r="W94"/>
  <c r="N94"/>
  <c r="O94"/>
  <c r="P94"/>
  <c r="Q94"/>
  <c r="R94"/>
  <c r="S94"/>
  <c r="T94"/>
  <c r="U94"/>
  <c r="V94"/>
  <c r="J95"/>
  <c r="L95"/>
  <c r="M95"/>
  <c r="W95"/>
  <c r="N95"/>
  <c r="O95"/>
  <c r="P95"/>
  <c r="Q95"/>
  <c r="R95"/>
  <c r="S95"/>
  <c r="T95"/>
  <c r="U95"/>
  <c r="V95"/>
  <c r="J96"/>
  <c r="L96"/>
  <c r="M96"/>
  <c r="W96"/>
  <c r="N96"/>
  <c r="O96"/>
  <c r="P96"/>
  <c r="Q96"/>
  <c r="R96"/>
  <c r="S96"/>
  <c r="T96"/>
  <c r="U96"/>
  <c r="V96"/>
  <c r="J97"/>
  <c r="L97"/>
  <c r="M97"/>
  <c r="W97"/>
  <c r="N97"/>
  <c r="O97"/>
  <c r="P97"/>
  <c r="Q97"/>
  <c r="R97"/>
  <c r="S97"/>
  <c r="T97"/>
  <c r="U97"/>
  <c r="V97"/>
  <c r="J98"/>
  <c r="L98"/>
  <c r="M98"/>
  <c r="W98"/>
  <c r="N98"/>
  <c r="O98"/>
  <c r="P98"/>
  <c r="Q98"/>
  <c r="R98"/>
  <c r="S98"/>
  <c r="T98"/>
  <c r="U98"/>
  <c r="V98"/>
  <c r="J99"/>
  <c r="L99"/>
  <c r="M99"/>
  <c r="W99"/>
  <c r="N99"/>
  <c r="O99"/>
  <c r="P99"/>
  <c r="Q99"/>
  <c r="R99"/>
  <c r="S99"/>
  <c r="T99"/>
  <c r="U99"/>
  <c r="V99"/>
  <c r="J100"/>
  <c r="L100"/>
  <c r="M100"/>
  <c r="W100"/>
  <c r="N100"/>
  <c r="O100"/>
  <c r="P100"/>
  <c r="Q100"/>
  <c r="R100"/>
  <c r="S100"/>
  <c r="T100"/>
  <c r="U100"/>
  <c r="V100"/>
  <c r="J101"/>
  <c r="L101"/>
  <c r="M101"/>
  <c r="W101"/>
  <c r="N101"/>
  <c r="O101"/>
  <c r="P101"/>
  <c r="Q101"/>
  <c r="R101"/>
  <c r="S101"/>
  <c r="T101"/>
  <c r="U101"/>
  <c r="V101"/>
  <c r="J102"/>
  <c r="L102"/>
  <c r="M102"/>
  <c r="W102"/>
  <c r="N102"/>
  <c r="O102"/>
  <c r="P102"/>
  <c r="Q102"/>
  <c r="R102"/>
  <c r="S102"/>
  <c r="T102"/>
  <c r="U102"/>
  <c r="V102"/>
  <c r="H103"/>
  <c r="J103"/>
  <c r="L103"/>
  <c r="M103"/>
  <c r="N103"/>
  <c r="O103"/>
  <c r="P103"/>
  <c r="Q103"/>
  <c r="R103"/>
  <c r="S103"/>
  <c r="T103"/>
  <c r="U103"/>
  <c r="V103"/>
  <c r="W103"/>
  <c r="J104"/>
  <c r="L104"/>
  <c r="M104"/>
  <c r="N104"/>
  <c r="O104"/>
  <c r="P104"/>
  <c r="Q104"/>
  <c r="R104"/>
  <c r="S104"/>
  <c r="T104"/>
  <c r="U104"/>
  <c r="V104"/>
  <c r="W104"/>
  <c r="J105"/>
  <c r="L105"/>
  <c r="M105"/>
  <c r="N105"/>
  <c r="O105"/>
  <c r="P105"/>
  <c r="Q105"/>
  <c r="R105"/>
  <c r="S105"/>
  <c r="T105"/>
  <c r="U105"/>
  <c r="V105"/>
  <c r="W105"/>
  <c r="E106"/>
  <c r="J106"/>
  <c r="L106"/>
  <c r="M106"/>
  <c r="W106"/>
  <c r="N106"/>
  <c r="O106"/>
  <c r="P106"/>
  <c r="Q106"/>
  <c r="R106"/>
  <c r="S106"/>
  <c r="T106"/>
  <c r="U106"/>
  <c r="V106"/>
  <c r="J107"/>
  <c r="L107"/>
  <c r="M107"/>
  <c r="W107"/>
  <c r="N107"/>
  <c r="O107"/>
  <c r="P107"/>
  <c r="Q107"/>
  <c r="R107"/>
  <c r="S107"/>
  <c r="T107"/>
  <c r="U107"/>
  <c r="V107"/>
  <c r="H108"/>
  <c r="J108"/>
  <c r="L108"/>
  <c r="M108"/>
  <c r="N108"/>
  <c r="O108"/>
  <c r="P108"/>
  <c r="Q108"/>
  <c r="R108"/>
  <c r="S108"/>
  <c r="T108"/>
  <c r="U108"/>
  <c r="V108"/>
  <c r="W108"/>
  <c r="H109"/>
  <c r="J109"/>
  <c r="L109"/>
  <c r="M109"/>
  <c r="W109"/>
  <c r="N109"/>
  <c r="O109"/>
  <c r="P109"/>
  <c r="Q109"/>
  <c r="R109"/>
  <c r="S109"/>
  <c r="T109"/>
  <c r="U109"/>
  <c r="V109"/>
  <c r="J110"/>
  <c r="L110"/>
  <c r="M110"/>
  <c r="W110"/>
  <c r="N110"/>
  <c r="O110"/>
  <c r="P110"/>
  <c r="Q110"/>
  <c r="R110"/>
  <c r="S110"/>
  <c r="T110"/>
  <c r="U110"/>
  <c r="V110"/>
  <c r="J111"/>
  <c r="L111"/>
  <c r="M111"/>
  <c r="W111"/>
  <c r="N111"/>
  <c r="O111"/>
  <c r="P111"/>
  <c r="Q111"/>
  <c r="R111"/>
  <c r="S111"/>
  <c r="T111"/>
  <c r="U111"/>
  <c r="V111"/>
  <c r="H112"/>
  <c r="J112"/>
  <c r="L112"/>
  <c r="M112"/>
  <c r="N112"/>
  <c r="O112"/>
  <c r="P112"/>
  <c r="Q112"/>
  <c r="R112"/>
  <c r="S112"/>
  <c r="T112"/>
  <c r="U112"/>
  <c r="V112"/>
  <c r="W112"/>
  <c r="J113"/>
  <c r="L113"/>
  <c r="M113"/>
  <c r="N113"/>
  <c r="O113"/>
  <c r="P113"/>
  <c r="Q113"/>
  <c r="R113"/>
  <c r="S113"/>
  <c r="T113"/>
  <c r="U113"/>
  <c r="V113"/>
  <c r="W113"/>
  <c r="I114"/>
  <c r="J114"/>
  <c r="L114"/>
  <c r="M114"/>
  <c r="W114"/>
  <c r="N114"/>
  <c r="O114"/>
  <c r="P114"/>
  <c r="Q114"/>
  <c r="R114"/>
  <c r="S114"/>
  <c r="T114"/>
  <c r="U114"/>
  <c r="V114"/>
  <c r="H115"/>
  <c r="J115"/>
  <c r="L115"/>
  <c r="M115"/>
  <c r="N115"/>
  <c r="O115"/>
  <c r="P115"/>
  <c r="Q115"/>
  <c r="R115"/>
  <c r="S115"/>
  <c r="T115"/>
  <c r="U115"/>
  <c r="V115"/>
  <c r="W115"/>
  <c r="J116"/>
  <c r="L116"/>
  <c r="M116"/>
  <c r="N116"/>
  <c r="O116"/>
  <c r="P116"/>
  <c r="Q116"/>
  <c r="R116"/>
  <c r="S116"/>
  <c r="T116"/>
  <c r="U116"/>
  <c r="V116"/>
  <c r="W116"/>
  <c r="J117"/>
  <c r="L117"/>
  <c r="M117"/>
  <c r="N117"/>
  <c r="O117"/>
  <c r="P117"/>
  <c r="Q117"/>
  <c r="R117"/>
  <c r="S117"/>
  <c r="T117"/>
  <c r="U117"/>
  <c r="V117"/>
  <c r="W117"/>
  <c r="J118"/>
  <c r="L118"/>
  <c r="M118"/>
  <c r="N118"/>
  <c r="O118"/>
  <c r="P118"/>
  <c r="Q118"/>
  <c r="R118"/>
  <c r="S118"/>
  <c r="T118"/>
  <c r="U118"/>
  <c r="V118"/>
  <c r="W118"/>
  <c r="H119"/>
  <c r="J119"/>
  <c r="L119"/>
  <c r="M119"/>
  <c r="W119"/>
  <c r="N119"/>
  <c r="O119"/>
  <c r="P119"/>
  <c r="Q119"/>
  <c r="R119"/>
  <c r="S119"/>
  <c r="T119"/>
  <c r="U119"/>
  <c r="V119"/>
  <c r="H120"/>
  <c r="J120"/>
  <c r="L120"/>
  <c r="M120"/>
  <c r="N120"/>
  <c r="O120"/>
  <c r="P120"/>
  <c r="Q120"/>
  <c r="R120"/>
  <c r="S120"/>
  <c r="T120"/>
  <c r="U120"/>
  <c r="V120"/>
  <c r="W120"/>
  <c r="J121"/>
  <c r="L121"/>
  <c r="M121"/>
  <c r="N121"/>
  <c r="O121"/>
  <c r="P121"/>
  <c r="Q121"/>
  <c r="R121"/>
  <c r="S121"/>
  <c r="T121"/>
  <c r="U121"/>
  <c r="V121"/>
  <c r="W121"/>
  <c r="J122"/>
  <c r="L122"/>
  <c r="M122"/>
  <c r="N122"/>
  <c r="O122"/>
  <c r="P122"/>
  <c r="Q122"/>
  <c r="R122"/>
  <c r="S122"/>
  <c r="T122"/>
  <c r="U122"/>
  <c r="V122"/>
  <c r="W122"/>
  <c r="H123"/>
  <c r="J123"/>
  <c r="L123"/>
  <c r="M123"/>
  <c r="W123"/>
  <c r="N123"/>
  <c r="O123"/>
  <c r="P123"/>
  <c r="Q123"/>
  <c r="R123"/>
  <c r="S123"/>
  <c r="T123"/>
  <c r="U123"/>
  <c r="V123"/>
  <c r="J124"/>
  <c r="L124"/>
  <c r="M124"/>
  <c r="W124"/>
  <c r="N124"/>
  <c r="O124"/>
  <c r="P124"/>
  <c r="Q124"/>
  <c r="R124"/>
  <c r="S124"/>
  <c r="T124"/>
  <c r="U124"/>
  <c r="V124"/>
  <c r="J125"/>
  <c r="L125"/>
  <c r="M125"/>
  <c r="W125"/>
  <c r="N125"/>
  <c r="O125"/>
  <c r="P125"/>
  <c r="Q125"/>
  <c r="R125"/>
  <c r="S125"/>
  <c r="T125"/>
  <c r="U125"/>
  <c r="V125"/>
  <c r="J126"/>
  <c r="L126"/>
  <c r="M126"/>
  <c r="W126"/>
  <c r="N126"/>
  <c r="O126"/>
  <c r="P126"/>
  <c r="Q126"/>
  <c r="R126"/>
  <c r="S126"/>
  <c r="T126"/>
  <c r="U126"/>
  <c r="V126"/>
  <c r="J127"/>
  <c r="L127"/>
  <c r="M127"/>
  <c r="W127"/>
  <c r="N127"/>
  <c r="O127"/>
  <c r="P127"/>
  <c r="Q127"/>
  <c r="R127"/>
  <c r="S127"/>
  <c r="T127"/>
  <c r="U127"/>
  <c r="V127"/>
  <c r="J128"/>
  <c r="L128"/>
  <c r="M128"/>
  <c r="W128"/>
  <c r="N128"/>
  <c r="O128"/>
  <c r="P128"/>
  <c r="Q128"/>
  <c r="R128"/>
  <c r="S128"/>
  <c r="T128"/>
  <c r="U128"/>
  <c r="V128"/>
  <c r="J129"/>
  <c r="L129"/>
  <c r="M129"/>
  <c r="W129"/>
  <c r="N129"/>
  <c r="O129"/>
  <c r="P129"/>
  <c r="Q129"/>
  <c r="R129"/>
  <c r="S129"/>
  <c r="T129"/>
  <c r="U129"/>
  <c r="V129"/>
  <c r="J130"/>
  <c r="L130"/>
  <c r="M130"/>
  <c r="W130"/>
  <c r="N130"/>
  <c r="O130"/>
  <c r="P130"/>
  <c r="Q130"/>
  <c r="R130"/>
  <c r="S130"/>
  <c r="T130"/>
  <c r="U130"/>
  <c r="V130"/>
  <c r="J131"/>
  <c r="L131"/>
  <c r="M131"/>
  <c r="W131"/>
  <c r="N131"/>
  <c r="O131"/>
  <c r="P131"/>
  <c r="Q131"/>
  <c r="R131"/>
  <c r="S131"/>
  <c r="T131"/>
  <c r="U131"/>
  <c r="V131"/>
  <c r="H132"/>
  <c r="J132"/>
  <c r="L132"/>
  <c r="M132"/>
  <c r="N132"/>
  <c r="O132"/>
  <c r="P132"/>
  <c r="Q132"/>
  <c r="R132"/>
  <c r="S132"/>
  <c r="T132"/>
  <c r="U132"/>
  <c r="V132"/>
  <c r="W132"/>
  <c r="J133"/>
  <c r="L133"/>
  <c r="M133"/>
  <c r="N133"/>
  <c r="O133"/>
  <c r="P133"/>
  <c r="Q133"/>
  <c r="R133"/>
  <c r="S133"/>
  <c r="T133"/>
  <c r="U133"/>
  <c r="V133"/>
  <c r="W133"/>
  <c r="H134"/>
  <c r="J134"/>
  <c r="L134"/>
  <c r="M134"/>
  <c r="W134"/>
  <c r="N134"/>
  <c r="O134"/>
  <c r="P134"/>
  <c r="Q134"/>
  <c r="R134"/>
  <c r="S134"/>
  <c r="T134"/>
  <c r="U134"/>
  <c r="V134"/>
  <c r="J135"/>
  <c r="L135"/>
  <c r="M135"/>
  <c r="W135"/>
  <c r="N135"/>
  <c r="O135"/>
  <c r="P135"/>
  <c r="Q135"/>
  <c r="R135"/>
  <c r="S135"/>
  <c r="T135"/>
  <c r="U135"/>
  <c r="V135"/>
  <c r="J136"/>
  <c r="L136"/>
  <c r="M136"/>
  <c r="W136"/>
  <c r="N136"/>
  <c r="O136"/>
  <c r="P136"/>
  <c r="Q136"/>
  <c r="R136"/>
  <c r="S136"/>
  <c r="T136"/>
  <c r="U136"/>
  <c r="V136"/>
  <c r="E137"/>
  <c r="H137"/>
  <c r="S137"/>
  <c r="J137"/>
  <c r="L137"/>
  <c r="M137"/>
  <c r="W137"/>
  <c r="N137"/>
  <c r="O137"/>
  <c r="P137"/>
  <c r="Q137"/>
  <c r="R137"/>
  <c r="T137"/>
  <c r="U137"/>
  <c r="V137"/>
  <c r="J138"/>
  <c r="L138"/>
  <c r="M138"/>
  <c r="W138"/>
  <c r="N138"/>
  <c r="O138"/>
  <c r="P138"/>
  <c r="Q138"/>
  <c r="R138"/>
  <c r="S138"/>
  <c r="T138"/>
  <c r="U138"/>
  <c r="V138"/>
  <c r="J139"/>
  <c r="L139"/>
  <c r="M139"/>
  <c r="W139"/>
  <c r="N139"/>
  <c r="O139"/>
  <c r="P139"/>
  <c r="Q139"/>
  <c r="R139"/>
  <c r="S139"/>
  <c r="T139"/>
  <c r="U139"/>
  <c r="V139"/>
  <c r="J140"/>
  <c r="L140"/>
  <c r="M140"/>
  <c r="W140"/>
  <c r="N140"/>
  <c r="O140"/>
  <c r="P140"/>
  <c r="Q140"/>
  <c r="R140"/>
  <c r="S140"/>
  <c r="T140"/>
  <c r="U140"/>
  <c r="V140"/>
  <c r="J141"/>
  <c r="L141"/>
  <c r="M141"/>
  <c r="W141"/>
  <c r="N141"/>
  <c r="O141"/>
  <c r="P141"/>
  <c r="Q141"/>
  <c r="R141"/>
  <c r="S141"/>
  <c r="T141"/>
  <c r="U141"/>
  <c r="V141"/>
  <c r="J142"/>
  <c r="L142"/>
  <c r="M142"/>
  <c r="W142"/>
  <c r="N142"/>
  <c r="O142"/>
  <c r="P142"/>
  <c r="Q142"/>
  <c r="R142"/>
  <c r="S142"/>
  <c r="T142"/>
  <c r="U142"/>
  <c r="V142"/>
  <c r="J143"/>
  <c r="L143"/>
  <c r="M143"/>
  <c r="W143"/>
  <c r="N143"/>
  <c r="O143"/>
  <c r="P143"/>
  <c r="Q143"/>
  <c r="R143"/>
  <c r="S143"/>
  <c r="T143"/>
  <c r="U143"/>
  <c r="V143"/>
  <c r="J144"/>
  <c r="L144"/>
  <c r="M144"/>
  <c r="W144"/>
  <c r="N144"/>
  <c r="O144"/>
  <c r="P144"/>
  <c r="Q144"/>
  <c r="R144"/>
  <c r="S144"/>
  <c r="T144"/>
  <c r="U144"/>
  <c r="V144"/>
  <c r="J145"/>
  <c r="L145"/>
  <c r="M145"/>
  <c r="W145"/>
  <c r="N145"/>
  <c r="O145"/>
  <c r="P145"/>
  <c r="Q145"/>
  <c r="R145"/>
  <c r="S145"/>
  <c r="T145"/>
  <c r="U145"/>
  <c r="V145"/>
  <c r="J146"/>
  <c r="L146"/>
  <c r="M146"/>
  <c r="W146"/>
  <c r="N146"/>
  <c r="O146"/>
  <c r="P146"/>
  <c r="Q146"/>
  <c r="R146"/>
  <c r="S146"/>
  <c r="T146"/>
  <c r="U146"/>
  <c r="V146"/>
  <c r="J147"/>
  <c r="L147"/>
  <c r="M147"/>
  <c r="W147"/>
  <c r="N147"/>
  <c r="O147"/>
  <c r="P147"/>
  <c r="Q147"/>
  <c r="R147"/>
  <c r="S147"/>
  <c r="T147"/>
  <c r="U147"/>
  <c r="V147"/>
  <c r="J148"/>
  <c r="L148"/>
  <c r="M148"/>
  <c r="W148"/>
  <c r="N148"/>
  <c r="O148"/>
  <c r="P148"/>
  <c r="Q148"/>
  <c r="R148"/>
  <c r="S148"/>
  <c r="T148"/>
  <c r="U148"/>
  <c r="V148"/>
  <c r="J149"/>
  <c r="L149"/>
  <c r="M149"/>
  <c r="W149"/>
  <c r="N149"/>
  <c r="O149"/>
  <c r="P149"/>
  <c r="Q149"/>
  <c r="R149"/>
  <c r="S149"/>
  <c r="T149"/>
  <c r="U149"/>
  <c r="V149"/>
  <c r="J150"/>
  <c r="L150"/>
  <c r="M150"/>
  <c r="W150"/>
  <c r="N150"/>
  <c r="O150"/>
  <c r="P150"/>
  <c r="Q150"/>
  <c r="R150"/>
  <c r="S150"/>
  <c r="T150"/>
  <c r="U150"/>
  <c r="V150"/>
  <c r="J151"/>
  <c r="L151"/>
  <c r="M151"/>
  <c r="W151"/>
  <c r="N151"/>
  <c r="O151"/>
  <c r="P151"/>
  <c r="Q151"/>
  <c r="R151"/>
  <c r="S151"/>
  <c r="T151"/>
  <c r="U151"/>
  <c r="V151"/>
  <c r="J152"/>
  <c r="L152"/>
  <c r="M152"/>
  <c r="W152"/>
  <c r="N152"/>
  <c r="O152"/>
  <c r="P152"/>
  <c r="Q152"/>
  <c r="R152"/>
  <c r="S152"/>
  <c r="T152"/>
  <c r="U152"/>
  <c r="V152"/>
  <c r="J153"/>
  <c r="L153"/>
  <c r="M153"/>
  <c r="W153"/>
  <c r="N153"/>
  <c r="O153"/>
  <c r="P153"/>
  <c r="Q153"/>
  <c r="R153"/>
  <c r="S153"/>
  <c r="T153"/>
  <c r="U153"/>
  <c r="V153"/>
  <c r="J154"/>
  <c r="L154"/>
  <c r="M154"/>
  <c r="W154"/>
  <c r="N154"/>
  <c r="O154"/>
  <c r="P154"/>
  <c r="Q154"/>
  <c r="R154"/>
  <c r="S154"/>
  <c r="T154"/>
  <c r="U154"/>
  <c r="V154"/>
  <c r="J155"/>
  <c r="L155"/>
  <c r="M155"/>
  <c r="W155"/>
  <c r="N155"/>
  <c r="O155"/>
  <c r="P155"/>
  <c r="Q155"/>
  <c r="R155"/>
  <c r="S155"/>
  <c r="T155"/>
  <c r="U155"/>
  <c r="V155"/>
  <c r="J156"/>
  <c r="L156"/>
  <c r="M156"/>
  <c r="W156"/>
  <c r="N156"/>
  <c r="O156"/>
  <c r="P156"/>
  <c r="Q156"/>
  <c r="R156"/>
  <c r="S156"/>
  <c r="T156"/>
  <c r="U156"/>
  <c r="V156"/>
  <c r="I157"/>
  <c r="J157"/>
  <c r="L157"/>
  <c r="M157"/>
  <c r="N157"/>
  <c r="O157"/>
  <c r="P157"/>
  <c r="Q157"/>
  <c r="R157"/>
  <c r="S157"/>
  <c r="U157"/>
  <c r="V157"/>
  <c r="J158"/>
  <c r="L158"/>
  <c r="M158"/>
  <c r="N158"/>
  <c r="O158"/>
  <c r="P158"/>
  <c r="Q158"/>
  <c r="R158"/>
  <c r="S158"/>
  <c r="T158"/>
  <c r="U158"/>
  <c r="V158"/>
  <c r="W158"/>
  <c r="J159"/>
  <c r="L159"/>
  <c r="M159"/>
  <c r="N159"/>
  <c r="O159"/>
  <c r="P159"/>
  <c r="Q159"/>
  <c r="R159"/>
  <c r="S159"/>
  <c r="T159"/>
  <c r="U159"/>
  <c r="V159"/>
  <c r="W159"/>
  <c r="J160"/>
  <c r="L160"/>
  <c r="M160"/>
  <c r="N160"/>
  <c r="O160"/>
  <c r="P160"/>
  <c r="Q160"/>
  <c r="R160"/>
  <c r="S160"/>
  <c r="T160"/>
  <c r="U160"/>
  <c r="V160"/>
  <c r="W160"/>
  <c r="J161"/>
  <c r="L161"/>
  <c r="M161"/>
  <c r="N161"/>
  <c r="O161"/>
  <c r="P161"/>
  <c r="Q161"/>
  <c r="R161"/>
  <c r="S161"/>
  <c r="T161"/>
  <c r="U161"/>
  <c r="V161"/>
  <c r="W161"/>
  <c r="J162"/>
  <c r="L162"/>
  <c r="M162"/>
  <c r="N162"/>
  <c r="O162"/>
  <c r="P162"/>
  <c r="Q162"/>
  <c r="R162"/>
  <c r="S162"/>
  <c r="T162"/>
  <c r="U162"/>
  <c r="V162"/>
  <c r="W162"/>
  <c r="J163"/>
  <c r="L163"/>
  <c r="M163"/>
  <c r="N163"/>
  <c r="O163"/>
  <c r="P163"/>
  <c r="Q163"/>
  <c r="R163"/>
  <c r="S163"/>
  <c r="T163"/>
  <c r="U163"/>
  <c r="V163"/>
  <c r="W163"/>
  <c r="J164"/>
  <c r="L164"/>
  <c r="M164"/>
  <c r="N164"/>
  <c r="O164"/>
  <c r="P164"/>
  <c r="Q164"/>
  <c r="R164"/>
  <c r="S164"/>
  <c r="T164"/>
  <c r="U164"/>
  <c r="V164"/>
  <c r="W164"/>
  <c r="J165"/>
  <c r="L165"/>
  <c r="M165"/>
  <c r="N165"/>
  <c r="O165"/>
  <c r="P165"/>
  <c r="Q165"/>
  <c r="R165"/>
  <c r="S165"/>
  <c r="T165"/>
  <c r="U165"/>
  <c r="V165"/>
  <c r="W165"/>
  <c r="J166"/>
  <c r="L166"/>
  <c r="M166"/>
  <c r="N166"/>
  <c r="O166"/>
  <c r="P166"/>
  <c r="Q166"/>
  <c r="R166"/>
  <c r="S166"/>
  <c r="T166"/>
  <c r="U166"/>
  <c r="V166"/>
  <c r="W166"/>
  <c r="E167"/>
  <c r="H167"/>
  <c r="J167"/>
  <c r="L167"/>
  <c r="M167"/>
  <c r="N167"/>
  <c r="O167"/>
  <c r="P167"/>
  <c r="Q167"/>
  <c r="R167"/>
  <c r="S167"/>
  <c r="T167"/>
  <c r="U167"/>
  <c r="V167"/>
  <c r="W167"/>
  <c r="J168"/>
  <c r="L168"/>
  <c r="M168"/>
  <c r="N168"/>
  <c r="O168"/>
  <c r="P168"/>
  <c r="Q168"/>
  <c r="R168"/>
  <c r="S168"/>
  <c r="T168"/>
  <c r="U168"/>
  <c r="V168"/>
  <c r="W168"/>
  <c r="J169"/>
  <c r="L169"/>
  <c r="M169"/>
  <c r="N169"/>
  <c r="O169"/>
  <c r="P169"/>
  <c r="Q169"/>
  <c r="R169"/>
  <c r="S169"/>
  <c r="T169"/>
  <c r="U169"/>
  <c r="V169"/>
  <c r="W169"/>
  <c r="J170"/>
  <c r="L170"/>
  <c r="M170"/>
  <c r="N170"/>
  <c r="O170"/>
  <c r="P170"/>
  <c r="Q170"/>
  <c r="R170"/>
  <c r="S170"/>
  <c r="T170"/>
  <c r="U170"/>
  <c r="V170"/>
  <c r="W170"/>
  <c r="H171"/>
  <c r="J171"/>
  <c r="L171"/>
  <c r="M171"/>
  <c r="W171"/>
  <c r="N171"/>
  <c r="O171"/>
  <c r="P171"/>
  <c r="Q171"/>
  <c r="R171"/>
  <c r="S171"/>
  <c r="T171"/>
  <c r="U171"/>
  <c r="V171"/>
  <c r="J172"/>
  <c r="L172"/>
  <c r="M172"/>
  <c r="W172"/>
  <c r="N172"/>
  <c r="O172"/>
  <c r="P172"/>
  <c r="Q172"/>
  <c r="R172"/>
  <c r="S172"/>
  <c r="T172"/>
  <c r="U172"/>
  <c r="V172"/>
  <c r="J173"/>
  <c r="L173"/>
  <c r="M173"/>
  <c r="W173"/>
  <c r="N173"/>
  <c r="O173"/>
  <c r="P173"/>
  <c r="Q173"/>
  <c r="R173"/>
  <c r="S173"/>
  <c r="T173"/>
  <c r="U173"/>
  <c r="V173"/>
  <c r="J174"/>
  <c r="L174"/>
  <c r="M174"/>
  <c r="N174"/>
  <c r="O174"/>
  <c r="P174"/>
  <c r="Q174"/>
  <c r="R174"/>
  <c r="S174"/>
  <c r="T174"/>
  <c r="U174"/>
  <c r="V174"/>
  <c r="J175"/>
  <c r="L175"/>
  <c r="M175"/>
  <c r="N175"/>
  <c r="O175"/>
  <c r="P175"/>
  <c r="Q175"/>
  <c r="R175"/>
  <c r="S175"/>
  <c r="T175"/>
  <c r="U175"/>
  <c r="V175"/>
  <c r="J176"/>
  <c r="L176"/>
  <c r="M176"/>
  <c r="N176"/>
  <c r="O176"/>
  <c r="P176"/>
  <c r="Q176"/>
  <c r="R176"/>
  <c r="S176"/>
  <c r="T176"/>
  <c r="U176"/>
  <c r="V176"/>
  <c r="J177"/>
  <c r="L177"/>
  <c r="M177"/>
  <c r="N177"/>
  <c r="O177"/>
  <c r="P177"/>
  <c r="Q177"/>
  <c r="R177"/>
  <c r="S177"/>
  <c r="T177"/>
  <c r="U177"/>
  <c r="V177"/>
  <c r="J178"/>
  <c r="L178"/>
  <c r="M178"/>
  <c r="N178"/>
  <c r="O178"/>
  <c r="P178"/>
  <c r="Q178"/>
  <c r="R178"/>
  <c r="S178"/>
  <c r="T178"/>
  <c r="U178"/>
  <c r="V178"/>
  <c r="J179"/>
  <c r="L179"/>
  <c r="M179"/>
  <c r="N179"/>
  <c r="O179"/>
  <c r="P179"/>
  <c r="Q179"/>
  <c r="R179"/>
  <c r="S179"/>
  <c r="T179"/>
  <c r="U179"/>
  <c r="W179"/>
  <c r="V179"/>
  <c r="J180"/>
  <c r="L180"/>
  <c r="M180"/>
  <c r="N180"/>
  <c r="O180"/>
  <c r="P180"/>
  <c r="Q180"/>
  <c r="R180"/>
  <c r="S180"/>
  <c r="T180"/>
  <c r="U180"/>
  <c r="W180"/>
  <c r="V180"/>
  <c r="J181"/>
  <c r="L181"/>
  <c r="M181"/>
  <c r="N181"/>
  <c r="O181"/>
  <c r="P181"/>
  <c r="Q181"/>
  <c r="R181"/>
  <c r="S181"/>
  <c r="T181"/>
  <c r="U181"/>
  <c r="W181"/>
  <c r="V181"/>
  <c r="J182"/>
  <c r="L182"/>
  <c r="M182"/>
  <c r="N182"/>
  <c r="O182"/>
  <c r="P182"/>
  <c r="Q182"/>
  <c r="R182"/>
  <c r="S182"/>
  <c r="T182"/>
  <c r="U182"/>
  <c r="W182"/>
  <c r="V182"/>
  <c r="J183"/>
  <c r="L183"/>
  <c r="M183"/>
  <c r="N183"/>
  <c r="O183"/>
  <c r="P183"/>
  <c r="Q183"/>
  <c r="R183"/>
  <c r="S183"/>
  <c r="T183"/>
  <c r="U183"/>
  <c r="W183"/>
  <c r="V183"/>
  <c r="J184"/>
  <c r="L184"/>
  <c r="M184"/>
  <c r="N184"/>
  <c r="O184"/>
  <c r="P184"/>
  <c r="Q184"/>
  <c r="R184"/>
  <c r="S184"/>
  <c r="W184"/>
  <c r="T184"/>
  <c r="U184"/>
  <c r="V184"/>
  <c r="J185"/>
  <c r="L185"/>
  <c r="M185"/>
  <c r="N185"/>
  <c r="O185"/>
  <c r="P185"/>
  <c r="Q185"/>
  <c r="R185"/>
  <c r="S185"/>
  <c r="W185"/>
  <c r="T185"/>
  <c r="U185"/>
  <c r="V185"/>
  <c r="J186"/>
  <c r="L186"/>
  <c r="M186"/>
  <c r="N186"/>
  <c r="O186"/>
  <c r="P186"/>
  <c r="Q186"/>
  <c r="R186"/>
  <c r="S186"/>
  <c r="W186"/>
  <c r="T186"/>
  <c r="U186"/>
  <c r="V186"/>
  <c r="J187"/>
  <c r="L187"/>
  <c r="M187"/>
  <c r="N187"/>
  <c r="O187"/>
  <c r="P187"/>
  <c r="Q187"/>
  <c r="R187"/>
  <c r="S187"/>
  <c r="W187"/>
  <c r="T187"/>
  <c r="U187"/>
  <c r="V187"/>
  <c r="J188"/>
  <c r="L188"/>
  <c r="M188"/>
  <c r="N188"/>
  <c r="O188"/>
  <c r="P188"/>
  <c r="Q188"/>
  <c r="W188"/>
  <c r="R188"/>
  <c r="S188"/>
  <c r="T188"/>
  <c r="U188"/>
  <c r="V188"/>
  <c r="J189"/>
  <c r="L189"/>
  <c r="M189"/>
  <c r="N189"/>
  <c r="O189"/>
  <c r="P189"/>
  <c r="Q189"/>
  <c r="W189"/>
  <c r="R189"/>
  <c r="S189"/>
  <c r="T189"/>
  <c r="U189"/>
  <c r="V189"/>
  <c r="J190"/>
  <c r="L190"/>
  <c r="M190"/>
  <c r="N190"/>
  <c r="O190"/>
  <c r="P190"/>
  <c r="Q190"/>
  <c r="W190"/>
  <c r="R190"/>
  <c r="S190"/>
  <c r="T190"/>
  <c r="U190"/>
  <c r="V190"/>
  <c r="J191"/>
  <c r="L191"/>
  <c r="M191"/>
  <c r="N191"/>
  <c r="O191"/>
  <c r="P191"/>
  <c r="Q191"/>
  <c r="W191"/>
  <c r="R191"/>
  <c r="S191"/>
  <c r="T191"/>
  <c r="U191"/>
  <c r="V191"/>
  <c r="J192"/>
  <c r="L192"/>
  <c r="M192"/>
  <c r="N192"/>
  <c r="O192"/>
  <c r="P192"/>
  <c r="Q192"/>
  <c r="W192"/>
  <c r="R192"/>
  <c r="S192"/>
  <c r="T192"/>
  <c r="U192"/>
  <c r="V192"/>
  <c r="J193"/>
  <c r="L193"/>
  <c r="M193"/>
  <c r="W193"/>
  <c r="N193"/>
  <c r="O193"/>
  <c r="P193"/>
  <c r="Q193"/>
  <c r="R193"/>
  <c r="S193"/>
  <c r="T193"/>
  <c r="U193"/>
  <c r="V193"/>
  <c r="J194"/>
  <c r="L194"/>
  <c r="M194"/>
  <c r="W194"/>
  <c r="N194"/>
  <c r="O194"/>
  <c r="P194"/>
  <c r="Q194"/>
  <c r="R194"/>
  <c r="S194"/>
  <c r="T194"/>
  <c r="U194"/>
  <c r="V194"/>
  <c r="J195"/>
  <c r="L195"/>
  <c r="M195"/>
  <c r="W195"/>
  <c r="N195"/>
  <c r="O195"/>
  <c r="P195"/>
  <c r="Q195"/>
  <c r="R195"/>
  <c r="S195"/>
  <c r="T195"/>
  <c r="U195"/>
  <c r="V195"/>
  <c r="J196"/>
  <c r="L196"/>
  <c r="M196"/>
  <c r="W196"/>
  <c r="N196"/>
  <c r="O196"/>
  <c r="P196"/>
  <c r="Q196"/>
  <c r="R196"/>
  <c r="S196"/>
  <c r="T196"/>
  <c r="U196"/>
  <c r="V196"/>
  <c r="E197"/>
  <c r="J197"/>
  <c r="L197"/>
  <c r="M197"/>
  <c r="N197"/>
  <c r="O197"/>
  <c r="P197"/>
  <c r="Q197"/>
  <c r="R197"/>
  <c r="S197"/>
  <c r="T197"/>
  <c r="U197"/>
  <c r="V197"/>
  <c r="W197"/>
  <c r="J198"/>
  <c r="L198"/>
  <c r="M198"/>
  <c r="N198"/>
  <c r="O198"/>
  <c r="P198"/>
  <c r="Q198"/>
  <c r="R198"/>
  <c r="S198"/>
  <c r="T198"/>
  <c r="U198"/>
  <c r="V198"/>
  <c r="W198"/>
  <c r="J199"/>
  <c r="L199"/>
  <c r="M199"/>
  <c r="N199"/>
  <c r="O199"/>
  <c r="P199"/>
  <c r="Q199"/>
  <c r="R199"/>
  <c r="S199"/>
  <c r="T199"/>
  <c r="U199"/>
  <c r="V199"/>
  <c r="W199"/>
  <c r="J200"/>
  <c r="L200"/>
  <c r="M200"/>
  <c r="N200"/>
  <c r="O200"/>
  <c r="P200"/>
  <c r="Q200"/>
  <c r="R200"/>
  <c r="S200"/>
  <c r="T200"/>
  <c r="U200"/>
  <c r="V200"/>
  <c r="W200"/>
  <c r="J201"/>
  <c r="L201"/>
  <c r="M201"/>
  <c r="N201"/>
  <c r="O201"/>
  <c r="P201"/>
  <c r="Q201"/>
  <c r="R201"/>
  <c r="S201"/>
  <c r="T201"/>
  <c r="U201"/>
  <c r="V201"/>
  <c r="W201"/>
  <c r="I202"/>
  <c r="J202"/>
  <c r="L202"/>
  <c r="M202"/>
  <c r="W202"/>
  <c r="N202"/>
  <c r="O202"/>
  <c r="P202"/>
  <c r="Q202"/>
  <c r="R202"/>
  <c r="S202"/>
  <c r="T202"/>
  <c r="U202"/>
  <c r="V202"/>
  <c r="J203"/>
  <c r="L203"/>
  <c r="M203"/>
  <c r="W203"/>
  <c r="N203"/>
  <c r="O203"/>
  <c r="P203"/>
  <c r="Q203"/>
  <c r="R203"/>
  <c r="S203"/>
  <c r="T203"/>
  <c r="U203"/>
  <c r="V203"/>
  <c r="J204"/>
  <c r="L204"/>
  <c r="M204"/>
  <c r="W204"/>
  <c r="N204"/>
  <c r="O204"/>
  <c r="P204"/>
  <c r="Q204"/>
  <c r="R204"/>
  <c r="S204"/>
  <c r="T204"/>
  <c r="U204"/>
  <c r="V204"/>
  <c r="J205"/>
  <c r="L205"/>
  <c r="M205"/>
  <c r="W205"/>
  <c r="N205"/>
  <c r="O205"/>
  <c r="P205"/>
  <c r="Q205"/>
  <c r="R205"/>
  <c r="S205"/>
  <c r="T205"/>
  <c r="U205"/>
  <c r="V205"/>
  <c r="J206"/>
  <c r="L206"/>
  <c r="M206"/>
  <c r="W206"/>
  <c r="N206"/>
  <c r="O206"/>
  <c r="P206"/>
  <c r="Q206"/>
  <c r="R206"/>
  <c r="S206"/>
  <c r="T206"/>
  <c r="U206"/>
  <c r="V206"/>
  <c r="J207"/>
  <c r="L207"/>
  <c r="M207"/>
  <c r="W207"/>
  <c r="N207"/>
  <c r="O207"/>
  <c r="P207"/>
  <c r="Q207"/>
  <c r="R207"/>
  <c r="S207"/>
  <c r="T207"/>
  <c r="U207"/>
  <c r="V207"/>
  <c r="J208"/>
  <c r="L208"/>
  <c r="M208"/>
  <c r="W208"/>
  <c r="N208"/>
  <c r="O208"/>
  <c r="P208"/>
  <c r="Q208"/>
  <c r="R208"/>
  <c r="S208"/>
  <c r="T208"/>
  <c r="U208"/>
  <c r="V208"/>
  <c r="J209"/>
  <c r="L209"/>
  <c r="M209"/>
  <c r="W209"/>
  <c r="N209"/>
  <c r="O209"/>
  <c r="P209"/>
  <c r="Q209"/>
  <c r="R209"/>
  <c r="S209"/>
  <c r="T209"/>
  <c r="U209"/>
  <c r="V209"/>
  <c r="J210"/>
  <c r="L210"/>
  <c r="M210"/>
  <c r="W210"/>
  <c r="N210"/>
  <c r="O210"/>
  <c r="P210"/>
  <c r="Q210"/>
  <c r="R210"/>
  <c r="S210"/>
  <c r="T210"/>
  <c r="U210"/>
  <c r="V210"/>
  <c r="J211"/>
  <c r="L211"/>
  <c r="M211"/>
  <c r="W211"/>
  <c r="N211"/>
  <c r="O211"/>
  <c r="P211"/>
  <c r="Q211"/>
  <c r="R211"/>
  <c r="S211"/>
  <c r="T211"/>
  <c r="U211"/>
  <c r="V211"/>
  <c r="J212"/>
  <c r="L212"/>
  <c r="M212"/>
  <c r="W212"/>
  <c r="N212"/>
  <c r="O212"/>
  <c r="P212"/>
  <c r="Q212"/>
  <c r="R212"/>
  <c r="S212"/>
  <c r="T212"/>
  <c r="U212"/>
  <c r="V212"/>
  <c r="J213"/>
  <c r="L213"/>
  <c r="M213"/>
  <c r="W213"/>
  <c r="N213"/>
  <c r="O213"/>
  <c r="P213"/>
  <c r="Q213"/>
  <c r="R213"/>
  <c r="S213"/>
  <c r="T213"/>
  <c r="U213"/>
  <c r="V213"/>
  <c r="J214"/>
  <c r="L214"/>
  <c r="M214"/>
  <c r="W214"/>
  <c r="N214"/>
  <c r="O214"/>
  <c r="P214"/>
  <c r="Q214"/>
  <c r="R214"/>
  <c r="S214"/>
  <c r="T214"/>
  <c r="U214"/>
  <c r="V214"/>
  <c r="J215"/>
  <c r="L215"/>
  <c r="M215"/>
  <c r="W215"/>
  <c r="N215"/>
  <c r="O215"/>
  <c r="P215"/>
  <c r="Q215"/>
  <c r="R215"/>
  <c r="S215"/>
  <c r="T215"/>
  <c r="U215"/>
  <c r="V215"/>
  <c r="J216"/>
  <c r="L216"/>
  <c r="M216"/>
  <c r="W216"/>
  <c r="N216"/>
  <c r="O216"/>
  <c r="P216"/>
  <c r="Q216"/>
  <c r="R216"/>
  <c r="S216"/>
  <c r="T216"/>
  <c r="U216"/>
  <c r="V216"/>
  <c r="J217"/>
  <c r="L217"/>
  <c r="M217"/>
  <c r="W217"/>
  <c r="N217"/>
  <c r="O217"/>
  <c r="P217"/>
  <c r="Q217"/>
  <c r="R217"/>
  <c r="S217"/>
  <c r="T217"/>
  <c r="U217"/>
  <c r="V217"/>
  <c r="J218"/>
  <c r="L218"/>
  <c r="M218"/>
  <c r="W218"/>
  <c r="N218"/>
  <c r="O218"/>
  <c r="P218"/>
  <c r="Q218"/>
  <c r="R218"/>
  <c r="S218"/>
  <c r="T218"/>
  <c r="U218"/>
  <c r="V218"/>
  <c r="J219"/>
  <c r="L219"/>
  <c r="M219"/>
  <c r="W219"/>
  <c r="N219"/>
  <c r="O219"/>
  <c r="P219"/>
  <c r="Q219"/>
  <c r="R219"/>
  <c r="S219"/>
  <c r="T219"/>
  <c r="U219"/>
  <c r="V219"/>
  <c r="J220"/>
  <c r="L220"/>
  <c r="M220"/>
  <c r="W220"/>
  <c r="N220"/>
  <c r="O220"/>
  <c r="P220"/>
  <c r="Q220"/>
  <c r="R220"/>
  <c r="S220"/>
  <c r="T220"/>
  <c r="U220"/>
  <c r="V220"/>
  <c r="J221"/>
  <c r="L221"/>
  <c r="M221"/>
  <c r="W221"/>
  <c r="N221"/>
  <c r="O221"/>
  <c r="P221"/>
  <c r="Q221"/>
  <c r="R221"/>
  <c r="S221"/>
  <c r="T221"/>
  <c r="U221"/>
  <c r="V221"/>
  <c r="J222"/>
  <c r="L222"/>
  <c r="M222"/>
  <c r="W222"/>
  <c r="N222"/>
  <c r="O222"/>
  <c r="P222"/>
  <c r="Q222"/>
  <c r="R222"/>
  <c r="S222"/>
  <c r="T222"/>
  <c r="U222"/>
  <c r="V222"/>
  <c r="J223"/>
  <c r="L223"/>
  <c r="M223"/>
  <c r="W223"/>
  <c r="N223"/>
  <c r="O223"/>
  <c r="P223"/>
  <c r="Q223"/>
  <c r="R223"/>
  <c r="S223"/>
  <c r="T223"/>
  <c r="U223"/>
  <c r="V223"/>
  <c r="J224"/>
  <c r="L224"/>
  <c r="M224"/>
  <c r="W224"/>
  <c r="N224"/>
  <c r="O224"/>
  <c r="P224"/>
  <c r="Q224"/>
  <c r="R224"/>
  <c r="S224"/>
  <c r="T224"/>
  <c r="U224"/>
  <c r="V224"/>
  <c r="J225"/>
  <c r="L225"/>
  <c r="M225"/>
  <c r="W225"/>
  <c r="N225"/>
  <c r="O225"/>
  <c r="P225"/>
  <c r="Q225"/>
  <c r="R225"/>
  <c r="S225"/>
  <c r="T225"/>
  <c r="U225"/>
  <c r="V225"/>
  <c r="J226"/>
  <c r="L226"/>
  <c r="M226"/>
  <c r="W226"/>
  <c r="N226"/>
  <c r="O226"/>
  <c r="P226"/>
  <c r="Q226"/>
  <c r="R226"/>
  <c r="S226"/>
  <c r="T226"/>
  <c r="U226"/>
  <c r="V226"/>
  <c r="J227"/>
  <c r="L227"/>
  <c r="M227"/>
  <c r="W227"/>
  <c r="N227"/>
  <c r="O227"/>
  <c r="P227"/>
  <c r="Q227"/>
  <c r="R227"/>
  <c r="S227"/>
  <c r="T227"/>
  <c r="U227"/>
  <c r="V227"/>
  <c r="J228"/>
  <c r="L228"/>
  <c r="M228"/>
  <c r="W228"/>
  <c r="N228"/>
  <c r="O228"/>
  <c r="P228"/>
  <c r="Q228"/>
  <c r="R228"/>
  <c r="S228"/>
  <c r="T228"/>
  <c r="U228"/>
  <c r="V228"/>
  <c r="J229"/>
  <c r="L229"/>
  <c r="M229"/>
  <c r="W229"/>
  <c r="N229"/>
  <c r="O229"/>
  <c r="P229"/>
  <c r="Q229"/>
  <c r="R229"/>
  <c r="S229"/>
  <c r="T229"/>
  <c r="U229"/>
  <c r="V229"/>
  <c r="J230"/>
  <c r="L230"/>
  <c r="M230"/>
  <c r="W230"/>
  <c r="N230"/>
  <c r="O230"/>
  <c r="P230"/>
  <c r="Q230"/>
  <c r="R230"/>
  <c r="S230"/>
  <c r="T230"/>
  <c r="U230"/>
  <c r="V230"/>
  <c r="J231"/>
  <c r="L231"/>
  <c r="M231"/>
  <c r="W231"/>
  <c r="N231"/>
  <c r="O231"/>
  <c r="P231"/>
  <c r="Q231"/>
  <c r="R231"/>
  <c r="S231"/>
  <c r="T231"/>
  <c r="U231"/>
  <c r="V231"/>
  <c r="J232"/>
  <c r="L232"/>
  <c r="M232"/>
  <c r="W232"/>
  <c r="N232"/>
  <c r="O232"/>
  <c r="P232"/>
  <c r="Q232"/>
  <c r="R232"/>
  <c r="S232"/>
  <c r="T232"/>
  <c r="U232"/>
  <c r="V232"/>
  <c r="J233"/>
  <c r="L233"/>
  <c r="M233"/>
  <c r="W233"/>
  <c r="N233"/>
  <c r="O233"/>
  <c r="P233"/>
  <c r="Q233"/>
  <c r="R233"/>
  <c r="S233"/>
  <c r="T233"/>
  <c r="U233"/>
  <c r="V233"/>
  <c r="E234"/>
  <c r="J234"/>
  <c r="L234"/>
  <c r="M234"/>
  <c r="N234"/>
  <c r="O234"/>
  <c r="P234"/>
  <c r="Q234"/>
  <c r="R234"/>
  <c r="S234"/>
  <c r="T234"/>
  <c r="U234"/>
  <c r="V234"/>
  <c r="W234"/>
  <c r="J235"/>
  <c r="L235"/>
  <c r="M235"/>
  <c r="N235"/>
  <c r="O235"/>
  <c r="P235"/>
  <c r="Q235"/>
  <c r="R235"/>
  <c r="S235"/>
  <c r="T235"/>
  <c r="U235"/>
  <c r="V235"/>
  <c r="W235"/>
  <c r="J236"/>
  <c r="L236"/>
  <c r="M236"/>
  <c r="N236"/>
  <c r="O236"/>
  <c r="P236"/>
  <c r="Q236"/>
  <c r="R236"/>
  <c r="S236"/>
  <c r="T236"/>
  <c r="U236"/>
  <c r="V236"/>
  <c r="W236"/>
  <c r="J237"/>
  <c r="L237"/>
  <c r="M237"/>
  <c r="N237"/>
  <c r="O237"/>
  <c r="P237"/>
  <c r="Q237"/>
  <c r="R237"/>
  <c r="S237"/>
  <c r="T237"/>
  <c r="U237"/>
  <c r="V237"/>
  <c r="W237"/>
  <c r="J238"/>
  <c r="L238"/>
  <c r="M238"/>
  <c r="N238"/>
  <c r="O238"/>
  <c r="P238"/>
  <c r="Q238"/>
  <c r="R238"/>
  <c r="S238"/>
  <c r="T238"/>
  <c r="U238"/>
  <c r="V238"/>
  <c r="W238"/>
  <c r="J239"/>
  <c r="L239"/>
  <c r="M239"/>
  <c r="N239"/>
  <c r="O239"/>
  <c r="P239"/>
  <c r="Q239"/>
  <c r="R239"/>
  <c r="S239"/>
  <c r="T239"/>
  <c r="U239"/>
  <c r="V239"/>
  <c r="W239"/>
  <c r="J240"/>
  <c r="L240"/>
  <c r="M240"/>
  <c r="N240"/>
  <c r="O240"/>
  <c r="P240"/>
  <c r="Q240"/>
  <c r="R240"/>
  <c r="S240"/>
  <c r="T240"/>
  <c r="U240"/>
  <c r="V240"/>
  <c r="W240"/>
  <c r="J241"/>
  <c r="L241"/>
  <c r="M241"/>
  <c r="N241"/>
  <c r="O241"/>
  <c r="P241"/>
  <c r="Q241"/>
  <c r="R241"/>
  <c r="S241"/>
  <c r="T241"/>
  <c r="U241"/>
  <c r="V241"/>
  <c r="W241"/>
  <c r="J242"/>
  <c r="L242"/>
  <c r="M242"/>
  <c r="N242"/>
  <c r="O242"/>
  <c r="P242"/>
  <c r="Q242"/>
  <c r="R242"/>
  <c r="S242"/>
  <c r="T242"/>
  <c r="U242"/>
  <c r="V242"/>
  <c r="W242"/>
  <c r="J243"/>
  <c r="L243"/>
  <c r="M243"/>
  <c r="N243"/>
  <c r="O243"/>
  <c r="P243"/>
  <c r="Q243"/>
  <c r="R243"/>
  <c r="S243"/>
  <c r="T243"/>
  <c r="U243"/>
  <c r="V243"/>
  <c r="W243"/>
  <c r="J244"/>
  <c r="L244"/>
  <c r="M244"/>
  <c r="N244"/>
  <c r="O244"/>
  <c r="P244"/>
  <c r="Q244"/>
  <c r="R244"/>
  <c r="S244"/>
  <c r="T244"/>
  <c r="U244"/>
  <c r="V244"/>
  <c r="W244"/>
  <c r="J245"/>
  <c r="L245"/>
  <c r="M245"/>
  <c r="N245"/>
  <c r="O245"/>
  <c r="P245"/>
  <c r="Q245"/>
  <c r="R245"/>
  <c r="S245"/>
  <c r="T245"/>
  <c r="U245"/>
  <c r="V245"/>
  <c r="W245"/>
  <c r="J246"/>
  <c r="L246"/>
  <c r="M246"/>
  <c r="N246"/>
  <c r="O246"/>
  <c r="P246"/>
  <c r="Q246"/>
  <c r="R246"/>
  <c r="S246"/>
  <c r="T246"/>
  <c r="U246"/>
  <c r="V246"/>
  <c r="W246"/>
  <c r="J247"/>
  <c r="L247"/>
  <c r="M247"/>
  <c r="N247"/>
  <c r="O247"/>
  <c r="P247"/>
  <c r="Q247"/>
  <c r="R247"/>
  <c r="S247"/>
  <c r="T247"/>
  <c r="U247"/>
  <c r="V247"/>
  <c r="W247"/>
  <c r="J248"/>
  <c r="L248"/>
  <c r="M248"/>
  <c r="N248"/>
  <c r="O248"/>
  <c r="P248"/>
  <c r="Q248"/>
  <c r="R248"/>
  <c r="S248"/>
  <c r="T248"/>
  <c r="U248"/>
  <c r="V248"/>
  <c r="W248"/>
  <c r="J249"/>
  <c r="L249"/>
  <c r="M249"/>
  <c r="N249"/>
  <c r="O249"/>
  <c r="P249"/>
  <c r="Q249"/>
  <c r="R249"/>
  <c r="S249"/>
  <c r="T249"/>
  <c r="U249"/>
  <c r="V249"/>
  <c r="W249"/>
  <c r="J250"/>
  <c r="L250"/>
  <c r="M250"/>
  <c r="N250"/>
  <c r="O250"/>
  <c r="P250"/>
  <c r="Q250"/>
  <c r="R250"/>
  <c r="S250"/>
  <c r="T250"/>
  <c r="U250"/>
  <c r="V250"/>
  <c r="W250"/>
  <c r="J251"/>
  <c r="L251"/>
  <c r="M251"/>
  <c r="N251"/>
  <c r="O251"/>
  <c r="P251"/>
  <c r="Q251"/>
  <c r="R251"/>
  <c r="S251"/>
  <c r="T251"/>
  <c r="U251"/>
  <c r="V251"/>
  <c r="W251"/>
  <c r="J252"/>
  <c r="L252"/>
  <c r="M252"/>
  <c r="N252"/>
  <c r="O252"/>
  <c r="P252"/>
  <c r="Q252"/>
  <c r="R252"/>
  <c r="S252"/>
  <c r="T252"/>
  <c r="U252"/>
  <c r="V252"/>
  <c r="W252"/>
  <c r="J253"/>
  <c r="L253"/>
  <c r="M253"/>
  <c r="N253"/>
  <c r="O253"/>
  <c r="P253"/>
  <c r="Q253"/>
  <c r="R253"/>
  <c r="S253"/>
  <c r="T253"/>
  <c r="U253"/>
  <c r="V253"/>
  <c r="W253"/>
  <c r="J254"/>
  <c r="L254"/>
  <c r="M254"/>
  <c r="N254"/>
  <c r="O254"/>
  <c r="P254"/>
  <c r="Q254"/>
  <c r="R254"/>
  <c r="S254"/>
  <c r="T254"/>
  <c r="U254"/>
  <c r="V254"/>
  <c r="W254"/>
  <c r="J255"/>
  <c r="L255"/>
  <c r="M255"/>
  <c r="N255"/>
  <c r="O255"/>
  <c r="P255"/>
  <c r="Q255"/>
  <c r="R255"/>
  <c r="S255"/>
  <c r="T255"/>
  <c r="U255"/>
  <c r="V255"/>
  <c r="W255"/>
  <c r="J256"/>
  <c r="L256"/>
  <c r="M256"/>
  <c r="N256"/>
  <c r="O256"/>
  <c r="P256"/>
  <c r="Q256"/>
  <c r="R256"/>
  <c r="S256"/>
  <c r="T256"/>
  <c r="U256"/>
  <c r="V256"/>
  <c r="W256"/>
  <c r="J257"/>
  <c r="L257"/>
  <c r="M257"/>
  <c r="N257"/>
  <c r="O257"/>
  <c r="P257"/>
  <c r="Q257"/>
  <c r="R257"/>
  <c r="S257"/>
  <c r="T257"/>
  <c r="U257"/>
  <c r="V257"/>
  <c r="W257"/>
  <c r="J258"/>
  <c r="L258"/>
  <c r="M258"/>
  <c r="N258"/>
  <c r="O258"/>
  <c r="P258"/>
  <c r="Q258"/>
  <c r="R258"/>
  <c r="S258"/>
  <c r="T258"/>
  <c r="U258"/>
  <c r="V258"/>
  <c r="W258"/>
  <c r="J259"/>
  <c r="L259"/>
  <c r="M259"/>
  <c r="N259"/>
  <c r="O259"/>
  <c r="P259"/>
  <c r="Q259"/>
  <c r="R259"/>
  <c r="S259"/>
  <c r="T259"/>
  <c r="U259"/>
  <c r="V259"/>
  <c r="W259"/>
  <c r="J260"/>
  <c r="L260"/>
  <c r="M260"/>
  <c r="N260"/>
  <c r="O260"/>
  <c r="P260"/>
  <c r="Q260"/>
  <c r="R260"/>
  <c r="S260"/>
  <c r="T260"/>
  <c r="U260"/>
  <c r="V260"/>
  <c r="W260"/>
  <c r="J261"/>
  <c r="L261"/>
  <c r="M261"/>
  <c r="N261"/>
  <c r="O261"/>
  <c r="P261"/>
  <c r="Q261"/>
  <c r="R261"/>
  <c r="S261"/>
  <c r="T261"/>
  <c r="U261"/>
  <c r="V261"/>
  <c r="W261"/>
  <c r="J262"/>
  <c r="L262"/>
  <c r="M262"/>
  <c r="N262"/>
  <c r="O262"/>
  <c r="P262"/>
  <c r="Q262"/>
  <c r="R262"/>
  <c r="S262"/>
  <c r="T262"/>
  <c r="U262"/>
  <c r="V262"/>
  <c r="W262"/>
  <c r="J263"/>
  <c r="L263"/>
  <c r="M263"/>
  <c r="N263"/>
  <c r="O263"/>
  <c r="P263"/>
  <c r="Q263"/>
  <c r="R263"/>
  <c r="S263"/>
  <c r="T263"/>
  <c r="U263"/>
  <c r="V263"/>
  <c r="W263"/>
  <c r="J264"/>
  <c r="L264"/>
  <c r="M264"/>
  <c r="N264"/>
  <c r="O264"/>
  <c r="P264"/>
  <c r="Q264"/>
  <c r="R264"/>
  <c r="S264"/>
  <c r="T264"/>
  <c r="U264"/>
  <c r="V264"/>
  <c r="W264"/>
  <c r="J265"/>
  <c r="L265"/>
  <c r="M265"/>
  <c r="N265"/>
  <c r="O265"/>
  <c r="P265"/>
  <c r="Q265"/>
  <c r="R265"/>
  <c r="S265"/>
  <c r="T265"/>
  <c r="U265"/>
  <c r="V265"/>
  <c r="W265"/>
  <c r="J266"/>
  <c r="L266"/>
  <c r="M266"/>
  <c r="N266"/>
  <c r="O266"/>
  <c r="P266"/>
  <c r="Q266"/>
  <c r="R266"/>
  <c r="S266"/>
  <c r="T266"/>
  <c r="U266"/>
  <c r="V266"/>
  <c r="W266"/>
  <c r="J267"/>
  <c r="L267"/>
  <c r="M267"/>
  <c r="N267"/>
  <c r="O267"/>
  <c r="P267"/>
  <c r="Q267"/>
  <c r="R267"/>
  <c r="S267"/>
  <c r="T267"/>
  <c r="U267"/>
  <c r="V267"/>
  <c r="W267"/>
  <c r="J268"/>
  <c r="L268"/>
  <c r="M268"/>
  <c r="N268"/>
  <c r="O268"/>
  <c r="P268"/>
  <c r="Q268"/>
  <c r="R268"/>
  <c r="S268"/>
  <c r="T268"/>
  <c r="U268"/>
  <c r="V268"/>
  <c r="W268"/>
  <c r="J269"/>
  <c r="L269"/>
  <c r="M269"/>
  <c r="N269"/>
  <c r="O269"/>
  <c r="P269"/>
  <c r="Q269"/>
  <c r="R269"/>
  <c r="S269"/>
  <c r="T269"/>
  <c r="U269"/>
  <c r="V269"/>
  <c r="J270"/>
  <c r="L270"/>
  <c r="M270"/>
  <c r="N270"/>
  <c r="O270"/>
  <c r="P270"/>
  <c r="Q270"/>
  <c r="R270"/>
  <c r="S270"/>
  <c r="T270"/>
  <c r="U270"/>
  <c r="V270"/>
  <c r="J271"/>
  <c r="L271"/>
  <c r="M271"/>
  <c r="N271"/>
  <c r="O271"/>
  <c r="P271"/>
  <c r="Q271"/>
  <c r="R271"/>
  <c r="S271"/>
  <c r="T271"/>
  <c r="U271"/>
  <c r="V271"/>
  <c r="J272"/>
  <c r="L272"/>
  <c r="M272"/>
  <c r="N272"/>
  <c r="O272"/>
  <c r="P272"/>
  <c r="Q272"/>
  <c r="R272"/>
  <c r="S272"/>
  <c r="T272"/>
  <c r="U272"/>
  <c r="V272"/>
  <c r="J273"/>
  <c r="L273"/>
  <c r="M273"/>
  <c r="N273"/>
  <c r="O273"/>
  <c r="P273"/>
  <c r="Q273"/>
  <c r="R273"/>
  <c r="S273"/>
  <c r="T273"/>
  <c r="U273"/>
  <c r="V273"/>
  <c r="J274"/>
  <c r="L274"/>
  <c r="M274"/>
  <c r="N274"/>
  <c r="O274"/>
  <c r="P274"/>
  <c r="Q274"/>
  <c r="R274"/>
  <c r="S274"/>
  <c r="T274"/>
  <c r="U274"/>
  <c r="V274"/>
  <c r="J275"/>
  <c r="L275"/>
  <c r="M275"/>
  <c r="N275"/>
  <c r="O275"/>
  <c r="P275"/>
  <c r="Q275"/>
  <c r="R275"/>
  <c r="S275"/>
  <c r="T275"/>
  <c r="U275"/>
  <c r="V275"/>
  <c r="J276"/>
  <c r="L276"/>
  <c r="M276"/>
  <c r="N276"/>
  <c r="O276"/>
  <c r="P276"/>
  <c r="Q276"/>
  <c r="R276"/>
  <c r="S276"/>
  <c r="T276"/>
  <c r="U276"/>
  <c r="V276"/>
  <c r="J277"/>
  <c r="L277"/>
  <c r="M277"/>
  <c r="N277"/>
  <c r="O277"/>
  <c r="P277"/>
  <c r="Q277"/>
  <c r="R277"/>
  <c r="S277"/>
  <c r="T277"/>
  <c r="U277"/>
  <c r="V277"/>
  <c r="J278"/>
  <c r="L278"/>
  <c r="M278"/>
  <c r="N278"/>
  <c r="O278"/>
  <c r="P278"/>
  <c r="Q278"/>
  <c r="R278"/>
  <c r="S278"/>
  <c r="T278"/>
  <c r="U278"/>
  <c r="V278"/>
  <c r="J279"/>
  <c r="L279"/>
  <c r="M279"/>
  <c r="N279"/>
  <c r="O279"/>
  <c r="P279"/>
  <c r="Q279"/>
  <c r="R279"/>
  <c r="S279"/>
  <c r="T279"/>
  <c r="U279"/>
  <c r="V279"/>
  <c r="J280"/>
  <c r="L280"/>
  <c r="M280"/>
  <c r="N280"/>
  <c r="O280"/>
  <c r="P280"/>
  <c r="Q280"/>
  <c r="R280"/>
  <c r="S280"/>
  <c r="T280"/>
  <c r="U280"/>
  <c r="V280"/>
  <c r="J281"/>
  <c r="L281"/>
  <c r="M281"/>
  <c r="N281"/>
  <c r="O281"/>
  <c r="P281"/>
  <c r="Q281"/>
  <c r="R281"/>
  <c r="S281"/>
  <c r="T281"/>
  <c r="U281"/>
  <c r="V281"/>
  <c r="J282"/>
  <c r="L282"/>
  <c r="M282"/>
  <c r="N282"/>
  <c r="O282"/>
  <c r="P282"/>
  <c r="Q282"/>
  <c r="R282"/>
  <c r="S282"/>
  <c r="T282"/>
  <c r="U282"/>
  <c r="V282"/>
  <c r="J283"/>
  <c r="L283"/>
  <c r="M283"/>
  <c r="N283"/>
  <c r="O283"/>
  <c r="P283"/>
  <c r="Q283"/>
  <c r="R283"/>
  <c r="S283"/>
  <c r="T283"/>
  <c r="U283"/>
  <c r="V283"/>
  <c r="J284"/>
  <c r="L284"/>
  <c r="M284"/>
  <c r="N284"/>
  <c r="O284"/>
  <c r="P284"/>
  <c r="Q284"/>
  <c r="R284"/>
  <c r="S284"/>
  <c r="T284"/>
  <c r="U284"/>
  <c r="V284"/>
  <c r="J285"/>
  <c r="L285"/>
  <c r="M285"/>
  <c r="N285"/>
  <c r="O285"/>
  <c r="P285"/>
  <c r="Q285"/>
  <c r="R285"/>
  <c r="S285"/>
  <c r="T285"/>
  <c r="U285"/>
  <c r="V285"/>
  <c r="J286"/>
  <c r="L286"/>
  <c r="M286"/>
  <c r="N286"/>
  <c r="O286"/>
  <c r="P286"/>
  <c r="Q286"/>
  <c r="R286"/>
  <c r="S286"/>
  <c r="T286"/>
  <c r="U286"/>
  <c r="V286"/>
  <c r="J287"/>
  <c r="L287"/>
  <c r="M287"/>
  <c r="N287"/>
  <c r="O287"/>
  <c r="P287"/>
  <c r="Q287"/>
  <c r="R287"/>
  <c r="S287"/>
  <c r="T287"/>
  <c r="U287"/>
  <c r="V287"/>
  <c r="J288"/>
  <c r="L288"/>
  <c r="M288"/>
  <c r="N288"/>
  <c r="O288"/>
  <c r="P288"/>
  <c r="Q288"/>
  <c r="R288"/>
  <c r="S288"/>
  <c r="T288"/>
  <c r="U288"/>
  <c r="V288"/>
  <c r="E290"/>
  <c r="B78" i="17"/>
  <c r="C78"/>
  <c r="C78" i="42"/>
  <c r="H290" i="28"/>
  <c r="B83" i="17"/>
  <c r="C83"/>
  <c r="I290" i="28"/>
  <c r="L290"/>
  <c r="C10" i="17"/>
  <c r="M290" i="28"/>
  <c r="C11" i="17"/>
  <c r="D11"/>
  <c r="N290" i="28"/>
  <c r="C12" i="17"/>
  <c r="D12"/>
  <c r="B12" i="42"/>
  <c r="D12"/>
  <c r="O290" i="28"/>
  <c r="C13" i="17"/>
  <c r="D13"/>
  <c r="P290" i="28"/>
  <c r="C14" i="17"/>
  <c r="D14"/>
  <c r="B14" i="42"/>
  <c r="Q290" i="28"/>
  <c r="C15" i="17"/>
  <c r="D15"/>
  <c r="R290" i="28"/>
  <c r="C16" i="17"/>
  <c r="D16"/>
  <c r="B16" i="42"/>
  <c r="D16"/>
  <c r="U290" i="28"/>
  <c r="C18" i="17"/>
  <c r="D18"/>
  <c r="V290" i="28"/>
  <c r="C19" i="17"/>
  <c r="D19"/>
  <c r="B19" i="42"/>
  <c r="L293" i="28"/>
  <c r="A1" i="42"/>
  <c r="D11"/>
  <c r="B13"/>
  <c r="D13"/>
  <c r="D14"/>
  <c r="B15"/>
  <c r="D15"/>
  <c r="B18"/>
  <c r="D18"/>
  <c r="D19"/>
  <c r="C21"/>
  <c r="E58"/>
  <c r="E60"/>
  <c r="E65"/>
  <c r="E72"/>
  <c r="C83"/>
  <c r="L48" i="41"/>
  <c r="M48"/>
  <c r="N48"/>
  <c r="O48"/>
  <c r="P48"/>
  <c r="Q48"/>
  <c r="R48"/>
  <c r="S48"/>
  <c r="U48"/>
  <c r="V48"/>
  <c r="W48"/>
  <c r="L83"/>
  <c r="M83"/>
  <c r="N83"/>
  <c r="O83"/>
  <c r="P83"/>
  <c r="Q83"/>
  <c r="R83"/>
  <c r="S83"/>
  <c r="T83"/>
  <c r="U83"/>
  <c r="V83"/>
  <c r="W83"/>
  <c r="X83"/>
  <c r="L75"/>
  <c r="M75"/>
  <c r="N75"/>
  <c r="O75"/>
  <c r="P75"/>
  <c r="Q75"/>
  <c r="R75"/>
  <c r="S75"/>
  <c r="T75"/>
  <c r="U75"/>
  <c r="V75"/>
  <c r="W75"/>
  <c r="L50"/>
  <c r="M50"/>
  <c r="N50"/>
  <c r="O50"/>
  <c r="P50"/>
  <c r="Q50"/>
  <c r="R50"/>
  <c r="S50"/>
  <c r="T50"/>
  <c r="U50"/>
  <c r="V50"/>
  <c r="W50"/>
  <c r="L19"/>
  <c r="M19"/>
  <c r="N19"/>
  <c r="O19"/>
  <c r="P19"/>
  <c r="Q19"/>
  <c r="R19"/>
  <c r="S19"/>
  <c r="T19"/>
  <c r="U19"/>
  <c r="V19"/>
  <c r="W19"/>
  <c r="L20"/>
  <c r="M20"/>
  <c r="N20"/>
  <c r="O20"/>
  <c r="P20"/>
  <c r="Q20"/>
  <c r="R20"/>
  <c r="S20"/>
  <c r="T20"/>
  <c r="U20"/>
  <c r="V20"/>
  <c r="W20"/>
  <c r="L13"/>
  <c r="M13"/>
  <c r="N13"/>
  <c r="O13"/>
  <c r="P13"/>
  <c r="Q13"/>
  <c r="R13"/>
  <c r="S13"/>
  <c r="T13"/>
  <c r="U13"/>
  <c r="V13"/>
  <c r="W13"/>
  <c r="L22"/>
  <c r="M22"/>
  <c r="N22"/>
  <c r="O22"/>
  <c r="P22"/>
  <c r="Q22"/>
  <c r="R22"/>
  <c r="S22"/>
  <c r="T22"/>
  <c r="U22"/>
  <c r="V22"/>
  <c r="W22"/>
  <c r="X22"/>
  <c r="L45"/>
  <c r="M45"/>
  <c r="N45"/>
  <c r="O45"/>
  <c r="P45"/>
  <c r="Q45"/>
  <c r="R45"/>
  <c r="S45"/>
  <c r="T45"/>
  <c r="U45"/>
  <c r="V45"/>
  <c r="W45"/>
  <c r="L46"/>
  <c r="M46"/>
  <c r="N46"/>
  <c r="O46"/>
  <c r="P46"/>
  <c r="Q46"/>
  <c r="R46"/>
  <c r="S46"/>
  <c r="T46"/>
  <c r="U46"/>
  <c r="V46"/>
  <c r="W46"/>
  <c r="L21"/>
  <c r="M21"/>
  <c r="N21"/>
  <c r="O21"/>
  <c r="P21"/>
  <c r="Q21"/>
  <c r="R21"/>
  <c r="S21"/>
  <c r="T21"/>
  <c r="U21"/>
  <c r="V21"/>
  <c r="W21"/>
  <c r="L49"/>
  <c r="M49"/>
  <c r="N49"/>
  <c r="O49"/>
  <c r="P49"/>
  <c r="Q49"/>
  <c r="R49"/>
  <c r="S49"/>
  <c r="T49"/>
  <c r="U49"/>
  <c r="V49"/>
  <c r="W49"/>
  <c r="L62"/>
  <c r="M62"/>
  <c r="N62"/>
  <c r="O62"/>
  <c r="P62"/>
  <c r="Q62"/>
  <c r="R62"/>
  <c r="S62"/>
  <c r="T62"/>
  <c r="U62"/>
  <c r="V62"/>
  <c r="W62"/>
  <c r="L63"/>
  <c r="M63"/>
  <c r="N63"/>
  <c r="O63"/>
  <c r="P63"/>
  <c r="Q63"/>
  <c r="R63"/>
  <c r="S63"/>
  <c r="T63"/>
  <c r="U63"/>
  <c r="V63"/>
  <c r="W63"/>
  <c r="L64"/>
  <c r="M64"/>
  <c r="N64"/>
  <c r="O64"/>
  <c r="P64"/>
  <c r="Q64"/>
  <c r="R64"/>
  <c r="S64"/>
  <c r="T64"/>
  <c r="U64"/>
  <c r="V64"/>
  <c r="W64"/>
  <c r="L65"/>
  <c r="M65"/>
  <c r="N65"/>
  <c r="O65"/>
  <c r="P65"/>
  <c r="Q65"/>
  <c r="R65"/>
  <c r="S65"/>
  <c r="T65"/>
  <c r="U65"/>
  <c r="V65"/>
  <c r="W65"/>
  <c r="L66"/>
  <c r="M66"/>
  <c r="N66"/>
  <c r="O66"/>
  <c r="P66"/>
  <c r="Q66"/>
  <c r="R66"/>
  <c r="S66"/>
  <c r="T66"/>
  <c r="U66"/>
  <c r="V66"/>
  <c r="W66"/>
  <c r="L67"/>
  <c r="M67"/>
  <c r="N67"/>
  <c r="O67"/>
  <c r="P67"/>
  <c r="Q67"/>
  <c r="R67"/>
  <c r="S67"/>
  <c r="T67"/>
  <c r="U67"/>
  <c r="V67"/>
  <c r="W67"/>
  <c r="L69"/>
  <c r="M69"/>
  <c r="N69"/>
  <c r="O69"/>
  <c r="P69"/>
  <c r="Q69"/>
  <c r="R69"/>
  <c r="S69"/>
  <c r="T69"/>
  <c r="U69"/>
  <c r="V69"/>
  <c r="W69"/>
  <c r="L70"/>
  <c r="M70"/>
  <c r="N70"/>
  <c r="O70"/>
  <c r="P70"/>
  <c r="Q70"/>
  <c r="R70"/>
  <c r="S70"/>
  <c r="T70"/>
  <c r="U70"/>
  <c r="V70"/>
  <c r="W70"/>
  <c r="L71"/>
  <c r="M71"/>
  <c r="N71"/>
  <c r="O71"/>
  <c r="P71"/>
  <c r="Q71"/>
  <c r="R71"/>
  <c r="S71"/>
  <c r="T71"/>
  <c r="U71"/>
  <c r="V71"/>
  <c r="W71"/>
  <c r="L68"/>
  <c r="M68"/>
  <c r="N68"/>
  <c r="O68"/>
  <c r="P68"/>
  <c r="Q68"/>
  <c r="R68"/>
  <c r="S68"/>
  <c r="T68"/>
  <c r="U68"/>
  <c r="V68"/>
  <c r="W68"/>
  <c r="L73"/>
  <c r="M73"/>
  <c r="N73"/>
  <c r="O73"/>
  <c r="P73"/>
  <c r="Q73"/>
  <c r="R73"/>
  <c r="S73"/>
  <c r="T73"/>
  <c r="U73"/>
  <c r="V73"/>
  <c r="W73"/>
  <c r="L85"/>
  <c r="M85"/>
  <c r="N85"/>
  <c r="O85"/>
  <c r="P85"/>
  <c r="Q85"/>
  <c r="R85"/>
  <c r="S85"/>
  <c r="T85"/>
  <c r="U85"/>
  <c r="V85"/>
  <c r="W85"/>
  <c r="L88"/>
  <c r="M88"/>
  <c r="N88"/>
  <c r="O88"/>
  <c r="P88"/>
  <c r="Q88"/>
  <c r="R88"/>
  <c r="S88"/>
  <c r="T88"/>
  <c r="U88"/>
  <c r="V88"/>
  <c r="W88"/>
  <c r="L89"/>
  <c r="M89"/>
  <c r="N89"/>
  <c r="O89"/>
  <c r="P89"/>
  <c r="Q89"/>
  <c r="R89"/>
  <c r="S89"/>
  <c r="T89"/>
  <c r="U89"/>
  <c r="V89"/>
  <c r="W89"/>
  <c r="L90"/>
  <c r="M90"/>
  <c r="N90"/>
  <c r="O90"/>
  <c r="P90"/>
  <c r="Q90"/>
  <c r="R90"/>
  <c r="S90"/>
  <c r="T90"/>
  <c r="U90"/>
  <c r="V90"/>
  <c r="W90"/>
  <c r="L91"/>
  <c r="M91"/>
  <c r="N91"/>
  <c r="O91"/>
  <c r="P91"/>
  <c r="Q91"/>
  <c r="R91"/>
  <c r="S91"/>
  <c r="T91"/>
  <c r="U91"/>
  <c r="V91"/>
  <c r="W91"/>
  <c r="L92"/>
  <c r="M92"/>
  <c r="N92"/>
  <c r="O92"/>
  <c r="P92"/>
  <c r="Q92"/>
  <c r="R92"/>
  <c r="S92"/>
  <c r="T92"/>
  <c r="U92"/>
  <c r="V92"/>
  <c r="W92"/>
  <c r="L95"/>
  <c r="M95"/>
  <c r="N95"/>
  <c r="O95"/>
  <c r="P95"/>
  <c r="Q95"/>
  <c r="R95"/>
  <c r="S95"/>
  <c r="T95"/>
  <c r="U95"/>
  <c r="V95"/>
  <c r="W95"/>
  <c r="L97"/>
  <c r="M97"/>
  <c r="N97"/>
  <c r="O97"/>
  <c r="P97"/>
  <c r="Q97"/>
  <c r="R97"/>
  <c r="S97"/>
  <c r="T97"/>
  <c r="U97"/>
  <c r="V97"/>
  <c r="W97"/>
  <c r="L86"/>
  <c r="M86"/>
  <c r="N86"/>
  <c r="O86"/>
  <c r="P86"/>
  <c r="Q86"/>
  <c r="R86"/>
  <c r="S86"/>
  <c r="T86"/>
  <c r="U86"/>
  <c r="V86"/>
  <c r="W86"/>
  <c r="L87"/>
  <c r="M87"/>
  <c r="N87"/>
  <c r="O87"/>
  <c r="P87"/>
  <c r="Q87"/>
  <c r="R87"/>
  <c r="S87"/>
  <c r="T87"/>
  <c r="U87"/>
  <c r="V87"/>
  <c r="W87"/>
  <c r="L32"/>
  <c r="M32"/>
  <c r="N32"/>
  <c r="O32"/>
  <c r="P32"/>
  <c r="Q32"/>
  <c r="R32"/>
  <c r="S32"/>
  <c r="T32"/>
  <c r="U32"/>
  <c r="V32"/>
  <c r="W32"/>
  <c r="L111"/>
  <c r="M111"/>
  <c r="N111"/>
  <c r="O111"/>
  <c r="P111"/>
  <c r="Q111"/>
  <c r="R111"/>
  <c r="S111"/>
  <c r="T111"/>
  <c r="U111"/>
  <c r="V111"/>
  <c r="W111"/>
  <c r="L33"/>
  <c r="M33"/>
  <c r="N33"/>
  <c r="O33"/>
  <c r="P33"/>
  <c r="Q33"/>
  <c r="R33"/>
  <c r="S33"/>
  <c r="T33"/>
  <c r="U33"/>
  <c r="V33"/>
  <c r="W33"/>
  <c r="L44"/>
  <c r="M44"/>
  <c r="N44"/>
  <c r="O44"/>
  <c r="P44"/>
  <c r="Q44"/>
  <c r="R44"/>
  <c r="S44"/>
  <c r="T44"/>
  <c r="U44"/>
  <c r="V44"/>
  <c r="W44"/>
  <c r="L76"/>
  <c r="M76"/>
  <c r="N76"/>
  <c r="O76"/>
  <c r="P76"/>
  <c r="Q76"/>
  <c r="R76"/>
  <c r="S76"/>
  <c r="T76"/>
  <c r="U76"/>
  <c r="V76"/>
  <c r="W76"/>
  <c r="L12"/>
  <c r="M12"/>
  <c r="N12"/>
  <c r="O12"/>
  <c r="P12"/>
  <c r="Q12"/>
  <c r="R12"/>
  <c r="S12"/>
  <c r="T12"/>
  <c r="U12"/>
  <c r="V12"/>
  <c r="W12"/>
  <c r="L77"/>
  <c r="M77"/>
  <c r="N77"/>
  <c r="O77"/>
  <c r="P77"/>
  <c r="Q77"/>
  <c r="R77"/>
  <c r="S77"/>
  <c r="T77"/>
  <c r="U77"/>
  <c r="V77"/>
  <c r="W77"/>
  <c r="L103"/>
  <c r="M103"/>
  <c r="N103"/>
  <c r="O103"/>
  <c r="P103"/>
  <c r="Q103"/>
  <c r="R103"/>
  <c r="S103"/>
  <c r="T103"/>
  <c r="U103"/>
  <c r="V103"/>
  <c r="W103"/>
  <c r="L105"/>
  <c r="M105"/>
  <c r="N105"/>
  <c r="O105"/>
  <c r="P105"/>
  <c r="Q105"/>
  <c r="R105"/>
  <c r="S105"/>
  <c r="T105"/>
  <c r="U105"/>
  <c r="V105"/>
  <c r="W105"/>
  <c r="X105"/>
  <c r="L54"/>
  <c r="M54"/>
  <c r="N54"/>
  <c r="O54"/>
  <c r="P54"/>
  <c r="Q54"/>
  <c r="R54"/>
  <c r="S54"/>
  <c r="T54"/>
  <c r="U54"/>
  <c r="V54"/>
  <c r="W54"/>
  <c r="L53"/>
  <c r="M53"/>
  <c r="N53"/>
  <c r="O53"/>
  <c r="P53"/>
  <c r="Q53"/>
  <c r="R53"/>
  <c r="S53"/>
  <c r="T53"/>
  <c r="U53"/>
  <c r="V53"/>
  <c r="W53"/>
  <c r="X53"/>
  <c r="L55"/>
  <c r="M55"/>
  <c r="N55"/>
  <c r="O55"/>
  <c r="P55"/>
  <c r="Q55"/>
  <c r="R55"/>
  <c r="S55"/>
  <c r="T55"/>
  <c r="U55"/>
  <c r="V55"/>
  <c r="W55"/>
  <c r="L56"/>
  <c r="M56"/>
  <c r="N56"/>
  <c r="O56"/>
  <c r="P56"/>
  <c r="Q56"/>
  <c r="R56"/>
  <c r="S56"/>
  <c r="T56"/>
  <c r="U56"/>
  <c r="V56"/>
  <c r="W56"/>
  <c r="L57"/>
  <c r="M57"/>
  <c r="N57"/>
  <c r="O57"/>
  <c r="P57"/>
  <c r="Q57"/>
  <c r="R57"/>
  <c r="S57"/>
  <c r="T57"/>
  <c r="U57"/>
  <c r="V57"/>
  <c r="W57"/>
  <c r="L58"/>
  <c r="M58"/>
  <c r="N58"/>
  <c r="O58"/>
  <c r="P58"/>
  <c r="Q58"/>
  <c r="R58"/>
  <c r="S58"/>
  <c r="T58"/>
  <c r="U58"/>
  <c r="V58"/>
  <c r="W58"/>
  <c r="L59"/>
  <c r="M59"/>
  <c r="N59"/>
  <c r="O59"/>
  <c r="P59"/>
  <c r="Q59"/>
  <c r="R59"/>
  <c r="S59"/>
  <c r="T59"/>
  <c r="U59"/>
  <c r="V59"/>
  <c r="W59"/>
  <c r="L60"/>
  <c r="M60"/>
  <c r="N60"/>
  <c r="O60"/>
  <c r="P60"/>
  <c r="Q60"/>
  <c r="R60"/>
  <c r="S60"/>
  <c r="T60"/>
  <c r="U60"/>
  <c r="V60"/>
  <c r="W60"/>
  <c r="X60"/>
  <c r="L93"/>
  <c r="M93"/>
  <c r="N93"/>
  <c r="O93"/>
  <c r="P93"/>
  <c r="Q93"/>
  <c r="R93"/>
  <c r="S93"/>
  <c r="T93"/>
  <c r="U93"/>
  <c r="V93"/>
  <c r="W93"/>
  <c r="L96"/>
  <c r="M96"/>
  <c r="N96"/>
  <c r="O96"/>
  <c r="P96"/>
  <c r="Q96"/>
  <c r="R96"/>
  <c r="S96"/>
  <c r="T96"/>
  <c r="U96"/>
  <c r="V96"/>
  <c r="W96"/>
  <c r="X96"/>
  <c r="L112"/>
  <c r="M112"/>
  <c r="N112"/>
  <c r="O112"/>
  <c r="P112"/>
  <c r="Q112"/>
  <c r="R112"/>
  <c r="S112"/>
  <c r="T112"/>
  <c r="U112"/>
  <c r="V112"/>
  <c r="W112"/>
  <c r="L113"/>
  <c r="M113"/>
  <c r="N113"/>
  <c r="O113"/>
  <c r="P113"/>
  <c r="Q113"/>
  <c r="R113"/>
  <c r="S113"/>
  <c r="T113"/>
  <c r="U113"/>
  <c r="V113"/>
  <c r="W113"/>
  <c r="X113"/>
  <c r="L120"/>
  <c r="M120"/>
  <c r="N120"/>
  <c r="O120"/>
  <c r="P120"/>
  <c r="Q120"/>
  <c r="R120"/>
  <c r="S120"/>
  <c r="T120"/>
  <c r="U120"/>
  <c r="V120"/>
  <c r="W120"/>
  <c r="L117"/>
  <c r="M117"/>
  <c r="N117"/>
  <c r="O117"/>
  <c r="P117"/>
  <c r="Q117"/>
  <c r="R117"/>
  <c r="S117"/>
  <c r="T117"/>
  <c r="U117"/>
  <c r="V117"/>
  <c r="W117"/>
  <c r="X117"/>
  <c r="L118"/>
  <c r="M118"/>
  <c r="N118"/>
  <c r="O118"/>
  <c r="P118"/>
  <c r="Q118"/>
  <c r="R118"/>
  <c r="S118"/>
  <c r="T118"/>
  <c r="U118"/>
  <c r="V118"/>
  <c r="W118"/>
  <c r="L121"/>
  <c r="M121"/>
  <c r="N121"/>
  <c r="O121"/>
  <c r="P121"/>
  <c r="Q121"/>
  <c r="R121"/>
  <c r="S121"/>
  <c r="T121"/>
  <c r="U121"/>
  <c r="V121"/>
  <c r="W121"/>
  <c r="X121"/>
  <c r="L122"/>
  <c r="M122"/>
  <c r="N122"/>
  <c r="O122"/>
  <c r="P122"/>
  <c r="Q122"/>
  <c r="R122"/>
  <c r="S122"/>
  <c r="T122"/>
  <c r="U122"/>
  <c r="V122"/>
  <c r="W122"/>
  <c r="L123"/>
  <c r="M123"/>
  <c r="N123"/>
  <c r="O123"/>
  <c r="P123"/>
  <c r="Q123"/>
  <c r="R123"/>
  <c r="S123"/>
  <c r="T123"/>
  <c r="U123"/>
  <c r="V123"/>
  <c r="W123"/>
  <c r="X123"/>
  <c r="L124"/>
  <c r="M124"/>
  <c r="N124"/>
  <c r="O124"/>
  <c r="P124"/>
  <c r="Q124"/>
  <c r="R124"/>
  <c r="S124"/>
  <c r="T124"/>
  <c r="U124"/>
  <c r="V124"/>
  <c r="W124"/>
  <c r="L125"/>
  <c r="M125"/>
  <c r="N125"/>
  <c r="O125"/>
  <c r="P125"/>
  <c r="Q125"/>
  <c r="R125"/>
  <c r="S125"/>
  <c r="T125"/>
  <c r="U125"/>
  <c r="V125"/>
  <c r="W125"/>
  <c r="X125"/>
  <c r="L127"/>
  <c r="M127"/>
  <c r="N127"/>
  <c r="O127"/>
  <c r="P127"/>
  <c r="Q127"/>
  <c r="R127"/>
  <c r="S127"/>
  <c r="T127"/>
  <c r="U127"/>
  <c r="V127"/>
  <c r="W127"/>
  <c r="L128"/>
  <c r="M128"/>
  <c r="N128"/>
  <c r="O128"/>
  <c r="P128"/>
  <c r="Q128"/>
  <c r="R128"/>
  <c r="S128"/>
  <c r="T128"/>
  <c r="U128"/>
  <c r="V128"/>
  <c r="W128"/>
  <c r="X128"/>
  <c r="L129"/>
  <c r="M129"/>
  <c r="N129"/>
  <c r="O129"/>
  <c r="P129"/>
  <c r="Q129"/>
  <c r="R129"/>
  <c r="S129"/>
  <c r="T129"/>
  <c r="U129"/>
  <c r="V129"/>
  <c r="W129"/>
  <c r="L130"/>
  <c r="M130"/>
  <c r="N130"/>
  <c r="O130"/>
  <c r="P130"/>
  <c r="Q130"/>
  <c r="R130"/>
  <c r="S130"/>
  <c r="T130"/>
  <c r="U130"/>
  <c r="V130"/>
  <c r="W130"/>
  <c r="X130"/>
  <c r="L131"/>
  <c r="M131"/>
  <c r="N131"/>
  <c r="O131"/>
  <c r="P131"/>
  <c r="Q131"/>
  <c r="R131"/>
  <c r="S131"/>
  <c r="T131"/>
  <c r="U131"/>
  <c r="V131"/>
  <c r="W131"/>
  <c r="L132"/>
  <c r="M132"/>
  <c r="N132"/>
  <c r="O132"/>
  <c r="P132"/>
  <c r="Q132"/>
  <c r="R132"/>
  <c r="S132"/>
  <c r="T132"/>
  <c r="U132"/>
  <c r="V132"/>
  <c r="W132"/>
  <c r="X132"/>
  <c r="L133"/>
  <c r="M133"/>
  <c r="N133"/>
  <c r="O133"/>
  <c r="P133"/>
  <c r="Q133"/>
  <c r="R133"/>
  <c r="S133"/>
  <c r="T133"/>
  <c r="U133"/>
  <c r="V133"/>
  <c r="W133"/>
  <c r="L134"/>
  <c r="M134"/>
  <c r="N134"/>
  <c r="O134"/>
  <c r="P134"/>
  <c r="Q134"/>
  <c r="R134"/>
  <c r="S134"/>
  <c r="T134"/>
  <c r="U134"/>
  <c r="V134"/>
  <c r="W134"/>
  <c r="X134"/>
  <c r="L135"/>
  <c r="M135"/>
  <c r="N135"/>
  <c r="O135"/>
  <c r="P135"/>
  <c r="Q135"/>
  <c r="R135"/>
  <c r="S135"/>
  <c r="T135"/>
  <c r="U135"/>
  <c r="V135"/>
  <c r="W135"/>
  <c r="L136"/>
  <c r="M136"/>
  <c r="N136"/>
  <c r="O136"/>
  <c r="P136"/>
  <c r="Q136"/>
  <c r="R136"/>
  <c r="S136"/>
  <c r="T136"/>
  <c r="U136"/>
  <c r="V136"/>
  <c r="W136"/>
  <c r="X136"/>
  <c r="L137"/>
  <c r="M137"/>
  <c r="N137"/>
  <c r="O137"/>
  <c r="P137"/>
  <c r="Q137"/>
  <c r="R137"/>
  <c r="S137"/>
  <c r="T137"/>
  <c r="U137"/>
  <c r="V137"/>
  <c r="W137"/>
  <c r="L138"/>
  <c r="M138"/>
  <c r="N138"/>
  <c r="O138"/>
  <c r="P138"/>
  <c r="Q138"/>
  <c r="R138"/>
  <c r="S138"/>
  <c r="T138"/>
  <c r="U138"/>
  <c r="V138"/>
  <c r="W138"/>
  <c r="X138"/>
  <c r="L139"/>
  <c r="M139"/>
  <c r="N139"/>
  <c r="O139"/>
  <c r="P139"/>
  <c r="Q139"/>
  <c r="R139"/>
  <c r="S139"/>
  <c r="T139"/>
  <c r="U139"/>
  <c r="V139"/>
  <c r="W139"/>
  <c r="L140"/>
  <c r="M140"/>
  <c r="N140"/>
  <c r="O140"/>
  <c r="P140"/>
  <c r="Q140"/>
  <c r="R140"/>
  <c r="S140"/>
  <c r="T140"/>
  <c r="U140"/>
  <c r="V140"/>
  <c r="W140"/>
  <c r="X140"/>
  <c r="L141"/>
  <c r="M141"/>
  <c r="N141"/>
  <c r="O141"/>
  <c r="P141"/>
  <c r="Q141"/>
  <c r="R141"/>
  <c r="S141"/>
  <c r="T141"/>
  <c r="U141"/>
  <c r="V141"/>
  <c r="W141"/>
  <c r="L142"/>
  <c r="M142"/>
  <c r="N142"/>
  <c r="O142"/>
  <c r="P142"/>
  <c r="Q142"/>
  <c r="R142"/>
  <c r="S142"/>
  <c r="T142"/>
  <c r="U142"/>
  <c r="V142"/>
  <c r="W142"/>
  <c r="X142"/>
  <c r="L143"/>
  <c r="M143"/>
  <c r="N143"/>
  <c r="O143"/>
  <c r="P143"/>
  <c r="Q143"/>
  <c r="R143"/>
  <c r="S143"/>
  <c r="T143"/>
  <c r="U143"/>
  <c r="V143"/>
  <c r="W143"/>
  <c r="L144"/>
  <c r="M144"/>
  <c r="N144"/>
  <c r="O144"/>
  <c r="P144"/>
  <c r="Q144"/>
  <c r="R144"/>
  <c r="S144"/>
  <c r="T144"/>
  <c r="U144"/>
  <c r="V144"/>
  <c r="W144"/>
  <c r="X144"/>
  <c r="L145"/>
  <c r="M145"/>
  <c r="N145"/>
  <c r="O145"/>
  <c r="P145"/>
  <c r="Q145"/>
  <c r="R145"/>
  <c r="S145"/>
  <c r="T145"/>
  <c r="U145"/>
  <c r="V145"/>
  <c r="W145"/>
  <c r="L146"/>
  <c r="M146"/>
  <c r="N146"/>
  <c r="O146"/>
  <c r="P146"/>
  <c r="Q146"/>
  <c r="R146"/>
  <c r="S146"/>
  <c r="T146"/>
  <c r="U146"/>
  <c r="V146"/>
  <c r="W146"/>
  <c r="X146"/>
  <c r="L147"/>
  <c r="M147"/>
  <c r="N147"/>
  <c r="O147"/>
  <c r="P147"/>
  <c r="Q147"/>
  <c r="R147"/>
  <c r="S147"/>
  <c r="T147"/>
  <c r="U147"/>
  <c r="V147"/>
  <c r="W147"/>
  <c r="L148"/>
  <c r="M148"/>
  <c r="N148"/>
  <c r="O148"/>
  <c r="P148"/>
  <c r="Q148"/>
  <c r="R148"/>
  <c r="S148"/>
  <c r="T148"/>
  <c r="U148"/>
  <c r="V148"/>
  <c r="W148"/>
  <c r="X148"/>
  <c r="L150"/>
  <c r="M150"/>
  <c r="N150"/>
  <c r="O150"/>
  <c r="P150"/>
  <c r="Q150"/>
  <c r="R150"/>
  <c r="S150"/>
  <c r="T150"/>
  <c r="U150"/>
  <c r="V150"/>
  <c r="W150"/>
  <c r="L152"/>
  <c r="M152"/>
  <c r="N152"/>
  <c r="O152"/>
  <c r="P152"/>
  <c r="Q152"/>
  <c r="R152"/>
  <c r="S152"/>
  <c r="T152"/>
  <c r="U152"/>
  <c r="V152"/>
  <c r="W152"/>
  <c r="X152"/>
  <c r="L153"/>
  <c r="M153"/>
  <c r="N153"/>
  <c r="O153"/>
  <c r="P153"/>
  <c r="Q153"/>
  <c r="R153"/>
  <c r="S153"/>
  <c r="T153"/>
  <c r="U153"/>
  <c r="V153"/>
  <c r="W153"/>
  <c r="L98"/>
  <c r="M98"/>
  <c r="N98"/>
  <c r="O98"/>
  <c r="P98"/>
  <c r="Q98"/>
  <c r="R98"/>
  <c r="S98"/>
  <c r="T98"/>
  <c r="U98"/>
  <c r="V98"/>
  <c r="W98"/>
  <c r="X98"/>
  <c r="L99"/>
  <c r="M99"/>
  <c r="N99"/>
  <c r="O99"/>
  <c r="P99"/>
  <c r="Q99"/>
  <c r="R99"/>
  <c r="S99"/>
  <c r="T99"/>
  <c r="U99"/>
  <c r="V99"/>
  <c r="W99"/>
  <c r="L100"/>
  <c r="M100"/>
  <c r="N100"/>
  <c r="O100"/>
  <c r="P100"/>
  <c r="Q100"/>
  <c r="R100"/>
  <c r="S100"/>
  <c r="T100"/>
  <c r="U100"/>
  <c r="V100"/>
  <c r="W100"/>
  <c r="X100"/>
  <c r="L101"/>
  <c r="M101"/>
  <c r="N101"/>
  <c r="O101"/>
  <c r="P101"/>
  <c r="Q101"/>
  <c r="R101"/>
  <c r="S101"/>
  <c r="T101"/>
  <c r="U101"/>
  <c r="V101"/>
  <c r="W101"/>
  <c r="L102"/>
  <c r="M102"/>
  <c r="N102"/>
  <c r="O102"/>
  <c r="P102"/>
  <c r="Q102"/>
  <c r="R102"/>
  <c r="S102"/>
  <c r="T102"/>
  <c r="U102"/>
  <c r="V102"/>
  <c r="W102"/>
  <c r="X102"/>
  <c r="L104"/>
  <c r="M104"/>
  <c r="N104"/>
  <c r="O104"/>
  <c r="P104"/>
  <c r="Q104"/>
  <c r="R104"/>
  <c r="S104"/>
  <c r="T104"/>
  <c r="U104"/>
  <c r="V104"/>
  <c r="W104"/>
  <c r="L106"/>
  <c r="M106"/>
  <c r="N106"/>
  <c r="O106"/>
  <c r="P106"/>
  <c r="Q106"/>
  <c r="R106"/>
  <c r="S106"/>
  <c r="T106"/>
  <c r="U106"/>
  <c r="V106"/>
  <c r="W106"/>
  <c r="X106"/>
  <c r="L107"/>
  <c r="M107"/>
  <c r="N107"/>
  <c r="O107"/>
  <c r="P107"/>
  <c r="Q107"/>
  <c r="R107"/>
  <c r="S107"/>
  <c r="T107"/>
  <c r="U107"/>
  <c r="V107"/>
  <c r="W107"/>
  <c r="L108"/>
  <c r="M108"/>
  <c r="N108"/>
  <c r="O108"/>
  <c r="P108"/>
  <c r="Q108"/>
  <c r="R108"/>
  <c r="S108"/>
  <c r="T108"/>
  <c r="U108"/>
  <c r="V108"/>
  <c r="W108"/>
  <c r="X108"/>
  <c r="L109"/>
  <c r="M109"/>
  <c r="N109"/>
  <c r="O109"/>
  <c r="P109"/>
  <c r="Q109"/>
  <c r="R109"/>
  <c r="S109"/>
  <c r="T109"/>
  <c r="U109"/>
  <c r="V109"/>
  <c r="W109"/>
  <c r="L110"/>
  <c r="M110"/>
  <c r="N110"/>
  <c r="O110"/>
  <c r="P110"/>
  <c r="Q110"/>
  <c r="R110"/>
  <c r="S110"/>
  <c r="T110"/>
  <c r="U110"/>
  <c r="V110"/>
  <c r="W110"/>
  <c r="X110"/>
  <c r="L115"/>
  <c r="M115"/>
  <c r="N115"/>
  <c r="O115"/>
  <c r="P115"/>
  <c r="Q115"/>
  <c r="R115"/>
  <c r="S115"/>
  <c r="T115"/>
  <c r="U115"/>
  <c r="V115"/>
  <c r="W115"/>
  <c r="L116"/>
  <c r="M116"/>
  <c r="N116"/>
  <c r="O116"/>
  <c r="P116"/>
  <c r="Q116"/>
  <c r="R116"/>
  <c r="S116"/>
  <c r="T116"/>
  <c r="U116"/>
  <c r="V116"/>
  <c r="W116"/>
  <c r="X116"/>
  <c r="L119"/>
  <c r="M119"/>
  <c r="N119"/>
  <c r="O119"/>
  <c r="P119"/>
  <c r="Q119"/>
  <c r="R119"/>
  <c r="S119"/>
  <c r="T119"/>
  <c r="U119"/>
  <c r="V119"/>
  <c r="W119"/>
  <c r="L78"/>
  <c r="M78"/>
  <c r="N78"/>
  <c r="O78"/>
  <c r="P78"/>
  <c r="Q78"/>
  <c r="R78"/>
  <c r="S78"/>
  <c r="T78"/>
  <c r="U78"/>
  <c r="V78"/>
  <c r="W78"/>
  <c r="X78"/>
  <c r="L79"/>
  <c r="M79"/>
  <c r="N79"/>
  <c r="O79"/>
  <c r="P79"/>
  <c r="Q79"/>
  <c r="R79"/>
  <c r="S79"/>
  <c r="T79"/>
  <c r="U79"/>
  <c r="V79"/>
  <c r="W79"/>
  <c r="L80"/>
  <c r="M80"/>
  <c r="N80"/>
  <c r="O80"/>
  <c r="P80"/>
  <c r="Q80"/>
  <c r="R80"/>
  <c r="S80"/>
  <c r="T80"/>
  <c r="U80"/>
  <c r="V80"/>
  <c r="W80"/>
  <c r="X80"/>
  <c r="L81"/>
  <c r="M81"/>
  <c r="N81"/>
  <c r="O81"/>
  <c r="P81"/>
  <c r="Q81"/>
  <c r="R81"/>
  <c r="S81"/>
  <c r="T81"/>
  <c r="U81"/>
  <c r="V81"/>
  <c r="W81"/>
  <c r="L82"/>
  <c r="M82"/>
  <c r="N82"/>
  <c r="O82"/>
  <c r="P82"/>
  <c r="Q82"/>
  <c r="R82"/>
  <c r="S82"/>
  <c r="T82"/>
  <c r="U82"/>
  <c r="V82"/>
  <c r="W82"/>
  <c r="X82"/>
  <c r="L72"/>
  <c r="M72"/>
  <c r="N72"/>
  <c r="O72"/>
  <c r="P72"/>
  <c r="Q72"/>
  <c r="R72"/>
  <c r="S72"/>
  <c r="T72"/>
  <c r="U72"/>
  <c r="V72"/>
  <c r="W72"/>
  <c r="J6"/>
  <c r="L6"/>
  <c r="M6"/>
  <c r="N6"/>
  <c r="O6"/>
  <c r="P6"/>
  <c r="Q6"/>
  <c r="R6"/>
  <c r="S6"/>
  <c r="T6"/>
  <c r="U6"/>
  <c r="V6"/>
  <c r="W6"/>
  <c r="X6"/>
  <c r="L7"/>
  <c r="M7"/>
  <c r="N7"/>
  <c r="O7"/>
  <c r="P7"/>
  <c r="Q7"/>
  <c r="R7"/>
  <c r="S7"/>
  <c r="T7"/>
  <c r="U7"/>
  <c r="V7"/>
  <c r="W7"/>
  <c r="L8"/>
  <c r="M8"/>
  <c r="N8"/>
  <c r="O8"/>
  <c r="P8"/>
  <c r="Q8"/>
  <c r="R8"/>
  <c r="S8"/>
  <c r="T8"/>
  <c r="U8"/>
  <c r="V8"/>
  <c r="W8"/>
  <c r="X8"/>
  <c r="L9"/>
  <c r="M9"/>
  <c r="N9"/>
  <c r="O9"/>
  <c r="P9"/>
  <c r="Q9"/>
  <c r="R9"/>
  <c r="S9"/>
  <c r="T9"/>
  <c r="U9"/>
  <c r="V9"/>
  <c r="W9"/>
  <c r="L10"/>
  <c r="M10"/>
  <c r="N10"/>
  <c r="O10"/>
  <c r="P10"/>
  <c r="Q10"/>
  <c r="R10"/>
  <c r="S10"/>
  <c r="T10"/>
  <c r="U10"/>
  <c r="V10"/>
  <c r="W10"/>
  <c r="X10"/>
  <c r="L11"/>
  <c r="M11"/>
  <c r="N11"/>
  <c r="O11"/>
  <c r="P11"/>
  <c r="Q11"/>
  <c r="R11"/>
  <c r="S11"/>
  <c r="T11"/>
  <c r="U11"/>
  <c r="V11"/>
  <c r="W11"/>
  <c r="L14"/>
  <c r="M14"/>
  <c r="N14"/>
  <c r="O14"/>
  <c r="P14"/>
  <c r="Q14"/>
  <c r="R14"/>
  <c r="S14"/>
  <c r="T14"/>
  <c r="U14"/>
  <c r="V14"/>
  <c r="W14"/>
  <c r="X14"/>
  <c r="L15"/>
  <c r="M15"/>
  <c r="N15"/>
  <c r="O15"/>
  <c r="P15"/>
  <c r="Q15"/>
  <c r="R15"/>
  <c r="S15"/>
  <c r="T15"/>
  <c r="U15"/>
  <c r="V15"/>
  <c r="W15"/>
  <c r="L16"/>
  <c r="M16"/>
  <c r="N16"/>
  <c r="O16"/>
  <c r="P16"/>
  <c r="Q16"/>
  <c r="R16"/>
  <c r="S16"/>
  <c r="T16"/>
  <c r="U16"/>
  <c r="V16"/>
  <c r="W16"/>
  <c r="X16"/>
  <c r="L17"/>
  <c r="M17"/>
  <c r="N17"/>
  <c r="O17"/>
  <c r="P17"/>
  <c r="Q17"/>
  <c r="R17"/>
  <c r="S17"/>
  <c r="T17"/>
  <c r="U17"/>
  <c r="V17"/>
  <c r="W17"/>
  <c r="L18"/>
  <c r="M18"/>
  <c r="N18"/>
  <c r="O18"/>
  <c r="P18"/>
  <c r="Q18"/>
  <c r="R18"/>
  <c r="S18"/>
  <c r="T18"/>
  <c r="U18"/>
  <c r="V18"/>
  <c r="W18"/>
  <c r="X18"/>
  <c r="L23"/>
  <c r="M23"/>
  <c r="N23"/>
  <c r="O23"/>
  <c r="P23"/>
  <c r="Q23"/>
  <c r="R23"/>
  <c r="S23"/>
  <c r="T23"/>
  <c r="U23"/>
  <c r="V23"/>
  <c r="W23"/>
  <c r="L24"/>
  <c r="M24"/>
  <c r="N24"/>
  <c r="O24"/>
  <c r="P24"/>
  <c r="Q24"/>
  <c r="R24"/>
  <c r="S24"/>
  <c r="T24"/>
  <c r="U24"/>
  <c r="V24"/>
  <c r="W24"/>
  <c r="X24"/>
  <c r="L25"/>
  <c r="M25"/>
  <c r="N25"/>
  <c r="O25"/>
  <c r="P25"/>
  <c r="Q25"/>
  <c r="R25"/>
  <c r="S25"/>
  <c r="T25"/>
  <c r="U25"/>
  <c r="V25"/>
  <c r="W25"/>
  <c r="L26"/>
  <c r="M26"/>
  <c r="N26"/>
  <c r="O26"/>
  <c r="P26"/>
  <c r="Q26"/>
  <c r="R26"/>
  <c r="S26"/>
  <c r="T26"/>
  <c r="U26"/>
  <c r="V26"/>
  <c r="W26"/>
  <c r="X26"/>
  <c r="L27"/>
  <c r="M27"/>
  <c r="N27"/>
  <c r="O27"/>
  <c r="P27"/>
  <c r="Q27"/>
  <c r="R27"/>
  <c r="S27"/>
  <c r="T27"/>
  <c r="U27"/>
  <c r="V27"/>
  <c r="W27"/>
  <c r="L28"/>
  <c r="M28"/>
  <c r="N28"/>
  <c r="O28"/>
  <c r="P28"/>
  <c r="Q28"/>
  <c r="R28"/>
  <c r="S28"/>
  <c r="T28"/>
  <c r="U28"/>
  <c r="V28"/>
  <c r="W28"/>
  <c r="X28"/>
  <c r="L29"/>
  <c r="M29"/>
  <c r="N29"/>
  <c r="O29"/>
  <c r="P29"/>
  <c r="Q29"/>
  <c r="R29"/>
  <c r="S29"/>
  <c r="T29"/>
  <c r="U29"/>
  <c r="V29"/>
  <c r="W29"/>
  <c r="L30"/>
  <c r="M30"/>
  <c r="N30"/>
  <c r="O30"/>
  <c r="P30"/>
  <c r="Q30"/>
  <c r="R30"/>
  <c r="S30"/>
  <c r="T30"/>
  <c r="U30"/>
  <c r="V30"/>
  <c r="W30"/>
  <c r="X30"/>
  <c r="L31"/>
  <c r="M31"/>
  <c r="N31"/>
  <c r="O31"/>
  <c r="P31"/>
  <c r="Q31"/>
  <c r="R31"/>
  <c r="S31"/>
  <c r="T31"/>
  <c r="U31"/>
  <c r="V31"/>
  <c r="W31"/>
  <c r="L34"/>
  <c r="M34"/>
  <c r="N34"/>
  <c r="O34"/>
  <c r="P34"/>
  <c r="Q34"/>
  <c r="R34"/>
  <c r="S34"/>
  <c r="T34"/>
  <c r="U34"/>
  <c r="V34"/>
  <c r="W34"/>
  <c r="X34"/>
  <c r="L35"/>
  <c r="M35"/>
  <c r="N35"/>
  <c r="O35"/>
  <c r="P35"/>
  <c r="Q35"/>
  <c r="R35"/>
  <c r="S35"/>
  <c r="T35"/>
  <c r="U35"/>
  <c r="V35"/>
  <c r="W35"/>
  <c r="L36"/>
  <c r="M36"/>
  <c r="N36"/>
  <c r="O36"/>
  <c r="P36"/>
  <c r="Q36"/>
  <c r="R36"/>
  <c r="S36"/>
  <c r="T36"/>
  <c r="U36"/>
  <c r="V36"/>
  <c r="W36"/>
  <c r="X36"/>
  <c r="L39"/>
  <c r="M39"/>
  <c r="N39"/>
  <c r="O39"/>
  <c r="P39"/>
  <c r="Q39"/>
  <c r="R39"/>
  <c r="S39"/>
  <c r="T39"/>
  <c r="U39"/>
  <c r="V39"/>
  <c r="W39"/>
  <c r="L40"/>
  <c r="M40"/>
  <c r="N40"/>
  <c r="O40"/>
  <c r="P40"/>
  <c r="Q40"/>
  <c r="R40"/>
  <c r="S40"/>
  <c r="T40"/>
  <c r="U40"/>
  <c r="V40"/>
  <c r="W40"/>
  <c r="X40"/>
  <c r="L41"/>
  <c r="M41"/>
  <c r="N41"/>
  <c r="O41"/>
  <c r="P41"/>
  <c r="Q41"/>
  <c r="R41"/>
  <c r="S41"/>
  <c r="T41"/>
  <c r="U41"/>
  <c r="V41"/>
  <c r="W41"/>
  <c r="L42"/>
  <c r="M42"/>
  <c r="N42"/>
  <c r="O42"/>
  <c r="P42"/>
  <c r="Q42"/>
  <c r="R42"/>
  <c r="S42"/>
  <c r="T42"/>
  <c r="U42"/>
  <c r="V42"/>
  <c r="W42"/>
  <c r="X42"/>
  <c r="L43"/>
  <c r="M43"/>
  <c r="N43"/>
  <c r="O43"/>
  <c r="P43"/>
  <c r="Q43"/>
  <c r="R43"/>
  <c r="S43"/>
  <c r="T43"/>
  <c r="U43"/>
  <c r="V43"/>
  <c r="W43"/>
  <c r="L47"/>
  <c r="M47"/>
  <c r="N47"/>
  <c r="O47"/>
  <c r="P47"/>
  <c r="Q47"/>
  <c r="R47"/>
  <c r="S47"/>
  <c r="T47"/>
  <c r="U47"/>
  <c r="V47"/>
  <c r="W47"/>
  <c r="X47"/>
  <c r="L74"/>
  <c r="M74"/>
  <c r="N74"/>
  <c r="O74"/>
  <c r="P74"/>
  <c r="Q74"/>
  <c r="R74"/>
  <c r="S74"/>
  <c r="T74"/>
  <c r="U74"/>
  <c r="V74"/>
  <c r="W74"/>
  <c r="L37"/>
  <c r="M37"/>
  <c r="N37"/>
  <c r="O37"/>
  <c r="P37"/>
  <c r="Q37"/>
  <c r="R37"/>
  <c r="S37"/>
  <c r="T37"/>
  <c r="U37"/>
  <c r="V37"/>
  <c r="W37"/>
  <c r="X37"/>
  <c r="L38"/>
  <c r="M38"/>
  <c r="N38"/>
  <c r="O38"/>
  <c r="P38"/>
  <c r="Q38"/>
  <c r="R38"/>
  <c r="S38"/>
  <c r="T38"/>
  <c r="U38"/>
  <c r="V38"/>
  <c r="W38"/>
  <c r="L114"/>
  <c r="M114"/>
  <c r="N114"/>
  <c r="O114"/>
  <c r="P114"/>
  <c r="Q114"/>
  <c r="R114"/>
  <c r="S114"/>
  <c r="T114"/>
  <c r="U114"/>
  <c r="V114"/>
  <c r="W114"/>
  <c r="X114"/>
  <c r="L61"/>
  <c r="M61"/>
  <c r="N61"/>
  <c r="O61"/>
  <c r="P61"/>
  <c r="Q61"/>
  <c r="R61"/>
  <c r="S61"/>
  <c r="T61"/>
  <c r="U61"/>
  <c r="V61"/>
  <c r="W61"/>
  <c r="L52"/>
  <c r="M52"/>
  <c r="N52"/>
  <c r="O52"/>
  <c r="P52"/>
  <c r="Q52"/>
  <c r="R52"/>
  <c r="S52"/>
  <c r="T52"/>
  <c r="U52"/>
  <c r="V52"/>
  <c r="W52"/>
  <c r="X52"/>
  <c r="L51"/>
  <c r="M51"/>
  <c r="N51"/>
  <c r="O51"/>
  <c r="P51"/>
  <c r="Q51"/>
  <c r="R51"/>
  <c r="S51"/>
  <c r="T51"/>
  <c r="U51"/>
  <c r="V51"/>
  <c r="W51"/>
  <c r="X51"/>
  <c r="L84"/>
  <c r="M84"/>
  <c r="N84"/>
  <c r="O84"/>
  <c r="P84"/>
  <c r="Q84"/>
  <c r="R84"/>
  <c r="S84"/>
  <c r="T84"/>
  <c r="U84"/>
  <c r="V84"/>
  <c r="W84"/>
  <c r="X84"/>
  <c r="L157"/>
  <c r="M157"/>
  <c r="N157"/>
  <c r="O157"/>
  <c r="P157"/>
  <c r="Q157"/>
  <c r="R157"/>
  <c r="S157"/>
  <c r="T157"/>
  <c r="U157"/>
  <c r="V157"/>
  <c r="W157"/>
  <c r="X157"/>
  <c r="L165"/>
  <c r="M165"/>
  <c r="N165"/>
  <c r="O165"/>
  <c r="P165"/>
  <c r="Q165"/>
  <c r="R165"/>
  <c r="S165"/>
  <c r="T165"/>
  <c r="U165"/>
  <c r="V165"/>
  <c r="W165"/>
  <c r="X165"/>
  <c r="L149"/>
  <c r="M149"/>
  <c r="N149"/>
  <c r="O149"/>
  <c r="P149"/>
  <c r="Q149"/>
  <c r="R149"/>
  <c r="S149"/>
  <c r="T149"/>
  <c r="U149"/>
  <c r="V149"/>
  <c r="W149"/>
  <c r="X149"/>
  <c r="L151"/>
  <c r="M151"/>
  <c r="N151"/>
  <c r="O151"/>
  <c r="P151"/>
  <c r="Q151"/>
  <c r="R151"/>
  <c r="S151"/>
  <c r="T151"/>
  <c r="U151"/>
  <c r="V151"/>
  <c r="W151"/>
  <c r="X151"/>
  <c r="L154"/>
  <c r="M154"/>
  <c r="N154"/>
  <c r="O154"/>
  <c r="P154"/>
  <c r="Q154"/>
  <c r="R154"/>
  <c r="S154"/>
  <c r="T154"/>
  <c r="U154"/>
  <c r="V154"/>
  <c r="W154"/>
  <c r="X154"/>
  <c r="L155"/>
  <c r="M155"/>
  <c r="N155"/>
  <c r="O155"/>
  <c r="P155"/>
  <c r="Q155"/>
  <c r="R155"/>
  <c r="S155"/>
  <c r="T155"/>
  <c r="U155"/>
  <c r="V155"/>
  <c r="W155"/>
  <c r="X155"/>
  <c r="L156"/>
  <c r="M156"/>
  <c r="N156"/>
  <c r="O156"/>
  <c r="P156"/>
  <c r="Q156"/>
  <c r="R156"/>
  <c r="S156"/>
  <c r="T156"/>
  <c r="U156"/>
  <c r="V156"/>
  <c r="W156"/>
  <c r="X156"/>
  <c r="L159"/>
  <c r="M159"/>
  <c r="N159"/>
  <c r="O159"/>
  <c r="P159"/>
  <c r="Q159"/>
  <c r="R159"/>
  <c r="S159"/>
  <c r="T159"/>
  <c r="U159"/>
  <c r="V159"/>
  <c r="W159"/>
  <c r="X159"/>
  <c r="L160"/>
  <c r="M160"/>
  <c r="N160"/>
  <c r="O160"/>
  <c r="P160"/>
  <c r="Q160"/>
  <c r="R160"/>
  <c r="S160"/>
  <c r="T160"/>
  <c r="U160"/>
  <c r="V160"/>
  <c r="W160"/>
  <c r="X160"/>
  <c r="L166"/>
  <c r="M166"/>
  <c r="N166"/>
  <c r="O166"/>
  <c r="P166"/>
  <c r="Q166"/>
  <c r="R166"/>
  <c r="S166"/>
  <c r="T166"/>
  <c r="U166"/>
  <c r="V166"/>
  <c r="W166"/>
  <c r="X166"/>
  <c r="L162"/>
  <c r="M162"/>
  <c r="N162"/>
  <c r="O162"/>
  <c r="P162"/>
  <c r="Q162"/>
  <c r="R162"/>
  <c r="S162"/>
  <c r="T162"/>
  <c r="U162"/>
  <c r="V162"/>
  <c r="W162"/>
  <c r="X162"/>
  <c r="L161"/>
  <c r="M161"/>
  <c r="N161"/>
  <c r="O161"/>
  <c r="P161"/>
  <c r="Q161"/>
  <c r="R161"/>
  <c r="S161"/>
  <c r="T161"/>
  <c r="U161"/>
  <c r="V161"/>
  <c r="W161"/>
  <c r="X161"/>
  <c r="L163"/>
  <c r="M163"/>
  <c r="N163"/>
  <c r="O163"/>
  <c r="P163"/>
  <c r="Q163"/>
  <c r="R163"/>
  <c r="S163"/>
  <c r="T163"/>
  <c r="U163"/>
  <c r="V163"/>
  <c r="W163"/>
  <c r="X163"/>
  <c r="L158"/>
  <c r="M158"/>
  <c r="N158"/>
  <c r="O158"/>
  <c r="P158"/>
  <c r="Q158"/>
  <c r="R158"/>
  <c r="S158"/>
  <c r="T158"/>
  <c r="U158"/>
  <c r="V158"/>
  <c r="W158"/>
  <c r="X158"/>
  <c r="L164"/>
  <c r="M164"/>
  <c r="N164"/>
  <c r="O164"/>
  <c r="P164"/>
  <c r="Q164"/>
  <c r="R164"/>
  <c r="S164"/>
  <c r="T164"/>
  <c r="U164"/>
  <c r="V164"/>
  <c r="W164"/>
  <c r="X164"/>
  <c r="L94"/>
  <c r="M94"/>
  <c r="N94"/>
  <c r="O94"/>
  <c r="P94"/>
  <c r="Q94"/>
  <c r="R94"/>
  <c r="S94"/>
  <c r="T94"/>
  <c r="U94"/>
  <c r="V94"/>
  <c r="W94"/>
  <c r="X94"/>
  <c r="L126"/>
  <c r="M126"/>
  <c r="N126"/>
  <c r="O126"/>
  <c r="P126"/>
  <c r="Q126"/>
  <c r="R126"/>
  <c r="S126"/>
  <c r="T126"/>
  <c r="U126"/>
  <c r="V126"/>
  <c r="W126"/>
  <c r="X126"/>
  <c r="L168"/>
  <c r="M168"/>
  <c r="N168"/>
  <c r="O168"/>
  <c r="P168"/>
  <c r="Q168"/>
  <c r="R168"/>
  <c r="S168"/>
  <c r="T168"/>
  <c r="U168"/>
  <c r="V168"/>
  <c r="W168"/>
  <c r="X168"/>
  <c r="L169"/>
  <c r="M169"/>
  <c r="N169"/>
  <c r="O169"/>
  <c r="P169"/>
  <c r="Q169"/>
  <c r="R169"/>
  <c r="S169"/>
  <c r="T169"/>
  <c r="U169"/>
  <c r="V169"/>
  <c r="W169"/>
  <c r="X169"/>
  <c r="L170"/>
  <c r="M170"/>
  <c r="N170"/>
  <c r="O170"/>
  <c r="P170"/>
  <c r="Q170"/>
  <c r="R170"/>
  <c r="S170"/>
  <c r="T170"/>
  <c r="U170"/>
  <c r="V170"/>
  <c r="W170"/>
  <c r="X170"/>
  <c r="L171"/>
  <c r="M171"/>
  <c r="N171"/>
  <c r="O171"/>
  <c r="P171"/>
  <c r="Q171"/>
  <c r="R171"/>
  <c r="S171"/>
  <c r="T171"/>
  <c r="U171"/>
  <c r="V171"/>
  <c r="W171"/>
  <c r="X171"/>
  <c r="L172"/>
  <c r="M172"/>
  <c r="N172"/>
  <c r="O172"/>
  <c r="P172"/>
  <c r="Q172"/>
  <c r="R172"/>
  <c r="S172"/>
  <c r="T172"/>
  <c r="U172"/>
  <c r="V172"/>
  <c r="W172"/>
  <c r="X172"/>
  <c r="L173"/>
  <c r="M173"/>
  <c r="N173"/>
  <c r="O173"/>
  <c r="P173"/>
  <c r="Q173"/>
  <c r="R173"/>
  <c r="S173"/>
  <c r="T173"/>
  <c r="U173"/>
  <c r="V173"/>
  <c r="W173"/>
  <c r="X173"/>
  <c r="L174"/>
  <c r="M174"/>
  <c r="N174"/>
  <c r="O174"/>
  <c r="P174"/>
  <c r="Q174"/>
  <c r="R174"/>
  <c r="S174"/>
  <c r="T174"/>
  <c r="U174"/>
  <c r="V174"/>
  <c r="W174"/>
  <c r="X174"/>
  <c r="L175"/>
  <c r="M175"/>
  <c r="N175"/>
  <c r="O175"/>
  <c r="P175"/>
  <c r="Q175"/>
  <c r="R175"/>
  <c r="S175"/>
  <c r="T175"/>
  <c r="U175"/>
  <c r="V175"/>
  <c r="W175"/>
  <c r="X175"/>
  <c r="L176"/>
  <c r="M176"/>
  <c r="N176"/>
  <c r="O176"/>
  <c r="P176"/>
  <c r="Q176"/>
  <c r="R176"/>
  <c r="S176"/>
  <c r="T176"/>
  <c r="U176"/>
  <c r="V176"/>
  <c r="W176"/>
  <c r="X176"/>
  <c r="L177"/>
  <c r="M177"/>
  <c r="N177"/>
  <c r="O177"/>
  <c r="P177"/>
  <c r="Q177"/>
  <c r="R177"/>
  <c r="S177"/>
  <c r="T177"/>
  <c r="U177"/>
  <c r="V177"/>
  <c r="W177"/>
  <c r="X177"/>
  <c r="L178"/>
  <c r="M178"/>
  <c r="N178"/>
  <c r="O178"/>
  <c r="P178"/>
  <c r="Q178"/>
  <c r="R178"/>
  <c r="S178"/>
  <c r="T178"/>
  <c r="U178"/>
  <c r="V178"/>
  <c r="W178"/>
  <c r="X178"/>
  <c r="L179"/>
  <c r="M179"/>
  <c r="N179"/>
  <c r="O179"/>
  <c r="P179"/>
  <c r="Q179"/>
  <c r="R179"/>
  <c r="S179"/>
  <c r="T179"/>
  <c r="U179"/>
  <c r="V179"/>
  <c r="W179"/>
  <c r="X179"/>
  <c r="L180"/>
  <c r="M180"/>
  <c r="N180"/>
  <c r="O180"/>
  <c r="P180"/>
  <c r="Q180"/>
  <c r="R180"/>
  <c r="S180"/>
  <c r="T180"/>
  <c r="U180"/>
  <c r="V180"/>
  <c r="W180"/>
  <c r="X180"/>
  <c r="L181"/>
  <c r="M181"/>
  <c r="N181"/>
  <c r="O181"/>
  <c r="P181"/>
  <c r="Q181"/>
  <c r="R181"/>
  <c r="S181"/>
  <c r="T181"/>
  <c r="U181"/>
  <c r="V181"/>
  <c r="W181"/>
  <c r="X181"/>
  <c r="L182"/>
  <c r="M182"/>
  <c r="N182"/>
  <c r="O182"/>
  <c r="P182"/>
  <c r="Q182"/>
  <c r="R182"/>
  <c r="S182"/>
  <c r="T182"/>
  <c r="U182"/>
  <c r="V182"/>
  <c r="W182"/>
  <c r="X182"/>
  <c r="L183"/>
  <c r="M183"/>
  <c r="N183"/>
  <c r="O183"/>
  <c r="P183"/>
  <c r="Q183"/>
  <c r="R183"/>
  <c r="S183"/>
  <c r="T183"/>
  <c r="U183"/>
  <c r="V183"/>
  <c r="W183"/>
  <c r="X183"/>
  <c r="L184"/>
  <c r="M184"/>
  <c r="N184"/>
  <c r="O184"/>
  <c r="P184"/>
  <c r="Q184"/>
  <c r="R184"/>
  <c r="S184"/>
  <c r="T184"/>
  <c r="U184"/>
  <c r="V184"/>
  <c r="W184"/>
  <c r="X184"/>
  <c r="L185"/>
  <c r="M185"/>
  <c r="N185"/>
  <c r="O185"/>
  <c r="P185"/>
  <c r="Q185"/>
  <c r="R185"/>
  <c r="S185"/>
  <c r="T185"/>
  <c r="U185"/>
  <c r="V185"/>
  <c r="W185"/>
  <c r="X185"/>
  <c r="L186"/>
  <c r="M186"/>
  <c r="N186"/>
  <c r="O186"/>
  <c r="P186"/>
  <c r="Q186"/>
  <c r="R186"/>
  <c r="S186"/>
  <c r="T186"/>
  <c r="U186"/>
  <c r="V186"/>
  <c r="W186"/>
  <c r="X186"/>
  <c r="L187"/>
  <c r="M187"/>
  <c r="N187"/>
  <c r="O187"/>
  <c r="P187"/>
  <c r="Q187"/>
  <c r="R187"/>
  <c r="S187"/>
  <c r="T187"/>
  <c r="U187"/>
  <c r="V187"/>
  <c r="W187"/>
  <c r="X187"/>
  <c r="L188"/>
  <c r="M188"/>
  <c r="N188"/>
  <c r="O188"/>
  <c r="P188"/>
  <c r="Q188"/>
  <c r="R188"/>
  <c r="S188"/>
  <c r="T188"/>
  <c r="U188"/>
  <c r="V188"/>
  <c r="W188"/>
  <c r="X188"/>
  <c r="L189"/>
  <c r="M189"/>
  <c r="N189"/>
  <c r="O189"/>
  <c r="P189"/>
  <c r="Q189"/>
  <c r="R189"/>
  <c r="S189"/>
  <c r="T189"/>
  <c r="U189"/>
  <c r="V189"/>
  <c r="W189"/>
  <c r="X189"/>
  <c r="L190"/>
  <c r="M190"/>
  <c r="N190"/>
  <c r="O190"/>
  <c r="P190"/>
  <c r="Q190"/>
  <c r="R190"/>
  <c r="S190"/>
  <c r="T190"/>
  <c r="U190"/>
  <c r="V190"/>
  <c r="W190"/>
  <c r="X190"/>
  <c r="L191"/>
  <c r="M191"/>
  <c r="N191"/>
  <c r="O191"/>
  <c r="P191"/>
  <c r="Q191"/>
  <c r="R191"/>
  <c r="S191"/>
  <c r="T191"/>
  <c r="U191"/>
  <c r="V191"/>
  <c r="W191"/>
  <c r="X191"/>
  <c r="L192"/>
  <c r="M192"/>
  <c r="N192"/>
  <c r="O192"/>
  <c r="P192"/>
  <c r="Q192"/>
  <c r="R192"/>
  <c r="S192"/>
  <c r="T192"/>
  <c r="U192"/>
  <c r="V192"/>
  <c r="W192"/>
  <c r="X192"/>
  <c r="L193"/>
  <c r="M193"/>
  <c r="N193"/>
  <c r="O193"/>
  <c r="P193"/>
  <c r="Q193"/>
  <c r="R193"/>
  <c r="S193"/>
  <c r="T193"/>
  <c r="U193"/>
  <c r="V193"/>
  <c r="W193"/>
  <c r="X193"/>
  <c r="L194"/>
  <c r="M194"/>
  <c r="N194"/>
  <c r="O194"/>
  <c r="P194"/>
  <c r="Q194"/>
  <c r="R194"/>
  <c r="S194"/>
  <c r="T194"/>
  <c r="U194"/>
  <c r="V194"/>
  <c r="W194"/>
  <c r="X194"/>
  <c r="L195"/>
  <c r="M195"/>
  <c r="N195"/>
  <c r="O195"/>
  <c r="P195"/>
  <c r="Q195"/>
  <c r="R195"/>
  <c r="S195"/>
  <c r="T195"/>
  <c r="U195"/>
  <c r="V195"/>
  <c r="W195"/>
  <c r="X195"/>
  <c r="L196"/>
  <c r="M196"/>
  <c r="N196"/>
  <c r="O196"/>
  <c r="P196"/>
  <c r="Q196"/>
  <c r="R196"/>
  <c r="S196"/>
  <c r="T196"/>
  <c r="U196"/>
  <c r="V196"/>
  <c r="W196"/>
  <c r="X196"/>
  <c r="L197"/>
  <c r="M197"/>
  <c r="N197"/>
  <c r="O197"/>
  <c r="P197"/>
  <c r="Q197"/>
  <c r="R197"/>
  <c r="S197"/>
  <c r="T197"/>
  <c r="U197"/>
  <c r="V197"/>
  <c r="W197"/>
  <c r="X197"/>
  <c r="L198"/>
  <c r="M198"/>
  <c r="N198"/>
  <c r="O198"/>
  <c r="P198"/>
  <c r="Q198"/>
  <c r="R198"/>
  <c r="S198"/>
  <c r="T198"/>
  <c r="U198"/>
  <c r="V198"/>
  <c r="W198"/>
  <c r="X198"/>
  <c r="L199"/>
  <c r="M199"/>
  <c r="N199"/>
  <c r="O199"/>
  <c r="P199"/>
  <c r="Q199"/>
  <c r="R199"/>
  <c r="S199"/>
  <c r="T199"/>
  <c r="U199"/>
  <c r="V199"/>
  <c r="W199"/>
  <c r="X199"/>
  <c r="L200"/>
  <c r="M200"/>
  <c r="N200"/>
  <c r="O200"/>
  <c r="P200"/>
  <c r="Q200"/>
  <c r="R200"/>
  <c r="S200"/>
  <c r="T200"/>
  <c r="U200"/>
  <c r="V200"/>
  <c r="W200"/>
  <c r="X200"/>
  <c r="L201"/>
  <c r="M201"/>
  <c r="N201"/>
  <c r="O201"/>
  <c r="P201"/>
  <c r="Q201"/>
  <c r="R201"/>
  <c r="S201"/>
  <c r="T201"/>
  <c r="U201"/>
  <c r="V201"/>
  <c r="W201"/>
  <c r="X201"/>
  <c r="L202"/>
  <c r="M202"/>
  <c r="N202"/>
  <c r="O202"/>
  <c r="P202"/>
  <c r="Q202"/>
  <c r="R202"/>
  <c r="S202"/>
  <c r="T202"/>
  <c r="U202"/>
  <c r="V202"/>
  <c r="W202"/>
  <c r="X202"/>
  <c r="L203"/>
  <c r="M203"/>
  <c r="N203"/>
  <c r="O203"/>
  <c r="P203"/>
  <c r="Q203"/>
  <c r="R203"/>
  <c r="S203"/>
  <c r="T203"/>
  <c r="U203"/>
  <c r="V203"/>
  <c r="W203"/>
  <c r="X203"/>
  <c r="L204"/>
  <c r="M204"/>
  <c r="N204"/>
  <c r="O204"/>
  <c r="P204"/>
  <c r="Q204"/>
  <c r="R204"/>
  <c r="S204"/>
  <c r="T204"/>
  <c r="U204"/>
  <c r="V204"/>
  <c r="W204"/>
  <c r="X204"/>
  <c r="L205"/>
  <c r="M205"/>
  <c r="N205"/>
  <c r="O205"/>
  <c r="P205"/>
  <c r="Q205"/>
  <c r="R205"/>
  <c r="S205"/>
  <c r="T205"/>
  <c r="U205"/>
  <c r="V205"/>
  <c r="W205"/>
  <c r="X205"/>
  <c r="L206"/>
  <c r="M206"/>
  <c r="N206"/>
  <c r="O206"/>
  <c r="P206"/>
  <c r="Q206"/>
  <c r="R206"/>
  <c r="S206"/>
  <c r="T206"/>
  <c r="U206"/>
  <c r="V206"/>
  <c r="W206"/>
  <c r="X206"/>
  <c r="L207"/>
  <c r="M207"/>
  <c r="N207"/>
  <c r="O207"/>
  <c r="P207"/>
  <c r="Q207"/>
  <c r="R207"/>
  <c r="S207"/>
  <c r="T207"/>
  <c r="U207"/>
  <c r="V207"/>
  <c r="W207"/>
  <c r="X207"/>
  <c r="L208"/>
  <c r="M208"/>
  <c r="N208"/>
  <c r="O208"/>
  <c r="P208"/>
  <c r="Q208"/>
  <c r="R208"/>
  <c r="S208"/>
  <c r="T208"/>
  <c r="U208"/>
  <c r="V208"/>
  <c r="W208"/>
  <c r="X208"/>
  <c r="L209"/>
  <c r="M209"/>
  <c r="N209"/>
  <c r="O209"/>
  <c r="P209"/>
  <c r="Q209"/>
  <c r="R209"/>
  <c r="S209"/>
  <c r="T209"/>
  <c r="U209"/>
  <c r="V209"/>
  <c r="W209"/>
  <c r="X209"/>
  <c r="L210"/>
  <c r="M210"/>
  <c r="N210"/>
  <c r="O210"/>
  <c r="P210"/>
  <c r="Q210"/>
  <c r="R210"/>
  <c r="S210"/>
  <c r="T210"/>
  <c r="U210"/>
  <c r="V210"/>
  <c r="W210"/>
  <c r="X210"/>
  <c r="L211"/>
  <c r="M211"/>
  <c r="N211"/>
  <c r="O211"/>
  <c r="P211"/>
  <c r="Q211"/>
  <c r="R211"/>
  <c r="S211"/>
  <c r="T211"/>
  <c r="U211"/>
  <c r="V211"/>
  <c r="W211"/>
  <c r="X211"/>
  <c r="L212"/>
  <c r="M212"/>
  <c r="N212"/>
  <c r="O212"/>
  <c r="P212"/>
  <c r="Q212"/>
  <c r="R212"/>
  <c r="S212"/>
  <c r="T212"/>
  <c r="U212"/>
  <c r="V212"/>
  <c r="W212"/>
  <c r="X212"/>
  <c r="L213"/>
  <c r="M213"/>
  <c r="N213"/>
  <c r="O213"/>
  <c r="P213"/>
  <c r="Q213"/>
  <c r="R213"/>
  <c r="S213"/>
  <c r="T213"/>
  <c r="U213"/>
  <c r="V213"/>
  <c r="W213"/>
  <c r="X213"/>
  <c r="L214"/>
  <c r="M214"/>
  <c r="N214"/>
  <c r="O214"/>
  <c r="P214"/>
  <c r="Q214"/>
  <c r="R214"/>
  <c r="S214"/>
  <c r="T214"/>
  <c r="U214"/>
  <c r="V214"/>
  <c r="W214"/>
  <c r="X214"/>
  <c r="L215"/>
  <c r="M215"/>
  <c r="N215"/>
  <c r="O215"/>
  <c r="P215"/>
  <c r="Q215"/>
  <c r="R215"/>
  <c r="S215"/>
  <c r="T215"/>
  <c r="U215"/>
  <c r="V215"/>
  <c r="W215"/>
  <c r="X215"/>
  <c r="L216"/>
  <c r="M216"/>
  <c r="N216"/>
  <c r="O216"/>
  <c r="P216"/>
  <c r="Q216"/>
  <c r="R216"/>
  <c r="S216"/>
  <c r="T216"/>
  <c r="U216"/>
  <c r="V216"/>
  <c r="W216"/>
  <c r="X216"/>
  <c r="L217"/>
  <c r="M217"/>
  <c r="N217"/>
  <c r="O217"/>
  <c r="P217"/>
  <c r="Q217"/>
  <c r="R217"/>
  <c r="S217"/>
  <c r="T217"/>
  <c r="U217"/>
  <c r="V217"/>
  <c r="W217"/>
  <c r="X217"/>
  <c r="L218"/>
  <c r="M218"/>
  <c r="N218"/>
  <c r="O218"/>
  <c r="P218"/>
  <c r="Q218"/>
  <c r="R218"/>
  <c r="S218"/>
  <c r="T218"/>
  <c r="U218"/>
  <c r="V218"/>
  <c r="W218"/>
  <c r="X218"/>
  <c r="L219"/>
  <c r="M219"/>
  <c r="N219"/>
  <c r="O219"/>
  <c r="P219"/>
  <c r="Q219"/>
  <c r="R219"/>
  <c r="S219"/>
  <c r="T219"/>
  <c r="U219"/>
  <c r="V219"/>
  <c r="W219"/>
  <c r="X219"/>
  <c r="L220"/>
  <c r="M220"/>
  <c r="N220"/>
  <c r="O220"/>
  <c r="P220"/>
  <c r="Q220"/>
  <c r="R220"/>
  <c r="S220"/>
  <c r="T220"/>
  <c r="U220"/>
  <c r="V220"/>
  <c r="W220"/>
  <c r="X220"/>
  <c r="L221"/>
  <c r="M221"/>
  <c r="N221"/>
  <c r="O221"/>
  <c r="P221"/>
  <c r="Q221"/>
  <c r="R221"/>
  <c r="S221"/>
  <c r="T221"/>
  <c r="U221"/>
  <c r="V221"/>
  <c r="W221"/>
  <c r="X221"/>
  <c r="L222"/>
  <c r="M222"/>
  <c r="N222"/>
  <c r="O222"/>
  <c r="P222"/>
  <c r="Q222"/>
  <c r="R222"/>
  <c r="S222"/>
  <c r="T222"/>
  <c r="U222"/>
  <c r="V222"/>
  <c r="W222"/>
  <c r="X222"/>
  <c r="L223"/>
  <c r="M223"/>
  <c r="N223"/>
  <c r="O223"/>
  <c r="P223"/>
  <c r="Q223"/>
  <c r="R223"/>
  <c r="S223"/>
  <c r="T223"/>
  <c r="U223"/>
  <c r="V223"/>
  <c r="W223"/>
  <c r="X223"/>
  <c r="L224"/>
  <c r="M224"/>
  <c r="N224"/>
  <c r="O224"/>
  <c r="P224"/>
  <c r="Q224"/>
  <c r="R224"/>
  <c r="S224"/>
  <c r="T224"/>
  <c r="U224"/>
  <c r="V224"/>
  <c r="W224"/>
  <c r="X224"/>
  <c r="L225"/>
  <c r="M225"/>
  <c r="N225"/>
  <c r="O225"/>
  <c r="P225"/>
  <c r="Q225"/>
  <c r="R225"/>
  <c r="S225"/>
  <c r="T225"/>
  <c r="U225"/>
  <c r="V225"/>
  <c r="W225"/>
  <c r="X225"/>
  <c r="L226"/>
  <c r="M226"/>
  <c r="N226"/>
  <c r="O226"/>
  <c r="P226"/>
  <c r="Q226"/>
  <c r="R226"/>
  <c r="S226"/>
  <c r="T226"/>
  <c r="U226"/>
  <c r="V226"/>
  <c r="W226"/>
  <c r="X226"/>
  <c r="L227"/>
  <c r="M227"/>
  <c r="N227"/>
  <c r="O227"/>
  <c r="P227"/>
  <c r="Q227"/>
  <c r="R227"/>
  <c r="S227"/>
  <c r="T227"/>
  <c r="U227"/>
  <c r="V227"/>
  <c r="W227"/>
  <c r="X227"/>
  <c r="L228"/>
  <c r="M228"/>
  <c r="N228"/>
  <c r="O228"/>
  <c r="P228"/>
  <c r="Q228"/>
  <c r="R228"/>
  <c r="S228"/>
  <c r="T228"/>
  <c r="U228"/>
  <c r="V228"/>
  <c r="W228"/>
  <c r="X228"/>
  <c r="L229"/>
  <c r="M229"/>
  <c r="N229"/>
  <c r="O229"/>
  <c r="P229"/>
  <c r="Q229"/>
  <c r="R229"/>
  <c r="S229"/>
  <c r="T229"/>
  <c r="U229"/>
  <c r="V229"/>
  <c r="W229"/>
  <c r="X229"/>
  <c r="L230"/>
  <c r="M230"/>
  <c r="N230"/>
  <c r="O230"/>
  <c r="P230"/>
  <c r="Q230"/>
  <c r="R230"/>
  <c r="S230"/>
  <c r="T230"/>
  <c r="U230"/>
  <c r="V230"/>
  <c r="W230"/>
  <c r="X230"/>
  <c r="L231"/>
  <c r="M231"/>
  <c r="N231"/>
  <c r="O231"/>
  <c r="P231"/>
  <c r="Q231"/>
  <c r="R231"/>
  <c r="S231"/>
  <c r="T231"/>
  <c r="U231"/>
  <c r="V231"/>
  <c r="W231"/>
  <c r="X231"/>
  <c r="L232"/>
  <c r="M232"/>
  <c r="N232"/>
  <c r="O232"/>
  <c r="P232"/>
  <c r="Q232"/>
  <c r="R232"/>
  <c r="S232"/>
  <c r="T232"/>
  <c r="U232"/>
  <c r="V232"/>
  <c r="W232"/>
  <c r="X232"/>
  <c r="L233"/>
  <c r="M233"/>
  <c r="N233"/>
  <c r="O233"/>
  <c r="P233"/>
  <c r="Q233"/>
  <c r="R233"/>
  <c r="S233"/>
  <c r="T233"/>
  <c r="U233"/>
  <c r="V233"/>
  <c r="W233"/>
  <c r="X233"/>
  <c r="L234"/>
  <c r="M234"/>
  <c r="N234"/>
  <c r="O234"/>
  <c r="P234"/>
  <c r="Q234"/>
  <c r="R234"/>
  <c r="S234"/>
  <c r="T234"/>
  <c r="U234"/>
  <c r="V234"/>
  <c r="W234"/>
  <c r="X234"/>
  <c r="L235"/>
  <c r="M235"/>
  <c r="N235"/>
  <c r="O235"/>
  <c r="P235"/>
  <c r="Q235"/>
  <c r="R235"/>
  <c r="S235"/>
  <c r="T235"/>
  <c r="U235"/>
  <c r="V235"/>
  <c r="W235"/>
  <c r="X235"/>
  <c r="L236"/>
  <c r="M236"/>
  <c r="N236"/>
  <c r="O236"/>
  <c r="P236"/>
  <c r="Q236"/>
  <c r="R236"/>
  <c r="S236"/>
  <c r="T236"/>
  <c r="U236"/>
  <c r="V236"/>
  <c r="W236"/>
  <c r="X236"/>
  <c r="L237"/>
  <c r="M237"/>
  <c r="N237"/>
  <c r="O237"/>
  <c r="P237"/>
  <c r="Q237"/>
  <c r="R237"/>
  <c r="S237"/>
  <c r="T237"/>
  <c r="U237"/>
  <c r="V237"/>
  <c r="W237"/>
  <c r="X237"/>
  <c r="L238"/>
  <c r="M238"/>
  <c r="N238"/>
  <c r="O238"/>
  <c r="P238"/>
  <c r="Q238"/>
  <c r="R238"/>
  <c r="S238"/>
  <c r="T238"/>
  <c r="U238"/>
  <c r="V238"/>
  <c r="W238"/>
  <c r="X238"/>
  <c r="L239"/>
  <c r="M239"/>
  <c r="N239"/>
  <c r="O239"/>
  <c r="P239"/>
  <c r="Q239"/>
  <c r="R239"/>
  <c r="S239"/>
  <c r="T239"/>
  <c r="U239"/>
  <c r="V239"/>
  <c r="W239"/>
  <c r="X239"/>
  <c r="L240"/>
  <c r="M240"/>
  <c r="N240"/>
  <c r="O240"/>
  <c r="P240"/>
  <c r="Q240"/>
  <c r="R240"/>
  <c r="S240"/>
  <c r="T240"/>
  <c r="U240"/>
  <c r="V240"/>
  <c r="W240"/>
  <c r="X240"/>
  <c r="L241"/>
  <c r="M241"/>
  <c r="N241"/>
  <c r="O241"/>
  <c r="P241"/>
  <c r="Q241"/>
  <c r="R241"/>
  <c r="S241"/>
  <c r="T241"/>
  <c r="U241"/>
  <c r="V241"/>
  <c r="W241"/>
  <c r="X241"/>
  <c r="L242"/>
  <c r="M242"/>
  <c r="N242"/>
  <c r="O242"/>
  <c r="P242"/>
  <c r="Q242"/>
  <c r="R242"/>
  <c r="S242"/>
  <c r="T242"/>
  <c r="U242"/>
  <c r="V242"/>
  <c r="W242"/>
  <c r="X242"/>
  <c r="L243"/>
  <c r="M243"/>
  <c r="N243"/>
  <c r="O243"/>
  <c r="P243"/>
  <c r="Q243"/>
  <c r="R243"/>
  <c r="S243"/>
  <c r="T243"/>
  <c r="U243"/>
  <c r="V243"/>
  <c r="W243"/>
  <c r="X243"/>
  <c r="L244"/>
  <c r="M244"/>
  <c r="N244"/>
  <c r="O244"/>
  <c r="P244"/>
  <c r="Q244"/>
  <c r="R244"/>
  <c r="S244"/>
  <c r="T244"/>
  <c r="U244"/>
  <c r="V244"/>
  <c r="W244"/>
  <c r="X244"/>
  <c r="L245"/>
  <c r="M245"/>
  <c r="N245"/>
  <c r="O245"/>
  <c r="P245"/>
  <c r="Q245"/>
  <c r="R245"/>
  <c r="S245"/>
  <c r="T245"/>
  <c r="U245"/>
  <c r="V245"/>
  <c r="W245"/>
  <c r="X245"/>
  <c r="L246"/>
  <c r="M246"/>
  <c r="N246"/>
  <c r="O246"/>
  <c r="P246"/>
  <c r="Q246"/>
  <c r="R246"/>
  <c r="S246"/>
  <c r="T246"/>
  <c r="U246"/>
  <c r="V246"/>
  <c r="W246"/>
  <c r="X246"/>
  <c r="L247"/>
  <c r="M247"/>
  <c r="N247"/>
  <c r="O247"/>
  <c r="P247"/>
  <c r="Q247"/>
  <c r="R247"/>
  <c r="S247"/>
  <c r="T247"/>
  <c r="U247"/>
  <c r="V247"/>
  <c r="W247"/>
  <c r="X247"/>
  <c r="L248"/>
  <c r="M248"/>
  <c r="N248"/>
  <c r="O248"/>
  <c r="P248"/>
  <c r="Q248"/>
  <c r="R248"/>
  <c r="S248"/>
  <c r="T248"/>
  <c r="U248"/>
  <c r="V248"/>
  <c r="W248"/>
  <c r="X248"/>
  <c r="L249"/>
  <c r="M249"/>
  <c r="N249"/>
  <c r="O249"/>
  <c r="P249"/>
  <c r="Q249"/>
  <c r="R249"/>
  <c r="S249"/>
  <c r="T249"/>
  <c r="U249"/>
  <c r="V249"/>
  <c r="W249"/>
  <c r="X249"/>
  <c r="L250"/>
  <c r="M250"/>
  <c r="N250"/>
  <c r="O250"/>
  <c r="P250"/>
  <c r="Q250"/>
  <c r="R250"/>
  <c r="S250"/>
  <c r="T250"/>
  <c r="U250"/>
  <c r="V250"/>
  <c r="W250"/>
  <c r="X250"/>
  <c r="L251"/>
  <c r="M251"/>
  <c r="N251"/>
  <c r="O251"/>
  <c r="P251"/>
  <c r="Q251"/>
  <c r="R251"/>
  <c r="S251"/>
  <c r="T251"/>
  <c r="U251"/>
  <c r="V251"/>
  <c r="W251"/>
  <c r="X251"/>
  <c r="L252"/>
  <c r="M252"/>
  <c r="N252"/>
  <c r="O252"/>
  <c r="P252"/>
  <c r="Q252"/>
  <c r="R252"/>
  <c r="S252"/>
  <c r="T252"/>
  <c r="U252"/>
  <c r="V252"/>
  <c r="W252"/>
  <c r="X252"/>
  <c r="L253"/>
  <c r="M253"/>
  <c r="N253"/>
  <c r="O253"/>
  <c r="P253"/>
  <c r="Q253"/>
  <c r="R253"/>
  <c r="S253"/>
  <c r="T253"/>
  <c r="U253"/>
  <c r="V253"/>
  <c r="W253"/>
  <c r="X253"/>
  <c r="L254"/>
  <c r="M254"/>
  <c r="N254"/>
  <c r="O254"/>
  <c r="P254"/>
  <c r="Q254"/>
  <c r="R254"/>
  <c r="S254"/>
  <c r="T254"/>
  <c r="U254"/>
  <c r="V254"/>
  <c r="W254"/>
  <c r="X254"/>
  <c r="L255"/>
  <c r="M255"/>
  <c r="N255"/>
  <c r="O255"/>
  <c r="P255"/>
  <c r="Q255"/>
  <c r="R255"/>
  <c r="S255"/>
  <c r="T255"/>
  <c r="U255"/>
  <c r="V255"/>
  <c r="W255"/>
  <c r="X255"/>
  <c r="L256"/>
  <c r="M256"/>
  <c r="N256"/>
  <c r="O256"/>
  <c r="P256"/>
  <c r="Q256"/>
  <c r="R256"/>
  <c r="S256"/>
  <c r="T256"/>
  <c r="U256"/>
  <c r="V256"/>
  <c r="W256"/>
  <c r="X256"/>
  <c r="L257"/>
  <c r="M257"/>
  <c r="N257"/>
  <c r="O257"/>
  <c r="P257"/>
  <c r="Q257"/>
  <c r="R257"/>
  <c r="S257"/>
  <c r="T257"/>
  <c r="U257"/>
  <c r="V257"/>
  <c r="W257"/>
  <c r="X257"/>
  <c r="L258"/>
  <c r="M258"/>
  <c r="N258"/>
  <c r="O258"/>
  <c r="P258"/>
  <c r="Q258"/>
  <c r="R258"/>
  <c r="S258"/>
  <c r="T258"/>
  <c r="U258"/>
  <c r="V258"/>
  <c r="W258"/>
  <c r="X258"/>
  <c r="L259"/>
  <c r="M259"/>
  <c r="N259"/>
  <c r="O259"/>
  <c r="P259"/>
  <c r="Q259"/>
  <c r="R259"/>
  <c r="S259"/>
  <c r="T259"/>
  <c r="U259"/>
  <c r="V259"/>
  <c r="W259"/>
  <c r="X259"/>
  <c r="L260"/>
  <c r="M260"/>
  <c r="N260"/>
  <c r="O260"/>
  <c r="P260"/>
  <c r="Q260"/>
  <c r="R260"/>
  <c r="S260"/>
  <c r="T260"/>
  <c r="U260"/>
  <c r="V260"/>
  <c r="W260"/>
  <c r="X260"/>
  <c r="L261"/>
  <c r="M261"/>
  <c r="N261"/>
  <c r="O261"/>
  <c r="P261"/>
  <c r="Q261"/>
  <c r="R261"/>
  <c r="S261"/>
  <c r="T261"/>
  <c r="U261"/>
  <c r="V261"/>
  <c r="W261"/>
  <c r="X261"/>
  <c r="L262"/>
  <c r="M262"/>
  <c r="N262"/>
  <c r="O262"/>
  <c r="P262"/>
  <c r="Q262"/>
  <c r="R262"/>
  <c r="S262"/>
  <c r="T262"/>
  <c r="U262"/>
  <c r="V262"/>
  <c r="W262"/>
  <c r="X262"/>
  <c r="L263"/>
  <c r="M263"/>
  <c r="N263"/>
  <c r="O263"/>
  <c r="P263"/>
  <c r="Q263"/>
  <c r="R263"/>
  <c r="S263"/>
  <c r="T263"/>
  <c r="U263"/>
  <c r="V263"/>
  <c r="W263"/>
  <c r="X263"/>
  <c r="L264"/>
  <c r="M264"/>
  <c r="N264"/>
  <c r="O264"/>
  <c r="P264"/>
  <c r="Q264"/>
  <c r="R264"/>
  <c r="S264"/>
  <c r="T264"/>
  <c r="U264"/>
  <c r="V264"/>
  <c r="W264"/>
  <c r="X264"/>
  <c r="L265"/>
  <c r="M265"/>
  <c r="N265"/>
  <c r="O265"/>
  <c r="P265"/>
  <c r="Q265"/>
  <c r="R265"/>
  <c r="S265"/>
  <c r="T265"/>
  <c r="U265"/>
  <c r="V265"/>
  <c r="W265"/>
  <c r="X265"/>
  <c r="L266"/>
  <c r="M266"/>
  <c r="N266"/>
  <c r="O266"/>
  <c r="P266"/>
  <c r="Q266"/>
  <c r="R266"/>
  <c r="S266"/>
  <c r="T266"/>
  <c r="U266"/>
  <c r="V266"/>
  <c r="W266"/>
  <c r="X266"/>
  <c r="L267"/>
  <c r="M267"/>
  <c r="N267"/>
  <c r="O267"/>
  <c r="P267"/>
  <c r="Q267"/>
  <c r="R267"/>
  <c r="S267"/>
  <c r="T267"/>
  <c r="U267"/>
  <c r="V267"/>
  <c r="W267"/>
  <c r="X267"/>
  <c r="L268"/>
  <c r="M268"/>
  <c r="N268"/>
  <c r="O268"/>
  <c r="P268"/>
  <c r="Q268"/>
  <c r="R268"/>
  <c r="S268"/>
  <c r="T268"/>
  <c r="U268"/>
  <c r="V268"/>
  <c r="W268"/>
  <c r="X268"/>
  <c r="L269"/>
  <c r="M269"/>
  <c r="N269"/>
  <c r="O269"/>
  <c r="P269"/>
  <c r="Q269"/>
  <c r="R269"/>
  <c r="S269"/>
  <c r="T269"/>
  <c r="U269"/>
  <c r="V269"/>
  <c r="W269"/>
  <c r="X269"/>
  <c r="L270"/>
  <c r="M270"/>
  <c r="N270"/>
  <c r="O270"/>
  <c r="P270"/>
  <c r="Q270"/>
  <c r="R270"/>
  <c r="S270"/>
  <c r="T270"/>
  <c r="U270"/>
  <c r="V270"/>
  <c r="W270"/>
  <c r="X270"/>
  <c r="L271"/>
  <c r="M271"/>
  <c r="N271"/>
  <c r="O271"/>
  <c r="P271"/>
  <c r="Q271"/>
  <c r="R271"/>
  <c r="S271"/>
  <c r="T271"/>
  <c r="U271"/>
  <c r="V271"/>
  <c r="W271"/>
  <c r="X271"/>
  <c r="L272"/>
  <c r="M272"/>
  <c r="N272"/>
  <c r="O272"/>
  <c r="P272"/>
  <c r="Q272"/>
  <c r="R272"/>
  <c r="S272"/>
  <c r="T272"/>
  <c r="U272"/>
  <c r="V272"/>
  <c r="W272"/>
  <c r="X272"/>
  <c r="L273"/>
  <c r="M273"/>
  <c r="N273"/>
  <c r="O273"/>
  <c r="P273"/>
  <c r="Q273"/>
  <c r="R273"/>
  <c r="S273"/>
  <c r="T273"/>
  <c r="U273"/>
  <c r="V273"/>
  <c r="W273"/>
  <c r="X273"/>
  <c r="L274"/>
  <c r="M274"/>
  <c r="N274"/>
  <c r="O274"/>
  <c r="P274"/>
  <c r="Q274"/>
  <c r="R274"/>
  <c r="S274"/>
  <c r="T274"/>
  <c r="U274"/>
  <c r="V274"/>
  <c r="W274"/>
  <c r="X274"/>
  <c r="L275"/>
  <c r="M275"/>
  <c r="N275"/>
  <c r="O275"/>
  <c r="P275"/>
  <c r="Q275"/>
  <c r="R275"/>
  <c r="S275"/>
  <c r="T275"/>
  <c r="U275"/>
  <c r="V275"/>
  <c r="W275"/>
  <c r="X275"/>
  <c r="L276"/>
  <c r="M276"/>
  <c r="N276"/>
  <c r="O276"/>
  <c r="P276"/>
  <c r="Q276"/>
  <c r="R276"/>
  <c r="S276"/>
  <c r="T276"/>
  <c r="U276"/>
  <c r="V276"/>
  <c r="W276"/>
  <c r="X276"/>
  <c r="L277"/>
  <c r="M277"/>
  <c r="N277"/>
  <c r="O277"/>
  <c r="P277"/>
  <c r="Q277"/>
  <c r="R277"/>
  <c r="S277"/>
  <c r="T277"/>
  <c r="U277"/>
  <c r="V277"/>
  <c r="W277"/>
  <c r="X277"/>
  <c r="L278"/>
  <c r="M278"/>
  <c r="N278"/>
  <c r="O278"/>
  <c r="P278"/>
  <c r="Q278"/>
  <c r="R278"/>
  <c r="S278"/>
  <c r="T278"/>
  <c r="U278"/>
  <c r="V278"/>
  <c r="W278"/>
  <c r="X278"/>
  <c r="L279"/>
  <c r="M279"/>
  <c r="N279"/>
  <c r="O279"/>
  <c r="P279"/>
  <c r="Q279"/>
  <c r="R279"/>
  <c r="S279"/>
  <c r="T279"/>
  <c r="U279"/>
  <c r="V279"/>
  <c r="W279"/>
  <c r="X279"/>
  <c r="L280"/>
  <c r="M280"/>
  <c r="N280"/>
  <c r="O280"/>
  <c r="P280"/>
  <c r="Q280"/>
  <c r="R280"/>
  <c r="S280"/>
  <c r="T280"/>
  <c r="U280"/>
  <c r="V280"/>
  <c r="W280"/>
  <c r="X280"/>
  <c r="L281"/>
  <c r="M281"/>
  <c r="N281"/>
  <c r="O281"/>
  <c r="P281"/>
  <c r="Q281"/>
  <c r="R281"/>
  <c r="S281"/>
  <c r="T281"/>
  <c r="U281"/>
  <c r="V281"/>
  <c r="W281"/>
  <c r="X281"/>
  <c r="L282"/>
  <c r="M282"/>
  <c r="N282"/>
  <c r="O282"/>
  <c r="P282"/>
  <c r="Q282"/>
  <c r="R282"/>
  <c r="S282"/>
  <c r="T282"/>
  <c r="U282"/>
  <c r="V282"/>
  <c r="W282"/>
  <c r="X282"/>
  <c r="L283"/>
  <c r="M283"/>
  <c r="N283"/>
  <c r="O283"/>
  <c r="P283"/>
  <c r="Q283"/>
  <c r="R283"/>
  <c r="S283"/>
  <c r="T283"/>
  <c r="U283"/>
  <c r="V283"/>
  <c r="W283"/>
  <c r="X283"/>
  <c r="L284"/>
  <c r="M284"/>
  <c r="N284"/>
  <c r="O284"/>
  <c r="P284"/>
  <c r="Q284"/>
  <c r="R284"/>
  <c r="S284"/>
  <c r="T284"/>
  <c r="U284"/>
  <c r="V284"/>
  <c r="W284"/>
  <c r="X284"/>
  <c r="L285"/>
  <c r="M285"/>
  <c r="N285"/>
  <c r="O285"/>
  <c r="P285"/>
  <c r="Q285"/>
  <c r="R285"/>
  <c r="S285"/>
  <c r="T285"/>
  <c r="U285"/>
  <c r="V285"/>
  <c r="W285"/>
  <c r="X285"/>
  <c r="L286"/>
  <c r="M286"/>
  <c r="N286"/>
  <c r="O286"/>
  <c r="P286"/>
  <c r="Q286"/>
  <c r="R286"/>
  <c r="S286"/>
  <c r="T286"/>
  <c r="U286"/>
  <c r="V286"/>
  <c r="W286"/>
  <c r="X286"/>
  <c r="L287"/>
  <c r="M287"/>
  <c r="N287"/>
  <c r="O287"/>
  <c r="P287"/>
  <c r="Q287"/>
  <c r="R287"/>
  <c r="S287"/>
  <c r="T287"/>
  <c r="U287"/>
  <c r="V287"/>
  <c r="W287"/>
  <c r="X287"/>
  <c r="L288"/>
  <c r="M288"/>
  <c r="N288"/>
  <c r="O288"/>
  <c r="P288"/>
  <c r="Q288"/>
  <c r="R288"/>
  <c r="S288"/>
  <c r="T288"/>
  <c r="U288"/>
  <c r="V288"/>
  <c r="W288"/>
  <c r="X288"/>
  <c r="L289"/>
  <c r="M289"/>
  <c r="N289"/>
  <c r="O289"/>
  <c r="P289"/>
  <c r="Q289"/>
  <c r="R289"/>
  <c r="S289"/>
  <c r="T289"/>
  <c r="U289"/>
  <c r="V289"/>
  <c r="W289"/>
  <c r="E291"/>
  <c r="C79" i="42"/>
  <c r="E79"/>
  <c r="H291" i="41"/>
  <c r="C84" i="42"/>
  <c r="E84"/>
  <c r="I291" i="41"/>
  <c r="B1" i="38"/>
  <c r="D10" i="17"/>
  <c r="B10" i="42" s="1"/>
  <c r="W288" i="28"/>
  <c r="W287"/>
  <c r="W286"/>
  <c r="W285"/>
  <c r="W284"/>
  <c r="W283"/>
  <c r="W282"/>
  <c r="W281"/>
  <c r="W280"/>
  <c r="W279"/>
  <c r="W278"/>
  <c r="W277"/>
  <c r="W276"/>
  <c r="W275"/>
  <c r="W274"/>
  <c r="W273"/>
  <c r="W272"/>
  <c r="W271"/>
  <c r="W270"/>
  <c r="W269"/>
  <c r="J290"/>
  <c r="X61" i="41"/>
  <c r="X38"/>
  <c r="X74"/>
  <c r="X43"/>
  <c r="X41"/>
  <c r="X39"/>
  <c r="X35"/>
  <c r="X31"/>
  <c r="X29"/>
  <c r="X27"/>
  <c r="X25"/>
  <c r="X23"/>
  <c r="X17"/>
  <c r="X15"/>
  <c r="X11"/>
  <c r="X9"/>
  <c r="X7"/>
  <c r="X72"/>
  <c r="X81"/>
  <c r="X79"/>
  <c r="X119"/>
  <c r="X115"/>
  <c r="X109"/>
  <c r="X107"/>
  <c r="X104"/>
  <c r="X101"/>
  <c r="X99"/>
  <c r="X153"/>
  <c r="X150"/>
  <c r="X147"/>
  <c r="X145"/>
  <c r="X143"/>
  <c r="X141"/>
  <c r="X139"/>
  <c r="X137"/>
  <c r="X135"/>
  <c r="X133"/>
  <c r="X131"/>
  <c r="X129"/>
  <c r="X127"/>
  <c r="X124"/>
  <c r="X122"/>
  <c r="X118"/>
  <c r="X120"/>
  <c r="X112"/>
  <c r="X93"/>
  <c r="X59"/>
  <c r="X55"/>
  <c r="X54"/>
  <c r="X103"/>
  <c r="X12"/>
  <c r="X44"/>
  <c r="X111"/>
  <c r="X87"/>
  <c r="X97"/>
  <c r="X92"/>
  <c r="X90"/>
  <c r="X88"/>
  <c r="X71"/>
  <c r="X69"/>
  <c r="X64"/>
  <c r="X62"/>
  <c r="X21"/>
  <c r="X45"/>
  <c r="X19"/>
  <c r="X75"/>
  <c r="K132" i="28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W178"/>
  <c r="W177"/>
  <c r="W176"/>
  <c r="W175"/>
  <c r="W174"/>
  <c r="C85" i="17"/>
  <c r="T157" i="28"/>
  <c r="W157"/>
  <c r="W290"/>
  <c r="W292"/>
  <c r="T290"/>
  <c r="X77" i="41"/>
  <c r="X76"/>
  <c r="X65"/>
  <c r="X63"/>
  <c r="X58"/>
  <c r="X56"/>
  <c r="E74" i="42"/>
  <c r="X57" i="41"/>
  <c r="X68"/>
  <c r="X33"/>
  <c r="X70"/>
  <c r="X67"/>
  <c r="X13"/>
  <c r="X91"/>
  <c r="X89"/>
  <c r="X85"/>
  <c r="X73"/>
  <c r="X32"/>
  <c r="X86"/>
  <c r="P291"/>
  <c r="E14" i="42"/>
  <c r="F14"/>
  <c r="X95" i="41"/>
  <c r="V291"/>
  <c r="E19" i="42"/>
  <c r="F19"/>
  <c r="L291" i="41"/>
  <c r="E10" i="42"/>
  <c r="X66" i="41"/>
  <c r="X49"/>
  <c r="X46"/>
  <c r="R291"/>
  <c r="E16" i="42"/>
  <c r="F16"/>
  <c r="N291" i="41"/>
  <c r="E12" i="42"/>
  <c r="F12"/>
  <c r="X20" i="41"/>
  <c r="S291"/>
  <c r="O291"/>
  <c r="E13" i="42"/>
  <c r="F13"/>
  <c r="E86"/>
  <c r="X50" i="41"/>
  <c r="M291"/>
  <c r="E11" i="42"/>
  <c r="Q291" i="41"/>
  <c r="E15" i="42"/>
  <c r="F15"/>
  <c r="W291" i="41"/>
  <c r="B24" i="42"/>
  <c r="U291" i="41"/>
  <c r="E18" i="42"/>
  <c r="F18"/>
  <c r="J291" i="41"/>
  <c r="T48"/>
  <c r="T291"/>
  <c r="X48"/>
  <c r="X289"/>
  <c r="X291"/>
  <c r="X293"/>
  <c r="S290" i="28"/>
  <c r="C17" i="17"/>
  <c r="D17"/>
  <c r="C21"/>
  <c r="E24"/>
  <c r="C26"/>
  <c r="B17" i="42"/>
  <c r="D21" i="17"/>
  <c r="D17" i="42"/>
  <c r="C87" i="17"/>
  <c r="B23" i="42"/>
  <c r="E24"/>
  <c r="E17"/>
  <c r="F17"/>
  <c r="F11"/>
  <c r="E21"/>
  <c r="G24"/>
  <c r="E26"/>
  <c r="E88"/>
  <c r="K6" i="41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8"/>
  <c r="K159"/>
  <c r="K160"/>
  <c r="K161"/>
  <c r="K162"/>
  <c r="K163"/>
  <c r="K157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D10" i="42" l="1"/>
  <c r="B21"/>
  <c r="D21" l="1"/>
  <c r="F10"/>
  <c r="F21" s="1"/>
</calcChain>
</file>

<file path=xl/comments1.xml><?xml version="1.0" encoding="utf-8"?>
<comments xmlns="http://schemas.openxmlformats.org/spreadsheetml/2006/main">
  <authors>
    <author>Muya</author>
  </authors>
  <commentList>
    <comment ref="H87" authorId="0">
      <text>
        <r>
          <rPr>
            <b/>
            <sz val="9"/>
            <color indexed="81"/>
            <rFont val="Tahoma"/>
            <family val="2"/>
          </rPr>
          <t>Muya:</t>
        </r>
        <r>
          <rPr>
            <sz val="9"/>
            <color indexed="81"/>
            <rFont val="Tahoma"/>
            <family val="2"/>
          </rPr>
          <t xml:space="preserve">
Refunds IRO P Muya - Kshs 3,600, M Chege - Kshs 1,200 and PM Kshs 2,500 to be made as fare should be based on actual and not allowance and PM is not given lunch during field work</t>
        </r>
      </text>
    </comment>
  </commentList>
</comments>
</file>

<file path=xl/comments2.xml><?xml version="1.0" encoding="utf-8"?>
<comments xmlns="http://schemas.openxmlformats.org/spreadsheetml/2006/main">
  <authors>
    <author>Admin</author>
    <author>Muya</author>
  </authors>
  <commentList>
    <comment ref="H21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Cheque 83 - Kshs 10,000 no proof of approval provided, no date of payment indicated, PIC to refund amount back into account</t>
        </r>
      </text>
    </comment>
    <comment ref="H22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Cheque 83 - Kshs 2,400 to be refunded back to account as rate of payment is twice the agreed amoun of Kshs 400</t>
        </r>
      </text>
    </comment>
    <comment ref="H45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Cheque 83 - Lunch allowance is Kshs 500, hence Kshs 500 to be refunded back to account</t>
        </r>
      </text>
    </comment>
    <comment ref="H46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Cheque 83 - Only 2 days work are accounted for. Kshs 2,500 for 5 days not accounted to be refunded back to account</t>
        </r>
      </text>
    </comment>
    <comment ref="I49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Cheque 85 - No delivery notes nor any proof to show seedlings were delivered. To be provided to gether with distribution or planting documents</t>
        </r>
      </text>
    </comment>
    <comment ref="I64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Cheque 89 - PAYE has not been remitted to date. This to be effected immediately and any penalties to be met by PIC/PM</t>
        </r>
      </text>
    </comment>
    <comment ref="I113" authorId="1">
      <text>
        <r>
          <rPr>
            <b/>
            <sz val="9"/>
            <color indexed="81"/>
            <rFont val="Tahoma"/>
            <charset val="1"/>
          </rPr>
          <t>Muya:</t>
        </r>
        <r>
          <rPr>
            <sz val="9"/>
            <color indexed="81"/>
            <rFont val="Tahoma"/>
            <charset val="1"/>
          </rPr>
          <t xml:space="preserve">
Cheque 110 - No suuport document - Kshs 3,000</t>
        </r>
      </text>
    </comment>
    <comment ref="I130" authorId="1">
      <text>
        <r>
          <rPr>
            <b/>
            <sz val="9"/>
            <color indexed="81"/>
            <rFont val="Tahoma"/>
            <charset val="1"/>
          </rPr>
          <t>Muya:</t>
        </r>
        <r>
          <rPr>
            <sz val="9"/>
            <color indexed="81"/>
            <rFont val="Tahoma"/>
            <charset val="1"/>
          </rPr>
          <t xml:space="preserve">
Cheque 124 - all invoices to clearly indicate VAT amount charged</t>
        </r>
      </text>
    </comment>
    <comment ref="H159" authorId="1">
      <text>
        <r>
          <rPr>
            <b/>
            <sz val="9"/>
            <color indexed="81"/>
            <rFont val="Tahoma"/>
            <charset val="1"/>
          </rPr>
          <t>Muya:</t>
        </r>
        <r>
          <rPr>
            <sz val="9"/>
            <color indexed="81"/>
            <rFont val="Tahoma"/>
            <charset val="1"/>
          </rPr>
          <t xml:space="preserve">
Cheque 150 - Fuel receipts not acceptable and proper workticket to be availed - Kshs 15,680</t>
        </r>
      </text>
    </comment>
    <comment ref="I160" authorId="1">
      <text>
        <r>
          <rPr>
            <b/>
            <sz val="9"/>
            <color indexed="81"/>
            <rFont val="Tahoma"/>
            <charset val="1"/>
          </rPr>
          <t>Muya:</t>
        </r>
        <r>
          <rPr>
            <sz val="9"/>
            <color indexed="81"/>
            <rFont val="Tahoma"/>
            <charset val="1"/>
          </rPr>
          <t xml:space="preserve">
Cheque 151 50,000 Polytubes received and invoiced @ Kshs0.50 per piece - Kshs 25,000 to be refunded back into account</t>
        </r>
      </text>
    </comment>
    <comment ref="I162" authorId="1">
      <text>
        <r>
          <rPr>
            <b/>
            <sz val="9"/>
            <color indexed="81"/>
            <rFont val="Tahoma"/>
            <charset val="1"/>
          </rPr>
          <t>Muya:</t>
        </r>
        <r>
          <rPr>
            <sz val="9"/>
            <color indexed="81"/>
            <rFont val="Tahoma"/>
            <charset val="1"/>
          </rPr>
          <t xml:space="preserve">
Cheque 153 - Invoice &amp; receipt to be availed to support the payment</t>
        </r>
      </text>
    </comment>
    <comment ref="I163" authorId="1">
      <text>
        <r>
          <rPr>
            <b/>
            <sz val="9"/>
            <color indexed="81"/>
            <rFont val="Tahoma"/>
            <charset val="1"/>
          </rPr>
          <t>Muya:</t>
        </r>
        <r>
          <rPr>
            <sz val="9"/>
            <color indexed="81"/>
            <rFont val="Tahoma"/>
            <charset val="1"/>
          </rPr>
          <t xml:space="preserve">
Cheque 155 - Overpayment of allowance IRO technician  - Kshs 6,000 to be refunded back into account</t>
        </r>
      </text>
    </comment>
  </commentList>
</comments>
</file>

<file path=xl/comments3.xml><?xml version="1.0" encoding="utf-8"?>
<comments xmlns="http://schemas.openxmlformats.org/spreadsheetml/2006/main">
  <authors>
    <author>Mmwaniki</author>
  </authors>
  <commentList>
    <comment ref="B12" authorId="0">
      <text>
        <r>
          <rPr>
            <b/>
            <sz val="9"/>
            <color indexed="81"/>
            <rFont val="Tahoma"/>
          </rPr>
          <t>Mmwaniki:</t>
        </r>
        <r>
          <rPr>
            <sz val="9"/>
            <color indexed="81"/>
            <rFont val="Tahoma"/>
          </rPr>
          <t xml:space="preserve">
1st tr balance offsett deficit on Water catchment and Project mgt budgt line Kshs 539,580 and Kshs 148,566 respectively</t>
        </r>
      </text>
    </comment>
  </commentList>
</comments>
</file>

<file path=xl/sharedStrings.xml><?xml version="1.0" encoding="utf-8"?>
<sst xmlns="http://schemas.openxmlformats.org/spreadsheetml/2006/main" count="843" uniqueCount="421">
  <si>
    <t>Project Management</t>
  </si>
  <si>
    <t>Amount</t>
  </si>
  <si>
    <t>Contingency</t>
  </si>
  <si>
    <t>Project manager</t>
  </si>
  <si>
    <t>Expenditure Details</t>
  </si>
  <si>
    <t xml:space="preserve">Date </t>
  </si>
  <si>
    <t>PCV</t>
  </si>
  <si>
    <t>P.V.</t>
  </si>
  <si>
    <t xml:space="preserve">Total </t>
  </si>
  <si>
    <t xml:space="preserve">Cumulative </t>
  </si>
  <si>
    <t>Total</t>
  </si>
  <si>
    <t>No</t>
  </si>
  <si>
    <t>Expenditure</t>
  </si>
  <si>
    <t>Comments / Observations</t>
  </si>
  <si>
    <t>Budget/Actual Analysis Report</t>
  </si>
  <si>
    <t xml:space="preserve">Budget </t>
  </si>
  <si>
    <t xml:space="preserve">Actual </t>
  </si>
  <si>
    <t>Variance</t>
  </si>
  <si>
    <t xml:space="preserve">Ksh </t>
  </si>
  <si>
    <t>Balance brought forward</t>
  </si>
  <si>
    <t>Balance of CDTF Funds</t>
  </si>
  <si>
    <t>Unpresented Cheques</t>
  </si>
  <si>
    <t>Other Income</t>
  </si>
  <si>
    <t>Discrepancy</t>
  </si>
  <si>
    <t>Total funds available</t>
  </si>
  <si>
    <t>Capacity building</t>
  </si>
  <si>
    <t>Strategic partner</t>
  </si>
  <si>
    <t xml:space="preserve">Tranche Received </t>
  </si>
  <si>
    <t>Less:</t>
  </si>
  <si>
    <t>Add:</t>
  </si>
  <si>
    <t>Uncleared lodgements</t>
  </si>
  <si>
    <t>Other Ineligible Expenditure</t>
  </si>
  <si>
    <t>Cashbook Balance</t>
  </si>
  <si>
    <t xml:space="preserve">Add: Petty cash </t>
  </si>
  <si>
    <t>Chq</t>
  </si>
  <si>
    <t>Project mgt</t>
  </si>
  <si>
    <t>Budget code</t>
  </si>
  <si>
    <t>ASSET REGISTER</t>
  </si>
  <si>
    <t>Asset Description</t>
  </si>
  <si>
    <t>Serial No.</t>
  </si>
  <si>
    <t>Model</t>
  </si>
  <si>
    <t>Asset No.</t>
  </si>
  <si>
    <t>Location</t>
  </si>
  <si>
    <t>Purchase date</t>
  </si>
  <si>
    <t>Purchase price</t>
  </si>
  <si>
    <t>Units</t>
  </si>
  <si>
    <t>Ngarua Environmental Conservation &amp; Livelihoods Improvedment Project</t>
  </si>
  <si>
    <t>1st tranche   -  Kshs 4,962,000</t>
  </si>
  <si>
    <t>Promotion of productive &amp; sustainable land use systems</t>
  </si>
  <si>
    <t>Rehabilitation &amp; protection of water catchment areas</t>
  </si>
  <si>
    <t>Empowering local communities to adopt alternative sources of income</t>
  </si>
  <si>
    <t>Mitigation of human wildlife conflict</t>
  </si>
  <si>
    <t>Support conservation and domestication of sandalwood</t>
  </si>
  <si>
    <t>Developing &amp; strengthening of capacities of local communities</t>
  </si>
  <si>
    <t>Promoting peaceful co-existing</t>
  </si>
  <si>
    <t>Sustainable land use</t>
  </si>
  <si>
    <t>Water catchment</t>
  </si>
  <si>
    <t xml:space="preserve">Alternative sources </t>
  </si>
  <si>
    <t>Conflict</t>
  </si>
  <si>
    <t>Sandalwood</t>
  </si>
  <si>
    <t>Peaceful co-existence</t>
  </si>
  <si>
    <t>Bank charges</t>
  </si>
  <si>
    <t>Cash based activities</t>
  </si>
  <si>
    <t>Balance Reconciliation as at 31.10.2009</t>
  </si>
  <si>
    <t>Sign: .................................</t>
  </si>
  <si>
    <t>Checked by: ............................................</t>
  </si>
  <si>
    <t>VOID</t>
  </si>
  <si>
    <t>John Karuitha- Void</t>
  </si>
  <si>
    <t>Joseph Njoroge- Void</t>
  </si>
  <si>
    <t>Franduh Insurance and commercial agency- Rent September and October 2009</t>
  </si>
  <si>
    <t>Ibrahim Mutahi- PIC meetings lunch, transport allowances</t>
  </si>
  <si>
    <t>Equity bank- Cheque book issue charges</t>
  </si>
  <si>
    <t>Equity bank- Cash transfer charge</t>
  </si>
  <si>
    <t>GEORGE KABOCHI- PIC SECRETARY</t>
  </si>
  <si>
    <t>MOSES KANDE- PIC MEMBER</t>
  </si>
  <si>
    <t>CATHERINE KEIGE- PIC MEMBER</t>
  </si>
  <si>
    <t>VIRGINIA NYAGUTHII- PIC MEMBER</t>
  </si>
  <si>
    <t>WINNIE NYAMBURA- PIC MEMBER</t>
  </si>
  <si>
    <t>IBRAHIM MUTAHI- PIC TREASURER</t>
  </si>
  <si>
    <t>MARY WANGARI- PIC VICE CHAIR</t>
  </si>
  <si>
    <t>PAUL MUYA- PIC CHAIR PERSON</t>
  </si>
  <si>
    <t>NJUGUNA MWANGI- PIC MEMBER</t>
  </si>
  <si>
    <t>JAMES KUHORA- PIC MEMBER</t>
  </si>
  <si>
    <t>CHARLES GITAHI- PIC MEMBER</t>
  </si>
  <si>
    <t>ACACIA BUREAU</t>
  </si>
  <si>
    <t>WAKULIMA STORES</t>
  </si>
  <si>
    <t>Joseph Njoroge- Photocopy and printing charges</t>
  </si>
  <si>
    <t>MARY WANGARI- PIC VICE CHAIR- PIC meetings</t>
  </si>
  <si>
    <t>GEORGE KABOCHI- PIC SECRETARY- Dam desilting wages</t>
  </si>
  <si>
    <t>MARY WANGARI- PIC VICE CHAIR- Petty cash start</t>
  </si>
  <si>
    <t>GEORGE KABOCHI- Telephone allowance- Nov 2009</t>
  </si>
  <si>
    <t>GEORGE KABOCHI- VOID</t>
  </si>
  <si>
    <t>John Karuitha- Petty cash replenishment</t>
  </si>
  <si>
    <t>Ibrahim Mutahi- Dams desilting wages</t>
  </si>
  <si>
    <t>Ibrahim Mutahi- PIC members meetings allowance</t>
  </si>
  <si>
    <t>Franduh Insurance and commercial agency- Rent November 2009</t>
  </si>
  <si>
    <t>Ibrahim Mutahi- Water/ soil conservation training</t>
  </si>
  <si>
    <t>Ibrahim Mutahi- Trainings- tree nursery wangwachi, fish farming muhotetu</t>
  </si>
  <si>
    <t>George Kabochi- Water/ soil conservation- Kiamburi and Wangwachi</t>
  </si>
  <si>
    <t>George Kabochi- PIC meetings, Project manager transport and lunch allowances</t>
  </si>
  <si>
    <t>Ibrahim Mutahi- Fish farming, Wandaka; Tree nursery- Kiamburi; Soil/ water- Wandaka</t>
  </si>
  <si>
    <t>Innovative computer solutions LTD- Lap top computer</t>
  </si>
  <si>
    <t>Franduh Insurance and commercial agency- void</t>
  </si>
  <si>
    <t>David Maina Kamau- 480 workshop- office furniture</t>
  </si>
  <si>
    <t>Payment for cleaning services for NECLI Office on 2 occassions</t>
  </si>
  <si>
    <t>Lunch allowance for fisheries officer- Survey of fish pond sites</t>
  </si>
  <si>
    <t>Payment of lunch allowances for field visits- project manager</t>
  </si>
  <si>
    <t>Fuel for GK X234 for field visits</t>
  </si>
  <si>
    <t>Airtime for cash internet modem for use at office</t>
  </si>
  <si>
    <t>Purchase of paper punch, stapler, staples and 2 ball pens</t>
  </si>
  <si>
    <t>Fuel for cab for field visit to Kiamburi dam</t>
  </si>
  <si>
    <t>Timca solutions- Internet services (sending documents to CDTF)</t>
  </si>
  <si>
    <t>Processing photos (Of dams being desilted)</t>
  </si>
  <si>
    <t>Postage of quotations to CDTF</t>
  </si>
  <si>
    <t>Travel allowance to Nyahururu for Postage of quotations to CDTF</t>
  </si>
  <si>
    <t>Scanning of documents to send to CDTF</t>
  </si>
  <si>
    <t>Boda Boda services for field visits- Wangwachi dam</t>
  </si>
  <si>
    <t>2 Boda Boda services for field visits- Muhotetu</t>
  </si>
  <si>
    <t>1 boda boda service to Wangwachi for signing of cheques</t>
  </si>
  <si>
    <t>Lunch allowance for travel to Nakuru for quotations</t>
  </si>
  <si>
    <t>Transport to Nakuru for getting quotations</t>
  </si>
  <si>
    <t>Purchase of 3 box files at Ksh 250 each</t>
  </si>
  <si>
    <t>Travel to wangwachi to meet group members</t>
  </si>
  <si>
    <t>Office desk</t>
  </si>
  <si>
    <t>Office chair</t>
  </si>
  <si>
    <t>File cabinet</t>
  </si>
  <si>
    <t>Notice board</t>
  </si>
  <si>
    <t>Office table</t>
  </si>
  <si>
    <t>Conference table</t>
  </si>
  <si>
    <t>Sign board</t>
  </si>
  <si>
    <t>NECLI/FF/001</t>
  </si>
  <si>
    <t>NECLI/FF/002</t>
  </si>
  <si>
    <t>NECLI/FF/003</t>
  </si>
  <si>
    <t>NECLI/FF/004</t>
  </si>
  <si>
    <t>NECLI/FF/005</t>
  </si>
  <si>
    <t>NECLI/FF/006</t>
  </si>
  <si>
    <t>NECLI/FF/007</t>
  </si>
  <si>
    <t>NECLI/FF/008</t>
  </si>
  <si>
    <t>NA</t>
  </si>
  <si>
    <t>Kinamba</t>
  </si>
  <si>
    <t>Conference chairs</t>
  </si>
  <si>
    <t>Purchase of Safaricom internet Modem</t>
  </si>
  <si>
    <t>NECLI/COMP/001</t>
  </si>
  <si>
    <t>Huawei E220</t>
  </si>
  <si>
    <t>Safaricom HSPDA USB internet modem</t>
  </si>
  <si>
    <t>Laptop computer</t>
  </si>
  <si>
    <t>NECLI/COMP/002</t>
  </si>
  <si>
    <t>Trainings- Poultry (kiamburi/ muhotetu), fish farming- Wandaka</t>
  </si>
  <si>
    <t>Stationery purchase- Jane Wamuyu</t>
  </si>
  <si>
    <t>Terrace- COD Wandaka</t>
  </si>
  <si>
    <t>Petty cash replenishment</t>
  </si>
  <si>
    <t>Telephone expenses- Project manager</t>
  </si>
  <si>
    <t>Rent - Necli office- Deec 2009</t>
  </si>
  <si>
    <t>Terraces sites inspection agriculture officers</t>
  </si>
  <si>
    <t>Trainings- fish farming, Wangwachi : Forestly Muhotetu</t>
  </si>
  <si>
    <t>Terraces wages payment at Muhotetu</t>
  </si>
  <si>
    <t>Terraces wages payment at Kiamburi</t>
  </si>
  <si>
    <t>Kiamburi dam embarkment firming</t>
  </si>
  <si>
    <t>Poultry training Kiamburi</t>
  </si>
  <si>
    <t>Photocopy, printing charges- Nov, Dec</t>
  </si>
  <si>
    <t>4 km terraces wages kiamburi</t>
  </si>
  <si>
    <t>Motorbike</t>
  </si>
  <si>
    <t>NECLI/MB/001</t>
  </si>
  <si>
    <t>YAMAHA</t>
  </si>
  <si>
    <t>PIC meetings lunch/ transport allowances</t>
  </si>
  <si>
    <t>John Karuitha- Salary for Project manager- Oct- Nov 2009</t>
  </si>
  <si>
    <t>Paymaster general Oct- Nov 2009</t>
  </si>
  <si>
    <t>John Karuitha- Salary for Project manager- Dec 2009</t>
  </si>
  <si>
    <t>NHIF- Oct- nov 2009</t>
  </si>
  <si>
    <t>NSSF- Dec 2009</t>
  </si>
  <si>
    <t>NHIF- Dec 2009</t>
  </si>
  <si>
    <t>NSSF- Oct- Nov 2009</t>
  </si>
  <si>
    <t>Paymaster general Dec 2009</t>
  </si>
  <si>
    <t>HP CQ60</t>
  </si>
  <si>
    <t>AS AT 28th January 2009</t>
  </si>
  <si>
    <t>Giant paper punch</t>
  </si>
  <si>
    <t>NECLI/OS/001</t>
  </si>
  <si>
    <t>2GB Flash disks</t>
  </si>
  <si>
    <t>NECLI/OS/002</t>
  </si>
  <si>
    <t>LG</t>
  </si>
  <si>
    <t>Giant stapler</t>
  </si>
  <si>
    <t>NECLI/OS/003</t>
  </si>
  <si>
    <t>Paper trays</t>
  </si>
  <si>
    <t>NECLI/OS/004</t>
  </si>
  <si>
    <t>Kangaroo</t>
  </si>
  <si>
    <t>NB: Included fixed assets of value Ksh. 500 and above.</t>
  </si>
  <si>
    <t>Cash withdrawal charges- November 2009 (As per bank statement attached)</t>
  </si>
  <si>
    <t xml:space="preserve"> </t>
  </si>
  <si>
    <t>Terraces wages Muhotetu</t>
  </si>
  <si>
    <t>Paul muya- fence stakeholders meetings</t>
  </si>
  <si>
    <t>Paul muya- terraces at Kiamburi and wangwachi</t>
  </si>
  <si>
    <t>John karuitha- terraces payments at Wangwachi dam</t>
  </si>
  <si>
    <t>john k. Karuitha- Petty cash replenishment</t>
  </si>
  <si>
    <t>UAP Insurance ltd</t>
  </si>
  <si>
    <t>Paul muya- PIC meeting with cdtf officer on feb 5, 2010</t>
  </si>
  <si>
    <t>Franduh insurance and commercial agency</t>
  </si>
  <si>
    <t>Project manager salary- jan 2010</t>
  </si>
  <si>
    <t>Project manager nhif- jan 2010</t>
  </si>
  <si>
    <t>Project manager nssf- jan 2010</t>
  </si>
  <si>
    <t>Project manager paye - jan 2010</t>
  </si>
  <si>
    <t>Project manager tel allowance- jan 2010</t>
  </si>
  <si>
    <t>Gabions</t>
  </si>
  <si>
    <t>Esther Njeri Kahari C/O Ambassador stores</t>
  </si>
  <si>
    <t>Netwoth Achievers LTD</t>
  </si>
  <si>
    <t>Bank Charges- December 1- 31, 2009</t>
  </si>
  <si>
    <t>Bank Charges- January 1- 31, 2010</t>
  </si>
  <si>
    <t>Bank Balance Statement 28 Jan 2010</t>
  </si>
  <si>
    <t>Cash deposit- Trainings</t>
  </si>
  <si>
    <t>John K. Karuitha- terraces at Wangwachi</t>
  </si>
  <si>
    <t>John K. Karuitha- Dams desilting</t>
  </si>
  <si>
    <t>John K. Karuitha- PIC and other allowances</t>
  </si>
  <si>
    <t>John K. Karuitha- Ponds construction</t>
  </si>
  <si>
    <t>john k. Karuitha- Salary feb 2010</t>
  </si>
  <si>
    <t>john k. Karuitha- PAYE FEB 2010</t>
  </si>
  <si>
    <t>Franduh insurance- Rent feb and march 2010</t>
  </si>
  <si>
    <t>Ponds</t>
  </si>
  <si>
    <t>Springs</t>
  </si>
  <si>
    <t>EIA</t>
  </si>
  <si>
    <t>Degraded areas</t>
  </si>
  <si>
    <t>NSSF- Nov, Dec 2009, Jan, feb 2010</t>
  </si>
  <si>
    <t>Void: Cheques 56, 58, 69 (NSSF Nov, Dec 2009, Jan 2010)</t>
  </si>
  <si>
    <t>J M Kamau</t>
  </si>
  <si>
    <t>Ng'arua total service station</t>
  </si>
  <si>
    <t>Check-it solution</t>
  </si>
  <si>
    <t>Kinamba evans enterprises</t>
  </si>
  <si>
    <t>Venus computer bureau</t>
  </si>
  <si>
    <t>Boda boda</t>
  </si>
  <si>
    <t>Retail shop, Kinamba</t>
  </si>
  <si>
    <t>Mr. Keige</t>
  </si>
  <si>
    <t>Jack</t>
  </si>
  <si>
    <t>Joss Communications</t>
  </si>
  <si>
    <t>KPLC</t>
  </si>
  <si>
    <t>Mutabari</t>
  </si>
  <si>
    <t>Luka Gichohi</t>
  </si>
  <si>
    <t>Bookbelt Stationers</t>
  </si>
  <si>
    <t>Nyahururu gas and service station</t>
  </si>
  <si>
    <t>J.M. Kamau</t>
  </si>
  <si>
    <t>Estam traders LTD</t>
  </si>
  <si>
    <t>Evans enterprises</t>
  </si>
  <si>
    <t>Nucleur Investments LTD</t>
  </si>
  <si>
    <t>Leather works</t>
  </si>
  <si>
    <t>Kinamba Total Service Station</t>
  </si>
  <si>
    <t>2NK Sacco</t>
  </si>
  <si>
    <t>Muhotetu filling station</t>
  </si>
  <si>
    <t>Karisam Photos</t>
  </si>
  <si>
    <t>Wilson Nyakundi</t>
  </si>
  <si>
    <t>Virginia Wahome</t>
  </si>
  <si>
    <t>Ambassador stores</t>
  </si>
  <si>
    <t>Acacia Buraeu</t>
  </si>
  <si>
    <t>ng'arua total service st</t>
  </si>
  <si>
    <t>Kinamba Evans Ent</t>
  </si>
  <si>
    <t>Venus comp bureau</t>
  </si>
  <si>
    <t>Acacia Bureau</t>
  </si>
  <si>
    <t>Luka Kingori</t>
  </si>
  <si>
    <t>Susu suppliers</t>
  </si>
  <si>
    <t xml:space="preserve">Patmat </t>
  </si>
  <si>
    <t>EMS kenya</t>
  </si>
  <si>
    <t>Wamathai</t>
  </si>
  <si>
    <t>Mega hotel</t>
  </si>
  <si>
    <t>Joseph Njoroge</t>
  </si>
  <si>
    <t>Kinamba Evans Enterprises</t>
  </si>
  <si>
    <t>Mr. Githenya</t>
  </si>
  <si>
    <t>Mega Hotel</t>
  </si>
  <si>
    <t>Motorbike repair</t>
  </si>
  <si>
    <t>Various</t>
  </si>
  <si>
    <t>Balance Reconciliation as at 28.01.2010</t>
  </si>
  <si>
    <t>Opening account funds</t>
  </si>
  <si>
    <t>Cheque 12 - Refunds IRO P Muya - Kshs 3,600, M Chege - Kshs 1,200 and PM Kshs 2,500 to be made as fare should be based on actual and not allowance and PM is not given lunch during field work</t>
  </si>
  <si>
    <t>23 &amp; 26</t>
  </si>
  <si>
    <t>22 &amp; 24</t>
  </si>
  <si>
    <t>Balance as at 28.01.2010</t>
  </si>
  <si>
    <t>Balance as at 20.03.2010</t>
  </si>
  <si>
    <t>Cheque 14 And 31 Propreitors to provide proof of ownership of business name</t>
  </si>
  <si>
    <t>Bhogals auotoworld - Purchase of Motorbike</t>
  </si>
  <si>
    <t xml:space="preserve">Add: Imprest cash </t>
  </si>
  <si>
    <t>2nd tranche   -  Kshs 9,868,127</t>
  </si>
  <si>
    <t>CDTF Grant</t>
  </si>
  <si>
    <t>John</t>
  </si>
  <si>
    <t>I Mutahi</t>
  </si>
  <si>
    <t>Gitahi K</t>
  </si>
  <si>
    <t>Community members</t>
  </si>
  <si>
    <t>Cheque 83 - Kshs 2,400 to be refunded back to account as rate of payment is twice the agreed amoun of Kshs 400</t>
  </si>
  <si>
    <t>Cheque 83 - Lunch allowance is Kshs 500, hence Kshs 500 to be refunded back to account</t>
  </si>
  <si>
    <t>Kimotho</t>
  </si>
  <si>
    <t>Cheque 83 - Only 2 days work are accounted for. Kshs 2,500 for 5 days not accounted to be refunded back to account</t>
  </si>
  <si>
    <t>C Munuhe</t>
  </si>
  <si>
    <t>Cheque 83 - Kshs 10,000 no proof of approval provided, no date of payment indicated, PIC to refund amount back into account</t>
  </si>
  <si>
    <t>Kangumo Mwitikiri SHG</t>
  </si>
  <si>
    <t>Cheque 85 - No delivery notes nor any proof to show seedlings were delivered. To be provided to gether with distribution or planting documents</t>
  </si>
  <si>
    <t>J Kingathia K</t>
  </si>
  <si>
    <t>NSSF</t>
  </si>
  <si>
    <t>Paymaster General</t>
  </si>
  <si>
    <t>Cheque 89 - PAYE has not been remitted to date. This to be effected immediately and any penalties to be met by PIC/PM</t>
  </si>
  <si>
    <t>Franduh Insurance &amp; Commercial agency</t>
  </si>
  <si>
    <t>Networth Achievers</t>
  </si>
  <si>
    <t>NEMA</t>
  </si>
  <si>
    <t>Umwelt consults</t>
  </si>
  <si>
    <t>Innovative Computer Solutions</t>
  </si>
  <si>
    <t>Ambasador stores</t>
  </si>
  <si>
    <t>Accacia Bureau</t>
  </si>
  <si>
    <t>NHIF</t>
  </si>
  <si>
    <t>Balance brought forward as at 01.02.2010</t>
  </si>
  <si>
    <t>Bank Balance Statement ……..</t>
  </si>
  <si>
    <t>No petty cash vouchers maintained. This to be done with immediate effect</t>
  </si>
  <si>
    <t>Payment vouchers are not serialised and some are not signed by all concerned parties. To be corrected immediately</t>
  </si>
  <si>
    <t>Cheque amounts of Kshs 49,500 &amp; 63,540 dated 25th Mar &amp; 17th May not accounted for. Documents to be availed immediately</t>
  </si>
  <si>
    <t>PIC to avoid holding of cash for periods of upto 3 weeks. Cash withdrawn should be for immeidate use</t>
  </si>
  <si>
    <t>Bank reconcilliation to be done on a monthly basis and forwarded as part of monthly report</t>
  </si>
  <si>
    <t>John Karuitha- Petty cash, PIC allowances</t>
  </si>
  <si>
    <t>Joseph Mwaura- Photocopy and printing</t>
  </si>
  <si>
    <t>John Karuitha- salary may</t>
  </si>
  <si>
    <t xml:space="preserve">John Karuitha- tel allowances </t>
  </si>
  <si>
    <t>lunch/ transport for project officer travels</t>
  </si>
  <si>
    <t>John Karuitha- transport of hardcore for gabions</t>
  </si>
  <si>
    <t>PMG</t>
  </si>
  <si>
    <t>Ibrahim Mutahi- night out at Kamurugu</t>
  </si>
  <si>
    <t>Kamurugu agric dev initiatives</t>
  </si>
  <si>
    <t>John Karuitha- june 2010 salary</t>
  </si>
  <si>
    <t>nssf- April, may and june</t>
  </si>
  <si>
    <t>PMG- June 10</t>
  </si>
  <si>
    <t>John Karuitha- KWS fence construction allowances</t>
  </si>
  <si>
    <t>John Karuitha- PIC meetings allowances</t>
  </si>
  <si>
    <t>Networth achievers int.</t>
  </si>
  <si>
    <t>Bank chrges- june 2010</t>
  </si>
  <si>
    <t>Gallagher power fence systems LTD</t>
  </si>
  <si>
    <t>John Karuitha- Exchange visit</t>
  </si>
  <si>
    <t>Africa bee keepers ltd</t>
  </si>
  <si>
    <t>Ibrahim Mutahi- fence meetings, gabions making</t>
  </si>
  <si>
    <t>Ibrahim Mutahi- fence technicians allowances</t>
  </si>
  <si>
    <t>Joseph Mwaura- fence sensitization posters</t>
  </si>
  <si>
    <t>Bank chrges- july 2010</t>
  </si>
  <si>
    <t>John Karuitha- salary july 2010</t>
  </si>
  <si>
    <t>Electricity</t>
  </si>
  <si>
    <t>Motorbike fuel</t>
  </si>
  <si>
    <t>John Karuitha- salary april</t>
  </si>
  <si>
    <t>Modem airtime</t>
  </si>
  <si>
    <t>Memory card for camera</t>
  </si>
  <si>
    <t>Rent- May 2010</t>
  </si>
  <si>
    <t>Engine oil</t>
  </si>
  <si>
    <t>2T oil for motor bike</t>
  </si>
  <si>
    <t>Transport of construction materials/ liners</t>
  </si>
  <si>
    <t>Travel to Wangwachi</t>
  </si>
  <si>
    <t>Lunch allowance- tree plnting day wangwachi</t>
  </si>
  <si>
    <t>Transport of materials to Lobere</t>
  </si>
  <si>
    <t>Lunch/ transport allowance- Lobere</t>
  </si>
  <si>
    <t>Welding of bike chair/ arm rests</t>
  </si>
  <si>
    <t>Cleaning of office</t>
  </si>
  <si>
    <t>Fuel expenses- Fisheries officer</t>
  </si>
  <si>
    <t>Gabions sites travel/ lunch</t>
  </si>
  <si>
    <t>Refreshments during fence leaders meeting</t>
  </si>
  <si>
    <t>cleaning office</t>
  </si>
  <si>
    <t>Transport</t>
  </si>
  <si>
    <t>Internet expenses</t>
  </si>
  <si>
    <t>Postage</t>
  </si>
  <si>
    <t>Fuel for motorbike- Fisheries officer to Muhotetu</t>
  </si>
  <si>
    <t>Transport allowances- leaders meetings</t>
  </si>
  <si>
    <t>Threading of pipes</t>
  </si>
  <si>
    <t>Electricity bill</t>
  </si>
  <si>
    <t>Motorbike maintenance</t>
  </si>
  <si>
    <t>Payment of PIC allowances (Cheque )</t>
  </si>
  <si>
    <t>Refreshments during meeting on fence</t>
  </si>
  <si>
    <t>Transport of liners to Muhotetu</t>
  </si>
  <si>
    <t>Transport of Nails, chainlink  to Muhotetu</t>
  </si>
  <si>
    <t>airtime for modem</t>
  </si>
  <si>
    <t>Lunch allowances- Fisheries officer to Muhotetu</t>
  </si>
  <si>
    <t>Photos- meeting of community</t>
  </si>
  <si>
    <t>Income tax dept- EIA consultancy withholding tax</t>
  </si>
  <si>
    <t>Springs rehabilitation</t>
  </si>
  <si>
    <t>Dams desilting at Kiamburi</t>
  </si>
  <si>
    <t>John Karuitha- Petty cash</t>
  </si>
  <si>
    <t>John Karuitha- petty cash</t>
  </si>
  <si>
    <t>Reversal of spoilt cheques 53,55,57,59,68,70,80,82</t>
  </si>
  <si>
    <t>Balance as at 23.07.2010</t>
  </si>
  <si>
    <t>Balance Reconciliation as at 23.07.2010</t>
  </si>
  <si>
    <t>void</t>
  </si>
  <si>
    <t>Networth achievers international</t>
  </si>
  <si>
    <t>Reversal of CQ 98</t>
  </si>
  <si>
    <t>Dometic taxes department- EIA withholding tax</t>
  </si>
  <si>
    <t>John Karuitha- Tel allowance, july 2010</t>
  </si>
  <si>
    <t>john Karuitha- Fence technician allowances</t>
  </si>
  <si>
    <t>Summer HW c/o jane njeri- nursery ploybags</t>
  </si>
  <si>
    <t>John Karuitha- fish fries support/ transport</t>
  </si>
  <si>
    <t>Paul Muya- Fence technician allowances</t>
  </si>
  <si>
    <t>John Karuitha- Fence technician allowances</t>
  </si>
  <si>
    <t>Esther Kahari c/o ambass stores</t>
  </si>
  <si>
    <t>Approvals- purchase of fruit trees (Kes 250,000.00 for fruit trees purchase, transport of fruit trees Kes 50,000.00, indeginous trees purchase Kes 200,000.00)</t>
  </si>
  <si>
    <t>Ngarua Environmental Conservation &amp; Livelihoods Improvement Project</t>
  </si>
  <si>
    <t>Bank Balance Statement …..</t>
  </si>
  <si>
    <t>Prepared by: ............................................</t>
  </si>
  <si>
    <t>Date: ……………</t>
  </si>
  <si>
    <t>PIC Chairperson</t>
  </si>
  <si>
    <t>Balance Reconciliation as at 30.11.2009</t>
  </si>
  <si>
    <t>Bank Balance Statement ………..</t>
  </si>
  <si>
    <t>Innovative Computer Services</t>
  </si>
  <si>
    <t>Bhogals Autoworld</t>
  </si>
  <si>
    <t>Balance Reconciliation as at 31.12.2009</t>
  </si>
  <si>
    <t>Bank Balance Statement ………</t>
  </si>
  <si>
    <t>Franduh Insurance</t>
  </si>
  <si>
    <t>Jane Wamuyu</t>
  </si>
  <si>
    <t>Balance Reconciliation as at 31.01.2010</t>
  </si>
  <si>
    <t>Bank Balance Statement …….</t>
  </si>
  <si>
    <t xml:space="preserve">Paymaster general </t>
  </si>
  <si>
    <t>Balance Reconciliation as at 28.02.2010</t>
  </si>
  <si>
    <t>Balance Reconciliation as at 31.03.2010</t>
  </si>
  <si>
    <t>Balance Reconciliation as at 30.04.2010</t>
  </si>
  <si>
    <t>Balance Reconciliation as at 31.05.2010</t>
  </si>
  <si>
    <t>Balance Reconciliation as at 30.06.2010</t>
  </si>
  <si>
    <t>John Karuitha</t>
  </si>
  <si>
    <t>Ibrahim Mutahi</t>
  </si>
  <si>
    <t>Joseph Mwaura</t>
  </si>
  <si>
    <t>Paul Muya</t>
  </si>
  <si>
    <t>KRA</t>
  </si>
  <si>
    <t>`</t>
  </si>
  <si>
    <t>Cheque 83 - Overpayment of allowances</t>
  </si>
  <si>
    <t>Cheque 110 - No suuport document - Kshs 3,000</t>
  </si>
  <si>
    <t>PMG- June 10 - reversal of cancelled cheque</t>
  </si>
  <si>
    <t>Cheque 124 -129, 138-140, 142  all invoices to clearly indicate VAT amount charged</t>
  </si>
  <si>
    <t>Cheque 150 - Fuel receipts not acceptable and proper workticket to be availed - Kshs 15,680</t>
  </si>
  <si>
    <t>Cheque 151 50,000 Polytubes received and invoiced @ Kshs0.50 per piece - Kshs 25,000 to be refunded back into account</t>
  </si>
  <si>
    <t>Cheque 153 - Invoice &amp; receipt to be availed to support the payment</t>
  </si>
  <si>
    <t>Cheque 155 - Overpayment of allowance IRO technician  - Kshs 6,000 to be refunded back into account</t>
  </si>
</sst>
</file>

<file path=xl/styles.xml><?xml version="1.0" encoding="utf-8"?>
<styleSheet xmlns="http://schemas.openxmlformats.org/spreadsheetml/2006/main">
  <numFmts count="4">
    <numFmt numFmtId="171" formatCode="_(* #,##0.00_);_(* \(#,##0.00\);_(* &quot;-&quot;??_);_(@_)"/>
    <numFmt numFmtId="220" formatCode="_(* #,##0_);_(* \(#,##0\);_(* &quot;-&quot;??_);_(@_)"/>
    <numFmt numFmtId="224" formatCode="[$-409]dd\-mmm\-yy;@"/>
    <numFmt numFmtId="225" formatCode="0.0"/>
  </numFmts>
  <fonts count="17">
    <font>
      <sz val="10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sz val="9"/>
      <color indexed="81"/>
      <name val="Tahoma"/>
    </font>
    <font>
      <b/>
      <sz val="9"/>
      <color indexed="81"/>
      <name val="Tahoma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 val="singleAccounting"/>
      <sz val="10"/>
      <name val="Arial"/>
      <family val="2"/>
    </font>
    <font>
      <b/>
      <u val="singleAccounting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15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4" fontId="4" fillId="0" borderId="0" xfId="0" applyNumberFormat="1" applyFont="1"/>
    <xf numFmtId="4" fontId="0" fillId="0" borderId="0" xfId="0" applyNumberFormat="1"/>
    <xf numFmtId="4" fontId="2" fillId="0" borderId="0" xfId="0" applyNumberFormat="1" applyFont="1" applyAlignment="1">
      <alignment horizontal="center"/>
    </xf>
    <xf numFmtId="4" fontId="3" fillId="0" borderId="0" xfId="0" applyNumberFormat="1" applyFont="1"/>
    <xf numFmtId="4" fontId="2" fillId="0" borderId="0" xfId="0" applyNumberFormat="1" applyFont="1"/>
    <xf numFmtId="0" fontId="2" fillId="0" borderId="0" xfId="0" applyFont="1" applyFill="1"/>
    <xf numFmtId="0" fontId="4" fillId="0" borderId="0" xfId="0" applyFont="1" applyFill="1"/>
    <xf numFmtId="0" fontId="2" fillId="0" borderId="1" xfId="0" applyFont="1" applyFill="1" applyBorder="1" applyAlignment="1">
      <alignment horizontal="right"/>
    </xf>
    <xf numFmtId="0" fontId="4" fillId="0" borderId="1" xfId="0" applyFont="1" applyFill="1" applyBorder="1"/>
    <xf numFmtId="0" fontId="2" fillId="0" borderId="1" xfId="0" applyFont="1" applyFill="1" applyBorder="1"/>
    <xf numFmtId="0" fontId="6" fillId="0" borderId="0" xfId="0" applyFont="1" applyFill="1"/>
    <xf numFmtId="16" fontId="4" fillId="0" borderId="0" xfId="0" applyNumberFormat="1" applyFont="1" applyFill="1" applyBorder="1"/>
    <xf numFmtId="0" fontId="0" fillId="0" borderId="0" xfId="0" applyFill="1"/>
    <xf numFmtId="4" fontId="4" fillId="0" borderId="1" xfId="0" applyNumberFormat="1" applyFont="1" applyFill="1" applyBorder="1"/>
    <xf numFmtId="4" fontId="4" fillId="0" borderId="0" xfId="0" applyNumberFormat="1" applyFont="1" applyFill="1"/>
    <xf numFmtId="4" fontId="2" fillId="0" borderId="1" xfId="0" applyNumberFormat="1" applyFont="1" applyFill="1" applyBorder="1" applyAlignment="1">
      <alignment horizontal="right"/>
    </xf>
    <xf numFmtId="4" fontId="2" fillId="0" borderId="1" xfId="0" applyNumberFormat="1" applyFont="1" applyFill="1" applyBorder="1"/>
    <xf numFmtId="4" fontId="4" fillId="0" borderId="0" xfId="0" applyNumberFormat="1" applyFont="1" applyFill="1" applyBorder="1"/>
    <xf numFmtId="15" fontId="4" fillId="0" borderId="0" xfId="0" applyNumberFormat="1" applyFont="1" applyFill="1"/>
    <xf numFmtId="171" fontId="4" fillId="0" borderId="0" xfId="1" applyFont="1" applyFill="1"/>
    <xf numFmtId="0" fontId="4" fillId="0" borderId="0" xfId="0" applyNumberFormat="1" applyFont="1" applyFill="1"/>
    <xf numFmtId="15" fontId="2" fillId="0" borderId="1" xfId="0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4" fontId="2" fillId="0" borderId="2" xfId="0" applyNumberFormat="1" applyFont="1" applyFill="1" applyBorder="1" applyAlignment="1">
      <alignment wrapText="1"/>
    </xf>
    <xf numFmtId="4" fontId="2" fillId="0" borderId="1" xfId="0" applyNumberFormat="1" applyFont="1" applyFill="1" applyBorder="1" applyAlignment="1">
      <alignment horizontal="right" wrapText="1"/>
    </xf>
    <xf numFmtId="4" fontId="2" fillId="0" borderId="1" xfId="0" applyNumberFormat="1" applyFont="1" applyFill="1" applyBorder="1" applyAlignment="1">
      <alignment horizontal="center" wrapText="1"/>
    </xf>
    <xf numFmtId="4" fontId="2" fillId="0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171" fontId="2" fillId="0" borderId="1" xfId="1" applyFont="1" applyFill="1" applyBorder="1" applyAlignment="1">
      <alignment horizontal="right"/>
    </xf>
    <xf numFmtId="15" fontId="4" fillId="0" borderId="3" xfId="0" applyNumberFormat="1" applyFont="1" applyFill="1" applyBorder="1"/>
    <xf numFmtId="171" fontId="4" fillId="0" borderId="1" xfId="1" applyFont="1" applyFill="1" applyBorder="1"/>
    <xf numFmtId="0" fontId="4" fillId="0" borderId="1" xfId="0" applyNumberFormat="1" applyFont="1" applyFill="1" applyBorder="1"/>
    <xf numFmtId="15" fontId="2" fillId="0" borderId="1" xfId="0" applyNumberFormat="1" applyFont="1" applyFill="1" applyBorder="1"/>
    <xf numFmtId="4" fontId="2" fillId="0" borderId="1" xfId="0" applyNumberFormat="1" applyFont="1" applyFill="1" applyBorder="1" applyAlignment="1">
      <alignment horizontal="left" wrapText="1"/>
    </xf>
    <xf numFmtId="4" fontId="2" fillId="0" borderId="1" xfId="0" applyNumberFormat="1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Fill="1" applyBorder="1" applyAlignment="1">
      <alignment wrapText="1"/>
    </xf>
    <xf numFmtId="16" fontId="4" fillId="0" borderId="0" xfId="0" applyNumberFormat="1" applyFont="1" applyFill="1" applyBorder="1" applyAlignment="1">
      <alignment wrapText="1"/>
    </xf>
    <xf numFmtId="0" fontId="2" fillId="0" borderId="0" xfId="0" applyFont="1" applyAlignment="1">
      <alignment horizontal="left"/>
    </xf>
    <xf numFmtId="0" fontId="4" fillId="0" borderId="0" xfId="0" quotePrefix="1" applyFont="1" applyAlignment="1">
      <alignment horizontal="right"/>
    </xf>
    <xf numFmtId="4" fontId="0" fillId="0" borderId="0" xfId="0" applyNumberFormat="1" applyFill="1"/>
    <xf numFmtId="0" fontId="2" fillId="0" borderId="1" xfId="0" applyFont="1" applyFill="1" applyBorder="1" applyAlignment="1">
      <alignment horizontal="right" wrapText="1" shrinkToFit="1"/>
    </xf>
    <xf numFmtId="3" fontId="2" fillId="0" borderId="1" xfId="0" applyNumberFormat="1" applyFont="1" applyFill="1" applyBorder="1" applyAlignment="1">
      <alignment horizontal="center"/>
    </xf>
    <xf numFmtId="14" fontId="4" fillId="0" borderId="0" xfId="0" applyNumberFormat="1" applyFont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171" fontId="4" fillId="0" borderId="0" xfId="1" applyFont="1" applyFill="1" applyBorder="1"/>
    <xf numFmtId="14" fontId="0" fillId="0" borderId="0" xfId="0" applyNumberFormat="1"/>
    <xf numFmtId="0" fontId="4" fillId="5" borderId="1" xfId="0" applyFont="1" applyFill="1" applyBorder="1"/>
    <xf numFmtId="15" fontId="4" fillId="5" borderId="1" xfId="0" applyNumberFormat="1" applyFont="1" applyFill="1" applyBorder="1"/>
    <xf numFmtId="171" fontId="4" fillId="5" borderId="1" xfId="1" applyFont="1" applyFill="1" applyBorder="1"/>
    <xf numFmtId="0" fontId="4" fillId="5" borderId="1" xfId="0" applyNumberFormat="1" applyFont="1" applyFill="1" applyBorder="1"/>
    <xf numFmtId="4" fontId="4" fillId="5" borderId="1" xfId="0" applyNumberFormat="1" applyFont="1" applyFill="1" applyBorder="1"/>
    <xf numFmtId="171" fontId="2" fillId="0" borderId="1" xfId="1" applyFont="1" applyFill="1" applyBorder="1" applyAlignment="1">
      <alignment horizontal="right" wrapText="1"/>
    </xf>
    <xf numFmtId="171" fontId="0" fillId="0" borderId="0" xfId="1" applyFont="1" applyFill="1"/>
    <xf numFmtId="0" fontId="4" fillId="5" borderId="1" xfId="0" applyFont="1" applyFill="1" applyBorder="1" applyAlignment="1">
      <alignment horizontal="right"/>
    </xf>
    <xf numFmtId="15" fontId="4" fillId="0" borderId="3" xfId="0" applyNumberFormat="1" applyFont="1" applyFill="1" applyBorder="1" applyAlignment="1">
      <alignment horizontal="right"/>
    </xf>
    <xf numFmtId="10" fontId="0" fillId="0" borderId="0" xfId="0" applyNumberFormat="1"/>
    <xf numFmtId="171" fontId="4" fillId="0" borderId="0" xfId="0" applyNumberFormat="1" applyFont="1"/>
    <xf numFmtId="9" fontId="0" fillId="0" borderId="0" xfId="0" applyNumberFormat="1"/>
    <xf numFmtId="171" fontId="0" fillId="0" borderId="0" xfId="0" applyNumberFormat="1"/>
    <xf numFmtId="171" fontId="0" fillId="0" borderId="0" xfId="0" applyNumberFormat="1" applyBorder="1"/>
    <xf numFmtId="171" fontId="0" fillId="0" borderId="4" xfId="0" applyNumberFormat="1" applyBorder="1"/>
    <xf numFmtId="0" fontId="10" fillId="0" borderId="1" xfId="0" applyFont="1" applyBorder="1" applyAlignment="1">
      <alignment wrapText="1"/>
    </xf>
    <xf numFmtId="224" fontId="10" fillId="0" borderId="1" xfId="0" applyNumberFormat="1" applyFont="1" applyBorder="1"/>
    <xf numFmtId="0" fontId="9" fillId="0" borderId="1" xfId="0" applyFont="1" applyBorder="1" applyAlignment="1">
      <alignment wrapText="1"/>
    </xf>
    <xf numFmtId="224" fontId="9" fillId="0" borderId="1" xfId="0" applyNumberFormat="1" applyFont="1" applyBorder="1"/>
    <xf numFmtId="4" fontId="10" fillId="0" borderId="1" xfId="0" applyNumberFormat="1" applyFont="1" applyBorder="1"/>
    <xf numFmtId="4" fontId="9" fillId="0" borderId="1" xfId="0" applyNumberFormat="1" applyFont="1" applyBorder="1"/>
    <xf numFmtId="15" fontId="4" fillId="5" borderId="3" xfId="0" applyNumberFormat="1" applyFont="1" applyFill="1" applyBorder="1"/>
    <xf numFmtId="15" fontId="4" fillId="0" borderId="1" xfId="0" applyNumberFormat="1" applyFont="1" applyFill="1" applyBorder="1"/>
    <xf numFmtId="224" fontId="9" fillId="0" borderId="3" xfId="0" applyNumberFormat="1" applyFont="1" applyBorder="1"/>
    <xf numFmtId="225" fontId="4" fillId="0" borderId="0" xfId="0" applyNumberFormat="1" applyFont="1" applyFill="1" applyAlignment="1"/>
    <xf numFmtId="225" fontId="2" fillId="0" borderId="1" xfId="0" applyNumberFormat="1" applyFont="1" applyFill="1" applyBorder="1" applyAlignment="1">
      <alignment wrapText="1"/>
    </xf>
    <xf numFmtId="225" fontId="2" fillId="0" borderId="1" xfId="0" applyNumberFormat="1" applyFont="1" applyFill="1" applyBorder="1" applyAlignment="1"/>
    <xf numFmtId="225" fontId="4" fillId="0" borderId="3" xfId="0" applyNumberFormat="1" applyFont="1" applyFill="1" applyBorder="1" applyAlignment="1"/>
    <xf numFmtId="225" fontId="4" fillId="5" borderId="1" xfId="0" applyNumberFormat="1" applyFont="1" applyFill="1" applyBorder="1" applyAlignment="1"/>
    <xf numFmtId="225" fontId="9" fillId="0" borderId="1" xfId="0" applyNumberFormat="1" applyFont="1" applyBorder="1" applyAlignment="1">
      <alignment wrapText="1"/>
    </xf>
    <xf numFmtId="225" fontId="10" fillId="0" borderId="1" xfId="0" applyNumberFormat="1" applyFont="1" applyBorder="1" applyAlignment="1">
      <alignment wrapText="1"/>
    </xf>
    <xf numFmtId="225" fontId="0" fillId="0" borderId="0" xfId="0" applyNumberFormat="1" applyFill="1" applyAlignment="1"/>
    <xf numFmtId="171" fontId="2" fillId="0" borderId="0" xfId="0" applyNumberFormat="1" applyFont="1" applyAlignment="1">
      <alignment horizontal="center"/>
    </xf>
    <xf numFmtId="171" fontId="3" fillId="0" borderId="0" xfId="0" applyNumberFormat="1" applyFont="1"/>
    <xf numFmtId="171" fontId="6" fillId="0" borderId="0" xfId="0" applyNumberFormat="1" applyFont="1"/>
    <xf numFmtId="171" fontId="2" fillId="0" borderId="0" xfId="0" applyNumberFormat="1" applyFont="1"/>
    <xf numFmtId="171" fontId="2" fillId="0" borderId="5" xfId="0" applyNumberFormat="1" applyFont="1" applyBorder="1"/>
    <xf numFmtId="171" fontId="4" fillId="6" borderId="1" xfId="1" applyFont="1" applyFill="1" applyBorder="1"/>
    <xf numFmtId="0" fontId="4" fillId="6" borderId="1" xfId="0" applyFont="1" applyFill="1" applyBorder="1"/>
    <xf numFmtId="0" fontId="4" fillId="6" borderId="1" xfId="0" applyNumberFormat="1" applyFont="1" applyFill="1" applyBorder="1"/>
    <xf numFmtId="171" fontId="2" fillId="0" borderId="1" xfId="1" applyFont="1" applyFill="1" applyBorder="1"/>
    <xf numFmtId="171" fontId="0" fillId="0" borderId="0" xfId="1" applyFont="1"/>
    <xf numFmtId="0" fontId="4" fillId="7" borderId="1" xfId="0" applyFont="1" applyFill="1" applyBorder="1"/>
    <xf numFmtId="15" fontId="4" fillId="7" borderId="1" xfId="0" applyNumberFormat="1" applyFont="1" applyFill="1" applyBorder="1"/>
    <xf numFmtId="225" fontId="4" fillId="7" borderId="1" xfId="0" applyNumberFormat="1" applyFont="1" applyFill="1" applyBorder="1" applyAlignment="1"/>
    <xf numFmtId="171" fontId="4" fillId="7" borderId="1" xfId="1" applyFont="1" applyFill="1" applyBorder="1"/>
    <xf numFmtId="0" fontId="4" fillId="7" borderId="1" xfId="0" applyNumberFormat="1" applyFont="1" applyFill="1" applyBorder="1"/>
    <xf numFmtId="4" fontId="4" fillId="7" borderId="1" xfId="0" applyNumberFormat="1" applyFont="1" applyFill="1" applyBorder="1"/>
    <xf numFmtId="0" fontId="4" fillId="7" borderId="6" xfId="0" applyFont="1" applyFill="1" applyBorder="1"/>
    <xf numFmtId="0" fontId="4" fillId="7" borderId="3" xfId="0" applyFont="1" applyFill="1" applyBorder="1"/>
    <xf numFmtId="15" fontId="4" fillId="7" borderId="3" xfId="0" applyNumberFormat="1" applyFont="1" applyFill="1" applyBorder="1"/>
    <xf numFmtId="225" fontId="4" fillId="7" borderId="3" xfId="0" applyNumberFormat="1" applyFont="1" applyFill="1" applyBorder="1" applyAlignment="1"/>
    <xf numFmtId="171" fontId="0" fillId="8" borderId="0" xfId="0" applyNumberFormat="1" applyFill="1"/>
    <xf numFmtId="171" fontId="4" fillId="8" borderId="0" xfId="0" applyNumberFormat="1" applyFont="1" applyFill="1"/>
    <xf numFmtId="171" fontId="15" fillId="0" borderId="0" xfId="0" applyNumberFormat="1" applyFont="1"/>
    <xf numFmtId="171" fontId="16" fillId="0" borderId="0" xfId="0" applyNumberFormat="1" applyFont="1"/>
    <xf numFmtId="220" fontId="0" fillId="0" borderId="0" xfId="0" applyNumberFormat="1"/>
    <xf numFmtId="0" fontId="4" fillId="7" borderId="0" xfId="0" applyFont="1" applyFill="1" applyBorder="1"/>
    <xf numFmtId="171" fontId="0" fillId="7" borderId="0" xfId="0" applyNumberFormat="1" applyFill="1"/>
    <xf numFmtId="0" fontId="4" fillId="0" borderId="0" xfId="0" applyFont="1" applyFill="1" applyBorder="1"/>
    <xf numFmtId="4" fontId="0" fillId="7" borderId="0" xfId="0" applyNumberFormat="1" applyFill="1" applyBorder="1"/>
    <xf numFmtId="0" fontId="0" fillId="0" borderId="0" xfId="0" applyFill="1" applyAlignment="1">
      <alignment wrapText="1"/>
    </xf>
    <xf numFmtId="0" fontId="2" fillId="7" borderId="0" xfId="0" applyFont="1" applyFill="1"/>
    <xf numFmtId="15" fontId="4" fillId="7" borderId="0" xfId="0" applyNumberFormat="1" applyFont="1" applyFill="1"/>
    <xf numFmtId="225" fontId="4" fillId="7" borderId="0" xfId="0" applyNumberFormat="1" applyFont="1" applyFill="1" applyAlignment="1"/>
    <xf numFmtId="0" fontId="4" fillId="7" borderId="0" xfId="0" applyFont="1" applyFill="1"/>
    <xf numFmtId="171" fontId="4" fillId="7" borderId="0" xfId="1" applyFont="1" applyFill="1" applyBorder="1"/>
    <xf numFmtId="0" fontId="4" fillId="7" borderId="0" xfId="0" applyNumberFormat="1" applyFont="1" applyFill="1"/>
    <xf numFmtId="171" fontId="4" fillId="7" borderId="0" xfId="1" applyFont="1" applyFill="1"/>
    <xf numFmtId="4" fontId="4" fillId="7" borderId="0" xfId="0" applyNumberFormat="1" applyFont="1" applyFill="1"/>
    <xf numFmtId="4" fontId="4" fillId="7" borderId="0" xfId="0" applyNumberFormat="1" applyFont="1" applyFill="1" applyBorder="1"/>
    <xf numFmtId="4" fontId="2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right"/>
    </xf>
    <xf numFmtId="15" fontId="2" fillId="7" borderId="1" xfId="0" applyNumberFormat="1" applyFont="1" applyFill="1" applyBorder="1" applyAlignment="1">
      <alignment horizontal="right"/>
    </xf>
    <xf numFmtId="225" fontId="2" fillId="7" borderId="1" xfId="0" applyNumberFormat="1" applyFont="1" applyFill="1" applyBorder="1" applyAlignment="1">
      <alignment wrapText="1"/>
    </xf>
    <xf numFmtId="4" fontId="2" fillId="7" borderId="1" xfId="0" applyNumberFormat="1" applyFont="1" applyFill="1" applyBorder="1" applyAlignment="1">
      <alignment horizontal="right"/>
    </xf>
    <xf numFmtId="171" fontId="2" fillId="7" borderId="1" xfId="1" applyFont="1" applyFill="1" applyBorder="1" applyAlignment="1">
      <alignment horizontal="right" wrapText="1"/>
    </xf>
    <xf numFmtId="171" fontId="2" fillId="7" borderId="1" xfId="1" applyFont="1" applyFill="1" applyBorder="1" applyAlignment="1">
      <alignment horizontal="right"/>
    </xf>
    <xf numFmtId="4" fontId="2" fillId="7" borderId="2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horizontal="right" wrapText="1" shrinkToFit="1"/>
    </xf>
    <xf numFmtId="4" fontId="2" fillId="7" borderId="1" xfId="0" applyNumberFormat="1" applyFont="1" applyFill="1" applyBorder="1" applyAlignment="1">
      <alignment horizontal="right" wrapText="1"/>
    </xf>
    <xf numFmtId="4" fontId="2" fillId="7" borderId="1" xfId="0" applyNumberFormat="1" applyFont="1" applyFill="1" applyBorder="1" applyAlignment="1">
      <alignment horizontal="center" wrapText="1"/>
    </xf>
    <xf numFmtId="3" fontId="2" fillId="7" borderId="1" xfId="0" applyNumberFormat="1" applyFont="1" applyFill="1" applyBorder="1" applyAlignment="1">
      <alignment horizontal="center"/>
    </xf>
    <xf numFmtId="225" fontId="2" fillId="7" borderId="1" xfId="0" applyNumberFormat="1" applyFont="1" applyFill="1" applyBorder="1" applyAlignment="1"/>
    <xf numFmtId="0" fontId="2" fillId="7" borderId="0" xfId="0" applyFont="1" applyFill="1" applyBorder="1" applyAlignment="1">
      <alignment horizontal="right"/>
    </xf>
    <xf numFmtId="0" fontId="2" fillId="7" borderId="1" xfId="0" applyNumberFormat="1" applyFont="1" applyFill="1" applyBorder="1" applyAlignment="1">
      <alignment horizontal="right"/>
    </xf>
    <xf numFmtId="4" fontId="2" fillId="7" borderId="1" xfId="0" applyNumberFormat="1" applyFont="1" applyFill="1" applyBorder="1" applyAlignment="1">
      <alignment horizontal="left" wrapText="1"/>
    </xf>
    <xf numFmtId="4" fontId="2" fillId="7" borderId="1" xfId="0" applyNumberFormat="1" applyFont="1" applyFill="1" applyBorder="1" applyAlignment="1">
      <alignment horizontal="left"/>
    </xf>
    <xf numFmtId="0" fontId="4" fillId="7" borderId="3" xfId="0" applyFont="1" applyFill="1" applyBorder="1" applyAlignment="1">
      <alignment horizontal="right"/>
    </xf>
    <xf numFmtId="15" fontId="4" fillId="7" borderId="3" xfId="0" applyNumberFormat="1" applyFont="1" applyFill="1" applyBorder="1" applyAlignment="1">
      <alignment horizontal="right"/>
    </xf>
    <xf numFmtId="15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 applyAlignment="1">
      <alignment horizontal="right"/>
    </xf>
    <xf numFmtId="171" fontId="4" fillId="7" borderId="1" xfId="0" applyNumberFormat="1" applyFont="1" applyFill="1" applyBorder="1"/>
    <xf numFmtId="0" fontId="9" fillId="7" borderId="1" xfId="0" applyFont="1" applyFill="1" applyBorder="1" applyAlignment="1">
      <alignment wrapText="1"/>
    </xf>
    <xf numFmtId="224" fontId="9" fillId="7" borderId="1" xfId="0" applyNumberFormat="1" applyFont="1" applyFill="1" applyBorder="1"/>
    <xf numFmtId="225" fontId="9" fillId="7" borderId="1" xfId="0" applyNumberFormat="1" applyFont="1" applyFill="1" applyBorder="1" applyAlignment="1">
      <alignment wrapText="1"/>
    </xf>
    <xf numFmtId="4" fontId="9" fillId="7" borderId="1" xfId="0" applyNumberFormat="1" applyFont="1" applyFill="1" applyBorder="1"/>
    <xf numFmtId="224" fontId="10" fillId="7" borderId="1" xfId="0" applyNumberFormat="1" applyFont="1" applyFill="1" applyBorder="1"/>
    <xf numFmtId="225" fontId="10" fillId="7" borderId="1" xfId="0" applyNumberFormat="1" applyFont="1" applyFill="1" applyBorder="1" applyAlignment="1">
      <alignment wrapText="1"/>
    </xf>
    <xf numFmtId="4" fontId="10" fillId="7" borderId="1" xfId="0" applyNumberFormat="1" applyFont="1" applyFill="1" applyBorder="1"/>
    <xf numFmtId="0" fontId="10" fillId="7" borderId="1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94"/>
  <sheetViews>
    <sheetView workbookViewId="0">
      <pane ySplit="3" topLeftCell="A283" activePane="bottomLeft" state="frozen"/>
      <selection pane="bottomLeft" activeCell="G290" sqref="G290"/>
    </sheetView>
  </sheetViews>
  <sheetFormatPr defaultRowHeight="12.75"/>
  <cols>
    <col min="1" max="1" width="72.140625" style="18" customWidth="1"/>
    <col min="2" max="2" width="13.85546875" style="18" bestFit="1" customWidth="1"/>
    <col min="3" max="3" width="7.42578125" style="87" customWidth="1"/>
    <col min="4" max="4" width="6.28515625" style="18" customWidth="1"/>
    <col min="5" max="5" width="13.5703125" style="18" bestFit="1" customWidth="1"/>
    <col min="6" max="6" width="7.28515625" style="18" customWidth="1"/>
    <col min="7" max="7" width="7.7109375" style="18" customWidth="1"/>
    <col min="8" max="8" width="13.5703125" style="62" customWidth="1"/>
    <col min="9" max="9" width="11.42578125" style="18" customWidth="1"/>
    <col min="10" max="10" width="12.140625" style="18" customWidth="1"/>
    <col min="11" max="11" width="14.7109375" style="18" customWidth="1"/>
    <col min="12" max="12" width="11.85546875" style="18" customWidth="1"/>
    <col min="13" max="13" width="11.7109375" style="18" bestFit="1" customWidth="1"/>
    <col min="14" max="14" width="12.42578125" style="18" customWidth="1"/>
    <col min="15" max="15" width="10.7109375" style="18" customWidth="1"/>
    <col min="16" max="16" width="12.42578125" style="18" customWidth="1"/>
    <col min="17" max="17" width="11.7109375" style="18" bestFit="1" customWidth="1"/>
    <col min="18" max="19" width="13.28515625" style="18" customWidth="1"/>
    <col min="20" max="21" width="12" style="18" customWidth="1"/>
    <col min="22" max="22" width="11.5703125" style="18" customWidth="1"/>
    <col min="23" max="23" width="15.7109375" style="18" customWidth="1"/>
    <col min="24" max="24" width="9.140625" style="18"/>
    <col min="25" max="25" width="12" style="18" customWidth="1"/>
    <col min="26" max="16384" width="9.140625" style="18"/>
  </cols>
  <sheetData>
    <row r="1" spans="1:25">
      <c r="A1" s="1" t="s">
        <v>46</v>
      </c>
      <c r="B1" s="24"/>
      <c r="C1" s="80"/>
      <c r="D1" s="12"/>
      <c r="E1" s="54"/>
      <c r="F1" s="26"/>
      <c r="G1" s="26"/>
      <c r="H1" s="25"/>
      <c r="I1" s="20"/>
      <c r="J1" s="20"/>
      <c r="K1" s="12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spans="1:25">
      <c r="A2" s="12"/>
      <c r="B2" s="24"/>
      <c r="C2" s="80"/>
      <c r="D2" s="12"/>
      <c r="E2" s="54"/>
      <c r="F2" s="26"/>
      <c r="G2" s="26"/>
      <c r="H2" s="25"/>
      <c r="I2" s="20"/>
      <c r="J2" s="20"/>
      <c r="K2" s="12"/>
      <c r="L2" s="32">
        <v>1</v>
      </c>
      <c r="M2" s="32">
        <v>2</v>
      </c>
      <c r="N2" s="32">
        <v>3</v>
      </c>
      <c r="O2" s="32">
        <v>4</v>
      </c>
      <c r="P2" s="32">
        <v>5</v>
      </c>
      <c r="Q2" s="32">
        <v>6</v>
      </c>
      <c r="R2" s="32">
        <v>7</v>
      </c>
      <c r="S2" s="32">
        <v>8</v>
      </c>
      <c r="T2" s="32">
        <v>8.1</v>
      </c>
      <c r="U2" s="32">
        <v>9</v>
      </c>
      <c r="V2" s="32">
        <v>10</v>
      </c>
      <c r="W2" s="23"/>
    </row>
    <row r="3" spans="1:25" ht="25.5">
      <c r="A3" s="13" t="s">
        <v>4</v>
      </c>
      <c r="B3" s="27" t="s">
        <v>5</v>
      </c>
      <c r="C3" s="81" t="s">
        <v>36</v>
      </c>
      <c r="D3" s="21" t="s">
        <v>6</v>
      </c>
      <c r="E3" s="21" t="s">
        <v>1</v>
      </c>
      <c r="F3" s="13" t="s">
        <v>7</v>
      </c>
      <c r="G3" s="13" t="s">
        <v>34</v>
      </c>
      <c r="H3" s="61" t="s">
        <v>62</v>
      </c>
      <c r="I3" s="21" t="s">
        <v>1</v>
      </c>
      <c r="J3" s="21" t="s">
        <v>8</v>
      </c>
      <c r="K3" s="21" t="s">
        <v>9</v>
      </c>
      <c r="L3" s="29" t="s">
        <v>55</v>
      </c>
      <c r="M3" s="29" t="s">
        <v>56</v>
      </c>
      <c r="N3" s="29" t="s">
        <v>57</v>
      </c>
      <c r="O3" s="48" t="s">
        <v>58</v>
      </c>
      <c r="P3" s="30" t="s">
        <v>59</v>
      </c>
      <c r="Q3" s="31" t="s">
        <v>25</v>
      </c>
      <c r="R3" s="31" t="s">
        <v>60</v>
      </c>
      <c r="S3" s="31" t="s">
        <v>35</v>
      </c>
      <c r="T3" s="31" t="s">
        <v>61</v>
      </c>
      <c r="U3" s="31" t="s">
        <v>26</v>
      </c>
      <c r="V3" s="49" t="s">
        <v>2</v>
      </c>
      <c r="W3" s="21" t="s">
        <v>10</v>
      </c>
    </row>
    <row r="4" spans="1:25">
      <c r="A4" s="13"/>
      <c r="B4" s="27"/>
      <c r="C4" s="82"/>
      <c r="D4" s="33"/>
      <c r="E4" s="34"/>
      <c r="F4" s="28" t="s">
        <v>11</v>
      </c>
      <c r="G4" s="28" t="s">
        <v>11</v>
      </c>
      <c r="H4" s="34"/>
      <c r="I4" s="21"/>
      <c r="J4" s="21"/>
      <c r="K4" s="13" t="s">
        <v>12</v>
      </c>
      <c r="L4" s="39"/>
      <c r="M4" s="30"/>
      <c r="N4" s="39"/>
      <c r="O4" s="21"/>
      <c r="P4" s="32"/>
      <c r="Q4" s="21"/>
      <c r="R4" s="40"/>
      <c r="S4" s="40"/>
      <c r="T4" s="21"/>
      <c r="U4" s="21"/>
      <c r="V4" s="21"/>
      <c r="W4" s="21"/>
    </row>
    <row r="5" spans="1:25">
      <c r="A5" s="12"/>
      <c r="B5" s="35"/>
      <c r="C5" s="83"/>
      <c r="D5" s="14"/>
      <c r="E5" s="36"/>
      <c r="F5" s="37"/>
      <c r="G5" s="37"/>
      <c r="H5" s="36"/>
      <c r="I5" s="19"/>
      <c r="J5" s="14"/>
      <c r="K5" s="19"/>
      <c r="L5" s="36"/>
      <c r="M5" s="19"/>
      <c r="N5" s="19"/>
      <c r="O5" s="19"/>
      <c r="P5" s="19"/>
      <c r="Q5" s="19"/>
      <c r="R5" s="19"/>
      <c r="S5" s="19"/>
      <c r="T5" s="19"/>
      <c r="U5" s="19"/>
      <c r="V5" s="19"/>
      <c r="W5" s="14"/>
    </row>
    <row r="6" spans="1:25">
      <c r="A6" s="12" t="s">
        <v>70</v>
      </c>
      <c r="B6" s="35">
        <v>40091</v>
      </c>
      <c r="C6" s="83">
        <v>8</v>
      </c>
      <c r="D6" s="14"/>
      <c r="E6" s="36"/>
      <c r="F6" s="37">
        <v>1</v>
      </c>
      <c r="G6" s="14">
        <v>1</v>
      </c>
      <c r="H6" s="93">
        <v>-35000</v>
      </c>
      <c r="I6" s="93">
        <v>35000</v>
      </c>
      <c r="J6" s="19">
        <f>I6+E6+H6</f>
        <v>0</v>
      </c>
      <c r="K6" s="19">
        <f>K5+J6</f>
        <v>0</v>
      </c>
      <c r="L6" s="36">
        <f>IF(C6=1,SUM(E6+I6+H6),(0))</f>
        <v>0</v>
      </c>
      <c r="M6" s="36">
        <f>IF(C6=2,SUM(E6+I6+H6),(0))</f>
        <v>0</v>
      </c>
      <c r="N6" s="36">
        <f>IF(C6=3,SUM(E6+I6+H6),(0))</f>
        <v>0</v>
      </c>
      <c r="O6" s="36">
        <f>IF(C6=4,SUM(E6+I6+H6),(0))</f>
        <v>0</v>
      </c>
      <c r="P6" s="36">
        <f>IF(C6=5,SUM(E6+I6+H6),(0))</f>
        <v>0</v>
      </c>
      <c r="Q6" s="36">
        <f>IF(C6=6,SUM(E6+I6+H6),(0))</f>
        <v>0</v>
      </c>
      <c r="R6" s="36">
        <f>IF(C6=7,SUM(E6+I6+H6),(0))</f>
        <v>0</v>
      </c>
      <c r="S6" s="36">
        <f>IF(C6=8,SUM(E6+I6+H6),(0))</f>
        <v>0</v>
      </c>
      <c r="T6" s="36">
        <f>IF(C6=8.1,SUM(E6+I6+H6),(0))</f>
        <v>0</v>
      </c>
      <c r="U6" s="36">
        <f>IF(C6=9,SUM(E6+I6+H6),(0))</f>
        <v>0</v>
      </c>
      <c r="V6" s="36">
        <f>IF(C6=10,SUM(E6+I6+H6),(0))</f>
        <v>0</v>
      </c>
      <c r="W6" s="19">
        <f>SUM(L6:V6)</f>
        <v>0</v>
      </c>
      <c r="Y6" s="47"/>
    </row>
    <row r="7" spans="1:25">
      <c r="A7" s="64" t="s">
        <v>73</v>
      </c>
      <c r="B7" s="35">
        <v>40091</v>
      </c>
      <c r="C7" s="83">
        <v>8</v>
      </c>
      <c r="D7" s="14"/>
      <c r="E7" s="36"/>
      <c r="F7" s="37"/>
      <c r="G7" s="14"/>
      <c r="H7" s="36">
        <v>3000</v>
      </c>
      <c r="I7" s="36"/>
      <c r="J7" s="19">
        <f t="shared" ref="J7:J70" si="0">I7+E7+H7</f>
        <v>3000</v>
      </c>
      <c r="K7" s="19">
        <f>K6+J7</f>
        <v>3000</v>
      </c>
      <c r="L7" s="36">
        <f t="shared" ref="L7:L70" si="1">IF(C7=1,SUM(E7+I7+H7),(0))</f>
        <v>0</v>
      </c>
      <c r="M7" s="36">
        <f t="shared" ref="M7:M70" si="2">IF(C7=2,SUM(E7+I7+H7),(0))</f>
        <v>0</v>
      </c>
      <c r="N7" s="36">
        <f t="shared" ref="N7:N70" si="3">IF(C7=3,SUM(E7+I7+H7),(0))</f>
        <v>0</v>
      </c>
      <c r="O7" s="36">
        <f t="shared" ref="O7:O70" si="4">IF(C7=4,SUM(E7+I7+H7),(0))</f>
        <v>0</v>
      </c>
      <c r="P7" s="36">
        <f t="shared" ref="P7:P70" si="5">IF(C7=5,SUM(E7+I7+H7),(0))</f>
        <v>0</v>
      </c>
      <c r="Q7" s="36">
        <f t="shared" ref="Q7:Q70" si="6">IF(C7=6,SUM(E7+I7+H7),(0))</f>
        <v>0</v>
      </c>
      <c r="R7" s="36">
        <f t="shared" ref="R7:R70" si="7">IF(C7=7,SUM(E7+I7+H7),(0))</f>
        <v>0</v>
      </c>
      <c r="S7" s="36">
        <f t="shared" ref="S7:S70" si="8">IF(C7=8,SUM(E7+I7+H7),(0))</f>
        <v>3000</v>
      </c>
      <c r="T7" s="36">
        <f t="shared" ref="T7:T70" si="9">IF(C7=8.1,SUM(E7+I7+H7),(0))</f>
        <v>0</v>
      </c>
      <c r="U7" s="36">
        <f t="shared" ref="U7:U70" si="10">IF(C7=9,SUM(E7+I7+H7),(0))</f>
        <v>0</v>
      </c>
      <c r="V7" s="36">
        <f t="shared" ref="V7:V70" si="11">IF(C7=10,SUM(E7+I7+H7),(0))</f>
        <v>0</v>
      </c>
      <c r="W7" s="19">
        <f t="shared" ref="W7:W70" si="12">SUM(L7:V7)</f>
        <v>3000</v>
      </c>
      <c r="Y7" s="47"/>
    </row>
    <row r="8" spans="1:25">
      <c r="A8" s="64" t="s">
        <v>74</v>
      </c>
      <c r="B8" s="35">
        <v>40091</v>
      </c>
      <c r="C8" s="83">
        <v>8</v>
      </c>
      <c r="D8" s="14"/>
      <c r="E8" s="36"/>
      <c r="F8" s="37"/>
      <c r="G8" s="14"/>
      <c r="H8" s="36">
        <v>3000</v>
      </c>
      <c r="I8" s="36"/>
      <c r="J8" s="19">
        <f t="shared" si="0"/>
        <v>3000</v>
      </c>
      <c r="K8" s="19">
        <f>K7+J8</f>
        <v>6000</v>
      </c>
      <c r="L8" s="36">
        <f t="shared" si="1"/>
        <v>0</v>
      </c>
      <c r="M8" s="36">
        <f t="shared" si="2"/>
        <v>0</v>
      </c>
      <c r="N8" s="36">
        <f t="shared" si="3"/>
        <v>0</v>
      </c>
      <c r="O8" s="36">
        <f t="shared" si="4"/>
        <v>0</v>
      </c>
      <c r="P8" s="36">
        <f t="shared" si="5"/>
        <v>0</v>
      </c>
      <c r="Q8" s="36">
        <f t="shared" si="6"/>
        <v>0</v>
      </c>
      <c r="R8" s="36">
        <f t="shared" si="7"/>
        <v>0</v>
      </c>
      <c r="S8" s="36">
        <f t="shared" si="8"/>
        <v>3000</v>
      </c>
      <c r="T8" s="36">
        <f t="shared" si="9"/>
        <v>0</v>
      </c>
      <c r="U8" s="36">
        <f t="shared" si="10"/>
        <v>0</v>
      </c>
      <c r="V8" s="36">
        <f t="shared" si="11"/>
        <v>0</v>
      </c>
      <c r="W8" s="19">
        <f t="shared" si="12"/>
        <v>3000</v>
      </c>
      <c r="Y8" s="47"/>
    </row>
    <row r="9" spans="1:25">
      <c r="A9" s="64" t="s">
        <v>75</v>
      </c>
      <c r="B9" s="35">
        <v>40091</v>
      </c>
      <c r="C9" s="83">
        <v>8</v>
      </c>
      <c r="D9" s="14"/>
      <c r="E9" s="36"/>
      <c r="F9" s="37"/>
      <c r="G9" s="14"/>
      <c r="H9" s="36">
        <v>2700</v>
      </c>
      <c r="I9" s="36"/>
      <c r="J9" s="19">
        <f t="shared" si="0"/>
        <v>2700</v>
      </c>
      <c r="K9" s="19">
        <f t="shared" ref="K9:K72" si="13">K8+J9</f>
        <v>8700</v>
      </c>
      <c r="L9" s="36">
        <f t="shared" si="1"/>
        <v>0</v>
      </c>
      <c r="M9" s="36">
        <f t="shared" si="2"/>
        <v>0</v>
      </c>
      <c r="N9" s="36">
        <f t="shared" si="3"/>
        <v>0</v>
      </c>
      <c r="O9" s="36">
        <f t="shared" si="4"/>
        <v>0</v>
      </c>
      <c r="P9" s="36">
        <f t="shared" si="5"/>
        <v>0</v>
      </c>
      <c r="Q9" s="36">
        <f t="shared" si="6"/>
        <v>0</v>
      </c>
      <c r="R9" s="36">
        <f t="shared" si="7"/>
        <v>0</v>
      </c>
      <c r="S9" s="36">
        <f t="shared" si="8"/>
        <v>2700</v>
      </c>
      <c r="T9" s="36">
        <f t="shared" si="9"/>
        <v>0</v>
      </c>
      <c r="U9" s="36">
        <f t="shared" si="10"/>
        <v>0</v>
      </c>
      <c r="V9" s="36">
        <f t="shared" si="11"/>
        <v>0</v>
      </c>
      <c r="W9" s="19">
        <f t="shared" si="12"/>
        <v>2700</v>
      </c>
      <c r="Y9" s="47"/>
    </row>
    <row r="10" spans="1:25">
      <c r="A10" s="64" t="s">
        <v>76</v>
      </c>
      <c r="B10" s="35">
        <v>40091</v>
      </c>
      <c r="C10" s="83">
        <v>8</v>
      </c>
      <c r="D10" s="14"/>
      <c r="E10" s="36"/>
      <c r="F10" s="37"/>
      <c r="G10" s="14"/>
      <c r="H10" s="36">
        <v>2700</v>
      </c>
      <c r="I10" s="36"/>
      <c r="J10" s="19">
        <f t="shared" si="0"/>
        <v>2700</v>
      </c>
      <c r="K10" s="19">
        <f t="shared" si="13"/>
        <v>11400</v>
      </c>
      <c r="L10" s="36">
        <f t="shared" si="1"/>
        <v>0</v>
      </c>
      <c r="M10" s="36">
        <f t="shared" si="2"/>
        <v>0</v>
      </c>
      <c r="N10" s="36">
        <f t="shared" si="3"/>
        <v>0</v>
      </c>
      <c r="O10" s="36">
        <f t="shared" si="4"/>
        <v>0</v>
      </c>
      <c r="P10" s="36">
        <f t="shared" si="5"/>
        <v>0</v>
      </c>
      <c r="Q10" s="36">
        <f t="shared" si="6"/>
        <v>0</v>
      </c>
      <c r="R10" s="36">
        <f t="shared" si="7"/>
        <v>0</v>
      </c>
      <c r="S10" s="36">
        <f t="shared" si="8"/>
        <v>2700</v>
      </c>
      <c r="T10" s="36">
        <f t="shared" si="9"/>
        <v>0</v>
      </c>
      <c r="U10" s="36">
        <f t="shared" si="10"/>
        <v>0</v>
      </c>
      <c r="V10" s="36">
        <f t="shared" si="11"/>
        <v>0</v>
      </c>
      <c r="W10" s="19">
        <f t="shared" si="12"/>
        <v>2700</v>
      </c>
      <c r="Y10" s="47"/>
    </row>
    <row r="11" spans="1:25">
      <c r="A11" s="64" t="s">
        <v>77</v>
      </c>
      <c r="B11" s="35">
        <v>40091</v>
      </c>
      <c r="C11" s="83">
        <v>8</v>
      </c>
      <c r="D11" s="14"/>
      <c r="E11" s="36"/>
      <c r="F11" s="37"/>
      <c r="G11" s="14"/>
      <c r="H11" s="36">
        <v>2700</v>
      </c>
      <c r="I11" s="36"/>
      <c r="J11" s="19">
        <f t="shared" si="0"/>
        <v>2700</v>
      </c>
      <c r="K11" s="19">
        <f t="shared" si="13"/>
        <v>14100</v>
      </c>
      <c r="L11" s="36">
        <f t="shared" si="1"/>
        <v>0</v>
      </c>
      <c r="M11" s="36">
        <f t="shared" si="2"/>
        <v>0</v>
      </c>
      <c r="N11" s="36">
        <f t="shared" si="3"/>
        <v>0</v>
      </c>
      <c r="O11" s="36">
        <f t="shared" si="4"/>
        <v>0</v>
      </c>
      <c r="P11" s="36">
        <f t="shared" si="5"/>
        <v>0</v>
      </c>
      <c r="Q11" s="36">
        <f t="shared" si="6"/>
        <v>0</v>
      </c>
      <c r="R11" s="36">
        <f t="shared" si="7"/>
        <v>0</v>
      </c>
      <c r="S11" s="36">
        <f t="shared" si="8"/>
        <v>2700</v>
      </c>
      <c r="T11" s="36">
        <f t="shared" si="9"/>
        <v>0</v>
      </c>
      <c r="U11" s="36">
        <f t="shared" si="10"/>
        <v>0</v>
      </c>
      <c r="V11" s="36">
        <f t="shared" si="11"/>
        <v>0</v>
      </c>
      <c r="W11" s="19">
        <f t="shared" si="12"/>
        <v>2700</v>
      </c>
      <c r="Y11" s="47"/>
    </row>
    <row r="12" spans="1:25">
      <c r="A12" s="64" t="s">
        <v>78</v>
      </c>
      <c r="B12" s="35">
        <v>40091</v>
      </c>
      <c r="C12" s="83">
        <v>8</v>
      </c>
      <c r="D12" s="14"/>
      <c r="E12" s="36"/>
      <c r="F12" s="37"/>
      <c r="G12" s="14"/>
      <c r="H12" s="36">
        <v>2700</v>
      </c>
      <c r="I12" s="36"/>
      <c r="J12" s="19">
        <f t="shared" si="0"/>
        <v>2700</v>
      </c>
      <c r="K12" s="19">
        <f t="shared" si="13"/>
        <v>16800</v>
      </c>
      <c r="L12" s="36">
        <f t="shared" si="1"/>
        <v>0</v>
      </c>
      <c r="M12" s="36">
        <f t="shared" si="2"/>
        <v>0</v>
      </c>
      <c r="N12" s="36">
        <f t="shared" si="3"/>
        <v>0</v>
      </c>
      <c r="O12" s="36">
        <f t="shared" si="4"/>
        <v>0</v>
      </c>
      <c r="P12" s="36">
        <f t="shared" si="5"/>
        <v>0</v>
      </c>
      <c r="Q12" s="36">
        <f t="shared" si="6"/>
        <v>0</v>
      </c>
      <c r="R12" s="36">
        <f t="shared" si="7"/>
        <v>0</v>
      </c>
      <c r="S12" s="36">
        <f t="shared" si="8"/>
        <v>2700</v>
      </c>
      <c r="T12" s="36">
        <f t="shared" si="9"/>
        <v>0</v>
      </c>
      <c r="U12" s="36">
        <f t="shared" si="10"/>
        <v>0</v>
      </c>
      <c r="V12" s="36">
        <f t="shared" si="11"/>
        <v>0</v>
      </c>
      <c r="W12" s="19">
        <f t="shared" si="12"/>
        <v>2700</v>
      </c>
      <c r="Y12" s="47"/>
    </row>
    <row r="13" spans="1:25">
      <c r="A13" s="64" t="s">
        <v>79</v>
      </c>
      <c r="B13" s="35">
        <v>40091</v>
      </c>
      <c r="C13" s="83">
        <v>8</v>
      </c>
      <c r="D13" s="14"/>
      <c r="E13" s="36"/>
      <c r="F13" s="37"/>
      <c r="G13" s="14"/>
      <c r="H13" s="36">
        <v>2700</v>
      </c>
      <c r="I13" s="36"/>
      <c r="J13" s="19">
        <f t="shared" si="0"/>
        <v>2700</v>
      </c>
      <c r="K13" s="19">
        <f t="shared" si="13"/>
        <v>19500</v>
      </c>
      <c r="L13" s="36">
        <f t="shared" si="1"/>
        <v>0</v>
      </c>
      <c r="M13" s="36">
        <f t="shared" si="2"/>
        <v>0</v>
      </c>
      <c r="N13" s="36">
        <f t="shared" si="3"/>
        <v>0</v>
      </c>
      <c r="O13" s="36">
        <f t="shared" si="4"/>
        <v>0</v>
      </c>
      <c r="P13" s="36">
        <f t="shared" si="5"/>
        <v>0</v>
      </c>
      <c r="Q13" s="36">
        <f t="shared" si="6"/>
        <v>0</v>
      </c>
      <c r="R13" s="36">
        <f t="shared" si="7"/>
        <v>0</v>
      </c>
      <c r="S13" s="36">
        <f t="shared" si="8"/>
        <v>2700</v>
      </c>
      <c r="T13" s="36">
        <f t="shared" si="9"/>
        <v>0</v>
      </c>
      <c r="U13" s="36">
        <f t="shared" si="10"/>
        <v>0</v>
      </c>
      <c r="V13" s="36">
        <f t="shared" si="11"/>
        <v>0</v>
      </c>
      <c r="W13" s="19">
        <f t="shared" si="12"/>
        <v>2700</v>
      </c>
      <c r="Y13" s="47"/>
    </row>
    <row r="14" spans="1:25">
      <c r="A14" s="64" t="s">
        <v>80</v>
      </c>
      <c r="B14" s="35">
        <v>40091</v>
      </c>
      <c r="C14" s="83">
        <v>8</v>
      </c>
      <c r="D14" s="14"/>
      <c r="E14" s="36"/>
      <c r="F14" s="37"/>
      <c r="G14" s="14"/>
      <c r="H14" s="36">
        <v>2400</v>
      </c>
      <c r="I14" s="36"/>
      <c r="J14" s="19">
        <f t="shared" si="0"/>
        <v>2400</v>
      </c>
      <c r="K14" s="19">
        <f t="shared" si="13"/>
        <v>21900</v>
      </c>
      <c r="L14" s="36">
        <f t="shared" si="1"/>
        <v>0</v>
      </c>
      <c r="M14" s="36">
        <f t="shared" si="2"/>
        <v>0</v>
      </c>
      <c r="N14" s="36">
        <f t="shared" si="3"/>
        <v>0</v>
      </c>
      <c r="O14" s="36">
        <f t="shared" si="4"/>
        <v>0</v>
      </c>
      <c r="P14" s="36">
        <f t="shared" si="5"/>
        <v>0</v>
      </c>
      <c r="Q14" s="36">
        <f t="shared" si="6"/>
        <v>0</v>
      </c>
      <c r="R14" s="36">
        <f t="shared" si="7"/>
        <v>0</v>
      </c>
      <c r="S14" s="36">
        <f t="shared" si="8"/>
        <v>2400</v>
      </c>
      <c r="T14" s="36">
        <f t="shared" si="9"/>
        <v>0</v>
      </c>
      <c r="U14" s="36">
        <f t="shared" si="10"/>
        <v>0</v>
      </c>
      <c r="V14" s="36">
        <f t="shared" si="11"/>
        <v>0</v>
      </c>
      <c r="W14" s="19">
        <f t="shared" si="12"/>
        <v>2400</v>
      </c>
      <c r="Y14" s="47"/>
    </row>
    <row r="15" spans="1:25">
      <c r="A15" s="64" t="s">
        <v>81</v>
      </c>
      <c r="B15" s="35">
        <v>40091</v>
      </c>
      <c r="C15" s="83">
        <v>8</v>
      </c>
      <c r="D15" s="14"/>
      <c r="E15" s="36"/>
      <c r="F15" s="37"/>
      <c r="G15" s="14"/>
      <c r="H15" s="36">
        <v>2700</v>
      </c>
      <c r="I15" s="36"/>
      <c r="J15" s="19">
        <f t="shared" si="0"/>
        <v>2700</v>
      </c>
      <c r="K15" s="19">
        <f t="shared" si="13"/>
        <v>24600</v>
      </c>
      <c r="L15" s="36">
        <f t="shared" si="1"/>
        <v>0</v>
      </c>
      <c r="M15" s="36">
        <f t="shared" si="2"/>
        <v>0</v>
      </c>
      <c r="N15" s="36">
        <f t="shared" si="3"/>
        <v>0</v>
      </c>
      <c r="O15" s="36">
        <f t="shared" si="4"/>
        <v>0</v>
      </c>
      <c r="P15" s="36">
        <f t="shared" si="5"/>
        <v>0</v>
      </c>
      <c r="Q15" s="36">
        <f t="shared" si="6"/>
        <v>0</v>
      </c>
      <c r="R15" s="36">
        <f t="shared" si="7"/>
        <v>0</v>
      </c>
      <c r="S15" s="36">
        <f t="shared" si="8"/>
        <v>2700</v>
      </c>
      <c r="T15" s="36">
        <f t="shared" si="9"/>
        <v>0</v>
      </c>
      <c r="U15" s="36">
        <f t="shared" si="10"/>
        <v>0</v>
      </c>
      <c r="V15" s="36">
        <f t="shared" si="11"/>
        <v>0</v>
      </c>
      <c r="W15" s="19">
        <f t="shared" si="12"/>
        <v>2700</v>
      </c>
      <c r="Y15" s="47"/>
    </row>
    <row r="16" spans="1:25">
      <c r="A16" s="64" t="s">
        <v>82</v>
      </c>
      <c r="B16" s="35">
        <v>40091</v>
      </c>
      <c r="C16" s="83">
        <v>8</v>
      </c>
      <c r="D16" s="14"/>
      <c r="E16" s="36"/>
      <c r="F16" s="37"/>
      <c r="G16" s="14"/>
      <c r="H16" s="36">
        <v>2400</v>
      </c>
      <c r="I16" s="36"/>
      <c r="J16" s="19">
        <f t="shared" si="0"/>
        <v>2400</v>
      </c>
      <c r="K16" s="19">
        <f t="shared" si="13"/>
        <v>27000</v>
      </c>
      <c r="L16" s="36">
        <f t="shared" si="1"/>
        <v>0</v>
      </c>
      <c r="M16" s="36">
        <f t="shared" si="2"/>
        <v>0</v>
      </c>
      <c r="N16" s="36">
        <f t="shared" si="3"/>
        <v>0</v>
      </c>
      <c r="O16" s="36">
        <f t="shared" si="4"/>
        <v>0</v>
      </c>
      <c r="P16" s="36">
        <f t="shared" si="5"/>
        <v>0</v>
      </c>
      <c r="Q16" s="36">
        <f t="shared" si="6"/>
        <v>0</v>
      </c>
      <c r="R16" s="36">
        <f t="shared" si="7"/>
        <v>0</v>
      </c>
      <c r="S16" s="36">
        <f t="shared" si="8"/>
        <v>2400</v>
      </c>
      <c r="T16" s="36">
        <f t="shared" si="9"/>
        <v>0</v>
      </c>
      <c r="U16" s="36">
        <f t="shared" si="10"/>
        <v>0</v>
      </c>
      <c r="V16" s="36">
        <f t="shared" si="11"/>
        <v>0</v>
      </c>
      <c r="W16" s="19">
        <f t="shared" si="12"/>
        <v>2400</v>
      </c>
      <c r="Y16" s="47"/>
    </row>
    <row r="17" spans="1:25">
      <c r="A17" s="64" t="s">
        <v>83</v>
      </c>
      <c r="B17" s="35">
        <v>40091</v>
      </c>
      <c r="C17" s="83">
        <v>8</v>
      </c>
      <c r="D17" s="14"/>
      <c r="E17" s="36"/>
      <c r="F17" s="37"/>
      <c r="G17" s="14"/>
      <c r="H17" s="36">
        <v>2700</v>
      </c>
      <c r="I17" s="36"/>
      <c r="J17" s="19">
        <f t="shared" si="0"/>
        <v>2700</v>
      </c>
      <c r="K17" s="19">
        <f t="shared" si="13"/>
        <v>29700</v>
      </c>
      <c r="L17" s="36">
        <f t="shared" si="1"/>
        <v>0</v>
      </c>
      <c r="M17" s="36">
        <f t="shared" si="2"/>
        <v>0</v>
      </c>
      <c r="N17" s="36">
        <f t="shared" si="3"/>
        <v>0</v>
      </c>
      <c r="O17" s="36">
        <f t="shared" si="4"/>
        <v>0</v>
      </c>
      <c r="P17" s="36">
        <f t="shared" si="5"/>
        <v>0</v>
      </c>
      <c r="Q17" s="36">
        <f t="shared" si="6"/>
        <v>0</v>
      </c>
      <c r="R17" s="36">
        <f t="shared" si="7"/>
        <v>0</v>
      </c>
      <c r="S17" s="36">
        <f t="shared" si="8"/>
        <v>2700</v>
      </c>
      <c r="T17" s="36">
        <f t="shared" si="9"/>
        <v>0</v>
      </c>
      <c r="U17" s="36">
        <f t="shared" si="10"/>
        <v>0</v>
      </c>
      <c r="V17" s="36">
        <f t="shared" si="11"/>
        <v>0</v>
      </c>
      <c r="W17" s="19">
        <f t="shared" si="12"/>
        <v>2700</v>
      </c>
      <c r="Y17" s="47"/>
    </row>
    <row r="18" spans="1:25">
      <c r="A18" s="64" t="s">
        <v>84</v>
      </c>
      <c r="B18" s="35">
        <v>40091</v>
      </c>
      <c r="C18" s="83">
        <v>8</v>
      </c>
      <c r="D18" s="14"/>
      <c r="E18" s="36"/>
      <c r="F18" s="37"/>
      <c r="G18" s="14"/>
      <c r="H18" s="36">
        <v>1800</v>
      </c>
      <c r="I18" s="36"/>
      <c r="J18" s="19">
        <f t="shared" si="0"/>
        <v>1800</v>
      </c>
      <c r="K18" s="19">
        <f t="shared" si="13"/>
        <v>31500</v>
      </c>
      <c r="L18" s="36">
        <f t="shared" si="1"/>
        <v>0</v>
      </c>
      <c r="M18" s="36">
        <f t="shared" si="2"/>
        <v>0</v>
      </c>
      <c r="N18" s="36">
        <f t="shared" si="3"/>
        <v>0</v>
      </c>
      <c r="O18" s="36">
        <f t="shared" si="4"/>
        <v>0</v>
      </c>
      <c r="P18" s="36">
        <f t="shared" si="5"/>
        <v>0</v>
      </c>
      <c r="Q18" s="36">
        <f t="shared" si="6"/>
        <v>0</v>
      </c>
      <c r="R18" s="36">
        <f t="shared" si="7"/>
        <v>0</v>
      </c>
      <c r="S18" s="36">
        <f t="shared" si="8"/>
        <v>1800</v>
      </c>
      <c r="T18" s="36">
        <f t="shared" si="9"/>
        <v>0</v>
      </c>
      <c r="U18" s="36">
        <f t="shared" si="10"/>
        <v>0</v>
      </c>
      <c r="V18" s="36">
        <f t="shared" si="11"/>
        <v>0</v>
      </c>
      <c r="W18" s="19">
        <f t="shared" si="12"/>
        <v>1800</v>
      </c>
      <c r="Y18" s="47"/>
    </row>
    <row r="19" spans="1:25">
      <c r="A19" s="64" t="s">
        <v>85</v>
      </c>
      <c r="B19" s="35">
        <v>40091</v>
      </c>
      <c r="C19" s="83">
        <v>8</v>
      </c>
      <c r="D19" s="14"/>
      <c r="E19" s="36"/>
      <c r="F19" s="37"/>
      <c r="G19" s="14"/>
      <c r="H19" s="36">
        <v>200</v>
      </c>
      <c r="I19" s="36"/>
      <c r="J19" s="19">
        <f t="shared" si="0"/>
        <v>200</v>
      </c>
      <c r="K19" s="19">
        <f t="shared" si="13"/>
        <v>31700</v>
      </c>
      <c r="L19" s="36">
        <f t="shared" si="1"/>
        <v>0</v>
      </c>
      <c r="M19" s="36">
        <f t="shared" si="2"/>
        <v>0</v>
      </c>
      <c r="N19" s="36">
        <f t="shared" si="3"/>
        <v>0</v>
      </c>
      <c r="O19" s="36">
        <f t="shared" si="4"/>
        <v>0</v>
      </c>
      <c r="P19" s="36">
        <f t="shared" si="5"/>
        <v>0</v>
      </c>
      <c r="Q19" s="36">
        <f t="shared" si="6"/>
        <v>0</v>
      </c>
      <c r="R19" s="36">
        <f t="shared" si="7"/>
        <v>0</v>
      </c>
      <c r="S19" s="36">
        <f t="shared" si="8"/>
        <v>200</v>
      </c>
      <c r="T19" s="36">
        <f t="shared" si="9"/>
        <v>0</v>
      </c>
      <c r="U19" s="36">
        <f t="shared" si="10"/>
        <v>0</v>
      </c>
      <c r="V19" s="36">
        <f t="shared" si="11"/>
        <v>0</v>
      </c>
      <c r="W19" s="19">
        <f t="shared" si="12"/>
        <v>200</v>
      </c>
      <c r="Y19" s="47"/>
    </row>
    <row r="20" spans="1:25">
      <c r="A20" s="64" t="s">
        <v>80</v>
      </c>
      <c r="B20" s="35">
        <v>40091</v>
      </c>
      <c r="C20" s="83">
        <v>8</v>
      </c>
      <c r="D20" s="14"/>
      <c r="E20" s="36"/>
      <c r="F20" s="37"/>
      <c r="G20" s="14"/>
      <c r="H20" s="36">
        <v>3000</v>
      </c>
      <c r="I20" s="36"/>
      <c r="J20" s="19">
        <f t="shared" si="0"/>
        <v>3000</v>
      </c>
      <c r="K20" s="19">
        <f t="shared" si="13"/>
        <v>34700</v>
      </c>
      <c r="L20" s="36">
        <f t="shared" si="1"/>
        <v>0</v>
      </c>
      <c r="M20" s="36">
        <f t="shared" si="2"/>
        <v>0</v>
      </c>
      <c r="N20" s="36">
        <f t="shared" si="3"/>
        <v>0</v>
      </c>
      <c r="O20" s="36">
        <f t="shared" si="4"/>
        <v>0</v>
      </c>
      <c r="P20" s="36">
        <f t="shared" si="5"/>
        <v>0</v>
      </c>
      <c r="Q20" s="36">
        <f t="shared" si="6"/>
        <v>0</v>
      </c>
      <c r="R20" s="36">
        <f t="shared" si="7"/>
        <v>0</v>
      </c>
      <c r="S20" s="36">
        <f t="shared" si="8"/>
        <v>3000</v>
      </c>
      <c r="T20" s="36">
        <f t="shared" si="9"/>
        <v>0</v>
      </c>
      <c r="U20" s="36">
        <f t="shared" si="10"/>
        <v>0</v>
      </c>
      <c r="V20" s="36">
        <f t="shared" si="11"/>
        <v>0</v>
      </c>
      <c r="W20" s="19">
        <f t="shared" si="12"/>
        <v>3000</v>
      </c>
      <c r="Y20" s="47"/>
    </row>
    <row r="21" spans="1:25">
      <c r="A21" s="64"/>
      <c r="B21" s="35"/>
      <c r="C21" s="83"/>
      <c r="D21" s="14"/>
      <c r="E21" s="36"/>
      <c r="F21" s="37"/>
      <c r="G21" s="14"/>
      <c r="H21" s="36"/>
      <c r="I21" s="36"/>
      <c r="J21" s="19">
        <f t="shared" si="0"/>
        <v>0</v>
      </c>
      <c r="K21" s="19">
        <f t="shared" si="13"/>
        <v>34700</v>
      </c>
      <c r="L21" s="36">
        <f t="shared" si="1"/>
        <v>0</v>
      </c>
      <c r="M21" s="36">
        <f t="shared" si="2"/>
        <v>0</v>
      </c>
      <c r="N21" s="36">
        <f t="shared" si="3"/>
        <v>0</v>
      </c>
      <c r="O21" s="36">
        <f t="shared" si="4"/>
        <v>0</v>
      </c>
      <c r="P21" s="36">
        <f t="shared" si="5"/>
        <v>0</v>
      </c>
      <c r="Q21" s="36">
        <f t="shared" si="6"/>
        <v>0</v>
      </c>
      <c r="R21" s="36">
        <f t="shared" si="7"/>
        <v>0</v>
      </c>
      <c r="S21" s="36">
        <f t="shared" si="8"/>
        <v>0</v>
      </c>
      <c r="T21" s="36">
        <f t="shared" si="9"/>
        <v>0</v>
      </c>
      <c r="U21" s="36">
        <f t="shared" si="10"/>
        <v>0</v>
      </c>
      <c r="V21" s="36">
        <f t="shared" si="11"/>
        <v>0</v>
      </c>
      <c r="W21" s="19">
        <f t="shared" si="12"/>
        <v>0</v>
      </c>
      <c r="Y21" s="47"/>
    </row>
    <row r="22" spans="1:25">
      <c r="A22" s="56" t="s">
        <v>66</v>
      </c>
      <c r="B22" s="35">
        <v>40091</v>
      </c>
      <c r="C22" s="84">
        <v>8</v>
      </c>
      <c r="D22" s="56"/>
      <c r="E22" s="58"/>
      <c r="F22" s="59">
        <v>2</v>
      </c>
      <c r="G22" s="56">
        <v>2</v>
      </c>
      <c r="H22" s="58"/>
      <c r="I22" s="58">
        <v>0</v>
      </c>
      <c r="J22" s="19">
        <f t="shared" si="0"/>
        <v>0</v>
      </c>
      <c r="K22" s="19">
        <f t="shared" si="13"/>
        <v>34700</v>
      </c>
      <c r="L22" s="36">
        <f t="shared" si="1"/>
        <v>0</v>
      </c>
      <c r="M22" s="36">
        <f t="shared" si="2"/>
        <v>0</v>
      </c>
      <c r="N22" s="36">
        <f t="shared" si="3"/>
        <v>0</v>
      </c>
      <c r="O22" s="36">
        <f t="shared" si="4"/>
        <v>0</v>
      </c>
      <c r="P22" s="36">
        <f t="shared" si="5"/>
        <v>0</v>
      </c>
      <c r="Q22" s="36">
        <f t="shared" si="6"/>
        <v>0</v>
      </c>
      <c r="R22" s="36">
        <f t="shared" si="7"/>
        <v>0</v>
      </c>
      <c r="S22" s="36">
        <f t="shared" si="8"/>
        <v>0</v>
      </c>
      <c r="T22" s="36">
        <f t="shared" si="9"/>
        <v>0</v>
      </c>
      <c r="U22" s="36">
        <f t="shared" si="10"/>
        <v>0</v>
      </c>
      <c r="V22" s="36">
        <f t="shared" si="11"/>
        <v>0</v>
      </c>
      <c r="W22" s="19">
        <f t="shared" si="12"/>
        <v>0</v>
      </c>
      <c r="Y22" s="47"/>
    </row>
    <row r="23" spans="1:25">
      <c r="A23" s="56" t="s">
        <v>66</v>
      </c>
      <c r="B23" s="35">
        <v>40091</v>
      </c>
      <c r="C23" s="84">
        <v>8</v>
      </c>
      <c r="D23" s="56"/>
      <c r="E23" s="58"/>
      <c r="F23" s="37">
        <v>3</v>
      </c>
      <c r="G23" s="56">
        <v>3</v>
      </c>
      <c r="H23" s="58"/>
      <c r="I23" s="58">
        <v>0</v>
      </c>
      <c r="J23" s="19">
        <f t="shared" si="0"/>
        <v>0</v>
      </c>
      <c r="K23" s="19">
        <f t="shared" si="13"/>
        <v>34700</v>
      </c>
      <c r="L23" s="36">
        <f t="shared" si="1"/>
        <v>0</v>
      </c>
      <c r="M23" s="36">
        <f t="shared" si="2"/>
        <v>0</v>
      </c>
      <c r="N23" s="36">
        <f t="shared" si="3"/>
        <v>0</v>
      </c>
      <c r="O23" s="36">
        <f t="shared" si="4"/>
        <v>0</v>
      </c>
      <c r="P23" s="36">
        <f t="shared" si="5"/>
        <v>0</v>
      </c>
      <c r="Q23" s="36">
        <f t="shared" si="6"/>
        <v>0</v>
      </c>
      <c r="R23" s="36">
        <f t="shared" si="7"/>
        <v>0</v>
      </c>
      <c r="S23" s="36">
        <f t="shared" si="8"/>
        <v>0</v>
      </c>
      <c r="T23" s="36">
        <f t="shared" si="9"/>
        <v>0</v>
      </c>
      <c r="U23" s="36">
        <f t="shared" si="10"/>
        <v>0</v>
      </c>
      <c r="V23" s="36">
        <f t="shared" si="11"/>
        <v>0</v>
      </c>
      <c r="W23" s="19">
        <f t="shared" si="12"/>
        <v>0</v>
      </c>
      <c r="Y23" s="47"/>
    </row>
    <row r="24" spans="1:25">
      <c r="A24" s="56" t="s">
        <v>71</v>
      </c>
      <c r="B24" s="57">
        <v>40091</v>
      </c>
      <c r="C24" s="84">
        <v>8.1</v>
      </c>
      <c r="D24" s="56"/>
      <c r="E24" s="58"/>
      <c r="F24" s="59"/>
      <c r="G24" s="56"/>
      <c r="H24" s="58"/>
      <c r="I24" s="93">
        <v>725</v>
      </c>
      <c r="J24" s="19">
        <f t="shared" si="0"/>
        <v>725</v>
      </c>
      <c r="K24" s="19">
        <f t="shared" si="13"/>
        <v>35425</v>
      </c>
      <c r="L24" s="36">
        <f t="shared" si="1"/>
        <v>0</v>
      </c>
      <c r="M24" s="36">
        <f t="shared" si="2"/>
        <v>0</v>
      </c>
      <c r="N24" s="36">
        <f t="shared" si="3"/>
        <v>0</v>
      </c>
      <c r="O24" s="36">
        <f t="shared" si="4"/>
        <v>0</v>
      </c>
      <c r="P24" s="36">
        <f t="shared" si="5"/>
        <v>0</v>
      </c>
      <c r="Q24" s="36">
        <f t="shared" si="6"/>
        <v>0</v>
      </c>
      <c r="R24" s="36">
        <f t="shared" si="7"/>
        <v>0</v>
      </c>
      <c r="S24" s="36">
        <f t="shared" si="8"/>
        <v>0</v>
      </c>
      <c r="T24" s="36">
        <f t="shared" si="9"/>
        <v>725</v>
      </c>
      <c r="U24" s="36">
        <f t="shared" si="10"/>
        <v>0</v>
      </c>
      <c r="V24" s="36">
        <f t="shared" si="11"/>
        <v>0</v>
      </c>
      <c r="W24" s="19">
        <f t="shared" si="12"/>
        <v>725</v>
      </c>
      <c r="Y24" s="47"/>
    </row>
    <row r="25" spans="1:25">
      <c r="A25" s="56" t="s">
        <v>72</v>
      </c>
      <c r="B25" s="57">
        <v>40091</v>
      </c>
      <c r="C25" s="84">
        <v>8.1</v>
      </c>
      <c r="D25" s="56"/>
      <c r="E25" s="58"/>
      <c r="F25" s="59"/>
      <c r="G25" s="56"/>
      <c r="H25" s="58"/>
      <c r="I25" s="93">
        <v>50</v>
      </c>
      <c r="J25" s="19">
        <f t="shared" si="0"/>
        <v>50</v>
      </c>
      <c r="K25" s="19">
        <f t="shared" si="13"/>
        <v>35475</v>
      </c>
      <c r="L25" s="36">
        <f t="shared" si="1"/>
        <v>0</v>
      </c>
      <c r="M25" s="36">
        <f t="shared" si="2"/>
        <v>0</v>
      </c>
      <c r="N25" s="36">
        <f t="shared" si="3"/>
        <v>0</v>
      </c>
      <c r="O25" s="36">
        <f t="shared" si="4"/>
        <v>0</v>
      </c>
      <c r="P25" s="36">
        <f t="shared" si="5"/>
        <v>0</v>
      </c>
      <c r="Q25" s="36">
        <f t="shared" si="6"/>
        <v>0</v>
      </c>
      <c r="R25" s="36">
        <f t="shared" si="7"/>
        <v>0</v>
      </c>
      <c r="S25" s="36">
        <f t="shared" si="8"/>
        <v>0</v>
      </c>
      <c r="T25" s="36">
        <f t="shared" si="9"/>
        <v>50</v>
      </c>
      <c r="U25" s="36">
        <f t="shared" si="10"/>
        <v>0</v>
      </c>
      <c r="V25" s="36">
        <f t="shared" si="11"/>
        <v>0</v>
      </c>
      <c r="W25" s="19">
        <f t="shared" si="12"/>
        <v>50</v>
      </c>
      <c r="Y25" s="47"/>
    </row>
    <row r="26" spans="1:25">
      <c r="A26" s="56" t="s">
        <v>70</v>
      </c>
      <c r="B26" s="78">
        <v>40091</v>
      </c>
      <c r="C26" s="84">
        <v>8</v>
      </c>
      <c r="D26" s="56"/>
      <c r="E26" s="58"/>
      <c r="F26" s="59">
        <v>4</v>
      </c>
      <c r="G26" s="56">
        <v>4</v>
      </c>
      <c r="H26" s="93">
        <v>-75000</v>
      </c>
      <c r="I26" s="93">
        <v>75000</v>
      </c>
      <c r="J26" s="19">
        <f t="shared" si="0"/>
        <v>0</v>
      </c>
      <c r="K26" s="19">
        <f t="shared" si="13"/>
        <v>35475</v>
      </c>
      <c r="L26" s="36">
        <f t="shared" si="1"/>
        <v>0</v>
      </c>
      <c r="M26" s="36">
        <f t="shared" si="2"/>
        <v>0</v>
      </c>
      <c r="N26" s="36">
        <f t="shared" si="3"/>
        <v>0</v>
      </c>
      <c r="O26" s="36">
        <f t="shared" si="4"/>
        <v>0</v>
      </c>
      <c r="P26" s="36">
        <f t="shared" si="5"/>
        <v>0</v>
      </c>
      <c r="Q26" s="36">
        <f t="shared" si="6"/>
        <v>0</v>
      </c>
      <c r="R26" s="36">
        <f t="shared" si="7"/>
        <v>0</v>
      </c>
      <c r="S26" s="36">
        <f t="shared" si="8"/>
        <v>0</v>
      </c>
      <c r="T26" s="36">
        <f t="shared" si="9"/>
        <v>0</v>
      </c>
      <c r="U26" s="36">
        <f t="shared" si="10"/>
        <v>0</v>
      </c>
      <c r="V26" s="36">
        <f t="shared" si="11"/>
        <v>0</v>
      </c>
      <c r="W26" s="19">
        <f t="shared" si="12"/>
        <v>0</v>
      </c>
      <c r="Y26" s="47"/>
    </row>
    <row r="27" spans="1:25">
      <c r="A27" s="63" t="s">
        <v>73</v>
      </c>
      <c r="B27" s="35">
        <v>40092</v>
      </c>
      <c r="C27" s="84">
        <v>8</v>
      </c>
      <c r="D27" s="56"/>
      <c r="E27" s="58"/>
      <c r="F27" s="59"/>
      <c r="G27" s="56"/>
      <c r="H27" s="58">
        <v>2000</v>
      </c>
      <c r="I27" s="58"/>
      <c r="J27" s="19">
        <f t="shared" si="0"/>
        <v>2000</v>
      </c>
      <c r="K27" s="19">
        <f t="shared" si="13"/>
        <v>37475</v>
      </c>
      <c r="L27" s="36">
        <f t="shared" si="1"/>
        <v>0</v>
      </c>
      <c r="M27" s="36">
        <f t="shared" si="2"/>
        <v>0</v>
      </c>
      <c r="N27" s="36">
        <f t="shared" si="3"/>
        <v>0</v>
      </c>
      <c r="O27" s="36">
        <f t="shared" si="4"/>
        <v>0</v>
      </c>
      <c r="P27" s="36">
        <f t="shared" si="5"/>
        <v>0</v>
      </c>
      <c r="Q27" s="36">
        <f t="shared" si="6"/>
        <v>0</v>
      </c>
      <c r="R27" s="36">
        <f t="shared" si="7"/>
        <v>0</v>
      </c>
      <c r="S27" s="36">
        <f t="shared" si="8"/>
        <v>2000</v>
      </c>
      <c r="T27" s="36">
        <f t="shared" si="9"/>
        <v>0</v>
      </c>
      <c r="U27" s="36">
        <f t="shared" si="10"/>
        <v>0</v>
      </c>
      <c r="V27" s="36">
        <f t="shared" si="11"/>
        <v>0</v>
      </c>
      <c r="W27" s="19">
        <f t="shared" si="12"/>
        <v>2000</v>
      </c>
      <c r="Y27" s="47"/>
    </row>
    <row r="28" spans="1:25">
      <c r="A28" s="63" t="s">
        <v>73</v>
      </c>
      <c r="B28" s="35">
        <v>40092</v>
      </c>
      <c r="C28" s="84">
        <v>8</v>
      </c>
      <c r="D28" s="56"/>
      <c r="E28" s="58"/>
      <c r="F28" s="59"/>
      <c r="G28" s="56"/>
      <c r="H28" s="58">
        <v>1000</v>
      </c>
      <c r="I28" s="58"/>
      <c r="J28" s="19">
        <f t="shared" si="0"/>
        <v>1000</v>
      </c>
      <c r="K28" s="19">
        <f t="shared" si="13"/>
        <v>38475</v>
      </c>
      <c r="L28" s="36">
        <f t="shared" si="1"/>
        <v>0</v>
      </c>
      <c r="M28" s="36">
        <f t="shared" si="2"/>
        <v>0</v>
      </c>
      <c r="N28" s="36">
        <f t="shared" si="3"/>
        <v>0</v>
      </c>
      <c r="O28" s="36">
        <f t="shared" si="4"/>
        <v>0</v>
      </c>
      <c r="P28" s="36">
        <f t="shared" si="5"/>
        <v>0</v>
      </c>
      <c r="Q28" s="36">
        <f t="shared" si="6"/>
        <v>0</v>
      </c>
      <c r="R28" s="36">
        <f t="shared" si="7"/>
        <v>0</v>
      </c>
      <c r="S28" s="36">
        <f t="shared" si="8"/>
        <v>1000</v>
      </c>
      <c r="T28" s="36">
        <f t="shared" si="9"/>
        <v>0</v>
      </c>
      <c r="U28" s="36">
        <f t="shared" si="10"/>
        <v>0</v>
      </c>
      <c r="V28" s="36">
        <f t="shared" si="11"/>
        <v>0</v>
      </c>
      <c r="W28" s="19">
        <f t="shared" si="12"/>
        <v>1000</v>
      </c>
      <c r="Y28" s="47"/>
    </row>
    <row r="29" spans="1:25">
      <c r="A29" s="63" t="s">
        <v>187</v>
      </c>
      <c r="B29" s="35">
        <v>40092</v>
      </c>
      <c r="C29" s="84">
        <v>8</v>
      </c>
      <c r="D29" s="56"/>
      <c r="E29" s="58"/>
      <c r="F29" s="59"/>
      <c r="G29" s="56"/>
      <c r="H29" s="58">
        <v>1000</v>
      </c>
      <c r="I29" s="58"/>
      <c r="J29" s="19">
        <f t="shared" si="0"/>
        <v>1000</v>
      </c>
      <c r="K29" s="19">
        <f t="shared" si="13"/>
        <v>39475</v>
      </c>
      <c r="L29" s="36">
        <f t="shared" si="1"/>
        <v>0</v>
      </c>
      <c r="M29" s="36">
        <f t="shared" si="2"/>
        <v>0</v>
      </c>
      <c r="N29" s="36">
        <f t="shared" si="3"/>
        <v>0</v>
      </c>
      <c r="O29" s="36">
        <f t="shared" si="4"/>
        <v>0</v>
      </c>
      <c r="P29" s="36">
        <f t="shared" si="5"/>
        <v>0</v>
      </c>
      <c r="Q29" s="36">
        <f t="shared" si="6"/>
        <v>0</v>
      </c>
      <c r="R29" s="36">
        <f t="shared" si="7"/>
        <v>0</v>
      </c>
      <c r="S29" s="36">
        <f t="shared" si="8"/>
        <v>1000</v>
      </c>
      <c r="T29" s="36">
        <f t="shared" si="9"/>
        <v>0</v>
      </c>
      <c r="U29" s="36">
        <f t="shared" si="10"/>
        <v>0</v>
      </c>
      <c r="V29" s="36">
        <f t="shared" si="11"/>
        <v>0</v>
      </c>
      <c r="W29" s="19">
        <f t="shared" si="12"/>
        <v>1000</v>
      </c>
      <c r="Y29" s="47"/>
    </row>
    <row r="30" spans="1:25">
      <c r="A30" s="63" t="s">
        <v>74</v>
      </c>
      <c r="B30" s="35">
        <v>40092</v>
      </c>
      <c r="C30" s="84">
        <v>8</v>
      </c>
      <c r="D30" s="56"/>
      <c r="E30" s="58"/>
      <c r="F30" s="59"/>
      <c r="G30" s="56"/>
      <c r="H30" s="58">
        <v>2000</v>
      </c>
      <c r="I30" s="58"/>
      <c r="J30" s="19">
        <f t="shared" si="0"/>
        <v>2000</v>
      </c>
      <c r="K30" s="19">
        <f t="shared" si="13"/>
        <v>41475</v>
      </c>
      <c r="L30" s="36">
        <f t="shared" si="1"/>
        <v>0</v>
      </c>
      <c r="M30" s="36">
        <f t="shared" si="2"/>
        <v>0</v>
      </c>
      <c r="N30" s="36">
        <f t="shared" si="3"/>
        <v>0</v>
      </c>
      <c r="O30" s="36">
        <f t="shared" si="4"/>
        <v>0</v>
      </c>
      <c r="P30" s="36">
        <f t="shared" si="5"/>
        <v>0</v>
      </c>
      <c r="Q30" s="36">
        <f t="shared" si="6"/>
        <v>0</v>
      </c>
      <c r="R30" s="36">
        <f t="shared" si="7"/>
        <v>0</v>
      </c>
      <c r="S30" s="36">
        <f t="shared" si="8"/>
        <v>2000</v>
      </c>
      <c r="T30" s="36">
        <f t="shared" si="9"/>
        <v>0</v>
      </c>
      <c r="U30" s="36">
        <f t="shared" si="10"/>
        <v>0</v>
      </c>
      <c r="V30" s="36">
        <f t="shared" si="11"/>
        <v>0</v>
      </c>
      <c r="W30" s="19">
        <f t="shared" si="12"/>
        <v>2000</v>
      </c>
      <c r="Y30" s="47"/>
    </row>
    <row r="31" spans="1:25">
      <c r="A31" s="63" t="s">
        <v>74</v>
      </c>
      <c r="B31" s="35">
        <v>40092</v>
      </c>
      <c r="C31" s="84">
        <v>8</v>
      </c>
      <c r="D31" s="56"/>
      <c r="E31" s="58"/>
      <c r="F31" s="59"/>
      <c r="G31" s="56"/>
      <c r="H31" s="58">
        <v>500</v>
      </c>
      <c r="I31" s="58"/>
      <c r="J31" s="19">
        <f t="shared" si="0"/>
        <v>500</v>
      </c>
      <c r="K31" s="19">
        <f t="shared" si="13"/>
        <v>41975</v>
      </c>
      <c r="L31" s="36">
        <f t="shared" si="1"/>
        <v>0</v>
      </c>
      <c r="M31" s="36">
        <f t="shared" si="2"/>
        <v>0</v>
      </c>
      <c r="N31" s="36">
        <f t="shared" si="3"/>
        <v>0</v>
      </c>
      <c r="O31" s="36">
        <f t="shared" si="4"/>
        <v>0</v>
      </c>
      <c r="P31" s="36">
        <f t="shared" si="5"/>
        <v>0</v>
      </c>
      <c r="Q31" s="36">
        <f t="shared" si="6"/>
        <v>0</v>
      </c>
      <c r="R31" s="36">
        <f t="shared" si="7"/>
        <v>0</v>
      </c>
      <c r="S31" s="36">
        <f t="shared" si="8"/>
        <v>500</v>
      </c>
      <c r="T31" s="36">
        <f t="shared" si="9"/>
        <v>0</v>
      </c>
      <c r="U31" s="36">
        <f t="shared" si="10"/>
        <v>0</v>
      </c>
      <c r="V31" s="36">
        <f t="shared" si="11"/>
        <v>0</v>
      </c>
      <c r="W31" s="19">
        <f t="shared" si="12"/>
        <v>500</v>
      </c>
      <c r="Y31" s="47"/>
    </row>
    <row r="32" spans="1:25">
      <c r="A32" s="63" t="s">
        <v>75</v>
      </c>
      <c r="B32" s="35">
        <v>40092</v>
      </c>
      <c r="C32" s="84">
        <v>8</v>
      </c>
      <c r="D32" s="56"/>
      <c r="E32" s="58"/>
      <c r="F32" s="59"/>
      <c r="G32" s="56"/>
      <c r="H32" s="58">
        <v>900</v>
      </c>
      <c r="I32" s="58"/>
      <c r="J32" s="19">
        <f t="shared" si="0"/>
        <v>900</v>
      </c>
      <c r="K32" s="19">
        <f t="shared" si="13"/>
        <v>42875</v>
      </c>
      <c r="L32" s="36">
        <f t="shared" si="1"/>
        <v>0</v>
      </c>
      <c r="M32" s="36">
        <f t="shared" si="2"/>
        <v>0</v>
      </c>
      <c r="N32" s="36">
        <f t="shared" si="3"/>
        <v>0</v>
      </c>
      <c r="O32" s="36">
        <f t="shared" si="4"/>
        <v>0</v>
      </c>
      <c r="P32" s="36">
        <f t="shared" si="5"/>
        <v>0</v>
      </c>
      <c r="Q32" s="36">
        <f t="shared" si="6"/>
        <v>0</v>
      </c>
      <c r="R32" s="36">
        <f t="shared" si="7"/>
        <v>0</v>
      </c>
      <c r="S32" s="36">
        <f t="shared" si="8"/>
        <v>900</v>
      </c>
      <c r="T32" s="36">
        <f t="shared" si="9"/>
        <v>0</v>
      </c>
      <c r="U32" s="36">
        <f t="shared" si="10"/>
        <v>0</v>
      </c>
      <c r="V32" s="36">
        <f t="shared" si="11"/>
        <v>0</v>
      </c>
      <c r="W32" s="19">
        <f t="shared" si="12"/>
        <v>900</v>
      </c>
      <c r="Y32" s="47"/>
    </row>
    <row r="33" spans="1:25">
      <c r="A33" s="63" t="s">
        <v>76</v>
      </c>
      <c r="B33" s="35">
        <v>40092</v>
      </c>
      <c r="C33" s="84">
        <v>6</v>
      </c>
      <c r="D33" s="56"/>
      <c r="E33" s="58"/>
      <c r="F33" s="59"/>
      <c r="G33" s="56"/>
      <c r="H33" s="58">
        <v>18400</v>
      </c>
      <c r="I33" s="58"/>
      <c r="J33" s="19">
        <f t="shared" si="0"/>
        <v>18400</v>
      </c>
      <c r="K33" s="19">
        <f t="shared" si="13"/>
        <v>61275</v>
      </c>
      <c r="L33" s="36">
        <f t="shared" si="1"/>
        <v>0</v>
      </c>
      <c r="M33" s="36">
        <f t="shared" si="2"/>
        <v>0</v>
      </c>
      <c r="N33" s="36">
        <f t="shared" si="3"/>
        <v>0</v>
      </c>
      <c r="O33" s="36">
        <f t="shared" si="4"/>
        <v>0</v>
      </c>
      <c r="P33" s="36">
        <f t="shared" si="5"/>
        <v>0</v>
      </c>
      <c r="Q33" s="36">
        <f t="shared" si="6"/>
        <v>18400</v>
      </c>
      <c r="R33" s="36">
        <f t="shared" si="7"/>
        <v>0</v>
      </c>
      <c r="S33" s="36">
        <f t="shared" si="8"/>
        <v>0</v>
      </c>
      <c r="T33" s="36">
        <f t="shared" si="9"/>
        <v>0</v>
      </c>
      <c r="U33" s="36">
        <f t="shared" si="10"/>
        <v>0</v>
      </c>
      <c r="V33" s="36">
        <f t="shared" si="11"/>
        <v>0</v>
      </c>
      <c r="W33" s="19">
        <f t="shared" si="12"/>
        <v>18400</v>
      </c>
      <c r="Y33" s="47"/>
    </row>
    <row r="34" spans="1:25">
      <c r="A34" s="63" t="s">
        <v>76</v>
      </c>
      <c r="B34" s="35">
        <v>40092</v>
      </c>
      <c r="C34" s="84">
        <v>8</v>
      </c>
      <c r="D34" s="56"/>
      <c r="E34" s="58"/>
      <c r="F34" s="59"/>
      <c r="G34" s="56"/>
      <c r="H34" s="58">
        <v>1800</v>
      </c>
      <c r="I34" s="58"/>
      <c r="J34" s="19">
        <f t="shared" si="0"/>
        <v>1800</v>
      </c>
      <c r="K34" s="19">
        <f t="shared" si="13"/>
        <v>63075</v>
      </c>
      <c r="L34" s="36">
        <f t="shared" si="1"/>
        <v>0</v>
      </c>
      <c r="M34" s="36">
        <f t="shared" si="2"/>
        <v>0</v>
      </c>
      <c r="N34" s="36">
        <f t="shared" si="3"/>
        <v>0</v>
      </c>
      <c r="O34" s="36">
        <f t="shared" si="4"/>
        <v>0</v>
      </c>
      <c r="P34" s="36">
        <f t="shared" si="5"/>
        <v>0</v>
      </c>
      <c r="Q34" s="36">
        <f t="shared" si="6"/>
        <v>0</v>
      </c>
      <c r="R34" s="36">
        <f t="shared" si="7"/>
        <v>0</v>
      </c>
      <c r="S34" s="36">
        <f t="shared" si="8"/>
        <v>1800</v>
      </c>
      <c r="T34" s="36">
        <f t="shared" si="9"/>
        <v>0</v>
      </c>
      <c r="U34" s="36">
        <f t="shared" si="10"/>
        <v>0</v>
      </c>
      <c r="V34" s="36">
        <f t="shared" si="11"/>
        <v>0</v>
      </c>
      <c r="W34" s="19">
        <f t="shared" si="12"/>
        <v>1800</v>
      </c>
      <c r="Y34" s="47"/>
    </row>
    <row r="35" spans="1:25">
      <c r="A35" s="63" t="s">
        <v>77</v>
      </c>
      <c r="B35" s="35">
        <v>40092</v>
      </c>
      <c r="C35" s="84">
        <v>8</v>
      </c>
      <c r="D35" s="56"/>
      <c r="E35" s="58"/>
      <c r="F35" s="59"/>
      <c r="G35" s="56"/>
      <c r="H35" s="58">
        <v>1800</v>
      </c>
      <c r="I35" s="58"/>
      <c r="J35" s="19">
        <f t="shared" si="0"/>
        <v>1800</v>
      </c>
      <c r="K35" s="19">
        <f t="shared" si="13"/>
        <v>64875</v>
      </c>
      <c r="L35" s="36">
        <f t="shared" si="1"/>
        <v>0</v>
      </c>
      <c r="M35" s="36">
        <f t="shared" si="2"/>
        <v>0</v>
      </c>
      <c r="N35" s="36">
        <f t="shared" si="3"/>
        <v>0</v>
      </c>
      <c r="O35" s="36">
        <f t="shared" si="4"/>
        <v>0</v>
      </c>
      <c r="P35" s="36">
        <f t="shared" si="5"/>
        <v>0</v>
      </c>
      <c r="Q35" s="36">
        <f t="shared" si="6"/>
        <v>0</v>
      </c>
      <c r="R35" s="36">
        <f t="shared" si="7"/>
        <v>0</v>
      </c>
      <c r="S35" s="36">
        <f t="shared" si="8"/>
        <v>1800</v>
      </c>
      <c r="T35" s="36">
        <f t="shared" si="9"/>
        <v>0</v>
      </c>
      <c r="U35" s="36">
        <f t="shared" si="10"/>
        <v>0</v>
      </c>
      <c r="V35" s="36">
        <f t="shared" si="11"/>
        <v>0</v>
      </c>
      <c r="W35" s="19">
        <f t="shared" si="12"/>
        <v>1800</v>
      </c>
      <c r="Y35" s="47"/>
    </row>
    <row r="36" spans="1:25">
      <c r="A36" s="63" t="s">
        <v>78</v>
      </c>
      <c r="B36" s="35">
        <v>40092</v>
      </c>
      <c r="C36" s="84">
        <v>8</v>
      </c>
      <c r="D36" s="56"/>
      <c r="E36" s="58"/>
      <c r="F36" s="59"/>
      <c r="G36" s="56"/>
      <c r="H36" s="58">
        <v>1800</v>
      </c>
      <c r="I36" s="58"/>
      <c r="J36" s="19">
        <f t="shared" si="0"/>
        <v>1800</v>
      </c>
      <c r="K36" s="19">
        <f t="shared" si="13"/>
        <v>66675</v>
      </c>
      <c r="L36" s="36">
        <f t="shared" si="1"/>
        <v>0</v>
      </c>
      <c r="M36" s="36">
        <f t="shared" si="2"/>
        <v>0</v>
      </c>
      <c r="N36" s="36">
        <f t="shared" si="3"/>
        <v>0</v>
      </c>
      <c r="O36" s="36">
        <f t="shared" si="4"/>
        <v>0</v>
      </c>
      <c r="P36" s="36">
        <f t="shared" si="5"/>
        <v>0</v>
      </c>
      <c r="Q36" s="36">
        <f t="shared" si="6"/>
        <v>0</v>
      </c>
      <c r="R36" s="36">
        <f t="shared" si="7"/>
        <v>0</v>
      </c>
      <c r="S36" s="36">
        <f t="shared" si="8"/>
        <v>1800</v>
      </c>
      <c r="T36" s="36">
        <f t="shared" si="9"/>
        <v>0</v>
      </c>
      <c r="U36" s="36">
        <f t="shared" si="10"/>
        <v>0</v>
      </c>
      <c r="V36" s="36">
        <f t="shared" si="11"/>
        <v>0</v>
      </c>
      <c r="W36" s="19">
        <f t="shared" si="12"/>
        <v>1800</v>
      </c>
      <c r="Y36" s="47"/>
    </row>
    <row r="37" spans="1:25">
      <c r="A37" s="63" t="s">
        <v>78</v>
      </c>
      <c r="B37" s="35">
        <v>40092</v>
      </c>
      <c r="C37" s="84">
        <v>8</v>
      </c>
      <c r="D37" s="56"/>
      <c r="E37" s="58"/>
      <c r="F37" s="59"/>
      <c r="G37" s="56"/>
      <c r="H37" s="58">
        <v>2000</v>
      </c>
      <c r="I37" s="58"/>
      <c r="J37" s="19">
        <f t="shared" si="0"/>
        <v>2000</v>
      </c>
      <c r="K37" s="19">
        <f t="shared" si="13"/>
        <v>68675</v>
      </c>
      <c r="L37" s="36">
        <f t="shared" si="1"/>
        <v>0</v>
      </c>
      <c r="M37" s="36">
        <f t="shared" si="2"/>
        <v>0</v>
      </c>
      <c r="N37" s="36">
        <f t="shared" si="3"/>
        <v>0</v>
      </c>
      <c r="O37" s="36">
        <f t="shared" si="4"/>
        <v>0</v>
      </c>
      <c r="P37" s="36">
        <f t="shared" si="5"/>
        <v>0</v>
      </c>
      <c r="Q37" s="36">
        <f t="shared" si="6"/>
        <v>0</v>
      </c>
      <c r="R37" s="36">
        <f t="shared" si="7"/>
        <v>0</v>
      </c>
      <c r="S37" s="36">
        <f t="shared" si="8"/>
        <v>2000</v>
      </c>
      <c r="T37" s="36">
        <f t="shared" si="9"/>
        <v>0</v>
      </c>
      <c r="U37" s="36">
        <f t="shared" si="10"/>
        <v>0</v>
      </c>
      <c r="V37" s="36">
        <f t="shared" si="11"/>
        <v>0</v>
      </c>
      <c r="W37" s="19">
        <f t="shared" si="12"/>
        <v>2000</v>
      </c>
      <c r="Y37" s="47"/>
    </row>
    <row r="38" spans="1:25">
      <c r="A38" s="63" t="s">
        <v>78</v>
      </c>
      <c r="B38" s="35">
        <v>40092</v>
      </c>
      <c r="C38" s="84">
        <v>8</v>
      </c>
      <c r="D38" s="56"/>
      <c r="E38" s="58"/>
      <c r="F38" s="59"/>
      <c r="G38" s="56"/>
      <c r="H38" s="58">
        <v>1000</v>
      </c>
      <c r="I38" s="58"/>
      <c r="J38" s="19">
        <f t="shared" si="0"/>
        <v>1000</v>
      </c>
      <c r="K38" s="19">
        <f t="shared" si="13"/>
        <v>69675</v>
      </c>
      <c r="L38" s="36">
        <f t="shared" si="1"/>
        <v>0</v>
      </c>
      <c r="M38" s="36">
        <f t="shared" si="2"/>
        <v>0</v>
      </c>
      <c r="N38" s="36">
        <f t="shared" si="3"/>
        <v>0</v>
      </c>
      <c r="O38" s="36">
        <f t="shared" si="4"/>
        <v>0</v>
      </c>
      <c r="P38" s="36">
        <f t="shared" si="5"/>
        <v>0</v>
      </c>
      <c r="Q38" s="36">
        <f t="shared" si="6"/>
        <v>0</v>
      </c>
      <c r="R38" s="36">
        <f t="shared" si="7"/>
        <v>0</v>
      </c>
      <c r="S38" s="36">
        <f t="shared" si="8"/>
        <v>1000</v>
      </c>
      <c r="T38" s="36">
        <f t="shared" si="9"/>
        <v>0</v>
      </c>
      <c r="U38" s="36">
        <f t="shared" si="10"/>
        <v>0</v>
      </c>
      <c r="V38" s="36">
        <f t="shared" si="11"/>
        <v>0</v>
      </c>
      <c r="W38" s="19">
        <f t="shared" si="12"/>
        <v>1000</v>
      </c>
      <c r="Y38" s="47"/>
    </row>
    <row r="39" spans="1:25">
      <c r="A39" s="63" t="s">
        <v>78</v>
      </c>
      <c r="B39" s="35">
        <v>40092</v>
      </c>
      <c r="C39" s="84">
        <v>8</v>
      </c>
      <c r="D39" s="56"/>
      <c r="E39" s="58"/>
      <c r="F39" s="59"/>
      <c r="G39" s="56"/>
      <c r="H39" s="58">
        <v>900</v>
      </c>
      <c r="I39" s="58"/>
      <c r="J39" s="19">
        <f t="shared" si="0"/>
        <v>900</v>
      </c>
      <c r="K39" s="19">
        <f t="shared" si="13"/>
        <v>70575</v>
      </c>
      <c r="L39" s="36">
        <f t="shared" si="1"/>
        <v>0</v>
      </c>
      <c r="M39" s="36">
        <f t="shared" si="2"/>
        <v>0</v>
      </c>
      <c r="N39" s="36">
        <f t="shared" si="3"/>
        <v>0</v>
      </c>
      <c r="O39" s="36">
        <f t="shared" si="4"/>
        <v>0</v>
      </c>
      <c r="P39" s="36">
        <f t="shared" si="5"/>
        <v>0</v>
      </c>
      <c r="Q39" s="36">
        <f t="shared" si="6"/>
        <v>0</v>
      </c>
      <c r="R39" s="36">
        <f t="shared" si="7"/>
        <v>0</v>
      </c>
      <c r="S39" s="36">
        <f t="shared" si="8"/>
        <v>900</v>
      </c>
      <c r="T39" s="36">
        <f t="shared" si="9"/>
        <v>0</v>
      </c>
      <c r="U39" s="36">
        <f t="shared" si="10"/>
        <v>0</v>
      </c>
      <c r="V39" s="36">
        <f t="shared" si="11"/>
        <v>0</v>
      </c>
      <c r="W39" s="19">
        <f t="shared" si="12"/>
        <v>900</v>
      </c>
      <c r="Y39" s="47"/>
    </row>
    <row r="40" spans="1:25">
      <c r="A40" s="63" t="s">
        <v>78</v>
      </c>
      <c r="B40" s="35">
        <v>40092</v>
      </c>
      <c r="C40" s="84">
        <v>8</v>
      </c>
      <c r="D40" s="56"/>
      <c r="E40" s="58"/>
      <c r="F40" s="59"/>
      <c r="G40" s="56"/>
      <c r="H40" s="58">
        <v>200</v>
      </c>
      <c r="I40" s="58"/>
      <c r="J40" s="19">
        <f t="shared" si="0"/>
        <v>200</v>
      </c>
      <c r="K40" s="19">
        <f t="shared" si="13"/>
        <v>70775</v>
      </c>
      <c r="L40" s="36">
        <f t="shared" si="1"/>
        <v>0</v>
      </c>
      <c r="M40" s="36">
        <f t="shared" si="2"/>
        <v>0</v>
      </c>
      <c r="N40" s="36">
        <f t="shared" si="3"/>
        <v>0</v>
      </c>
      <c r="O40" s="36">
        <f t="shared" si="4"/>
        <v>0</v>
      </c>
      <c r="P40" s="36">
        <f t="shared" si="5"/>
        <v>0</v>
      </c>
      <c r="Q40" s="36">
        <f t="shared" si="6"/>
        <v>0</v>
      </c>
      <c r="R40" s="36">
        <f t="shared" si="7"/>
        <v>0</v>
      </c>
      <c r="S40" s="36">
        <f t="shared" si="8"/>
        <v>200</v>
      </c>
      <c r="T40" s="36">
        <f t="shared" si="9"/>
        <v>0</v>
      </c>
      <c r="U40" s="36">
        <f t="shared" si="10"/>
        <v>0</v>
      </c>
      <c r="V40" s="36">
        <f t="shared" si="11"/>
        <v>0</v>
      </c>
      <c r="W40" s="19">
        <f t="shared" si="12"/>
        <v>200</v>
      </c>
      <c r="Y40" s="47"/>
    </row>
    <row r="41" spans="1:25">
      <c r="A41" s="63" t="s">
        <v>78</v>
      </c>
      <c r="B41" s="35">
        <v>40092</v>
      </c>
      <c r="C41" s="84">
        <v>8</v>
      </c>
      <c r="D41" s="56"/>
      <c r="E41" s="58"/>
      <c r="F41" s="59"/>
      <c r="G41" s="56"/>
      <c r="H41" s="58">
        <v>5500</v>
      </c>
      <c r="I41" s="58"/>
      <c r="J41" s="19">
        <f t="shared" si="0"/>
        <v>5500</v>
      </c>
      <c r="K41" s="19">
        <f t="shared" si="13"/>
        <v>76275</v>
      </c>
      <c r="L41" s="36">
        <f t="shared" si="1"/>
        <v>0</v>
      </c>
      <c r="M41" s="36">
        <f t="shared" si="2"/>
        <v>0</v>
      </c>
      <c r="N41" s="36">
        <f t="shared" si="3"/>
        <v>0</v>
      </c>
      <c r="O41" s="36">
        <f t="shared" si="4"/>
        <v>0</v>
      </c>
      <c r="P41" s="36">
        <f t="shared" si="5"/>
        <v>0</v>
      </c>
      <c r="Q41" s="36">
        <f t="shared" si="6"/>
        <v>0</v>
      </c>
      <c r="R41" s="36">
        <f t="shared" si="7"/>
        <v>0</v>
      </c>
      <c r="S41" s="36">
        <f t="shared" si="8"/>
        <v>5500</v>
      </c>
      <c r="T41" s="36">
        <f t="shared" si="9"/>
        <v>0</v>
      </c>
      <c r="U41" s="36">
        <f t="shared" si="10"/>
        <v>0</v>
      </c>
      <c r="V41" s="36">
        <f t="shared" si="11"/>
        <v>0</v>
      </c>
      <c r="W41" s="19">
        <f t="shared" si="12"/>
        <v>5500</v>
      </c>
      <c r="Y41" s="47"/>
    </row>
    <row r="42" spans="1:25">
      <c r="A42" s="63" t="s">
        <v>78</v>
      </c>
      <c r="B42" s="35">
        <v>40092</v>
      </c>
      <c r="C42" s="84">
        <v>8</v>
      </c>
      <c r="D42" s="56"/>
      <c r="E42" s="58"/>
      <c r="F42" s="59"/>
      <c r="G42" s="56"/>
      <c r="H42" s="58">
        <v>150</v>
      </c>
      <c r="I42" s="58"/>
      <c r="J42" s="19">
        <f t="shared" si="0"/>
        <v>150</v>
      </c>
      <c r="K42" s="19">
        <f t="shared" si="13"/>
        <v>76425</v>
      </c>
      <c r="L42" s="36">
        <f t="shared" si="1"/>
        <v>0</v>
      </c>
      <c r="M42" s="36">
        <f t="shared" si="2"/>
        <v>0</v>
      </c>
      <c r="N42" s="36">
        <f t="shared" si="3"/>
        <v>0</v>
      </c>
      <c r="O42" s="36">
        <f t="shared" si="4"/>
        <v>0</v>
      </c>
      <c r="P42" s="36">
        <f t="shared" si="5"/>
        <v>0</v>
      </c>
      <c r="Q42" s="36">
        <f t="shared" si="6"/>
        <v>0</v>
      </c>
      <c r="R42" s="36">
        <f t="shared" si="7"/>
        <v>0</v>
      </c>
      <c r="S42" s="36">
        <f t="shared" si="8"/>
        <v>150</v>
      </c>
      <c r="T42" s="36">
        <f t="shared" si="9"/>
        <v>0</v>
      </c>
      <c r="U42" s="36">
        <f t="shared" si="10"/>
        <v>0</v>
      </c>
      <c r="V42" s="36">
        <f t="shared" si="11"/>
        <v>0</v>
      </c>
      <c r="W42" s="19">
        <f t="shared" si="12"/>
        <v>150</v>
      </c>
      <c r="Y42" s="47"/>
    </row>
    <row r="43" spans="1:25">
      <c r="A43" s="63" t="s">
        <v>78</v>
      </c>
      <c r="B43" s="35">
        <v>40092</v>
      </c>
      <c r="C43" s="84">
        <v>8</v>
      </c>
      <c r="D43" s="56"/>
      <c r="E43" s="58"/>
      <c r="F43" s="59"/>
      <c r="G43" s="56"/>
      <c r="H43" s="58">
        <v>72</v>
      </c>
      <c r="I43" s="58"/>
      <c r="J43" s="19">
        <f t="shared" si="0"/>
        <v>72</v>
      </c>
      <c r="K43" s="19">
        <f t="shared" si="13"/>
        <v>76497</v>
      </c>
      <c r="L43" s="36">
        <f t="shared" si="1"/>
        <v>0</v>
      </c>
      <c r="M43" s="36">
        <f t="shared" si="2"/>
        <v>0</v>
      </c>
      <c r="N43" s="36">
        <f t="shared" si="3"/>
        <v>0</v>
      </c>
      <c r="O43" s="36">
        <f t="shared" si="4"/>
        <v>0</v>
      </c>
      <c r="P43" s="36">
        <f t="shared" si="5"/>
        <v>0</v>
      </c>
      <c r="Q43" s="36">
        <f t="shared" si="6"/>
        <v>0</v>
      </c>
      <c r="R43" s="36">
        <f t="shared" si="7"/>
        <v>0</v>
      </c>
      <c r="S43" s="36">
        <f t="shared" si="8"/>
        <v>72</v>
      </c>
      <c r="T43" s="36">
        <f t="shared" si="9"/>
        <v>0</v>
      </c>
      <c r="U43" s="36">
        <f t="shared" si="10"/>
        <v>0</v>
      </c>
      <c r="V43" s="36">
        <f t="shared" si="11"/>
        <v>0</v>
      </c>
      <c r="W43" s="19">
        <f t="shared" si="12"/>
        <v>72</v>
      </c>
      <c r="Y43" s="47"/>
    </row>
    <row r="44" spans="1:25">
      <c r="A44" s="63" t="s">
        <v>78</v>
      </c>
      <c r="B44" s="35">
        <v>40092</v>
      </c>
      <c r="C44" s="84">
        <v>8</v>
      </c>
      <c r="D44" s="56"/>
      <c r="E44" s="58"/>
      <c r="F44" s="59"/>
      <c r="G44" s="56"/>
      <c r="H44" s="58">
        <v>470</v>
      </c>
      <c r="I44" s="58"/>
      <c r="J44" s="19">
        <f t="shared" si="0"/>
        <v>470</v>
      </c>
      <c r="K44" s="19">
        <f t="shared" si="13"/>
        <v>76967</v>
      </c>
      <c r="L44" s="36">
        <f t="shared" si="1"/>
        <v>0</v>
      </c>
      <c r="M44" s="36">
        <f t="shared" si="2"/>
        <v>0</v>
      </c>
      <c r="N44" s="36">
        <f t="shared" si="3"/>
        <v>0</v>
      </c>
      <c r="O44" s="36">
        <f t="shared" si="4"/>
        <v>0</v>
      </c>
      <c r="P44" s="36">
        <f t="shared" si="5"/>
        <v>0</v>
      </c>
      <c r="Q44" s="36">
        <f t="shared" si="6"/>
        <v>0</v>
      </c>
      <c r="R44" s="36">
        <f t="shared" si="7"/>
        <v>0</v>
      </c>
      <c r="S44" s="36">
        <f t="shared" si="8"/>
        <v>470</v>
      </c>
      <c r="T44" s="36">
        <f t="shared" si="9"/>
        <v>0</v>
      </c>
      <c r="U44" s="36">
        <f t="shared" si="10"/>
        <v>0</v>
      </c>
      <c r="V44" s="36">
        <f t="shared" si="11"/>
        <v>0</v>
      </c>
      <c r="W44" s="19">
        <f t="shared" si="12"/>
        <v>470</v>
      </c>
      <c r="Y44" s="47"/>
    </row>
    <row r="45" spans="1:25">
      <c r="A45" s="63" t="s">
        <v>78</v>
      </c>
      <c r="B45" s="35">
        <v>40092</v>
      </c>
      <c r="C45" s="84">
        <v>8</v>
      </c>
      <c r="D45" s="56"/>
      <c r="E45" s="58"/>
      <c r="F45" s="59"/>
      <c r="G45" s="56"/>
      <c r="H45" s="58">
        <v>780</v>
      </c>
      <c r="I45" s="58"/>
      <c r="J45" s="19">
        <f t="shared" si="0"/>
        <v>780</v>
      </c>
      <c r="K45" s="19">
        <f t="shared" si="13"/>
        <v>77747</v>
      </c>
      <c r="L45" s="36">
        <f t="shared" si="1"/>
        <v>0</v>
      </c>
      <c r="M45" s="36">
        <f t="shared" si="2"/>
        <v>0</v>
      </c>
      <c r="N45" s="36">
        <f t="shared" si="3"/>
        <v>0</v>
      </c>
      <c r="O45" s="36">
        <f t="shared" si="4"/>
        <v>0</v>
      </c>
      <c r="P45" s="36">
        <f t="shared" si="5"/>
        <v>0</v>
      </c>
      <c r="Q45" s="36">
        <f t="shared" si="6"/>
        <v>0</v>
      </c>
      <c r="R45" s="36">
        <f t="shared" si="7"/>
        <v>0</v>
      </c>
      <c r="S45" s="36">
        <f t="shared" si="8"/>
        <v>780</v>
      </c>
      <c r="T45" s="36">
        <f t="shared" si="9"/>
        <v>0</v>
      </c>
      <c r="U45" s="36">
        <f t="shared" si="10"/>
        <v>0</v>
      </c>
      <c r="V45" s="36">
        <f t="shared" si="11"/>
        <v>0</v>
      </c>
      <c r="W45" s="19">
        <f t="shared" si="12"/>
        <v>780</v>
      </c>
      <c r="Y45" s="47"/>
    </row>
    <row r="46" spans="1:25">
      <c r="A46" s="63" t="s">
        <v>78</v>
      </c>
      <c r="B46" s="35">
        <v>40092</v>
      </c>
      <c r="C46" s="84">
        <v>8</v>
      </c>
      <c r="D46" s="56"/>
      <c r="E46" s="58"/>
      <c r="F46" s="59"/>
      <c r="G46" s="56"/>
      <c r="H46" s="58">
        <v>600</v>
      </c>
      <c r="I46" s="58"/>
      <c r="J46" s="19">
        <f t="shared" si="0"/>
        <v>600</v>
      </c>
      <c r="K46" s="19">
        <f t="shared" si="13"/>
        <v>78347</v>
      </c>
      <c r="L46" s="36">
        <f t="shared" si="1"/>
        <v>0</v>
      </c>
      <c r="M46" s="36">
        <f t="shared" si="2"/>
        <v>0</v>
      </c>
      <c r="N46" s="36">
        <f t="shared" si="3"/>
        <v>0</v>
      </c>
      <c r="O46" s="36">
        <f t="shared" si="4"/>
        <v>0</v>
      </c>
      <c r="P46" s="36">
        <f t="shared" si="5"/>
        <v>0</v>
      </c>
      <c r="Q46" s="36">
        <f t="shared" si="6"/>
        <v>0</v>
      </c>
      <c r="R46" s="36">
        <f t="shared" si="7"/>
        <v>0</v>
      </c>
      <c r="S46" s="36">
        <f t="shared" si="8"/>
        <v>600</v>
      </c>
      <c r="T46" s="36">
        <f t="shared" si="9"/>
        <v>0</v>
      </c>
      <c r="U46" s="36">
        <f t="shared" si="10"/>
        <v>0</v>
      </c>
      <c r="V46" s="36">
        <f t="shared" si="11"/>
        <v>0</v>
      </c>
      <c r="W46" s="19">
        <f t="shared" si="12"/>
        <v>600</v>
      </c>
      <c r="Y46" s="47"/>
    </row>
    <row r="47" spans="1:25">
      <c r="A47" s="63" t="s">
        <v>78</v>
      </c>
      <c r="B47" s="35">
        <v>40092</v>
      </c>
      <c r="C47" s="84">
        <v>8</v>
      </c>
      <c r="D47" s="56"/>
      <c r="E47" s="58"/>
      <c r="F47" s="59"/>
      <c r="G47" s="56"/>
      <c r="H47" s="58">
        <v>400</v>
      </c>
      <c r="I47" s="58"/>
      <c r="J47" s="19">
        <f t="shared" si="0"/>
        <v>400</v>
      </c>
      <c r="K47" s="19">
        <f t="shared" si="13"/>
        <v>78747</v>
      </c>
      <c r="L47" s="36">
        <f t="shared" si="1"/>
        <v>0</v>
      </c>
      <c r="M47" s="36">
        <f t="shared" si="2"/>
        <v>0</v>
      </c>
      <c r="N47" s="36">
        <f t="shared" si="3"/>
        <v>0</v>
      </c>
      <c r="O47" s="36">
        <f t="shared" si="4"/>
        <v>0</v>
      </c>
      <c r="P47" s="36">
        <f t="shared" si="5"/>
        <v>0</v>
      </c>
      <c r="Q47" s="36">
        <f t="shared" si="6"/>
        <v>0</v>
      </c>
      <c r="R47" s="36">
        <f t="shared" si="7"/>
        <v>0</v>
      </c>
      <c r="S47" s="36">
        <f t="shared" si="8"/>
        <v>400</v>
      </c>
      <c r="T47" s="36">
        <f t="shared" si="9"/>
        <v>0</v>
      </c>
      <c r="U47" s="36">
        <f t="shared" si="10"/>
        <v>0</v>
      </c>
      <c r="V47" s="36">
        <f t="shared" si="11"/>
        <v>0</v>
      </c>
      <c r="W47" s="19">
        <f t="shared" si="12"/>
        <v>400</v>
      </c>
      <c r="Y47" s="47"/>
    </row>
    <row r="48" spans="1:25">
      <c r="A48" s="63" t="s">
        <v>78</v>
      </c>
      <c r="B48" s="35">
        <v>40092</v>
      </c>
      <c r="C48" s="84">
        <v>8</v>
      </c>
      <c r="D48" s="56"/>
      <c r="E48" s="58"/>
      <c r="F48" s="59"/>
      <c r="G48" s="56"/>
      <c r="H48" s="58">
        <v>600</v>
      </c>
      <c r="I48" s="58"/>
      <c r="J48" s="19">
        <f t="shared" si="0"/>
        <v>600</v>
      </c>
      <c r="K48" s="19">
        <f t="shared" si="13"/>
        <v>79347</v>
      </c>
      <c r="L48" s="36">
        <f t="shared" si="1"/>
        <v>0</v>
      </c>
      <c r="M48" s="36">
        <f t="shared" si="2"/>
        <v>0</v>
      </c>
      <c r="N48" s="36">
        <f t="shared" si="3"/>
        <v>0</v>
      </c>
      <c r="O48" s="36">
        <f t="shared" si="4"/>
        <v>0</v>
      </c>
      <c r="P48" s="36">
        <f t="shared" si="5"/>
        <v>0</v>
      </c>
      <c r="Q48" s="36">
        <f t="shared" si="6"/>
        <v>0</v>
      </c>
      <c r="R48" s="36">
        <f t="shared" si="7"/>
        <v>0</v>
      </c>
      <c r="S48" s="36">
        <f t="shared" si="8"/>
        <v>600</v>
      </c>
      <c r="T48" s="36">
        <f t="shared" si="9"/>
        <v>0</v>
      </c>
      <c r="U48" s="36">
        <f t="shared" si="10"/>
        <v>0</v>
      </c>
      <c r="V48" s="36">
        <f t="shared" si="11"/>
        <v>0</v>
      </c>
      <c r="W48" s="19">
        <f t="shared" si="12"/>
        <v>600</v>
      </c>
      <c r="Y48" s="47"/>
    </row>
    <row r="49" spans="1:25">
      <c r="A49" s="63" t="s">
        <v>78</v>
      </c>
      <c r="B49" s="35">
        <v>40092</v>
      </c>
      <c r="C49" s="84">
        <v>8</v>
      </c>
      <c r="D49" s="56"/>
      <c r="E49" s="58"/>
      <c r="F49" s="59"/>
      <c r="G49" s="56"/>
      <c r="H49" s="58">
        <v>30</v>
      </c>
      <c r="I49" s="58"/>
      <c r="J49" s="19">
        <f t="shared" si="0"/>
        <v>30</v>
      </c>
      <c r="K49" s="19">
        <f t="shared" si="13"/>
        <v>79377</v>
      </c>
      <c r="L49" s="36">
        <f t="shared" si="1"/>
        <v>0</v>
      </c>
      <c r="M49" s="36">
        <f t="shared" si="2"/>
        <v>0</v>
      </c>
      <c r="N49" s="36">
        <f t="shared" si="3"/>
        <v>0</v>
      </c>
      <c r="O49" s="36">
        <f t="shared" si="4"/>
        <v>0</v>
      </c>
      <c r="P49" s="36">
        <f t="shared" si="5"/>
        <v>0</v>
      </c>
      <c r="Q49" s="36">
        <f t="shared" si="6"/>
        <v>0</v>
      </c>
      <c r="R49" s="36">
        <f t="shared" si="7"/>
        <v>0</v>
      </c>
      <c r="S49" s="36">
        <f t="shared" si="8"/>
        <v>30</v>
      </c>
      <c r="T49" s="36">
        <f t="shared" si="9"/>
        <v>0</v>
      </c>
      <c r="U49" s="36">
        <f t="shared" si="10"/>
        <v>0</v>
      </c>
      <c r="V49" s="36">
        <f t="shared" si="11"/>
        <v>0</v>
      </c>
      <c r="W49" s="19">
        <f t="shared" si="12"/>
        <v>30</v>
      </c>
      <c r="Y49" s="47"/>
    </row>
    <row r="50" spans="1:25">
      <c r="A50" s="63" t="s">
        <v>79</v>
      </c>
      <c r="B50" s="35">
        <v>40092</v>
      </c>
      <c r="C50" s="84">
        <v>8</v>
      </c>
      <c r="D50" s="56"/>
      <c r="E50" s="58"/>
      <c r="F50" s="59"/>
      <c r="G50" s="56"/>
      <c r="H50" s="58">
        <v>1800</v>
      </c>
      <c r="I50" s="58"/>
      <c r="J50" s="19">
        <f t="shared" si="0"/>
        <v>1800</v>
      </c>
      <c r="K50" s="19">
        <f t="shared" si="13"/>
        <v>81177</v>
      </c>
      <c r="L50" s="36">
        <f t="shared" si="1"/>
        <v>0</v>
      </c>
      <c r="M50" s="36">
        <f t="shared" si="2"/>
        <v>0</v>
      </c>
      <c r="N50" s="36">
        <f t="shared" si="3"/>
        <v>0</v>
      </c>
      <c r="O50" s="36">
        <f t="shared" si="4"/>
        <v>0</v>
      </c>
      <c r="P50" s="36">
        <f t="shared" si="5"/>
        <v>0</v>
      </c>
      <c r="Q50" s="36">
        <f t="shared" si="6"/>
        <v>0</v>
      </c>
      <c r="R50" s="36">
        <f t="shared" si="7"/>
        <v>0</v>
      </c>
      <c r="S50" s="36">
        <f t="shared" si="8"/>
        <v>1800</v>
      </c>
      <c r="T50" s="36">
        <f t="shared" si="9"/>
        <v>0</v>
      </c>
      <c r="U50" s="36">
        <f t="shared" si="10"/>
        <v>0</v>
      </c>
      <c r="V50" s="36">
        <f t="shared" si="11"/>
        <v>0</v>
      </c>
      <c r="W50" s="19">
        <f t="shared" si="12"/>
        <v>1800</v>
      </c>
      <c r="Y50" s="47"/>
    </row>
    <row r="51" spans="1:25">
      <c r="A51" s="63" t="s">
        <v>79</v>
      </c>
      <c r="B51" s="35">
        <v>40092</v>
      </c>
      <c r="C51" s="84">
        <v>8</v>
      </c>
      <c r="D51" s="56"/>
      <c r="E51" s="58"/>
      <c r="F51" s="59"/>
      <c r="G51" s="56"/>
      <c r="H51" s="58">
        <v>500</v>
      </c>
      <c r="I51" s="58"/>
      <c r="J51" s="19">
        <f t="shared" si="0"/>
        <v>500</v>
      </c>
      <c r="K51" s="19">
        <f t="shared" si="13"/>
        <v>81677</v>
      </c>
      <c r="L51" s="36">
        <f t="shared" si="1"/>
        <v>0</v>
      </c>
      <c r="M51" s="36">
        <f t="shared" si="2"/>
        <v>0</v>
      </c>
      <c r="N51" s="36">
        <f t="shared" si="3"/>
        <v>0</v>
      </c>
      <c r="O51" s="36">
        <f t="shared" si="4"/>
        <v>0</v>
      </c>
      <c r="P51" s="36">
        <f t="shared" si="5"/>
        <v>0</v>
      </c>
      <c r="Q51" s="36">
        <f t="shared" si="6"/>
        <v>0</v>
      </c>
      <c r="R51" s="36">
        <f t="shared" si="7"/>
        <v>0</v>
      </c>
      <c r="S51" s="36">
        <f t="shared" si="8"/>
        <v>500</v>
      </c>
      <c r="T51" s="36">
        <f t="shared" si="9"/>
        <v>0</v>
      </c>
      <c r="U51" s="36">
        <f t="shared" si="10"/>
        <v>0</v>
      </c>
      <c r="V51" s="36">
        <f t="shared" si="11"/>
        <v>0</v>
      </c>
      <c r="W51" s="19">
        <f t="shared" si="12"/>
        <v>500</v>
      </c>
      <c r="Y51" s="47"/>
    </row>
    <row r="52" spans="1:25">
      <c r="A52" s="63" t="s">
        <v>79</v>
      </c>
      <c r="B52" s="35">
        <v>40092</v>
      </c>
      <c r="C52" s="84">
        <v>8</v>
      </c>
      <c r="D52" s="56"/>
      <c r="E52" s="58"/>
      <c r="F52" s="59"/>
      <c r="G52" s="56"/>
      <c r="H52" s="58">
        <v>1000</v>
      </c>
      <c r="I52" s="58"/>
      <c r="J52" s="19">
        <f t="shared" si="0"/>
        <v>1000</v>
      </c>
      <c r="K52" s="19">
        <f t="shared" si="13"/>
        <v>82677</v>
      </c>
      <c r="L52" s="36">
        <f t="shared" si="1"/>
        <v>0</v>
      </c>
      <c r="M52" s="36">
        <f t="shared" si="2"/>
        <v>0</v>
      </c>
      <c r="N52" s="36">
        <f t="shared" si="3"/>
        <v>0</v>
      </c>
      <c r="O52" s="36">
        <f t="shared" si="4"/>
        <v>0</v>
      </c>
      <c r="P52" s="36">
        <f t="shared" si="5"/>
        <v>0</v>
      </c>
      <c r="Q52" s="36">
        <f t="shared" si="6"/>
        <v>0</v>
      </c>
      <c r="R52" s="36">
        <f t="shared" si="7"/>
        <v>0</v>
      </c>
      <c r="S52" s="36">
        <f t="shared" si="8"/>
        <v>1000</v>
      </c>
      <c r="T52" s="36">
        <f t="shared" si="9"/>
        <v>0</v>
      </c>
      <c r="U52" s="36">
        <f t="shared" si="10"/>
        <v>0</v>
      </c>
      <c r="V52" s="36">
        <f t="shared" si="11"/>
        <v>0</v>
      </c>
      <c r="W52" s="19">
        <f t="shared" si="12"/>
        <v>1000</v>
      </c>
      <c r="Y52" s="47"/>
    </row>
    <row r="53" spans="1:25">
      <c r="A53" s="63" t="s">
        <v>79</v>
      </c>
      <c r="B53" s="35">
        <v>40092</v>
      </c>
      <c r="C53" s="84">
        <v>8</v>
      </c>
      <c r="D53" s="56"/>
      <c r="E53" s="58"/>
      <c r="F53" s="59"/>
      <c r="G53" s="56"/>
      <c r="H53" s="58">
        <v>900</v>
      </c>
      <c r="I53" s="58"/>
      <c r="J53" s="19">
        <f t="shared" si="0"/>
        <v>900</v>
      </c>
      <c r="K53" s="19">
        <f t="shared" si="13"/>
        <v>83577</v>
      </c>
      <c r="L53" s="36">
        <f t="shared" si="1"/>
        <v>0</v>
      </c>
      <c r="M53" s="36">
        <f t="shared" si="2"/>
        <v>0</v>
      </c>
      <c r="N53" s="36">
        <f t="shared" si="3"/>
        <v>0</v>
      </c>
      <c r="O53" s="36">
        <f t="shared" si="4"/>
        <v>0</v>
      </c>
      <c r="P53" s="36">
        <f t="shared" si="5"/>
        <v>0</v>
      </c>
      <c r="Q53" s="36">
        <f t="shared" si="6"/>
        <v>0</v>
      </c>
      <c r="R53" s="36">
        <f t="shared" si="7"/>
        <v>0</v>
      </c>
      <c r="S53" s="36">
        <f t="shared" si="8"/>
        <v>900</v>
      </c>
      <c r="T53" s="36">
        <f t="shared" si="9"/>
        <v>0</v>
      </c>
      <c r="U53" s="36">
        <f t="shared" si="10"/>
        <v>0</v>
      </c>
      <c r="V53" s="36">
        <f t="shared" si="11"/>
        <v>0</v>
      </c>
      <c r="W53" s="19">
        <f t="shared" si="12"/>
        <v>900</v>
      </c>
      <c r="Y53" s="47"/>
    </row>
    <row r="54" spans="1:25">
      <c r="A54" s="63" t="s">
        <v>79</v>
      </c>
      <c r="B54" s="35">
        <v>40092</v>
      </c>
      <c r="C54" s="84">
        <v>8</v>
      </c>
      <c r="D54" s="56"/>
      <c r="E54" s="58"/>
      <c r="F54" s="59"/>
      <c r="G54" s="56"/>
      <c r="H54" s="58">
        <v>400</v>
      </c>
      <c r="I54" s="58"/>
      <c r="J54" s="19">
        <f t="shared" si="0"/>
        <v>400</v>
      </c>
      <c r="K54" s="19">
        <f t="shared" si="13"/>
        <v>83977</v>
      </c>
      <c r="L54" s="36">
        <f t="shared" si="1"/>
        <v>0</v>
      </c>
      <c r="M54" s="36">
        <f t="shared" si="2"/>
        <v>0</v>
      </c>
      <c r="N54" s="36">
        <f t="shared" si="3"/>
        <v>0</v>
      </c>
      <c r="O54" s="36">
        <f t="shared" si="4"/>
        <v>0</v>
      </c>
      <c r="P54" s="36">
        <f t="shared" si="5"/>
        <v>0</v>
      </c>
      <c r="Q54" s="36">
        <f t="shared" si="6"/>
        <v>0</v>
      </c>
      <c r="R54" s="36">
        <f t="shared" si="7"/>
        <v>0</v>
      </c>
      <c r="S54" s="36">
        <f t="shared" si="8"/>
        <v>400</v>
      </c>
      <c r="T54" s="36">
        <f t="shared" si="9"/>
        <v>0</v>
      </c>
      <c r="U54" s="36">
        <f t="shared" si="10"/>
        <v>0</v>
      </c>
      <c r="V54" s="36">
        <f t="shared" si="11"/>
        <v>0</v>
      </c>
      <c r="W54" s="19">
        <f t="shared" si="12"/>
        <v>400</v>
      </c>
      <c r="Y54" s="47"/>
    </row>
    <row r="55" spans="1:25">
      <c r="A55" s="63" t="s">
        <v>80</v>
      </c>
      <c r="B55" s="35">
        <v>40092</v>
      </c>
      <c r="C55" s="84">
        <v>8</v>
      </c>
      <c r="D55" s="56"/>
      <c r="E55" s="58"/>
      <c r="F55" s="59"/>
      <c r="G55" s="56"/>
      <c r="H55" s="58">
        <v>1600</v>
      </c>
      <c r="I55" s="58"/>
      <c r="J55" s="19">
        <f t="shared" si="0"/>
        <v>1600</v>
      </c>
      <c r="K55" s="19">
        <f t="shared" si="13"/>
        <v>85577</v>
      </c>
      <c r="L55" s="36">
        <f t="shared" si="1"/>
        <v>0</v>
      </c>
      <c r="M55" s="36">
        <f t="shared" si="2"/>
        <v>0</v>
      </c>
      <c r="N55" s="36">
        <f t="shared" si="3"/>
        <v>0</v>
      </c>
      <c r="O55" s="36">
        <f t="shared" si="4"/>
        <v>0</v>
      </c>
      <c r="P55" s="36">
        <f t="shared" si="5"/>
        <v>0</v>
      </c>
      <c r="Q55" s="36">
        <f t="shared" si="6"/>
        <v>0</v>
      </c>
      <c r="R55" s="36">
        <f t="shared" si="7"/>
        <v>0</v>
      </c>
      <c r="S55" s="36">
        <f t="shared" si="8"/>
        <v>1600</v>
      </c>
      <c r="T55" s="36">
        <f t="shared" si="9"/>
        <v>0</v>
      </c>
      <c r="U55" s="36">
        <f t="shared" si="10"/>
        <v>0</v>
      </c>
      <c r="V55" s="36">
        <f t="shared" si="11"/>
        <v>0</v>
      </c>
      <c r="W55" s="19">
        <f t="shared" si="12"/>
        <v>1600</v>
      </c>
      <c r="Y55" s="47"/>
    </row>
    <row r="56" spans="1:25">
      <c r="A56" s="63" t="s">
        <v>80</v>
      </c>
      <c r="B56" s="35">
        <v>40092</v>
      </c>
      <c r="C56" s="84">
        <v>8</v>
      </c>
      <c r="D56" s="56"/>
      <c r="E56" s="58"/>
      <c r="F56" s="59"/>
      <c r="G56" s="56"/>
      <c r="H56" s="58">
        <v>2000</v>
      </c>
      <c r="I56" s="58"/>
      <c r="J56" s="19">
        <f t="shared" si="0"/>
        <v>2000</v>
      </c>
      <c r="K56" s="19">
        <f t="shared" si="13"/>
        <v>87577</v>
      </c>
      <c r="L56" s="36">
        <f t="shared" si="1"/>
        <v>0</v>
      </c>
      <c r="M56" s="36">
        <f t="shared" si="2"/>
        <v>0</v>
      </c>
      <c r="N56" s="36">
        <f t="shared" si="3"/>
        <v>0</v>
      </c>
      <c r="O56" s="36">
        <f t="shared" si="4"/>
        <v>0</v>
      </c>
      <c r="P56" s="36">
        <f t="shared" si="5"/>
        <v>0</v>
      </c>
      <c r="Q56" s="36">
        <f t="shared" si="6"/>
        <v>0</v>
      </c>
      <c r="R56" s="36">
        <f t="shared" si="7"/>
        <v>0</v>
      </c>
      <c r="S56" s="36">
        <f t="shared" si="8"/>
        <v>2000</v>
      </c>
      <c r="T56" s="36">
        <f t="shared" si="9"/>
        <v>0</v>
      </c>
      <c r="U56" s="36">
        <f t="shared" si="10"/>
        <v>0</v>
      </c>
      <c r="V56" s="36">
        <f t="shared" si="11"/>
        <v>0</v>
      </c>
      <c r="W56" s="19">
        <f t="shared" si="12"/>
        <v>2000</v>
      </c>
      <c r="Y56" s="47"/>
    </row>
    <row r="57" spans="1:25">
      <c r="A57" s="63" t="s">
        <v>80</v>
      </c>
      <c r="B57" s="35">
        <v>40092</v>
      </c>
      <c r="C57" s="84">
        <v>8</v>
      </c>
      <c r="D57" s="56"/>
      <c r="E57" s="58"/>
      <c r="F57" s="59"/>
      <c r="G57" s="56"/>
      <c r="H57" s="58">
        <v>10000</v>
      </c>
      <c r="I57" s="58"/>
      <c r="J57" s="19">
        <f t="shared" si="0"/>
        <v>10000</v>
      </c>
      <c r="K57" s="19">
        <f t="shared" si="13"/>
        <v>97577</v>
      </c>
      <c r="L57" s="36">
        <f t="shared" si="1"/>
        <v>0</v>
      </c>
      <c r="M57" s="36">
        <f t="shared" si="2"/>
        <v>0</v>
      </c>
      <c r="N57" s="36">
        <f t="shared" si="3"/>
        <v>0</v>
      </c>
      <c r="O57" s="36">
        <f t="shared" si="4"/>
        <v>0</v>
      </c>
      <c r="P57" s="36">
        <f t="shared" si="5"/>
        <v>0</v>
      </c>
      <c r="Q57" s="36">
        <f t="shared" si="6"/>
        <v>0</v>
      </c>
      <c r="R57" s="36">
        <f t="shared" si="7"/>
        <v>0</v>
      </c>
      <c r="S57" s="36">
        <f t="shared" si="8"/>
        <v>10000</v>
      </c>
      <c r="T57" s="36">
        <f t="shared" si="9"/>
        <v>0</v>
      </c>
      <c r="U57" s="36">
        <f t="shared" si="10"/>
        <v>0</v>
      </c>
      <c r="V57" s="36">
        <f t="shared" si="11"/>
        <v>0</v>
      </c>
      <c r="W57" s="19">
        <f t="shared" si="12"/>
        <v>10000</v>
      </c>
      <c r="Y57" s="47"/>
    </row>
    <row r="58" spans="1:25">
      <c r="A58" s="63" t="s">
        <v>80</v>
      </c>
      <c r="B58" s="35">
        <v>40092</v>
      </c>
      <c r="C58" s="84">
        <v>8</v>
      </c>
      <c r="D58" s="56"/>
      <c r="E58" s="58"/>
      <c r="F58" s="59"/>
      <c r="G58" s="56"/>
      <c r="H58" s="58">
        <v>3000</v>
      </c>
      <c r="I58" s="58"/>
      <c r="J58" s="19">
        <f t="shared" si="0"/>
        <v>3000</v>
      </c>
      <c r="K58" s="19">
        <f t="shared" si="13"/>
        <v>100577</v>
      </c>
      <c r="L58" s="36">
        <f t="shared" si="1"/>
        <v>0</v>
      </c>
      <c r="M58" s="36">
        <f t="shared" si="2"/>
        <v>0</v>
      </c>
      <c r="N58" s="36">
        <f t="shared" si="3"/>
        <v>0</v>
      </c>
      <c r="O58" s="36">
        <f t="shared" si="4"/>
        <v>0</v>
      </c>
      <c r="P58" s="36">
        <f t="shared" si="5"/>
        <v>0</v>
      </c>
      <c r="Q58" s="36">
        <f t="shared" si="6"/>
        <v>0</v>
      </c>
      <c r="R58" s="36">
        <f t="shared" si="7"/>
        <v>0</v>
      </c>
      <c r="S58" s="36">
        <f t="shared" si="8"/>
        <v>3000</v>
      </c>
      <c r="T58" s="36">
        <f t="shared" si="9"/>
        <v>0</v>
      </c>
      <c r="U58" s="36">
        <f t="shared" si="10"/>
        <v>0</v>
      </c>
      <c r="V58" s="36">
        <f t="shared" si="11"/>
        <v>0</v>
      </c>
      <c r="W58" s="19">
        <f t="shared" si="12"/>
        <v>3000</v>
      </c>
      <c r="Y58" s="47"/>
    </row>
    <row r="59" spans="1:25">
      <c r="A59" s="63" t="s">
        <v>81</v>
      </c>
      <c r="B59" s="35">
        <v>40092</v>
      </c>
      <c r="C59" s="84">
        <v>8</v>
      </c>
      <c r="D59" s="56"/>
      <c r="E59" s="58"/>
      <c r="F59" s="59"/>
      <c r="G59" s="56"/>
      <c r="H59" s="58">
        <v>1800</v>
      </c>
      <c r="I59" s="58"/>
      <c r="J59" s="19">
        <f t="shared" si="0"/>
        <v>1800</v>
      </c>
      <c r="K59" s="19">
        <f t="shared" si="13"/>
        <v>102377</v>
      </c>
      <c r="L59" s="36">
        <f t="shared" si="1"/>
        <v>0</v>
      </c>
      <c r="M59" s="36">
        <f t="shared" si="2"/>
        <v>0</v>
      </c>
      <c r="N59" s="36">
        <f t="shared" si="3"/>
        <v>0</v>
      </c>
      <c r="O59" s="36">
        <f t="shared" si="4"/>
        <v>0</v>
      </c>
      <c r="P59" s="36">
        <f t="shared" si="5"/>
        <v>0</v>
      </c>
      <c r="Q59" s="36">
        <f t="shared" si="6"/>
        <v>0</v>
      </c>
      <c r="R59" s="36">
        <f t="shared" si="7"/>
        <v>0</v>
      </c>
      <c r="S59" s="36">
        <f t="shared" si="8"/>
        <v>1800</v>
      </c>
      <c r="T59" s="36">
        <f t="shared" si="9"/>
        <v>0</v>
      </c>
      <c r="U59" s="36">
        <f t="shared" si="10"/>
        <v>0</v>
      </c>
      <c r="V59" s="36">
        <f t="shared" si="11"/>
        <v>0</v>
      </c>
      <c r="W59" s="19">
        <f t="shared" si="12"/>
        <v>1800</v>
      </c>
      <c r="Y59" s="47"/>
    </row>
    <row r="60" spans="1:25">
      <c r="A60" s="63" t="s">
        <v>81</v>
      </c>
      <c r="B60" s="35">
        <v>40092</v>
      </c>
      <c r="C60" s="84">
        <v>8</v>
      </c>
      <c r="D60" s="56"/>
      <c r="E60" s="58"/>
      <c r="F60" s="59"/>
      <c r="G60" s="56"/>
      <c r="H60" s="58">
        <v>900</v>
      </c>
      <c r="I60" s="58"/>
      <c r="J60" s="19">
        <f t="shared" si="0"/>
        <v>900</v>
      </c>
      <c r="K60" s="19">
        <f t="shared" si="13"/>
        <v>103277</v>
      </c>
      <c r="L60" s="36">
        <f t="shared" si="1"/>
        <v>0</v>
      </c>
      <c r="M60" s="36">
        <f t="shared" si="2"/>
        <v>0</v>
      </c>
      <c r="N60" s="36">
        <f t="shared" si="3"/>
        <v>0</v>
      </c>
      <c r="O60" s="36">
        <f t="shared" si="4"/>
        <v>0</v>
      </c>
      <c r="P60" s="36">
        <f t="shared" si="5"/>
        <v>0</v>
      </c>
      <c r="Q60" s="36">
        <f t="shared" si="6"/>
        <v>0</v>
      </c>
      <c r="R60" s="36">
        <f t="shared" si="7"/>
        <v>0</v>
      </c>
      <c r="S60" s="36">
        <f t="shared" si="8"/>
        <v>900</v>
      </c>
      <c r="T60" s="36">
        <f t="shared" si="9"/>
        <v>0</v>
      </c>
      <c r="U60" s="36">
        <f t="shared" si="10"/>
        <v>0</v>
      </c>
      <c r="V60" s="36">
        <f t="shared" si="11"/>
        <v>0</v>
      </c>
      <c r="W60" s="19">
        <f t="shared" si="12"/>
        <v>900</v>
      </c>
      <c r="Y60" s="47"/>
    </row>
    <row r="61" spans="1:25">
      <c r="A61" s="63" t="s">
        <v>81</v>
      </c>
      <c r="B61" s="35">
        <v>40092</v>
      </c>
      <c r="C61" s="84">
        <v>8</v>
      </c>
      <c r="D61" s="56"/>
      <c r="E61" s="58"/>
      <c r="F61" s="59"/>
      <c r="G61" s="56"/>
      <c r="H61" s="58">
        <v>400</v>
      </c>
      <c r="I61" s="58"/>
      <c r="J61" s="19">
        <f t="shared" si="0"/>
        <v>400</v>
      </c>
      <c r="K61" s="19">
        <f t="shared" si="13"/>
        <v>103677</v>
      </c>
      <c r="L61" s="36">
        <f t="shared" si="1"/>
        <v>0</v>
      </c>
      <c r="M61" s="36">
        <f t="shared" si="2"/>
        <v>0</v>
      </c>
      <c r="N61" s="36">
        <f t="shared" si="3"/>
        <v>0</v>
      </c>
      <c r="O61" s="36">
        <f t="shared" si="4"/>
        <v>0</v>
      </c>
      <c r="P61" s="36">
        <f t="shared" si="5"/>
        <v>0</v>
      </c>
      <c r="Q61" s="36">
        <f t="shared" si="6"/>
        <v>0</v>
      </c>
      <c r="R61" s="36">
        <f t="shared" si="7"/>
        <v>0</v>
      </c>
      <c r="S61" s="36">
        <f t="shared" si="8"/>
        <v>400</v>
      </c>
      <c r="T61" s="36">
        <f t="shared" si="9"/>
        <v>0</v>
      </c>
      <c r="U61" s="36">
        <f t="shared" si="10"/>
        <v>0</v>
      </c>
      <c r="V61" s="36">
        <f t="shared" si="11"/>
        <v>0</v>
      </c>
      <c r="W61" s="19">
        <f t="shared" si="12"/>
        <v>400</v>
      </c>
      <c r="Y61" s="47"/>
    </row>
    <row r="62" spans="1:25">
      <c r="A62" s="63" t="s">
        <v>82</v>
      </c>
      <c r="B62" s="35">
        <v>40092</v>
      </c>
      <c r="C62" s="84">
        <v>8</v>
      </c>
      <c r="D62" s="56"/>
      <c r="E62" s="58"/>
      <c r="F62" s="59"/>
      <c r="G62" s="56"/>
      <c r="H62" s="58">
        <v>1600</v>
      </c>
      <c r="I62" s="58"/>
      <c r="J62" s="19">
        <f t="shared" si="0"/>
        <v>1600</v>
      </c>
      <c r="K62" s="19">
        <f t="shared" si="13"/>
        <v>105277</v>
      </c>
      <c r="L62" s="36">
        <f t="shared" si="1"/>
        <v>0</v>
      </c>
      <c r="M62" s="36">
        <f t="shared" si="2"/>
        <v>0</v>
      </c>
      <c r="N62" s="36">
        <f t="shared" si="3"/>
        <v>0</v>
      </c>
      <c r="O62" s="36">
        <f t="shared" si="4"/>
        <v>0</v>
      </c>
      <c r="P62" s="36">
        <f t="shared" si="5"/>
        <v>0</v>
      </c>
      <c r="Q62" s="36">
        <f t="shared" si="6"/>
        <v>0</v>
      </c>
      <c r="R62" s="36">
        <f t="shared" si="7"/>
        <v>0</v>
      </c>
      <c r="S62" s="36">
        <f t="shared" si="8"/>
        <v>1600</v>
      </c>
      <c r="T62" s="36">
        <f t="shared" si="9"/>
        <v>0</v>
      </c>
      <c r="U62" s="36">
        <f t="shared" si="10"/>
        <v>0</v>
      </c>
      <c r="V62" s="36">
        <f t="shared" si="11"/>
        <v>0</v>
      </c>
      <c r="W62" s="19">
        <f t="shared" si="12"/>
        <v>1600</v>
      </c>
      <c r="Y62" s="47"/>
    </row>
    <row r="63" spans="1:25">
      <c r="A63" s="63" t="s">
        <v>82</v>
      </c>
      <c r="B63" s="35">
        <v>40092</v>
      </c>
      <c r="C63" s="84">
        <v>8</v>
      </c>
      <c r="D63" s="56"/>
      <c r="E63" s="58"/>
      <c r="F63" s="59"/>
      <c r="G63" s="56"/>
      <c r="H63" s="58">
        <v>800</v>
      </c>
      <c r="I63" s="58"/>
      <c r="J63" s="19">
        <f t="shared" si="0"/>
        <v>800</v>
      </c>
      <c r="K63" s="19">
        <f t="shared" si="13"/>
        <v>106077</v>
      </c>
      <c r="L63" s="36">
        <f t="shared" si="1"/>
        <v>0</v>
      </c>
      <c r="M63" s="36">
        <f t="shared" si="2"/>
        <v>0</v>
      </c>
      <c r="N63" s="36">
        <f t="shared" si="3"/>
        <v>0</v>
      </c>
      <c r="O63" s="36">
        <f t="shared" si="4"/>
        <v>0</v>
      </c>
      <c r="P63" s="36">
        <f t="shared" si="5"/>
        <v>0</v>
      </c>
      <c r="Q63" s="36">
        <f t="shared" si="6"/>
        <v>0</v>
      </c>
      <c r="R63" s="36">
        <f t="shared" si="7"/>
        <v>0</v>
      </c>
      <c r="S63" s="36">
        <f t="shared" si="8"/>
        <v>800</v>
      </c>
      <c r="T63" s="36">
        <f t="shared" si="9"/>
        <v>0</v>
      </c>
      <c r="U63" s="36">
        <f t="shared" si="10"/>
        <v>0</v>
      </c>
      <c r="V63" s="36">
        <f t="shared" si="11"/>
        <v>0</v>
      </c>
      <c r="W63" s="19">
        <f t="shared" si="12"/>
        <v>800</v>
      </c>
      <c r="Y63" s="47"/>
    </row>
    <row r="64" spans="1:25">
      <c r="A64" s="63" t="s">
        <v>82</v>
      </c>
      <c r="B64" s="35">
        <v>40092</v>
      </c>
      <c r="C64" s="84">
        <v>8</v>
      </c>
      <c r="D64" s="56"/>
      <c r="E64" s="58"/>
      <c r="F64" s="59"/>
      <c r="G64" s="56"/>
      <c r="H64" s="58">
        <v>300</v>
      </c>
      <c r="I64" s="58"/>
      <c r="J64" s="19">
        <f t="shared" si="0"/>
        <v>300</v>
      </c>
      <c r="K64" s="19">
        <f t="shared" si="13"/>
        <v>106377</v>
      </c>
      <c r="L64" s="36">
        <f t="shared" si="1"/>
        <v>0</v>
      </c>
      <c r="M64" s="36">
        <f t="shared" si="2"/>
        <v>0</v>
      </c>
      <c r="N64" s="36">
        <f t="shared" si="3"/>
        <v>0</v>
      </c>
      <c r="O64" s="36">
        <f t="shared" si="4"/>
        <v>0</v>
      </c>
      <c r="P64" s="36">
        <f t="shared" si="5"/>
        <v>0</v>
      </c>
      <c r="Q64" s="36">
        <f t="shared" si="6"/>
        <v>0</v>
      </c>
      <c r="R64" s="36">
        <f t="shared" si="7"/>
        <v>0</v>
      </c>
      <c r="S64" s="36">
        <f t="shared" si="8"/>
        <v>300</v>
      </c>
      <c r="T64" s="36">
        <f t="shared" si="9"/>
        <v>0</v>
      </c>
      <c r="U64" s="36">
        <f t="shared" si="10"/>
        <v>0</v>
      </c>
      <c r="V64" s="36">
        <f t="shared" si="11"/>
        <v>0</v>
      </c>
      <c r="W64" s="19">
        <f t="shared" si="12"/>
        <v>300</v>
      </c>
      <c r="Y64" s="47"/>
    </row>
    <row r="65" spans="1:25">
      <c r="A65" s="63" t="s">
        <v>83</v>
      </c>
      <c r="B65" s="35">
        <v>40092</v>
      </c>
      <c r="C65" s="84">
        <v>8</v>
      </c>
      <c r="D65" s="56"/>
      <c r="E65" s="58"/>
      <c r="F65" s="59"/>
      <c r="G65" s="56"/>
      <c r="H65" s="58">
        <v>900</v>
      </c>
      <c r="I65" s="58"/>
      <c r="J65" s="19">
        <f t="shared" si="0"/>
        <v>900</v>
      </c>
      <c r="K65" s="19">
        <f t="shared" si="13"/>
        <v>107277</v>
      </c>
      <c r="L65" s="36">
        <f t="shared" si="1"/>
        <v>0</v>
      </c>
      <c r="M65" s="36">
        <f t="shared" si="2"/>
        <v>0</v>
      </c>
      <c r="N65" s="36">
        <f t="shared" si="3"/>
        <v>0</v>
      </c>
      <c r="O65" s="36">
        <f t="shared" si="4"/>
        <v>0</v>
      </c>
      <c r="P65" s="36">
        <f t="shared" si="5"/>
        <v>0</v>
      </c>
      <c r="Q65" s="36">
        <f t="shared" si="6"/>
        <v>0</v>
      </c>
      <c r="R65" s="36">
        <f t="shared" si="7"/>
        <v>0</v>
      </c>
      <c r="S65" s="36">
        <f t="shared" si="8"/>
        <v>900</v>
      </c>
      <c r="T65" s="36">
        <f t="shared" si="9"/>
        <v>0</v>
      </c>
      <c r="U65" s="36">
        <f t="shared" si="10"/>
        <v>0</v>
      </c>
      <c r="V65" s="36">
        <f t="shared" si="11"/>
        <v>0</v>
      </c>
      <c r="W65" s="19">
        <f t="shared" si="12"/>
        <v>900</v>
      </c>
      <c r="Y65" s="47"/>
    </row>
    <row r="66" spans="1:25">
      <c r="A66" s="56" t="s">
        <v>72</v>
      </c>
      <c r="B66" s="77">
        <v>40105</v>
      </c>
      <c r="C66" s="84">
        <v>8.1</v>
      </c>
      <c r="D66" s="56"/>
      <c r="E66" s="58"/>
      <c r="F66" s="59"/>
      <c r="G66" s="56"/>
      <c r="H66" s="58"/>
      <c r="I66" s="93">
        <v>50</v>
      </c>
      <c r="J66" s="19">
        <f t="shared" si="0"/>
        <v>50</v>
      </c>
      <c r="K66" s="19">
        <f t="shared" si="13"/>
        <v>107327</v>
      </c>
      <c r="L66" s="36">
        <f t="shared" si="1"/>
        <v>0</v>
      </c>
      <c r="M66" s="36">
        <f t="shared" si="2"/>
        <v>0</v>
      </c>
      <c r="N66" s="36">
        <f t="shared" si="3"/>
        <v>0</v>
      </c>
      <c r="O66" s="36">
        <f t="shared" si="4"/>
        <v>0</v>
      </c>
      <c r="P66" s="36">
        <f t="shared" si="5"/>
        <v>0</v>
      </c>
      <c r="Q66" s="36">
        <f t="shared" si="6"/>
        <v>0</v>
      </c>
      <c r="R66" s="36">
        <f t="shared" si="7"/>
        <v>0</v>
      </c>
      <c r="S66" s="36">
        <f t="shared" si="8"/>
        <v>0</v>
      </c>
      <c r="T66" s="36">
        <f t="shared" si="9"/>
        <v>50</v>
      </c>
      <c r="U66" s="36">
        <f t="shared" si="10"/>
        <v>0</v>
      </c>
      <c r="V66" s="36">
        <f t="shared" si="11"/>
        <v>0</v>
      </c>
      <c r="W66" s="19">
        <f t="shared" si="12"/>
        <v>50</v>
      </c>
      <c r="Y66" s="47"/>
    </row>
    <row r="67" spans="1:25" ht="15">
      <c r="A67" s="73" t="s">
        <v>226</v>
      </c>
      <c r="B67" s="79">
        <v>40106</v>
      </c>
      <c r="C67" s="85">
        <v>8</v>
      </c>
      <c r="D67" s="56">
        <v>1</v>
      </c>
      <c r="E67" s="58">
        <v>400</v>
      </c>
      <c r="F67" s="59"/>
      <c r="G67" s="59"/>
      <c r="H67" s="58"/>
      <c r="I67" s="60"/>
      <c r="J67" s="19">
        <f t="shared" si="0"/>
        <v>400</v>
      </c>
      <c r="K67" s="19">
        <f t="shared" si="13"/>
        <v>107727</v>
      </c>
      <c r="L67" s="36">
        <f t="shared" si="1"/>
        <v>0</v>
      </c>
      <c r="M67" s="36">
        <f t="shared" si="2"/>
        <v>0</v>
      </c>
      <c r="N67" s="36">
        <f t="shared" si="3"/>
        <v>0</v>
      </c>
      <c r="O67" s="36">
        <f t="shared" si="4"/>
        <v>0</v>
      </c>
      <c r="P67" s="36">
        <f t="shared" si="5"/>
        <v>0</v>
      </c>
      <c r="Q67" s="36">
        <f t="shared" si="6"/>
        <v>0</v>
      </c>
      <c r="R67" s="36">
        <f t="shared" si="7"/>
        <v>0</v>
      </c>
      <c r="S67" s="36">
        <f t="shared" si="8"/>
        <v>400</v>
      </c>
      <c r="T67" s="36">
        <f t="shared" si="9"/>
        <v>0</v>
      </c>
      <c r="U67" s="36">
        <f t="shared" si="10"/>
        <v>0</v>
      </c>
      <c r="V67" s="36">
        <f t="shared" si="11"/>
        <v>0</v>
      </c>
      <c r="W67" s="19">
        <f t="shared" si="12"/>
        <v>400</v>
      </c>
    </row>
    <row r="68" spans="1:25">
      <c r="A68" s="56" t="s">
        <v>111</v>
      </c>
      <c r="B68" s="57">
        <v>40106</v>
      </c>
      <c r="C68" s="84">
        <v>8</v>
      </c>
      <c r="D68" s="56">
        <v>2</v>
      </c>
      <c r="E68" s="58">
        <v>298</v>
      </c>
      <c r="F68" s="59"/>
      <c r="G68" s="59"/>
      <c r="H68" s="58"/>
      <c r="I68" s="60"/>
      <c r="J68" s="19">
        <f t="shared" si="0"/>
        <v>298</v>
      </c>
      <c r="K68" s="19">
        <f t="shared" si="13"/>
        <v>108025</v>
      </c>
      <c r="L68" s="36">
        <f t="shared" si="1"/>
        <v>0</v>
      </c>
      <c r="M68" s="36">
        <f t="shared" si="2"/>
        <v>0</v>
      </c>
      <c r="N68" s="36">
        <f t="shared" si="3"/>
        <v>0</v>
      </c>
      <c r="O68" s="36">
        <f t="shared" si="4"/>
        <v>0</v>
      </c>
      <c r="P68" s="36">
        <f t="shared" si="5"/>
        <v>0</v>
      </c>
      <c r="Q68" s="36">
        <f t="shared" si="6"/>
        <v>0</v>
      </c>
      <c r="R68" s="36">
        <f t="shared" si="7"/>
        <v>0</v>
      </c>
      <c r="S68" s="36">
        <f t="shared" si="8"/>
        <v>298</v>
      </c>
      <c r="T68" s="36">
        <f t="shared" si="9"/>
        <v>0</v>
      </c>
      <c r="U68" s="36">
        <f t="shared" si="10"/>
        <v>0</v>
      </c>
      <c r="V68" s="36">
        <f t="shared" si="11"/>
        <v>0</v>
      </c>
      <c r="W68" s="19">
        <f t="shared" si="12"/>
        <v>298</v>
      </c>
    </row>
    <row r="69" spans="1:25">
      <c r="A69" s="56" t="s">
        <v>116</v>
      </c>
      <c r="B69" s="57">
        <v>40107</v>
      </c>
      <c r="C69" s="84">
        <v>8</v>
      </c>
      <c r="D69" s="56">
        <v>3</v>
      </c>
      <c r="E69" s="58">
        <v>350</v>
      </c>
      <c r="F69" s="59"/>
      <c r="G69" s="59"/>
      <c r="H69" s="58"/>
      <c r="I69" s="60"/>
      <c r="J69" s="19">
        <f t="shared" si="0"/>
        <v>350</v>
      </c>
      <c r="K69" s="19">
        <f t="shared" si="13"/>
        <v>108375</v>
      </c>
      <c r="L69" s="36">
        <f t="shared" si="1"/>
        <v>0</v>
      </c>
      <c r="M69" s="36">
        <f t="shared" si="2"/>
        <v>0</v>
      </c>
      <c r="N69" s="36">
        <f t="shared" si="3"/>
        <v>0</v>
      </c>
      <c r="O69" s="36">
        <f t="shared" si="4"/>
        <v>0</v>
      </c>
      <c r="P69" s="36">
        <f t="shared" si="5"/>
        <v>0</v>
      </c>
      <c r="Q69" s="36">
        <f t="shared" si="6"/>
        <v>0</v>
      </c>
      <c r="R69" s="36">
        <f t="shared" si="7"/>
        <v>0</v>
      </c>
      <c r="S69" s="36">
        <f t="shared" si="8"/>
        <v>350</v>
      </c>
      <c r="T69" s="36">
        <f t="shared" si="9"/>
        <v>0</v>
      </c>
      <c r="U69" s="36">
        <f t="shared" si="10"/>
        <v>0</v>
      </c>
      <c r="V69" s="36">
        <f t="shared" si="11"/>
        <v>0</v>
      </c>
      <c r="W69" s="19">
        <f t="shared" si="12"/>
        <v>350</v>
      </c>
    </row>
    <row r="70" spans="1:25">
      <c r="A70" s="56" t="s">
        <v>117</v>
      </c>
      <c r="B70" s="57">
        <v>40111</v>
      </c>
      <c r="C70" s="84">
        <v>8</v>
      </c>
      <c r="D70" s="56">
        <v>4</v>
      </c>
      <c r="E70" s="58">
        <v>1300</v>
      </c>
      <c r="F70" s="59"/>
      <c r="G70" s="59"/>
      <c r="H70" s="58"/>
      <c r="I70" s="60"/>
      <c r="J70" s="19">
        <f t="shared" si="0"/>
        <v>1300</v>
      </c>
      <c r="K70" s="19">
        <f t="shared" si="13"/>
        <v>109675</v>
      </c>
      <c r="L70" s="36">
        <f t="shared" si="1"/>
        <v>0</v>
      </c>
      <c r="M70" s="36">
        <f t="shared" si="2"/>
        <v>0</v>
      </c>
      <c r="N70" s="36">
        <f t="shared" si="3"/>
        <v>0</v>
      </c>
      <c r="O70" s="36">
        <f t="shared" si="4"/>
        <v>0</v>
      </c>
      <c r="P70" s="36">
        <f t="shared" si="5"/>
        <v>0</v>
      </c>
      <c r="Q70" s="36">
        <f t="shared" si="6"/>
        <v>0</v>
      </c>
      <c r="R70" s="36">
        <f t="shared" si="7"/>
        <v>0</v>
      </c>
      <c r="S70" s="36">
        <f t="shared" si="8"/>
        <v>1300</v>
      </c>
      <c r="T70" s="36">
        <f t="shared" si="9"/>
        <v>0</v>
      </c>
      <c r="U70" s="36">
        <f t="shared" si="10"/>
        <v>0</v>
      </c>
      <c r="V70" s="36">
        <f t="shared" si="11"/>
        <v>0</v>
      </c>
      <c r="W70" s="19">
        <f t="shared" si="12"/>
        <v>1300</v>
      </c>
    </row>
    <row r="71" spans="1:25">
      <c r="A71" s="56" t="s">
        <v>69</v>
      </c>
      <c r="B71" s="57">
        <v>40112</v>
      </c>
      <c r="C71" s="84">
        <v>8</v>
      </c>
      <c r="D71" s="56"/>
      <c r="E71" s="58"/>
      <c r="F71" s="37">
        <v>5</v>
      </c>
      <c r="G71" s="94">
        <v>5</v>
      </c>
      <c r="H71" s="93"/>
      <c r="I71" s="93">
        <v>6000</v>
      </c>
      <c r="J71" s="19">
        <f t="shared" ref="J71:J134" si="14">I71+E71+H71</f>
        <v>6000</v>
      </c>
      <c r="K71" s="19">
        <f t="shared" si="13"/>
        <v>115675</v>
      </c>
      <c r="L71" s="36">
        <f t="shared" ref="L71:L134" si="15">IF(C71=1,SUM(E71+I71+H71),(0))</f>
        <v>0</v>
      </c>
      <c r="M71" s="36">
        <f t="shared" ref="M71:M134" si="16">IF(C71=2,SUM(E71+I71+H71),(0))</f>
        <v>0</v>
      </c>
      <c r="N71" s="36">
        <f t="shared" ref="N71:N134" si="17">IF(C71=3,SUM(E71+I71+H71),(0))</f>
        <v>0</v>
      </c>
      <c r="O71" s="36">
        <f t="shared" ref="O71:O134" si="18">IF(C71=4,SUM(E71+I71+H71),(0))</f>
        <v>0</v>
      </c>
      <c r="P71" s="36">
        <f t="shared" ref="P71:P134" si="19">IF(C71=5,SUM(E71+I71+H71),(0))</f>
        <v>0</v>
      </c>
      <c r="Q71" s="36">
        <f t="shared" ref="Q71:Q134" si="20">IF(C71=6,SUM(E71+I71+H71),(0))</f>
        <v>0</v>
      </c>
      <c r="R71" s="36">
        <f t="shared" ref="R71:R134" si="21">IF(C71=7,SUM(E71+I71+H71),(0))</f>
        <v>0</v>
      </c>
      <c r="S71" s="36">
        <f t="shared" ref="S71:S134" si="22">IF(C71=8,SUM(E71+I71+H71),(0))</f>
        <v>6000</v>
      </c>
      <c r="T71" s="36">
        <f t="shared" ref="T71:T134" si="23">IF(C71=8.1,SUM(E71+I71+H71),(0))</f>
        <v>0</v>
      </c>
      <c r="U71" s="36">
        <f t="shared" ref="U71:U134" si="24">IF(C71=9,SUM(E71+I71+H71),(0))</f>
        <v>0</v>
      </c>
      <c r="V71" s="36">
        <f t="shared" ref="V71:V134" si="25">IF(C71=10,SUM(E71+I71+H71),(0))</f>
        <v>0</v>
      </c>
      <c r="W71" s="19">
        <f t="shared" ref="W71:W134" si="26">SUM(L71:V71)</f>
        <v>6000</v>
      </c>
      <c r="Y71" s="47"/>
    </row>
    <row r="72" spans="1:25">
      <c r="A72" s="56" t="s">
        <v>67</v>
      </c>
      <c r="B72" s="57">
        <v>40116</v>
      </c>
      <c r="C72" s="84">
        <v>8</v>
      </c>
      <c r="D72" s="56"/>
      <c r="E72" s="58"/>
      <c r="F72" s="59">
        <v>6</v>
      </c>
      <c r="G72" s="56">
        <v>6</v>
      </c>
      <c r="H72" s="58"/>
      <c r="I72" s="58">
        <v>0</v>
      </c>
      <c r="J72" s="19">
        <f t="shared" si="14"/>
        <v>0</v>
      </c>
      <c r="K72" s="19">
        <f t="shared" si="13"/>
        <v>115675</v>
      </c>
      <c r="L72" s="36">
        <f t="shared" si="15"/>
        <v>0</v>
      </c>
      <c r="M72" s="36">
        <f t="shared" si="16"/>
        <v>0</v>
      </c>
      <c r="N72" s="36">
        <f t="shared" si="17"/>
        <v>0</v>
      </c>
      <c r="O72" s="36">
        <f t="shared" si="18"/>
        <v>0</v>
      </c>
      <c r="P72" s="36">
        <f t="shared" si="19"/>
        <v>0</v>
      </c>
      <c r="Q72" s="36">
        <f t="shared" si="20"/>
        <v>0</v>
      </c>
      <c r="R72" s="36">
        <f t="shared" si="21"/>
        <v>0</v>
      </c>
      <c r="S72" s="36">
        <f t="shared" si="22"/>
        <v>0</v>
      </c>
      <c r="T72" s="36">
        <f t="shared" si="23"/>
        <v>0</v>
      </c>
      <c r="U72" s="36">
        <f t="shared" si="24"/>
        <v>0</v>
      </c>
      <c r="V72" s="36">
        <f t="shared" si="25"/>
        <v>0</v>
      </c>
      <c r="W72" s="19">
        <f t="shared" si="26"/>
        <v>0</v>
      </c>
      <c r="Y72" s="47"/>
    </row>
    <row r="73" spans="1:25">
      <c r="A73" s="56" t="s">
        <v>67</v>
      </c>
      <c r="B73" s="57">
        <v>40116</v>
      </c>
      <c r="C73" s="84">
        <v>8</v>
      </c>
      <c r="D73" s="56"/>
      <c r="E73" s="58"/>
      <c r="F73" s="37">
        <v>7</v>
      </c>
      <c r="G73" s="56">
        <v>7</v>
      </c>
      <c r="H73" s="58"/>
      <c r="I73" s="58">
        <v>0</v>
      </c>
      <c r="J73" s="19">
        <f t="shared" si="14"/>
        <v>0</v>
      </c>
      <c r="K73" s="19">
        <f t="shared" ref="K73:K136" si="27">K72+J73</f>
        <v>115675</v>
      </c>
      <c r="L73" s="36">
        <f t="shared" si="15"/>
        <v>0</v>
      </c>
      <c r="M73" s="36">
        <f t="shared" si="16"/>
        <v>0</v>
      </c>
      <c r="N73" s="36">
        <f t="shared" si="17"/>
        <v>0</v>
      </c>
      <c r="O73" s="36">
        <f t="shared" si="18"/>
        <v>0</v>
      </c>
      <c r="P73" s="36">
        <f t="shared" si="19"/>
        <v>0</v>
      </c>
      <c r="Q73" s="36">
        <f t="shared" si="20"/>
        <v>0</v>
      </c>
      <c r="R73" s="36">
        <f t="shared" si="21"/>
        <v>0</v>
      </c>
      <c r="S73" s="36">
        <f t="shared" si="22"/>
        <v>0</v>
      </c>
      <c r="T73" s="36">
        <f t="shared" si="23"/>
        <v>0</v>
      </c>
      <c r="U73" s="36">
        <f t="shared" si="24"/>
        <v>0</v>
      </c>
      <c r="V73" s="36">
        <f t="shared" si="25"/>
        <v>0</v>
      </c>
      <c r="W73" s="19">
        <f t="shared" si="26"/>
        <v>0</v>
      </c>
    </row>
    <row r="74" spans="1:25">
      <c r="A74" s="56" t="s">
        <v>67</v>
      </c>
      <c r="B74" s="57">
        <v>40116</v>
      </c>
      <c r="C74" s="84">
        <v>8</v>
      </c>
      <c r="D74" s="56"/>
      <c r="E74" s="58"/>
      <c r="F74" s="59">
        <v>8</v>
      </c>
      <c r="G74" s="56">
        <v>8</v>
      </c>
      <c r="H74" s="58"/>
      <c r="I74" s="58">
        <v>0</v>
      </c>
      <c r="J74" s="19">
        <f t="shared" si="14"/>
        <v>0</v>
      </c>
      <c r="K74" s="19">
        <f t="shared" si="27"/>
        <v>115675</v>
      </c>
      <c r="L74" s="36">
        <f t="shared" si="15"/>
        <v>0</v>
      </c>
      <c r="M74" s="36">
        <f t="shared" si="16"/>
        <v>0</v>
      </c>
      <c r="N74" s="36">
        <f t="shared" si="17"/>
        <v>0</v>
      </c>
      <c r="O74" s="36">
        <f t="shared" si="18"/>
        <v>0</v>
      </c>
      <c r="P74" s="36">
        <f t="shared" si="19"/>
        <v>0</v>
      </c>
      <c r="Q74" s="36">
        <f t="shared" si="20"/>
        <v>0</v>
      </c>
      <c r="R74" s="36">
        <f t="shared" si="21"/>
        <v>0</v>
      </c>
      <c r="S74" s="36">
        <f t="shared" si="22"/>
        <v>0</v>
      </c>
      <c r="T74" s="36">
        <f t="shared" si="23"/>
        <v>0</v>
      </c>
      <c r="U74" s="36">
        <f t="shared" si="24"/>
        <v>0</v>
      </c>
      <c r="V74" s="36">
        <f t="shared" si="25"/>
        <v>0</v>
      </c>
      <c r="W74" s="19">
        <f t="shared" si="26"/>
        <v>0</v>
      </c>
    </row>
    <row r="75" spans="1:25">
      <c r="A75" s="56" t="s">
        <v>68</v>
      </c>
      <c r="B75" s="57">
        <v>40116</v>
      </c>
      <c r="C75" s="84">
        <v>8</v>
      </c>
      <c r="D75" s="56"/>
      <c r="E75" s="58"/>
      <c r="F75" s="37">
        <v>9</v>
      </c>
      <c r="G75" s="56">
        <v>9</v>
      </c>
      <c r="H75" s="58"/>
      <c r="I75" s="58">
        <v>0</v>
      </c>
      <c r="J75" s="19">
        <f t="shared" si="14"/>
        <v>0</v>
      </c>
      <c r="K75" s="19">
        <f t="shared" si="27"/>
        <v>115675</v>
      </c>
      <c r="L75" s="36">
        <f t="shared" si="15"/>
        <v>0</v>
      </c>
      <c r="M75" s="36">
        <f t="shared" si="16"/>
        <v>0</v>
      </c>
      <c r="N75" s="36">
        <f t="shared" si="17"/>
        <v>0</v>
      </c>
      <c r="O75" s="36">
        <f t="shared" si="18"/>
        <v>0</v>
      </c>
      <c r="P75" s="36">
        <f t="shared" si="19"/>
        <v>0</v>
      </c>
      <c r="Q75" s="36">
        <f t="shared" si="20"/>
        <v>0</v>
      </c>
      <c r="R75" s="36">
        <f t="shared" si="21"/>
        <v>0</v>
      </c>
      <c r="S75" s="36">
        <f t="shared" si="22"/>
        <v>0</v>
      </c>
      <c r="T75" s="36">
        <f t="shared" si="23"/>
        <v>0</v>
      </c>
      <c r="U75" s="36">
        <f t="shared" si="24"/>
        <v>0</v>
      </c>
      <c r="V75" s="36">
        <f t="shared" si="25"/>
        <v>0</v>
      </c>
      <c r="W75" s="19">
        <f t="shared" si="26"/>
        <v>0</v>
      </c>
    </row>
    <row r="76" spans="1:25">
      <c r="A76" s="56" t="s">
        <v>118</v>
      </c>
      <c r="B76" s="57">
        <v>40117</v>
      </c>
      <c r="C76" s="84">
        <v>8</v>
      </c>
      <c r="D76" s="56">
        <v>5</v>
      </c>
      <c r="E76" s="58">
        <v>200</v>
      </c>
      <c r="F76" s="59"/>
      <c r="G76" s="59"/>
      <c r="H76" s="58"/>
      <c r="I76" s="60"/>
      <c r="J76" s="19">
        <f t="shared" si="14"/>
        <v>200</v>
      </c>
      <c r="K76" s="19">
        <f t="shared" si="27"/>
        <v>115875</v>
      </c>
      <c r="L76" s="36">
        <f t="shared" si="15"/>
        <v>0</v>
      </c>
      <c r="M76" s="36">
        <f t="shared" si="16"/>
        <v>0</v>
      </c>
      <c r="N76" s="36">
        <f t="shared" si="17"/>
        <v>0</v>
      </c>
      <c r="O76" s="36">
        <f t="shared" si="18"/>
        <v>0</v>
      </c>
      <c r="P76" s="36">
        <f t="shared" si="19"/>
        <v>0</v>
      </c>
      <c r="Q76" s="36">
        <f t="shared" si="20"/>
        <v>0</v>
      </c>
      <c r="R76" s="36">
        <f t="shared" si="21"/>
        <v>0</v>
      </c>
      <c r="S76" s="36">
        <f t="shared" si="22"/>
        <v>200</v>
      </c>
      <c r="T76" s="36">
        <f t="shared" si="23"/>
        <v>0</v>
      </c>
      <c r="U76" s="36">
        <f t="shared" si="24"/>
        <v>0</v>
      </c>
      <c r="V76" s="36">
        <f t="shared" si="25"/>
        <v>0</v>
      </c>
      <c r="W76" s="19">
        <f t="shared" si="26"/>
        <v>200</v>
      </c>
    </row>
    <row r="77" spans="1:25">
      <c r="A77" s="56" t="s">
        <v>67</v>
      </c>
      <c r="B77" s="57">
        <v>40120</v>
      </c>
      <c r="C77" s="84">
        <v>8</v>
      </c>
      <c r="D77" s="56"/>
      <c r="E77" s="58"/>
      <c r="F77" s="59">
        <v>10</v>
      </c>
      <c r="G77" s="56">
        <v>10</v>
      </c>
      <c r="H77" s="58"/>
      <c r="I77" s="58">
        <v>0</v>
      </c>
      <c r="J77" s="19">
        <f t="shared" si="14"/>
        <v>0</v>
      </c>
      <c r="K77" s="19">
        <f t="shared" si="27"/>
        <v>115875</v>
      </c>
      <c r="L77" s="36">
        <f t="shared" si="15"/>
        <v>0</v>
      </c>
      <c r="M77" s="36">
        <f t="shared" si="16"/>
        <v>0</v>
      </c>
      <c r="N77" s="36">
        <f t="shared" si="17"/>
        <v>0</v>
      </c>
      <c r="O77" s="36">
        <f t="shared" si="18"/>
        <v>0</v>
      </c>
      <c r="P77" s="36">
        <f t="shared" si="19"/>
        <v>0</v>
      </c>
      <c r="Q77" s="36">
        <f t="shared" si="20"/>
        <v>0</v>
      </c>
      <c r="R77" s="36">
        <f t="shared" si="21"/>
        <v>0</v>
      </c>
      <c r="S77" s="36">
        <f t="shared" si="22"/>
        <v>0</v>
      </c>
      <c r="T77" s="36">
        <f t="shared" si="23"/>
        <v>0</v>
      </c>
      <c r="U77" s="36">
        <f t="shared" si="24"/>
        <v>0</v>
      </c>
      <c r="V77" s="36">
        <f t="shared" si="25"/>
        <v>0</v>
      </c>
      <c r="W77" s="19">
        <f t="shared" si="26"/>
        <v>0</v>
      </c>
    </row>
    <row r="78" spans="1:25" ht="15">
      <c r="A78" s="73" t="s">
        <v>225</v>
      </c>
      <c r="B78" s="74">
        <v>40122</v>
      </c>
      <c r="C78" s="85">
        <v>8</v>
      </c>
      <c r="D78" s="56">
        <v>6</v>
      </c>
      <c r="E78" s="58">
        <v>2500</v>
      </c>
      <c r="F78" s="59"/>
      <c r="G78" s="59"/>
      <c r="H78" s="58"/>
      <c r="I78" s="60"/>
      <c r="J78" s="19">
        <f t="shared" si="14"/>
        <v>2500</v>
      </c>
      <c r="K78" s="19">
        <f t="shared" si="27"/>
        <v>118375</v>
      </c>
      <c r="L78" s="36">
        <f t="shared" si="15"/>
        <v>0</v>
      </c>
      <c r="M78" s="36">
        <f t="shared" si="16"/>
        <v>0</v>
      </c>
      <c r="N78" s="36">
        <f t="shared" si="17"/>
        <v>0</v>
      </c>
      <c r="O78" s="36">
        <f t="shared" si="18"/>
        <v>0</v>
      </c>
      <c r="P78" s="36">
        <f t="shared" si="19"/>
        <v>0</v>
      </c>
      <c r="Q78" s="36">
        <f t="shared" si="20"/>
        <v>0</v>
      </c>
      <c r="R78" s="36">
        <f t="shared" si="21"/>
        <v>0</v>
      </c>
      <c r="S78" s="36">
        <f t="shared" si="22"/>
        <v>2500</v>
      </c>
      <c r="T78" s="36">
        <f t="shared" si="23"/>
        <v>0</v>
      </c>
      <c r="U78" s="36">
        <f t="shared" si="24"/>
        <v>0</v>
      </c>
      <c r="V78" s="36">
        <f t="shared" si="25"/>
        <v>0</v>
      </c>
      <c r="W78" s="19">
        <f t="shared" si="26"/>
        <v>2500</v>
      </c>
    </row>
    <row r="79" spans="1:25">
      <c r="A79" s="56" t="s">
        <v>107</v>
      </c>
      <c r="B79" s="57">
        <v>40122</v>
      </c>
      <c r="C79" s="84">
        <v>3</v>
      </c>
      <c r="D79" s="56">
        <v>7</v>
      </c>
      <c r="E79" s="58">
        <v>400</v>
      </c>
      <c r="F79" s="59"/>
      <c r="G79" s="59"/>
      <c r="H79" s="58"/>
      <c r="I79" s="60"/>
      <c r="J79" s="19">
        <f t="shared" si="14"/>
        <v>400</v>
      </c>
      <c r="K79" s="19">
        <f t="shared" si="27"/>
        <v>118775</v>
      </c>
      <c r="L79" s="36">
        <f t="shared" si="15"/>
        <v>0</v>
      </c>
      <c r="M79" s="36">
        <f t="shared" si="16"/>
        <v>0</v>
      </c>
      <c r="N79" s="36">
        <f t="shared" si="17"/>
        <v>400</v>
      </c>
      <c r="O79" s="36">
        <f t="shared" si="18"/>
        <v>0</v>
      </c>
      <c r="P79" s="36">
        <f t="shared" si="19"/>
        <v>0</v>
      </c>
      <c r="Q79" s="36">
        <f t="shared" si="20"/>
        <v>0</v>
      </c>
      <c r="R79" s="36">
        <f t="shared" si="21"/>
        <v>0</v>
      </c>
      <c r="S79" s="36">
        <f t="shared" si="22"/>
        <v>0</v>
      </c>
      <c r="T79" s="36">
        <f t="shared" si="23"/>
        <v>0</v>
      </c>
      <c r="U79" s="36">
        <f t="shared" si="24"/>
        <v>0</v>
      </c>
      <c r="V79" s="36">
        <f t="shared" si="25"/>
        <v>0</v>
      </c>
      <c r="W79" s="19">
        <f t="shared" si="26"/>
        <v>400</v>
      </c>
    </row>
    <row r="80" spans="1:25">
      <c r="A80" s="56" t="s">
        <v>110</v>
      </c>
      <c r="B80" s="57">
        <v>40122</v>
      </c>
      <c r="C80" s="84">
        <v>2</v>
      </c>
      <c r="D80" s="56">
        <v>8</v>
      </c>
      <c r="E80" s="58">
        <v>300</v>
      </c>
      <c r="F80" s="59"/>
      <c r="G80" s="59"/>
      <c r="H80" s="58"/>
      <c r="I80" s="60"/>
      <c r="J80" s="19">
        <f t="shared" si="14"/>
        <v>300</v>
      </c>
      <c r="K80" s="19">
        <f t="shared" si="27"/>
        <v>119075</v>
      </c>
      <c r="L80" s="36">
        <f t="shared" si="15"/>
        <v>0</v>
      </c>
      <c r="M80" s="36">
        <f t="shared" si="16"/>
        <v>300</v>
      </c>
      <c r="N80" s="36">
        <f t="shared" si="17"/>
        <v>0</v>
      </c>
      <c r="O80" s="36">
        <f t="shared" si="18"/>
        <v>0</v>
      </c>
      <c r="P80" s="36">
        <f t="shared" si="19"/>
        <v>0</v>
      </c>
      <c r="Q80" s="36">
        <f t="shared" si="20"/>
        <v>0</v>
      </c>
      <c r="R80" s="36">
        <f t="shared" si="21"/>
        <v>0</v>
      </c>
      <c r="S80" s="36">
        <f t="shared" si="22"/>
        <v>0</v>
      </c>
      <c r="T80" s="36">
        <f t="shared" si="23"/>
        <v>0</v>
      </c>
      <c r="U80" s="36">
        <f t="shared" si="24"/>
        <v>0</v>
      </c>
      <c r="V80" s="36">
        <f t="shared" si="25"/>
        <v>0</v>
      </c>
      <c r="W80" s="19">
        <f t="shared" si="26"/>
        <v>300</v>
      </c>
    </row>
    <row r="81" spans="1:23" ht="15">
      <c r="A81" s="73" t="s">
        <v>227</v>
      </c>
      <c r="B81" s="74">
        <v>40124</v>
      </c>
      <c r="C81" s="85">
        <v>8</v>
      </c>
      <c r="D81" s="56">
        <v>9</v>
      </c>
      <c r="E81" s="58">
        <v>100</v>
      </c>
      <c r="F81" s="59"/>
      <c r="G81" s="59"/>
      <c r="H81" s="58"/>
      <c r="I81" s="60"/>
      <c r="J81" s="19">
        <f t="shared" si="14"/>
        <v>100</v>
      </c>
      <c r="K81" s="19">
        <f t="shared" si="27"/>
        <v>119175</v>
      </c>
      <c r="L81" s="36">
        <f t="shared" si="15"/>
        <v>0</v>
      </c>
      <c r="M81" s="36">
        <f t="shared" si="16"/>
        <v>0</v>
      </c>
      <c r="N81" s="36">
        <f t="shared" si="17"/>
        <v>0</v>
      </c>
      <c r="O81" s="36">
        <f t="shared" si="18"/>
        <v>0</v>
      </c>
      <c r="P81" s="36">
        <f t="shared" si="19"/>
        <v>0</v>
      </c>
      <c r="Q81" s="36">
        <f t="shared" si="20"/>
        <v>0</v>
      </c>
      <c r="R81" s="36">
        <f t="shared" si="21"/>
        <v>0</v>
      </c>
      <c r="S81" s="36">
        <f t="shared" si="22"/>
        <v>100</v>
      </c>
      <c r="T81" s="36">
        <f t="shared" si="23"/>
        <v>0</v>
      </c>
      <c r="U81" s="36">
        <f t="shared" si="24"/>
        <v>0</v>
      </c>
      <c r="V81" s="36">
        <f t="shared" si="25"/>
        <v>0</v>
      </c>
      <c r="W81" s="19">
        <f t="shared" si="26"/>
        <v>100</v>
      </c>
    </row>
    <row r="82" spans="1:23">
      <c r="A82" s="56" t="s">
        <v>112</v>
      </c>
      <c r="B82" s="57">
        <v>40124</v>
      </c>
      <c r="C82" s="84">
        <v>2</v>
      </c>
      <c r="D82" s="56">
        <v>10</v>
      </c>
      <c r="E82" s="58">
        <v>250</v>
      </c>
      <c r="F82" s="59"/>
      <c r="G82" s="59"/>
      <c r="H82" s="58"/>
      <c r="I82" s="60"/>
      <c r="J82" s="19">
        <f t="shared" si="14"/>
        <v>250</v>
      </c>
      <c r="K82" s="19">
        <f t="shared" si="27"/>
        <v>119425</v>
      </c>
      <c r="L82" s="36">
        <f t="shared" si="15"/>
        <v>0</v>
      </c>
      <c r="M82" s="36">
        <f t="shared" si="16"/>
        <v>250</v>
      </c>
      <c r="N82" s="36">
        <f t="shared" si="17"/>
        <v>0</v>
      </c>
      <c r="O82" s="36">
        <f t="shared" si="18"/>
        <v>0</v>
      </c>
      <c r="P82" s="36">
        <f t="shared" si="19"/>
        <v>0</v>
      </c>
      <c r="Q82" s="36">
        <f t="shared" si="20"/>
        <v>0</v>
      </c>
      <c r="R82" s="36">
        <f t="shared" si="21"/>
        <v>0</v>
      </c>
      <c r="S82" s="36">
        <f t="shared" si="22"/>
        <v>0</v>
      </c>
      <c r="T82" s="36">
        <f t="shared" si="23"/>
        <v>0</v>
      </c>
      <c r="U82" s="36">
        <f t="shared" si="24"/>
        <v>0</v>
      </c>
      <c r="V82" s="36">
        <f t="shared" si="25"/>
        <v>0</v>
      </c>
      <c r="W82" s="19">
        <f t="shared" si="26"/>
        <v>250</v>
      </c>
    </row>
    <row r="83" spans="1:23">
      <c r="A83" s="56" t="s">
        <v>119</v>
      </c>
      <c r="B83" s="57">
        <v>40126</v>
      </c>
      <c r="C83" s="84">
        <v>8</v>
      </c>
      <c r="D83" s="56">
        <v>11</v>
      </c>
      <c r="E83" s="58">
        <v>500</v>
      </c>
      <c r="F83" s="59"/>
      <c r="G83" s="59"/>
      <c r="H83" s="58"/>
      <c r="I83" s="60"/>
      <c r="J83" s="19">
        <f t="shared" si="14"/>
        <v>500</v>
      </c>
      <c r="K83" s="19">
        <f t="shared" si="27"/>
        <v>119925</v>
      </c>
      <c r="L83" s="36">
        <f t="shared" si="15"/>
        <v>0</v>
      </c>
      <c r="M83" s="36">
        <f t="shared" si="16"/>
        <v>0</v>
      </c>
      <c r="N83" s="36">
        <f t="shared" si="17"/>
        <v>0</v>
      </c>
      <c r="O83" s="36">
        <f t="shared" si="18"/>
        <v>0</v>
      </c>
      <c r="P83" s="36">
        <f t="shared" si="19"/>
        <v>0</v>
      </c>
      <c r="Q83" s="36">
        <f t="shared" si="20"/>
        <v>0</v>
      </c>
      <c r="R83" s="36">
        <f t="shared" si="21"/>
        <v>0</v>
      </c>
      <c r="S83" s="36">
        <f t="shared" si="22"/>
        <v>500</v>
      </c>
      <c r="T83" s="36">
        <f t="shared" si="23"/>
        <v>0</v>
      </c>
      <c r="U83" s="36">
        <f t="shared" si="24"/>
        <v>0</v>
      </c>
      <c r="V83" s="36">
        <f t="shared" si="25"/>
        <v>0</v>
      </c>
      <c r="W83" s="19">
        <f t="shared" si="26"/>
        <v>500</v>
      </c>
    </row>
    <row r="84" spans="1:23">
      <c r="A84" s="56" t="s">
        <v>120</v>
      </c>
      <c r="B84" s="57">
        <v>40126</v>
      </c>
      <c r="C84" s="84">
        <v>8</v>
      </c>
      <c r="D84" s="56">
        <v>12</v>
      </c>
      <c r="E84" s="58">
        <v>460</v>
      </c>
      <c r="F84" s="59"/>
      <c r="G84" s="59"/>
      <c r="H84" s="58"/>
      <c r="I84" s="60"/>
      <c r="J84" s="19">
        <f t="shared" si="14"/>
        <v>460</v>
      </c>
      <c r="K84" s="19">
        <f t="shared" si="27"/>
        <v>120385</v>
      </c>
      <c r="L84" s="36">
        <f t="shared" si="15"/>
        <v>0</v>
      </c>
      <c r="M84" s="36">
        <f t="shared" si="16"/>
        <v>0</v>
      </c>
      <c r="N84" s="36">
        <f t="shared" si="17"/>
        <v>0</v>
      </c>
      <c r="O84" s="36">
        <f t="shared" si="18"/>
        <v>0</v>
      </c>
      <c r="P84" s="36">
        <f t="shared" si="19"/>
        <v>0</v>
      </c>
      <c r="Q84" s="36">
        <f t="shared" si="20"/>
        <v>0</v>
      </c>
      <c r="R84" s="36">
        <f t="shared" si="21"/>
        <v>0</v>
      </c>
      <c r="S84" s="36">
        <f t="shared" si="22"/>
        <v>460</v>
      </c>
      <c r="T84" s="36">
        <f t="shared" si="23"/>
        <v>0</v>
      </c>
      <c r="U84" s="36">
        <f t="shared" si="24"/>
        <v>0</v>
      </c>
      <c r="V84" s="36">
        <f t="shared" si="25"/>
        <v>0</v>
      </c>
      <c r="W84" s="19">
        <f t="shared" si="26"/>
        <v>460</v>
      </c>
    </row>
    <row r="85" spans="1:23">
      <c r="A85" s="56" t="s">
        <v>121</v>
      </c>
      <c r="B85" s="57">
        <v>40126</v>
      </c>
      <c r="C85" s="84">
        <v>8</v>
      </c>
      <c r="D85" s="56">
        <v>13</v>
      </c>
      <c r="E85" s="58">
        <v>750</v>
      </c>
      <c r="F85" s="59"/>
      <c r="G85" s="59"/>
      <c r="H85" s="58"/>
      <c r="I85" s="60"/>
      <c r="J85" s="19">
        <f t="shared" si="14"/>
        <v>750</v>
      </c>
      <c r="K85" s="19">
        <f t="shared" si="27"/>
        <v>121135</v>
      </c>
      <c r="L85" s="36">
        <f t="shared" si="15"/>
        <v>0</v>
      </c>
      <c r="M85" s="36">
        <f t="shared" si="16"/>
        <v>0</v>
      </c>
      <c r="N85" s="36">
        <f t="shared" si="17"/>
        <v>0</v>
      </c>
      <c r="O85" s="36">
        <f t="shared" si="18"/>
        <v>0</v>
      </c>
      <c r="P85" s="36">
        <f t="shared" si="19"/>
        <v>0</v>
      </c>
      <c r="Q85" s="36">
        <f t="shared" si="20"/>
        <v>0</v>
      </c>
      <c r="R85" s="36">
        <f t="shared" si="21"/>
        <v>0</v>
      </c>
      <c r="S85" s="36">
        <f t="shared" si="22"/>
        <v>750</v>
      </c>
      <c r="T85" s="36">
        <f t="shared" si="23"/>
        <v>0</v>
      </c>
      <c r="U85" s="36">
        <f t="shared" si="24"/>
        <v>0</v>
      </c>
      <c r="V85" s="36">
        <f t="shared" si="25"/>
        <v>0</v>
      </c>
      <c r="W85" s="19">
        <f t="shared" si="26"/>
        <v>750</v>
      </c>
    </row>
    <row r="86" spans="1:23">
      <c r="A86" s="56" t="s">
        <v>73</v>
      </c>
      <c r="B86" s="57">
        <v>40128</v>
      </c>
      <c r="C86" s="84">
        <v>2</v>
      </c>
      <c r="D86" s="56"/>
      <c r="E86" s="58"/>
      <c r="F86" s="59">
        <v>11</v>
      </c>
      <c r="G86" s="94">
        <v>11</v>
      </c>
      <c r="H86" s="93">
        <f>-780000+409200+17900+13000+318600+14400+2400+2400+3200</f>
        <v>1100</v>
      </c>
      <c r="I86" s="93">
        <v>780000</v>
      </c>
      <c r="J86" s="19">
        <f t="shared" si="14"/>
        <v>781100</v>
      </c>
      <c r="K86" s="19">
        <f t="shared" si="27"/>
        <v>902235</v>
      </c>
      <c r="L86" s="36">
        <f t="shared" si="15"/>
        <v>0</v>
      </c>
      <c r="M86" s="36">
        <f t="shared" si="16"/>
        <v>781100</v>
      </c>
      <c r="N86" s="36">
        <f t="shared" si="17"/>
        <v>0</v>
      </c>
      <c r="O86" s="36">
        <f t="shared" si="18"/>
        <v>0</v>
      </c>
      <c r="P86" s="36">
        <f t="shared" si="19"/>
        <v>0</v>
      </c>
      <c r="Q86" s="36">
        <f t="shared" si="20"/>
        <v>0</v>
      </c>
      <c r="R86" s="36">
        <f t="shared" si="21"/>
        <v>0</v>
      </c>
      <c r="S86" s="36">
        <f t="shared" si="22"/>
        <v>0</v>
      </c>
      <c r="T86" s="36">
        <f t="shared" si="23"/>
        <v>0</v>
      </c>
      <c r="U86" s="36">
        <f t="shared" si="24"/>
        <v>0</v>
      </c>
      <c r="V86" s="36">
        <f t="shared" si="25"/>
        <v>0</v>
      </c>
      <c r="W86" s="19">
        <f t="shared" si="26"/>
        <v>781100</v>
      </c>
    </row>
    <row r="87" spans="1:23">
      <c r="A87" s="56" t="s">
        <v>87</v>
      </c>
      <c r="B87" s="57">
        <v>40128</v>
      </c>
      <c r="C87" s="84">
        <v>8</v>
      </c>
      <c r="D87" s="56"/>
      <c r="E87" s="58"/>
      <c r="F87" s="59">
        <v>12</v>
      </c>
      <c r="G87" s="94">
        <v>12</v>
      </c>
      <c r="H87" s="93">
        <f>-39500+4500+4400+18000+10000+2500</f>
        <v>-100</v>
      </c>
      <c r="I87" s="93">
        <v>39500</v>
      </c>
      <c r="J87" s="19">
        <f t="shared" si="14"/>
        <v>39400</v>
      </c>
      <c r="K87" s="19">
        <f t="shared" si="27"/>
        <v>941635</v>
      </c>
      <c r="L87" s="36">
        <f t="shared" si="15"/>
        <v>0</v>
      </c>
      <c r="M87" s="36">
        <f t="shared" si="16"/>
        <v>0</v>
      </c>
      <c r="N87" s="36">
        <f t="shared" si="17"/>
        <v>0</v>
      </c>
      <c r="O87" s="36">
        <f t="shared" si="18"/>
        <v>0</v>
      </c>
      <c r="P87" s="36">
        <f t="shared" si="19"/>
        <v>0</v>
      </c>
      <c r="Q87" s="36">
        <f t="shared" si="20"/>
        <v>0</v>
      </c>
      <c r="R87" s="36">
        <f t="shared" si="21"/>
        <v>0</v>
      </c>
      <c r="S87" s="36">
        <f t="shared" si="22"/>
        <v>39400</v>
      </c>
      <c r="T87" s="36">
        <f t="shared" si="23"/>
        <v>0</v>
      </c>
      <c r="U87" s="36">
        <f t="shared" si="24"/>
        <v>0</v>
      </c>
      <c r="V87" s="36">
        <f t="shared" si="25"/>
        <v>0</v>
      </c>
      <c r="W87" s="19">
        <f t="shared" si="26"/>
        <v>39400</v>
      </c>
    </row>
    <row r="88" spans="1:23">
      <c r="A88" s="56" t="s">
        <v>89</v>
      </c>
      <c r="B88" s="57">
        <v>40128</v>
      </c>
      <c r="C88" s="84">
        <v>8</v>
      </c>
      <c r="D88" s="56"/>
      <c r="E88" s="58">
        <f>-10000</f>
        <v>-10000</v>
      </c>
      <c r="F88" s="59">
        <v>13</v>
      </c>
      <c r="G88" s="94">
        <v>13</v>
      </c>
      <c r="H88" s="93">
        <f>-10000+10000</f>
        <v>0</v>
      </c>
      <c r="I88" s="93">
        <v>10000</v>
      </c>
      <c r="J88" s="19">
        <f t="shared" si="14"/>
        <v>0</v>
      </c>
      <c r="K88" s="19">
        <f t="shared" si="27"/>
        <v>941635</v>
      </c>
      <c r="L88" s="36">
        <f t="shared" si="15"/>
        <v>0</v>
      </c>
      <c r="M88" s="36">
        <f t="shared" si="16"/>
        <v>0</v>
      </c>
      <c r="N88" s="36">
        <f t="shared" si="17"/>
        <v>0</v>
      </c>
      <c r="O88" s="36">
        <f t="shared" si="18"/>
        <v>0</v>
      </c>
      <c r="P88" s="36">
        <f t="shared" si="19"/>
        <v>0</v>
      </c>
      <c r="Q88" s="36">
        <f t="shared" si="20"/>
        <v>0</v>
      </c>
      <c r="R88" s="36">
        <f t="shared" si="21"/>
        <v>0</v>
      </c>
      <c r="S88" s="36">
        <f t="shared" si="22"/>
        <v>0</v>
      </c>
      <c r="T88" s="36">
        <f t="shared" si="23"/>
        <v>0</v>
      </c>
      <c r="U88" s="36">
        <f t="shared" si="24"/>
        <v>0</v>
      </c>
      <c r="V88" s="36">
        <f t="shared" si="25"/>
        <v>0</v>
      </c>
      <c r="W88" s="19">
        <f t="shared" si="26"/>
        <v>0</v>
      </c>
    </row>
    <row r="89" spans="1:23">
      <c r="A89" s="56" t="s">
        <v>86</v>
      </c>
      <c r="B89" s="57">
        <v>40128</v>
      </c>
      <c r="C89" s="84">
        <v>8</v>
      </c>
      <c r="D89" s="56"/>
      <c r="E89" s="58"/>
      <c r="F89" s="59">
        <v>14</v>
      </c>
      <c r="G89" s="94">
        <v>14</v>
      </c>
      <c r="H89" s="93"/>
      <c r="I89" s="93">
        <v>3000</v>
      </c>
      <c r="J89" s="19">
        <f t="shared" si="14"/>
        <v>3000</v>
      </c>
      <c r="K89" s="19">
        <f t="shared" si="27"/>
        <v>944635</v>
      </c>
      <c r="L89" s="36">
        <f t="shared" si="15"/>
        <v>0</v>
      </c>
      <c r="M89" s="36">
        <f t="shared" si="16"/>
        <v>0</v>
      </c>
      <c r="N89" s="36">
        <f t="shared" si="17"/>
        <v>0</v>
      </c>
      <c r="O89" s="36">
        <f t="shared" si="18"/>
        <v>0</v>
      </c>
      <c r="P89" s="36">
        <f t="shared" si="19"/>
        <v>0</v>
      </c>
      <c r="Q89" s="36">
        <f t="shared" si="20"/>
        <v>0</v>
      </c>
      <c r="R89" s="36">
        <f t="shared" si="21"/>
        <v>0</v>
      </c>
      <c r="S89" s="36">
        <f t="shared" si="22"/>
        <v>3000</v>
      </c>
      <c r="T89" s="36">
        <f t="shared" si="23"/>
        <v>0</v>
      </c>
      <c r="U89" s="36">
        <f t="shared" si="24"/>
        <v>0</v>
      </c>
      <c r="V89" s="36">
        <f t="shared" si="25"/>
        <v>0</v>
      </c>
      <c r="W89" s="19">
        <f t="shared" si="26"/>
        <v>3000</v>
      </c>
    </row>
    <row r="90" spans="1:23">
      <c r="A90" s="56" t="s">
        <v>107</v>
      </c>
      <c r="B90" s="57">
        <v>40128</v>
      </c>
      <c r="C90" s="84">
        <v>3</v>
      </c>
      <c r="D90" s="56">
        <v>14</v>
      </c>
      <c r="E90" s="58">
        <v>400</v>
      </c>
      <c r="F90" s="59"/>
      <c r="G90" s="59"/>
      <c r="H90" s="58"/>
      <c r="I90" s="60"/>
      <c r="J90" s="19">
        <f t="shared" si="14"/>
        <v>400</v>
      </c>
      <c r="K90" s="19">
        <f t="shared" si="27"/>
        <v>945035</v>
      </c>
      <c r="L90" s="36">
        <f t="shared" si="15"/>
        <v>0</v>
      </c>
      <c r="M90" s="36">
        <f t="shared" si="16"/>
        <v>0</v>
      </c>
      <c r="N90" s="36">
        <f t="shared" si="17"/>
        <v>400</v>
      </c>
      <c r="O90" s="36">
        <f t="shared" si="18"/>
        <v>0</v>
      </c>
      <c r="P90" s="36">
        <f t="shared" si="19"/>
        <v>0</v>
      </c>
      <c r="Q90" s="36">
        <f t="shared" si="20"/>
        <v>0</v>
      </c>
      <c r="R90" s="36">
        <f t="shared" si="21"/>
        <v>0</v>
      </c>
      <c r="S90" s="36">
        <f t="shared" si="22"/>
        <v>0</v>
      </c>
      <c r="T90" s="36">
        <f t="shared" si="23"/>
        <v>0</v>
      </c>
      <c r="U90" s="36">
        <f t="shared" si="24"/>
        <v>0</v>
      </c>
      <c r="V90" s="36">
        <f t="shared" si="25"/>
        <v>0</v>
      </c>
      <c r="W90" s="19">
        <f t="shared" si="26"/>
        <v>400</v>
      </c>
    </row>
    <row r="91" spans="1:23" ht="15">
      <c r="A91" s="73" t="s">
        <v>222</v>
      </c>
      <c r="B91" s="74">
        <v>40129</v>
      </c>
      <c r="C91" s="85">
        <v>2</v>
      </c>
      <c r="D91" s="56">
        <v>15</v>
      </c>
      <c r="E91" s="58">
        <v>530</v>
      </c>
      <c r="F91" s="59"/>
      <c r="G91" s="59"/>
      <c r="H91" s="58"/>
      <c r="I91" s="60"/>
      <c r="J91" s="19">
        <f t="shared" si="14"/>
        <v>530</v>
      </c>
      <c r="K91" s="19">
        <f t="shared" si="27"/>
        <v>945565</v>
      </c>
      <c r="L91" s="36">
        <f t="shared" si="15"/>
        <v>0</v>
      </c>
      <c r="M91" s="36">
        <f t="shared" si="16"/>
        <v>530</v>
      </c>
      <c r="N91" s="36">
        <f t="shared" si="17"/>
        <v>0</v>
      </c>
      <c r="O91" s="36">
        <f t="shared" si="18"/>
        <v>0</v>
      </c>
      <c r="P91" s="36">
        <f t="shared" si="19"/>
        <v>0</v>
      </c>
      <c r="Q91" s="36">
        <f t="shared" si="20"/>
        <v>0</v>
      </c>
      <c r="R91" s="36">
        <f t="shared" si="21"/>
        <v>0</v>
      </c>
      <c r="S91" s="36">
        <f t="shared" si="22"/>
        <v>0</v>
      </c>
      <c r="T91" s="36">
        <f t="shared" si="23"/>
        <v>0</v>
      </c>
      <c r="U91" s="36">
        <f t="shared" si="24"/>
        <v>0</v>
      </c>
      <c r="V91" s="36">
        <f t="shared" si="25"/>
        <v>0</v>
      </c>
      <c r="W91" s="19">
        <f t="shared" si="26"/>
        <v>530</v>
      </c>
    </row>
    <row r="92" spans="1:23" ht="15">
      <c r="A92" s="73" t="s">
        <v>224</v>
      </c>
      <c r="B92" s="74">
        <v>40129</v>
      </c>
      <c r="C92" s="85">
        <v>8</v>
      </c>
      <c r="D92" s="56">
        <v>16</v>
      </c>
      <c r="E92" s="58">
        <v>300</v>
      </c>
      <c r="F92" s="59"/>
      <c r="G92" s="59"/>
      <c r="H92" s="58"/>
      <c r="I92" s="60"/>
      <c r="J92" s="19">
        <f t="shared" si="14"/>
        <v>300</v>
      </c>
      <c r="K92" s="19">
        <f t="shared" si="27"/>
        <v>945865</v>
      </c>
      <c r="L92" s="36">
        <f t="shared" si="15"/>
        <v>0</v>
      </c>
      <c r="M92" s="36">
        <f t="shared" si="16"/>
        <v>0</v>
      </c>
      <c r="N92" s="36">
        <f t="shared" si="17"/>
        <v>0</v>
      </c>
      <c r="O92" s="36">
        <f t="shared" si="18"/>
        <v>0</v>
      </c>
      <c r="P92" s="36">
        <f t="shared" si="19"/>
        <v>0</v>
      </c>
      <c r="Q92" s="36">
        <f t="shared" si="20"/>
        <v>0</v>
      </c>
      <c r="R92" s="36">
        <f t="shared" si="21"/>
        <v>0</v>
      </c>
      <c r="S92" s="36">
        <f t="shared" si="22"/>
        <v>300</v>
      </c>
      <c r="T92" s="36">
        <f t="shared" si="23"/>
        <v>0</v>
      </c>
      <c r="U92" s="36">
        <f t="shared" si="24"/>
        <v>0</v>
      </c>
      <c r="V92" s="36">
        <f t="shared" si="25"/>
        <v>0</v>
      </c>
      <c r="W92" s="19">
        <f t="shared" si="26"/>
        <v>300</v>
      </c>
    </row>
    <row r="93" spans="1:23" ht="15">
      <c r="A93" s="73" t="s">
        <v>225</v>
      </c>
      <c r="B93" s="74">
        <v>40129</v>
      </c>
      <c r="C93" s="85">
        <v>8</v>
      </c>
      <c r="D93" s="56">
        <v>17</v>
      </c>
      <c r="E93" s="58">
        <v>250</v>
      </c>
      <c r="F93" s="59"/>
      <c r="G93" s="59"/>
      <c r="H93" s="58"/>
      <c r="I93" s="60"/>
      <c r="J93" s="19">
        <f t="shared" si="14"/>
        <v>250</v>
      </c>
      <c r="K93" s="19">
        <f t="shared" si="27"/>
        <v>946115</v>
      </c>
      <c r="L93" s="36">
        <f t="shared" si="15"/>
        <v>0</v>
      </c>
      <c r="M93" s="36">
        <f t="shared" si="16"/>
        <v>0</v>
      </c>
      <c r="N93" s="36">
        <f t="shared" si="17"/>
        <v>0</v>
      </c>
      <c r="O93" s="36">
        <f t="shared" si="18"/>
        <v>0</v>
      </c>
      <c r="P93" s="36">
        <f t="shared" si="19"/>
        <v>0</v>
      </c>
      <c r="Q93" s="36">
        <f t="shared" si="20"/>
        <v>0</v>
      </c>
      <c r="R93" s="36">
        <f t="shared" si="21"/>
        <v>0</v>
      </c>
      <c r="S93" s="36">
        <f t="shared" si="22"/>
        <v>250</v>
      </c>
      <c r="T93" s="36">
        <f t="shared" si="23"/>
        <v>0</v>
      </c>
      <c r="U93" s="36">
        <f t="shared" si="24"/>
        <v>0</v>
      </c>
      <c r="V93" s="36">
        <f t="shared" si="25"/>
        <v>0</v>
      </c>
      <c r="W93" s="19">
        <f t="shared" si="26"/>
        <v>250</v>
      </c>
    </row>
    <row r="94" spans="1:23">
      <c r="A94" s="56" t="s">
        <v>104</v>
      </c>
      <c r="B94" s="57">
        <v>40129</v>
      </c>
      <c r="C94" s="84">
        <v>8</v>
      </c>
      <c r="D94" s="56">
        <v>18</v>
      </c>
      <c r="E94" s="58">
        <v>300</v>
      </c>
      <c r="F94" s="59"/>
      <c r="G94" s="59"/>
      <c r="H94" s="58"/>
      <c r="I94" s="60"/>
      <c r="J94" s="19">
        <f t="shared" si="14"/>
        <v>300</v>
      </c>
      <c r="K94" s="19">
        <f t="shared" si="27"/>
        <v>946415</v>
      </c>
      <c r="L94" s="36">
        <f t="shared" si="15"/>
        <v>0</v>
      </c>
      <c r="M94" s="36">
        <f t="shared" si="16"/>
        <v>0</v>
      </c>
      <c r="N94" s="36">
        <f t="shared" si="17"/>
        <v>0</v>
      </c>
      <c r="O94" s="36">
        <f t="shared" si="18"/>
        <v>0</v>
      </c>
      <c r="P94" s="36">
        <f t="shared" si="19"/>
        <v>0</v>
      </c>
      <c r="Q94" s="36">
        <f t="shared" si="20"/>
        <v>0</v>
      </c>
      <c r="R94" s="36">
        <f t="shared" si="21"/>
        <v>0</v>
      </c>
      <c r="S94" s="36">
        <f t="shared" si="22"/>
        <v>300</v>
      </c>
      <c r="T94" s="36">
        <f t="shared" si="23"/>
        <v>0</v>
      </c>
      <c r="U94" s="36">
        <f t="shared" si="24"/>
        <v>0</v>
      </c>
      <c r="V94" s="36">
        <f t="shared" si="25"/>
        <v>0</v>
      </c>
      <c r="W94" s="19">
        <f t="shared" si="26"/>
        <v>300</v>
      </c>
    </row>
    <row r="95" spans="1:23">
      <c r="A95" s="56" t="s">
        <v>105</v>
      </c>
      <c r="B95" s="57">
        <v>40129</v>
      </c>
      <c r="C95" s="84">
        <v>3</v>
      </c>
      <c r="D95" s="56">
        <v>19</v>
      </c>
      <c r="E95" s="58">
        <v>1000</v>
      </c>
      <c r="F95" s="59"/>
      <c r="G95" s="59"/>
      <c r="H95" s="58"/>
      <c r="I95" s="60"/>
      <c r="J95" s="19">
        <f t="shared" si="14"/>
        <v>1000</v>
      </c>
      <c r="K95" s="19">
        <f t="shared" si="27"/>
        <v>947415</v>
      </c>
      <c r="L95" s="36">
        <f t="shared" si="15"/>
        <v>0</v>
      </c>
      <c r="M95" s="36">
        <f t="shared" si="16"/>
        <v>0</v>
      </c>
      <c r="N95" s="36">
        <f t="shared" si="17"/>
        <v>1000</v>
      </c>
      <c r="O95" s="36">
        <f t="shared" si="18"/>
        <v>0</v>
      </c>
      <c r="P95" s="36">
        <f t="shared" si="19"/>
        <v>0</v>
      </c>
      <c r="Q95" s="36">
        <f t="shared" si="20"/>
        <v>0</v>
      </c>
      <c r="R95" s="36">
        <f t="shared" si="21"/>
        <v>0</v>
      </c>
      <c r="S95" s="36">
        <f t="shared" si="22"/>
        <v>0</v>
      </c>
      <c r="T95" s="36">
        <f t="shared" si="23"/>
        <v>0</v>
      </c>
      <c r="U95" s="36">
        <f t="shared" si="24"/>
        <v>0</v>
      </c>
      <c r="V95" s="36">
        <f t="shared" si="25"/>
        <v>0</v>
      </c>
      <c r="W95" s="19">
        <f t="shared" si="26"/>
        <v>1000</v>
      </c>
    </row>
    <row r="96" spans="1:23">
      <c r="A96" s="56" t="s">
        <v>106</v>
      </c>
      <c r="B96" s="57">
        <v>40129</v>
      </c>
      <c r="C96" s="84">
        <v>8</v>
      </c>
      <c r="D96" s="56">
        <v>20</v>
      </c>
      <c r="E96" s="58">
        <v>2000</v>
      </c>
      <c r="F96" s="59"/>
      <c r="G96" s="59"/>
      <c r="H96" s="58"/>
      <c r="I96" s="60"/>
      <c r="J96" s="19">
        <f t="shared" si="14"/>
        <v>2000</v>
      </c>
      <c r="K96" s="19">
        <f t="shared" si="27"/>
        <v>949415</v>
      </c>
      <c r="L96" s="36">
        <f t="shared" si="15"/>
        <v>0</v>
      </c>
      <c r="M96" s="36">
        <f t="shared" si="16"/>
        <v>0</v>
      </c>
      <c r="N96" s="36">
        <f t="shared" si="17"/>
        <v>0</v>
      </c>
      <c r="O96" s="36">
        <f t="shared" si="18"/>
        <v>0</v>
      </c>
      <c r="P96" s="36">
        <f t="shared" si="19"/>
        <v>0</v>
      </c>
      <c r="Q96" s="36">
        <f t="shared" si="20"/>
        <v>0</v>
      </c>
      <c r="R96" s="36">
        <f t="shared" si="21"/>
        <v>0</v>
      </c>
      <c r="S96" s="36">
        <f t="shared" si="22"/>
        <v>2000</v>
      </c>
      <c r="T96" s="36">
        <f t="shared" si="23"/>
        <v>0</v>
      </c>
      <c r="U96" s="36">
        <f t="shared" si="24"/>
        <v>0</v>
      </c>
      <c r="V96" s="36">
        <f t="shared" si="25"/>
        <v>0</v>
      </c>
      <c r="W96" s="19">
        <f t="shared" si="26"/>
        <v>2000</v>
      </c>
    </row>
    <row r="97" spans="1:23">
      <c r="A97" s="56" t="s">
        <v>108</v>
      </c>
      <c r="B97" s="57">
        <v>40129</v>
      </c>
      <c r="C97" s="84">
        <v>8</v>
      </c>
      <c r="D97" s="56">
        <v>21</v>
      </c>
      <c r="E97" s="58">
        <v>2100</v>
      </c>
      <c r="F97" s="59"/>
      <c r="G97" s="59"/>
      <c r="H97" s="58"/>
      <c r="I97" s="60"/>
      <c r="J97" s="19">
        <f t="shared" si="14"/>
        <v>2100</v>
      </c>
      <c r="K97" s="19">
        <f t="shared" si="27"/>
        <v>951515</v>
      </c>
      <c r="L97" s="36">
        <f t="shared" si="15"/>
        <v>0</v>
      </c>
      <c r="M97" s="36">
        <f t="shared" si="16"/>
        <v>0</v>
      </c>
      <c r="N97" s="36">
        <f t="shared" si="17"/>
        <v>0</v>
      </c>
      <c r="O97" s="36">
        <f t="shared" si="18"/>
        <v>0</v>
      </c>
      <c r="P97" s="36">
        <f t="shared" si="19"/>
        <v>0</v>
      </c>
      <c r="Q97" s="36">
        <f t="shared" si="20"/>
        <v>0</v>
      </c>
      <c r="R97" s="36">
        <f t="shared" si="21"/>
        <v>0</v>
      </c>
      <c r="S97" s="36">
        <f t="shared" si="22"/>
        <v>2100</v>
      </c>
      <c r="T97" s="36">
        <f t="shared" si="23"/>
        <v>0</v>
      </c>
      <c r="U97" s="36">
        <f t="shared" si="24"/>
        <v>0</v>
      </c>
      <c r="V97" s="36">
        <f t="shared" si="25"/>
        <v>0</v>
      </c>
      <c r="W97" s="19">
        <f t="shared" si="26"/>
        <v>2100</v>
      </c>
    </row>
    <row r="98" spans="1:23">
      <c r="A98" s="56" t="s">
        <v>109</v>
      </c>
      <c r="B98" s="57">
        <v>40129</v>
      </c>
      <c r="C98" s="84">
        <v>8</v>
      </c>
      <c r="D98" s="56">
        <v>22</v>
      </c>
      <c r="E98" s="58">
        <v>650</v>
      </c>
      <c r="F98" s="59"/>
      <c r="G98" s="59"/>
      <c r="H98" s="58"/>
      <c r="I98" s="60"/>
      <c r="J98" s="19">
        <f t="shared" si="14"/>
        <v>650</v>
      </c>
      <c r="K98" s="19">
        <f t="shared" si="27"/>
        <v>952165</v>
      </c>
      <c r="L98" s="36">
        <f t="shared" si="15"/>
        <v>0</v>
      </c>
      <c r="M98" s="36">
        <f t="shared" si="16"/>
        <v>0</v>
      </c>
      <c r="N98" s="36">
        <f t="shared" si="17"/>
        <v>0</v>
      </c>
      <c r="O98" s="36">
        <f t="shared" si="18"/>
        <v>0</v>
      </c>
      <c r="P98" s="36">
        <f t="shared" si="19"/>
        <v>0</v>
      </c>
      <c r="Q98" s="36">
        <f t="shared" si="20"/>
        <v>0</v>
      </c>
      <c r="R98" s="36">
        <f t="shared" si="21"/>
        <v>0</v>
      </c>
      <c r="S98" s="36">
        <f t="shared" si="22"/>
        <v>650</v>
      </c>
      <c r="T98" s="36">
        <f t="shared" si="23"/>
        <v>0</v>
      </c>
      <c r="U98" s="36">
        <f t="shared" si="24"/>
        <v>0</v>
      </c>
      <c r="V98" s="36">
        <f t="shared" si="25"/>
        <v>0</v>
      </c>
      <c r="W98" s="19">
        <f t="shared" si="26"/>
        <v>650</v>
      </c>
    </row>
    <row r="99" spans="1:23">
      <c r="A99" s="56" t="s">
        <v>113</v>
      </c>
      <c r="B99" s="57">
        <v>40129</v>
      </c>
      <c r="C99" s="84">
        <v>8</v>
      </c>
      <c r="D99" s="56">
        <v>23</v>
      </c>
      <c r="E99" s="58">
        <v>180</v>
      </c>
      <c r="F99" s="59"/>
      <c r="G99" s="59"/>
      <c r="H99" s="58"/>
      <c r="I99" s="60"/>
      <c r="J99" s="19">
        <f t="shared" si="14"/>
        <v>180</v>
      </c>
      <c r="K99" s="19">
        <f t="shared" si="27"/>
        <v>952345</v>
      </c>
      <c r="L99" s="36">
        <f t="shared" si="15"/>
        <v>0</v>
      </c>
      <c r="M99" s="36">
        <f t="shared" si="16"/>
        <v>0</v>
      </c>
      <c r="N99" s="36">
        <f t="shared" si="17"/>
        <v>0</v>
      </c>
      <c r="O99" s="36">
        <f t="shared" si="18"/>
        <v>0</v>
      </c>
      <c r="P99" s="36">
        <f t="shared" si="19"/>
        <v>0</v>
      </c>
      <c r="Q99" s="36">
        <f t="shared" si="20"/>
        <v>0</v>
      </c>
      <c r="R99" s="36">
        <f t="shared" si="21"/>
        <v>0</v>
      </c>
      <c r="S99" s="36">
        <f t="shared" si="22"/>
        <v>180</v>
      </c>
      <c r="T99" s="36">
        <f t="shared" si="23"/>
        <v>0</v>
      </c>
      <c r="U99" s="36">
        <f t="shared" si="24"/>
        <v>0</v>
      </c>
      <c r="V99" s="36">
        <f t="shared" si="25"/>
        <v>0</v>
      </c>
      <c r="W99" s="19">
        <f t="shared" si="26"/>
        <v>180</v>
      </c>
    </row>
    <row r="100" spans="1:23">
      <c r="A100" s="56" t="s">
        <v>114</v>
      </c>
      <c r="B100" s="57">
        <v>40129</v>
      </c>
      <c r="C100" s="84">
        <v>8</v>
      </c>
      <c r="D100" s="56">
        <v>24</v>
      </c>
      <c r="E100" s="58">
        <v>200</v>
      </c>
      <c r="F100" s="59"/>
      <c r="G100" s="59"/>
      <c r="H100" s="58"/>
      <c r="I100" s="60"/>
      <c r="J100" s="19">
        <f t="shared" si="14"/>
        <v>200</v>
      </c>
      <c r="K100" s="19">
        <f t="shared" si="27"/>
        <v>952545</v>
      </c>
      <c r="L100" s="36">
        <f t="shared" si="15"/>
        <v>0</v>
      </c>
      <c r="M100" s="36">
        <f t="shared" si="16"/>
        <v>0</v>
      </c>
      <c r="N100" s="36">
        <f t="shared" si="17"/>
        <v>0</v>
      </c>
      <c r="O100" s="36">
        <f t="shared" si="18"/>
        <v>0</v>
      </c>
      <c r="P100" s="36">
        <f t="shared" si="19"/>
        <v>0</v>
      </c>
      <c r="Q100" s="36">
        <f t="shared" si="20"/>
        <v>0</v>
      </c>
      <c r="R100" s="36">
        <f t="shared" si="21"/>
        <v>0</v>
      </c>
      <c r="S100" s="36">
        <f t="shared" si="22"/>
        <v>200</v>
      </c>
      <c r="T100" s="36">
        <f t="shared" si="23"/>
        <v>0</v>
      </c>
      <c r="U100" s="36">
        <f t="shared" si="24"/>
        <v>0</v>
      </c>
      <c r="V100" s="36">
        <f t="shared" si="25"/>
        <v>0</v>
      </c>
      <c r="W100" s="19">
        <f t="shared" si="26"/>
        <v>200</v>
      </c>
    </row>
    <row r="101" spans="1:23">
      <c r="A101" s="56" t="s">
        <v>115</v>
      </c>
      <c r="B101" s="57">
        <v>40129</v>
      </c>
      <c r="C101" s="84">
        <v>8</v>
      </c>
      <c r="D101" s="56">
        <v>25</v>
      </c>
      <c r="E101" s="58">
        <v>1800</v>
      </c>
      <c r="F101" s="59"/>
      <c r="G101" s="59"/>
      <c r="H101" s="58"/>
      <c r="I101" s="60"/>
      <c r="J101" s="19">
        <f t="shared" si="14"/>
        <v>1800</v>
      </c>
      <c r="K101" s="19">
        <f t="shared" si="27"/>
        <v>954345</v>
      </c>
      <c r="L101" s="36">
        <f t="shared" si="15"/>
        <v>0</v>
      </c>
      <c r="M101" s="36">
        <f t="shared" si="16"/>
        <v>0</v>
      </c>
      <c r="N101" s="36">
        <f t="shared" si="17"/>
        <v>0</v>
      </c>
      <c r="O101" s="36">
        <f t="shared" si="18"/>
        <v>0</v>
      </c>
      <c r="P101" s="36">
        <f t="shared" si="19"/>
        <v>0</v>
      </c>
      <c r="Q101" s="36">
        <f t="shared" si="20"/>
        <v>0</v>
      </c>
      <c r="R101" s="36">
        <f t="shared" si="21"/>
        <v>0</v>
      </c>
      <c r="S101" s="36">
        <f t="shared" si="22"/>
        <v>1800</v>
      </c>
      <c r="T101" s="36">
        <f t="shared" si="23"/>
        <v>0</v>
      </c>
      <c r="U101" s="36">
        <f t="shared" si="24"/>
        <v>0</v>
      </c>
      <c r="V101" s="36">
        <f t="shared" si="25"/>
        <v>0</v>
      </c>
      <c r="W101" s="19">
        <f t="shared" si="26"/>
        <v>1800</v>
      </c>
    </row>
    <row r="102" spans="1:23">
      <c r="A102" s="56" t="s">
        <v>122</v>
      </c>
      <c r="B102" s="57">
        <v>40130</v>
      </c>
      <c r="C102" s="84">
        <v>8</v>
      </c>
      <c r="D102" s="56">
        <v>26</v>
      </c>
      <c r="E102" s="58">
        <v>600</v>
      </c>
      <c r="F102" s="59"/>
      <c r="G102" s="59"/>
      <c r="H102" s="58"/>
      <c r="I102" s="60"/>
      <c r="J102" s="19">
        <f t="shared" si="14"/>
        <v>600</v>
      </c>
      <c r="K102" s="19">
        <f t="shared" si="27"/>
        <v>954945</v>
      </c>
      <c r="L102" s="36">
        <f t="shared" si="15"/>
        <v>0</v>
      </c>
      <c r="M102" s="36">
        <f t="shared" si="16"/>
        <v>0</v>
      </c>
      <c r="N102" s="36">
        <f t="shared" si="17"/>
        <v>0</v>
      </c>
      <c r="O102" s="36">
        <f t="shared" si="18"/>
        <v>0</v>
      </c>
      <c r="P102" s="36">
        <f t="shared" si="19"/>
        <v>0</v>
      </c>
      <c r="Q102" s="36">
        <f t="shared" si="20"/>
        <v>0</v>
      </c>
      <c r="R102" s="36">
        <f t="shared" si="21"/>
        <v>0</v>
      </c>
      <c r="S102" s="36">
        <f t="shared" si="22"/>
        <v>600</v>
      </c>
      <c r="T102" s="36">
        <f t="shared" si="23"/>
        <v>0</v>
      </c>
      <c r="U102" s="36">
        <f t="shared" si="24"/>
        <v>0</v>
      </c>
      <c r="V102" s="36">
        <f t="shared" si="25"/>
        <v>0</v>
      </c>
      <c r="W102" s="19">
        <f t="shared" si="26"/>
        <v>600</v>
      </c>
    </row>
    <row r="103" spans="1:23">
      <c r="A103" s="56" t="s">
        <v>88</v>
      </c>
      <c r="B103" s="57">
        <v>40133</v>
      </c>
      <c r="C103" s="84">
        <v>2</v>
      </c>
      <c r="D103" s="56"/>
      <c r="E103" s="58"/>
      <c r="F103" s="59">
        <v>15</v>
      </c>
      <c r="G103" s="94">
        <v>15</v>
      </c>
      <c r="H103" s="93">
        <f>-95000+99000-4000</f>
        <v>0</v>
      </c>
      <c r="I103" s="93">
        <v>95000</v>
      </c>
      <c r="J103" s="19">
        <f t="shared" si="14"/>
        <v>95000</v>
      </c>
      <c r="K103" s="19">
        <f t="shared" si="27"/>
        <v>1049945</v>
      </c>
      <c r="L103" s="36">
        <f t="shared" si="15"/>
        <v>0</v>
      </c>
      <c r="M103" s="36">
        <f t="shared" si="16"/>
        <v>95000</v>
      </c>
      <c r="N103" s="36">
        <f t="shared" si="17"/>
        <v>0</v>
      </c>
      <c r="O103" s="36">
        <f t="shared" si="18"/>
        <v>0</v>
      </c>
      <c r="P103" s="36">
        <f t="shared" si="19"/>
        <v>0</v>
      </c>
      <c r="Q103" s="36">
        <f t="shared" si="20"/>
        <v>0</v>
      </c>
      <c r="R103" s="36">
        <f t="shared" si="21"/>
        <v>0</v>
      </c>
      <c r="S103" s="36">
        <f t="shared" si="22"/>
        <v>0</v>
      </c>
      <c r="T103" s="36">
        <f t="shared" si="23"/>
        <v>0</v>
      </c>
      <c r="U103" s="36">
        <f t="shared" si="24"/>
        <v>0</v>
      </c>
      <c r="V103" s="36">
        <f t="shared" si="25"/>
        <v>0</v>
      </c>
      <c r="W103" s="19">
        <f t="shared" si="26"/>
        <v>95000</v>
      </c>
    </row>
    <row r="104" spans="1:23">
      <c r="A104" s="56" t="s">
        <v>90</v>
      </c>
      <c r="B104" s="57">
        <v>40133</v>
      </c>
      <c r="C104" s="84">
        <v>8</v>
      </c>
      <c r="D104" s="56"/>
      <c r="E104" s="58"/>
      <c r="F104" s="59">
        <v>16</v>
      </c>
      <c r="G104" s="94">
        <v>16</v>
      </c>
      <c r="H104" s="93"/>
      <c r="I104" s="93">
        <v>3000</v>
      </c>
      <c r="J104" s="19">
        <f t="shared" si="14"/>
        <v>3000</v>
      </c>
      <c r="K104" s="19">
        <f t="shared" si="27"/>
        <v>1052945</v>
      </c>
      <c r="L104" s="36">
        <f t="shared" si="15"/>
        <v>0</v>
      </c>
      <c r="M104" s="36">
        <f t="shared" si="16"/>
        <v>0</v>
      </c>
      <c r="N104" s="36">
        <f t="shared" si="17"/>
        <v>0</v>
      </c>
      <c r="O104" s="36">
        <f t="shared" si="18"/>
        <v>0</v>
      </c>
      <c r="P104" s="36">
        <f t="shared" si="19"/>
        <v>0</v>
      </c>
      <c r="Q104" s="36">
        <f t="shared" si="20"/>
        <v>0</v>
      </c>
      <c r="R104" s="36">
        <f t="shared" si="21"/>
        <v>0</v>
      </c>
      <c r="S104" s="36">
        <f t="shared" si="22"/>
        <v>3000</v>
      </c>
      <c r="T104" s="36">
        <f t="shared" si="23"/>
        <v>0</v>
      </c>
      <c r="U104" s="36">
        <f t="shared" si="24"/>
        <v>0</v>
      </c>
      <c r="V104" s="36">
        <f t="shared" si="25"/>
        <v>0</v>
      </c>
      <c r="W104" s="19">
        <f t="shared" si="26"/>
        <v>3000</v>
      </c>
    </row>
    <row r="105" spans="1:23">
      <c r="A105" s="56" t="s">
        <v>91</v>
      </c>
      <c r="B105" s="57">
        <v>40133</v>
      </c>
      <c r="C105" s="84">
        <v>8</v>
      </c>
      <c r="D105" s="56"/>
      <c r="E105" s="58"/>
      <c r="F105" s="59">
        <v>17</v>
      </c>
      <c r="G105" s="56">
        <v>17</v>
      </c>
      <c r="H105" s="58"/>
      <c r="I105" s="58">
        <v>0</v>
      </c>
      <c r="J105" s="19">
        <f t="shared" si="14"/>
        <v>0</v>
      </c>
      <c r="K105" s="19">
        <f t="shared" si="27"/>
        <v>1052945</v>
      </c>
      <c r="L105" s="36">
        <f t="shared" si="15"/>
        <v>0</v>
      </c>
      <c r="M105" s="36">
        <f t="shared" si="16"/>
        <v>0</v>
      </c>
      <c r="N105" s="36">
        <f t="shared" si="17"/>
        <v>0</v>
      </c>
      <c r="O105" s="36">
        <f t="shared" si="18"/>
        <v>0</v>
      </c>
      <c r="P105" s="36">
        <f t="shared" si="19"/>
        <v>0</v>
      </c>
      <c r="Q105" s="36">
        <f t="shared" si="20"/>
        <v>0</v>
      </c>
      <c r="R105" s="36">
        <f t="shared" si="21"/>
        <v>0</v>
      </c>
      <c r="S105" s="36">
        <f t="shared" si="22"/>
        <v>0</v>
      </c>
      <c r="T105" s="36">
        <f t="shared" si="23"/>
        <v>0</v>
      </c>
      <c r="U105" s="36">
        <f t="shared" si="24"/>
        <v>0</v>
      </c>
      <c r="V105" s="36">
        <f t="shared" si="25"/>
        <v>0</v>
      </c>
      <c r="W105" s="19">
        <f t="shared" si="26"/>
        <v>0</v>
      </c>
    </row>
    <row r="106" spans="1:23">
      <c r="A106" s="56" t="s">
        <v>92</v>
      </c>
      <c r="B106" s="57">
        <v>40133</v>
      </c>
      <c r="C106" s="84">
        <v>8</v>
      </c>
      <c r="D106" s="56"/>
      <c r="E106" s="58">
        <f>-14038</f>
        <v>-14038</v>
      </c>
      <c r="F106" s="59">
        <v>18</v>
      </c>
      <c r="G106" s="94">
        <v>18</v>
      </c>
      <c r="H106" s="93"/>
      <c r="I106" s="93">
        <v>14038</v>
      </c>
      <c r="J106" s="19">
        <f t="shared" si="14"/>
        <v>0</v>
      </c>
      <c r="K106" s="19">
        <f t="shared" si="27"/>
        <v>1052945</v>
      </c>
      <c r="L106" s="36">
        <f t="shared" si="15"/>
        <v>0</v>
      </c>
      <c r="M106" s="36">
        <f t="shared" si="16"/>
        <v>0</v>
      </c>
      <c r="N106" s="36">
        <f t="shared" si="17"/>
        <v>0</v>
      </c>
      <c r="O106" s="36">
        <f t="shared" si="18"/>
        <v>0</v>
      </c>
      <c r="P106" s="36">
        <f t="shared" si="19"/>
        <v>0</v>
      </c>
      <c r="Q106" s="36">
        <f t="shared" si="20"/>
        <v>0</v>
      </c>
      <c r="R106" s="36">
        <f t="shared" si="21"/>
        <v>0</v>
      </c>
      <c r="S106" s="36">
        <f t="shared" si="22"/>
        <v>0</v>
      </c>
      <c r="T106" s="36">
        <f t="shared" si="23"/>
        <v>0</v>
      </c>
      <c r="U106" s="36">
        <f t="shared" si="24"/>
        <v>0</v>
      </c>
      <c r="V106" s="36">
        <f t="shared" si="25"/>
        <v>0</v>
      </c>
      <c r="W106" s="19">
        <f t="shared" si="26"/>
        <v>0</v>
      </c>
    </row>
    <row r="107" spans="1:23">
      <c r="A107" s="56" t="s">
        <v>221</v>
      </c>
      <c r="B107" s="57">
        <v>40136</v>
      </c>
      <c r="C107" s="84">
        <v>2</v>
      </c>
      <c r="D107" s="56"/>
      <c r="E107" s="58">
        <v>1000</v>
      </c>
      <c r="F107" s="59"/>
      <c r="G107" s="59"/>
      <c r="H107" s="58"/>
      <c r="I107" s="60"/>
      <c r="J107" s="19">
        <f t="shared" si="14"/>
        <v>1000</v>
      </c>
      <c r="K107" s="19">
        <f t="shared" si="27"/>
        <v>1053945</v>
      </c>
      <c r="L107" s="36">
        <f t="shared" si="15"/>
        <v>0</v>
      </c>
      <c r="M107" s="36">
        <f t="shared" si="16"/>
        <v>1000</v>
      </c>
      <c r="N107" s="36">
        <f t="shared" si="17"/>
        <v>0</v>
      </c>
      <c r="O107" s="36">
        <f t="shared" si="18"/>
        <v>0</v>
      </c>
      <c r="P107" s="36">
        <f t="shared" si="19"/>
        <v>0</v>
      </c>
      <c r="Q107" s="36">
        <f t="shared" si="20"/>
        <v>0</v>
      </c>
      <c r="R107" s="36">
        <f t="shared" si="21"/>
        <v>0</v>
      </c>
      <c r="S107" s="36">
        <f t="shared" si="22"/>
        <v>0</v>
      </c>
      <c r="T107" s="36">
        <f t="shared" si="23"/>
        <v>0</v>
      </c>
      <c r="U107" s="36">
        <f t="shared" si="24"/>
        <v>0</v>
      </c>
      <c r="V107" s="36">
        <f t="shared" si="25"/>
        <v>0</v>
      </c>
      <c r="W107" s="19">
        <f t="shared" si="26"/>
        <v>1000</v>
      </c>
    </row>
    <row r="108" spans="1:23">
      <c r="A108" s="56" t="s">
        <v>93</v>
      </c>
      <c r="B108" s="57">
        <v>40137</v>
      </c>
      <c r="C108" s="84">
        <v>2</v>
      </c>
      <c r="D108" s="56"/>
      <c r="E108" s="58"/>
      <c r="F108" s="59">
        <v>19</v>
      </c>
      <c r="G108" s="94">
        <v>19</v>
      </c>
      <c r="H108" s="93">
        <f>-70000+71500-1500</f>
        <v>0</v>
      </c>
      <c r="I108" s="93">
        <v>70000</v>
      </c>
      <c r="J108" s="19">
        <f t="shared" si="14"/>
        <v>70000</v>
      </c>
      <c r="K108" s="19">
        <f t="shared" si="27"/>
        <v>1123945</v>
      </c>
      <c r="L108" s="36">
        <f t="shared" si="15"/>
        <v>0</v>
      </c>
      <c r="M108" s="36">
        <f t="shared" si="16"/>
        <v>70000</v>
      </c>
      <c r="N108" s="36">
        <f t="shared" si="17"/>
        <v>0</v>
      </c>
      <c r="O108" s="36">
        <f t="shared" si="18"/>
        <v>0</v>
      </c>
      <c r="P108" s="36">
        <f t="shared" si="19"/>
        <v>0</v>
      </c>
      <c r="Q108" s="36">
        <f t="shared" si="20"/>
        <v>0</v>
      </c>
      <c r="R108" s="36">
        <f t="shared" si="21"/>
        <v>0</v>
      </c>
      <c r="S108" s="36">
        <f t="shared" si="22"/>
        <v>0</v>
      </c>
      <c r="T108" s="36">
        <f t="shared" si="23"/>
        <v>0</v>
      </c>
      <c r="U108" s="36">
        <f t="shared" si="24"/>
        <v>0</v>
      </c>
      <c r="V108" s="36">
        <f t="shared" si="25"/>
        <v>0</v>
      </c>
      <c r="W108" s="19">
        <f t="shared" si="26"/>
        <v>70000</v>
      </c>
    </row>
    <row r="109" spans="1:23">
      <c r="A109" s="56" t="s">
        <v>94</v>
      </c>
      <c r="B109" s="57">
        <v>40137</v>
      </c>
      <c r="C109" s="84">
        <v>8</v>
      </c>
      <c r="D109" s="56"/>
      <c r="E109" s="58"/>
      <c r="F109" s="59">
        <v>20</v>
      </c>
      <c r="G109" s="94">
        <v>20</v>
      </c>
      <c r="H109" s="93">
        <f>-37000+9500+11000+6000+4400+900+5200</f>
        <v>0</v>
      </c>
      <c r="I109" s="93">
        <v>37000</v>
      </c>
      <c r="J109" s="19">
        <f t="shared" si="14"/>
        <v>37000</v>
      </c>
      <c r="K109" s="19">
        <f t="shared" si="27"/>
        <v>1160945</v>
      </c>
      <c r="L109" s="36">
        <f t="shared" si="15"/>
        <v>0</v>
      </c>
      <c r="M109" s="36">
        <f t="shared" si="16"/>
        <v>0</v>
      </c>
      <c r="N109" s="36">
        <f t="shared" si="17"/>
        <v>0</v>
      </c>
      <c r="O109" s="36">
        <f t="shared" si="18"/>
        <v>0</v>
      </c>
      <c r="P109" s="36">
        <f t="shared" si="19"/>
        <v>0</v>
      </c>
      <c r="Q109" s="36">
        <f t="shared" si="20"/>
        <v>0</v>
      </c>
      <c r="R109" s="36">
        <f t="shared" si="21"/>
        <v>0</v>
      </c>
      <c r="S109" s="36">
        <f t="shared" si="22"/>
        <v>37000</v>
      </c>
      <c r="T109" s="36">
        <f t="shared" si="23"/>
        <v>0</v>
      </c>
      <c r="U109" s="36">
        <f t="shared" si="24"/>
        <v>0</v>
      </c>
      <c r="V109" s="36">
        <f t="shared" si="25"/>
        <v>0</v>
      </c>
      <c r="W109" s="19">
        <f t="shared" si="26"/>
        <v>37000</v>
      </c>
    </row>
    <row r="110" spans="1:23">
      <c r="A110" s="56" t="s">
        <v>95</v>
      </c>
      <c r="B110" s="57">
        <v>40137</v>
      </c>
      <c r="C110" s="84">
        <v>8</v>
      </c>
      <c r="D110" s="56"/>
      <c r="E110" s="58"/>
      <c r="F110" s="59">
        <v>21</v>
      </c>
      <c r="G110" s="94">
        <v>21</v>
      </c>
      <c r="H110" s="93"/>
      <c r="I110" s="93">
        <v>3000</v>
      </c>
      <c r="J110" s="19">
        <f t="shared" si="14"/>
        <v>3000</v>
      </c>
      <c r="K110" s="19">
        <f t="shared" si="27"/>
        <v>1163945</v>
      </c>
      <c r="L110" s="36">
        <f t="shared" si="15"/>
        <v>0</v>
      </c>
      <c r="M110" s="36">
        <f t="shared" si="16"/>
        <v>0</v>
      </c>
      <c r="N110" s="36">
        <f t="shared" si="17"/>
        <v>0</v>
      </c>
      <c r="O110" s="36">
        <f t="shared" si="18"/>
        <v>0</v>
      </c>
      <c r="P110" s="36">
        <f t="shared" si="19"/>
        <v>0</v>
      </c>
      <c r="Q110" s="36">
        <f t="shared" si="20"/>
        <v>0</v>
      </c>
      <c r="R110" s="36">
        <f t="shared" si="21"/>
        <v>0</v>
      </c>
      <c r="S110" s="36">
        <f t="shared" si="22"/>
        <v>3000</v>
      </c>
      <c r="T110" s="36">
        <f t="shared" si="23"/>
        <v>0</v>
      </c>
      <c r="U110" s="36">
        <f t="shared" si="24"/>
        <v>0</v>
      </c>
      <c r="V110" s="36">
        <f t="shared" si="25"/>
        <v>0</v>
      </c>
      <c r="W110" s="19">
        <f t="shared" si="26"/>
        <v>3000</v>
      </c>
    </row>
    <row r="111" spans="1:23" ht="15">
      <c r="A111" s="73" t="s">
        <v>223</v>
      </c>
      <c r="B111" s="74">
        <v>40138</v>
      </c>
      <c r="C111" s="85">
        <v>8</v>
      </c>
      <c r="D111" s="56">
        <v>27</v>
      </c>
      <c r="E111" s="58">
        <v>260</v>
      </c>
      <c r="F111" s="59"/>
      <c r="G111" s="59"/>
      <c r="H111" s="58"/>
      <c r="I111" s="60"/>
      <c r="J111" s="19">
        <f t="shared" si="14"/>
        <v>260</v>
      </c>
      <c r="K111" s="19">
        <f t="shared" si="27"/>
        <v>1164205</v>
      </c>
      <c r="L111" s="36">
        <f t="shared" si="15"/>
        <v>0</v>
      </c>
      <c r="M111" s="36">
        <f t="shared" si="16"/>
        <v>0</v>
      </c>
      <c r="N111" s="36">
        <f t="shared" si="17"/>
        <v>0</v>
      </c>
      <c r="O111" s="36">
        <f t="shared" si="18"/>
        <v>0</v>
      </c>
      <c r="P111" s="36">
        <f t="shared" si="19"/>
        <v>0</v>
      </c>
      <c r="Q111" s="36">
        <f t="shared" si="20"/>
        <v>0</v>
      </c>
      <c r="R111" s="36">
        <f t="shared" si="21"/>
        <v>0</v>
      </c>
      <c r="S111" s="36">
        <f t="shared" si="22"/>
        <v>260</v>
      </c>
      <c r="T111" s="36">
        <f t="shared" si="23"/>
        <v>0</v>
      </c>
      <c r="U111" s="36">
        <f t="shared" si="24"/>
        <v>0</v>
      </c>
      <c r="V111" s="36">
        <f t="shared" si="25"/>
        <v>0</v>
      </c>
      <c r="W111" s="19">
        <f t="shared" si="26"/>
        <v>260</v>
      </c>
    </row>
    <row r="112" spans="1:23">
      <c r="A112" s="56" t="s">
        <v>96</v>
      </c>
      <c r="B112" s="57">
        <v>40142</v>
      </c>
      <c r="C112" s="84">
        <v>6</v>
      </c>
      <c r="D112" s="56"/>
      <c r="E112" s="58"/>
      <c r="F112" s="59">
        <v>22</v>
      </c>
      <c r="G112" s="94">
        <v>22</v>
      </c>
      <c r="H112" s="93">
        <f>-20500+20480</f>
        <v>-20</v>
      </c>
      <c r="I112" s="93">
        <v>20500</v>
      </c>
      <c r="J112" s="19">
        <f t="shared" si="14"/>
        <v>20480</v>
      </c>
      <c r="K112" s="19">
        <f t="shared" si="27"/>
        <v>1184685</v>
      </c>
      <c r="L112" s="36">
        <f t="shared" si="15"/>
        <v>0</v>
      </c>
      <c r="M112" s="36">
        <f t="shared" si="16"/>
        <v>0</v>
      </c>
      <c r="N112" s="36">
        <f t="shared" si="17"/>
        <v>0</v>
      </c>
      <c r="O112" s="36">
        <f t="shared" si="18"/>
        <v>0</v>
      </c>
      <c r="P112" s="36">
        <f t="shared" si="19"/>
        <v>0</v>
      </c>
      <c r="Q112" s="36">
        <f t="shared" si="20"/>
        <v>20480</v>
      </c>
      <c r="R112" s="36">
        <f t="shared" si="21"/>
        <v>0</v>
      </c>
      <c r="S112" s="36">
        <f t="shared" si="22"/>
        <v>0</v>
      </c>
      <c r="T112" s="36">
        <f t="shared" si="23"/>
        <v>0</v>
      </c>
      <c r="U112" s="36">
        <f t="shared" si="24"/>
        <v>0</v>
      </c>
      <c r="V112" s="36">
        <f t="shared" si="25"/>
        <v>0</v>
      </c>
      <c r="W112" s="19">
        <f t="shared" si="26"/>
        <v>20480</v>
      </c>
    </row>
    <row r="113" spans="1:23" ht="15">
      <c r="A113" s="73" t="s">
        <v>224</v>
      </c>
      <c r="B113" s="74">
        <v>40143</v>
      </c>
      <c r="C113" s="85">
        <v>8</v>
      </c>
      <c r="D113" s="56">
        <v>28</v>
      </c>
      <c r="E113" s="58">
        <v>400</v>
      </c>
      <c r="F113" s="59"/>
      <c r="G113" s="59"/>
      <c r="H113" s="58"/>
      <c r="I113" s="60"/>
      <c r="J113" s="19">
        <f t="shared" si="14"/>
        <v>400</v>
      </c>
      <c r="K113" s="19">
        <f t="shared" si="27"/>
        <v>1185085</v>
      </c>
      <c r="L113" s="36">
        <f t="shared" si="15"/>
        <v>0</v>
      </c>
      <c r="M113" s="36">
        <f t="shared" si="16"/>
        <v>0</v>
      </c>
      <c r="N113" s="36">
        <f t="shared" si="17"/>
        <v>0</v>
      </c>
      <c r="O113" s="36">
        <f t="shared" si="18"/>
        <v>0</v>
      </c>
      <c r="P113" s="36">
        <f t="shared" si="19"/>
        <v>0</v>
      </c>
      <c r="Q113" s="36">
        <f t="shared" si="20"/>
        <v>0</v>
      </c>
      <c r="R113" s="36">
        <f t="shared" si="21"/>
        <v>0</v>
      </c>
      <c r="S113" s="36">
        <f t="shared" si="22"/>
        <v>400</v>
      </c>
      <c r="T113" s="36">
        <f t="shared" si="23"/>
        <v>0</v>
      </c>
      <c r="U113" s="36">
        <f t="shared" si="24"/>
        <v>0</v>
      </c>
      <c r="V113" s="36">
        <f t="shared" si="25"/>
        <v>0</v>
      </c>
      <c r="W113" s="19">
        <f t="shared" si="26"/>
        <v>400</v>
      </c>
    </row>
    <row r="114" spans="1:23">
      <c r="A114" s="56" t="s">
        <v>186</v>
      </c>
      <c r="B114" s="57">
        <v>40145</v>
      </c>
      <c r="C114" s="84">
        <v>8.1</v>
      </c>
      <c r="D114" s="56"/>
      <c r="E114" s="58"/>
      <c r="F114" s="59"/>
      <c r="G114" s="56"/>
      <c r="H114" s="58"/>
      <c r="I114" s="93">
        <f>50*9</f>
        <v>450</v>
      </c>
      <c r="J114" s="19">
        <f t="shared" si="14"/>
        <v>450</v>
      </c>
      <c r="K114" s="19">
        <f t="shared" si="27"/>
        <v>1185535</v>
      </c>
      <c r="L114" s="36">
        <f t="shared" si="15"/>
        <v>0</v>
      </c>
      <c r="M114" s="36">
        <f t="shared" si="16"/>
        <v>0</v>
      </c>
      <c r="N114" s="36">
        <f t="shared" si="17"/>
        <v>0</v>
      </c>
      <c r="O114" s="36">
        <f t="shared" si="18"/>
        <v>0</v>
      </c>
      <c r="P114" s="36">
        <f t="shared" si="19"/>
        <v>0</v>
      </c>
      <c r="Q114" s="36">
        <f t="shared" si="20"/>
        <v>0</v>
      </c>
      <c r="R114" s="36">
        <f t="shared" si="21"/>
        <v>0</v>
      </c>
      <c r="S114" s="36">
        <f t="shared" si="22"/>
        <v>0</v>
      </c>
      <c r="T114" s="36">
        <f t="shared" si="23"/>
        <v>450</v>
      </c>
      <c r="U114" s="36">
        <f t="shared" si="24"/>
        <v>0</v>
      </c>
      <c r="V114" s="36">
        <f t="shared" si="25"/>
        <v>0</v>
      </c>
      <c r="W114" s="19">
        <f t="shared" si="26"/>
        <v>450</v>
      </c>
    </row>
    <row r="115" spans="1:23">
      <c r="A115" s="56" t="s">
        <v>97</v>
      </c>
      <c r="B115" s="57">
        <v>40145</v>
      </c>
      <c r="C115" s="84">
        <v>6</v>
      </c>
      <c r="D115" s="56"/>
      <c r="E115" s="58"/>
      <c r="F115" s="59">
        <v>23</v>
      </c>
      <c r="G115" s="94">
        <v>23</v>
      </c>
      <c r="H115" s="93">
        <f>-82650+80040</f>
        <v>-2610</v>
      </c>
      <c r="I115" s="93">
        <v>82650</v>
      </c>
      <c r="J115" s="19">
        <f t="shared" si="14"/>
        <v>80040</v>
      </c>
      <c r="K115" s="19">
        <f t="shared" si="27"/>
        <v>1265575</v>
      </c>
      <c r="L115" s="36">
        <f t="shared" si="15"/>
        <v>0</v>
      </c>
      <c r="M115" s="36">
        <f t="shared" si="16"/>
        <v>0</v>
      </c>
      <c r="N115" s="36">
        <f t="shared" si="17"/>
        <v>0</v>
      </c>
      <c r="O115" s="36">
        <f t="shared" si="18"/>
        <v>0</v>
      </c>
      <c r="P115" s="36">
        <f t="shared" si="19"/>
        <v>0</v>
      </c>
      <c r="Q115" s="36">
        <f t="shared" si="20"/>
        <v>80040</v>
      </c>
      <c r="R115" s="36">
        <f t="shared" si="21"/>
        <v>0</v>
      </c>
      <c r="S115" s="36">
        <f t="shared" si="22"/>
        <v>0</v>
      </c>
      <c r="T115" s="36">
        <f t="shared" si="23"/>
        <v>0</v>
      </c>
      <c r="U115" s="36">
        <f t="shared" si="24"/>
        <v>0</v>
      </c>
      <c r="V115" s="36">
        <f t="shared" si="25"/>
        <v>0</v>
      </c>
      <c r="W115" s="19">
        <f t="shared" si="26"/>
        <v>80040</v>
      </c>
    </row>
    <row r="116" spans="1:23">
      <c r="A116" s="56" t="s">
        <v>101</v>
      </c>
      <c r="B116" s="57">
        <v>40145</v>
      </c>
      <c r="C116" s="84">
        <v>8</v>
      </c>
      <c r="D116" s="56"/>
      <c r="E116" s="58"/>
      <c r="F116" s="59">
        <v>28</v>
      </c>
      <c r="G116" s="94">
        <v>28</v>
      </c>
      <c r="H116" s="93"/>
      <c r="I116" s="93">
        <v>47500</v>
      </c>
      <c r="J116" s="19">
        <f t="shared" si="14"/>
        <v>47500</v>
      </c>
      <c r="K116" s="19">
        <f t="shared" si="27"/>
        <v>1313075</v>
      </c>
      <c r="L116" s="36">
        <f t="shared" si="15"/>
        <v>0</v>
      </c>
      <c r="M116" s="36">
        <f t="shared" si="16"/>
        <v>0</v>
      </c>
      <c r="N116" s="36">
        <f t="shared" si="17"/>
        <v>0</v>
      </c>
      <c r="O116" s="36">
        <f t="shared" si="18"/>
        <v>0</v>
      </c>
      <c r="P116" s="36">
        <f t="shared" si="19"/>
        <v>0</v>
      </c>
      <c r="Q116" s="36">
        <f t="shared" si="20"/>
        <v>0</v>
      </c>
      <c r="R116" s="36">
        <f t="shared" si="21"/>
        <v>0</v>
      </c>
      <c r="S116" s="36">
        <f t="shared" si="22"/>
        <v>47500</v>
      </c>
      <c r="T116" s="36">
        <f t="shared" si="23"/>
        <v>0</v>
      </c>
      <c r="U116" s="36">
        <f t="shared" si="24"/>
        <v>0</v>
      </c>
      <c r="V116" s="36">
        <f t="shared" si="25"/>
        <v>0</v>
      </c>
      <c r="W116" s="19">
        <f t="shared" si="26"/>
        <v>47500</v>
      </c>
    </row>
    <row r="117" spans="1:23">
      <c r="A117" s="56" t="s">
        <v>141</v>
      </c>
      <c r="B117" s="57">
        <v>40146</v>
      </c>
      <c r="C117" s="84">
        <v>8</v>
      </c>
      <c r="D117" s="56"/>
      <c r="E117" s="58"/>
      <c r="F117" s="59">
        <v>32</v>
      </c>
      <c r="G117" s="56">
        <v>32</v>
      </c>
      <c r="H117" s="58"/>
      <c r="I117" s="58">
        <v>0</v>
      </c>
      <c r="J117" s="19">
        <f t="shared" si="14"/>
        <v>0</v>
      </c>
      <c r="K117" s="19">
        <f t="shared" si="27"/>
        <v>1313075</v>
      </c>
      <c r="L117" s="36">
        <f t="shared" si="15"/>
        <v>0</v>
      </c>
      <c r="M117" s="36">
        <f t="shared" si="16"/>
        <v>0</v>
      </c>
      <c r="N117" s="36">
        <f t="shared" si="17"/>
        <v>0</v>
      </c>
      <c r="O117" s="36">
        <f t="shared" si="18"/>
        <v>0</v>
      </c>
      <c r="P117" s="36">
        <f t="shared" si="19"/>
        <v>0</v>
      </c>
      <c r="Q117" s="36">
        <f t="shared" si="20"/>
        <v>0</v>
      </c>
      <c r="R117" s="36">
        <f t="shared" si="21"/>
        <v>0</v>
      </c>
      <c r="S117" s="36">
        <f t="shared" si="22"/>
        <v>0</v>
      </c>
      <c r="T117" s="36">
        <f t="shared" si="23"/>
        <v>0</v>
      </c>
      <c r="U117" s="36">
        <f t="shared" si="24"/>
        <v>0</v>
      </c>
      <c r="V117" s="36">
        <f t="shared" si="25"/>
        <v>0</v>
      </c>
      <c r="W117" s="19">
        <f t="shared" si="26"/>
        <v>0</v>
      </c>
    </row>
    <row r="118" spans="1:23" ht="15">
      <c r="A118" s="73" t="s">
        <v>230</v>
      </c>
      <c r="B118" s="74">
        <v>40147</v>
      </c>
      <c r="C118" s="85">
        <v>8</v>
      </c>
      <c r="D118" s="56">
        <v>29</v>
      </c>
      <c r="E118" s="76">
        <v>3999</v>
      </c>
      <c r="F118" s="59"/>
      <c r="G118" s="59"/>
      <c r="H118" s="58"/>
      <c r="I118" s="60"/>
      <c r="J118" s="19">
        <f t="shared" si="14"/>
        <v>3999</v>
      </c>
      <c r="K118" s="19">
        <f t="shared" si="27"/>
        <v>1317074</v>
      </c>
      <c r="L118" s="36">
        <f t="shared" si="15"/>
        <v>0</v>
      </c>
      <c r="M118" s="36">
        <f t="shared" si="16"/>
        <v>0</v>
      </c>
      <c r="N118" s="36">
        <f t="shared" si="17"/>
        <v>0</v>
      </c>
      <c r="O118" s="36">
        <f t="shared" si="18"/>
        <v>0</v>
      </c>
      <c r="P118" s="36">
        <f t="shared" si="19"/>
        <v>0</v>
      </c>
      <c r="Q118" s="36">
        <f t="shared" si="20"/>
        <v>0</v>
      </c>
      <c r="R118" s="36">
        <f t="shared" si="21"/>
        <v>0</v>
      </c>
      <c r="S118" s="36">
        <f t="shared" si="22"/>
        <v>3999</v>
      </c>
      <c r="T118" s="36">
        <f t="shared" si="23"/>
        <v>0</v>
      </c>
      <c r="U118" s="36">
        <f t="shared" si="24"/>
        <v>0</v>
      </c>
      <c r="V118" s="36">
        <f t="shared" si="25"/>
        <v>0</v>
      </c>
      <c r="W118" s="19">
        <f t="shared" si="26"/>
        <v>3999</v>
      </c>
    </row>
    <row r="119" spans="1:23">
      <c r="A119" s="56" t="s">
        <v>98</v>
      </c>
      <c r="B119" s="57">
        <v>40148</v>
      </c>
      <c r="C119" s="84">
        <v>6</v>
      </c>
      <c r="D119" s="56"/>
      <c r="E119" s="58"/>
      <c r="F119" s="59">
        <v>24</v>
      </c>
      <c r="G119" s="94">
        <v>24</v>
      </c>
      <c r="H119" s="93">
        <f>-80400+61085</f>
        <v>-19315</v>
      </c>
      <c r="I119" s="93">
        <v>80400</v>
      </c>
      <c r="J119" s="19">
        <f t="shared" si="14"/>
        <v>61085</v>
      </c>
      <c r="K119" s="19">
        <f t="shared" si="27"/>
        <v>1378159</v>
      </c>
      <c r="L119" s="36">
        <f t="shared" si="15"/>
        <v>0</v>
      </c>
      <c r="M119" s="36">
        <f t="shared" si="16"/>
        <v>0</v>
      </c>
      <c r="N119" s="36">
        <f t="shared" si="17"/>
        <v>0</v>
      </c>
      <c r="O119" s="36">
        <f t="shared" si="18"/>
        <v>0</v>
      </c>
      <c r="P119" s="36">
        <f t="shared" si="19"/>
        <v>0</v>
      </c>
      <c r="Q119" s="36">
        <f t="shared" si="20"/>
        <v>61085</v>
      </c>
      <c r="R119" s="36">
        <f t="shared" si="21"/>
        <v>0</v>
      </c>
      <c r="S119" s="36">
        <f t="shared" si="22"/>
        <v>0</v>
      </c>
      <c r="T119" s="36">
        <f t="shared" si="23"/>
        <v>0</v>
      </c>
      <c r="U119" s="36">
        <f t="shared" si="24"/>
        <v>0</v>
      </c>
      <c r="V119" s="36">
        <f t="shared" si="25"/>
        <v>0</v>
      </c>
      <c r="W119" s="19">
        <f t="shared" si="26"/>
        <v>61085</v>
      </c>
    </row>
    <row r="120" spans="1:23">
      <c r="A120" s="56" t="s">
        <v>99</v>
      </c>
      <c r="B120" s="57">
        <v>40148</v>
      </c>
      <c r="C120" s="84">
        <v>8</v>
      </c>
      <c r="D120" s="56"/>
      <c r="E120" s="58"/>
      <c r="F120" s="59">
        <v>25</v>
      </c>
      <c r="G120" s="94">
        <v>25</v>
      </c>
      <c r="H120" s="93">
        <f>-70000+10100+24000+22500+12500+900</f>
        <v>0</v>
      </c>
      <c r="I120" s="93">
        <v>70000</v>
      </c>
      <c r="J120" s="19">
        <f t="shared" si="14"/>
        <v>70000</v>
      </c>
      <c r="K120" s="19">
        <f t="shared" si="27"/>
        <v>1448159</v>
      </c>
      <c r="L120" s="36">
        <f t="shared" si="15"/>
        <v>0</v>
      </c>
      <c r="M120" s="36">
        <f t="shared" si="16"/>
        <v>0</v>
      </c>
      <c r="N120" s="36">
        <f t="shared" si="17"/>
        <v>0</v>
      </c>
      <c r="O120" s="36">
        <f t="shared" si="18"/>
        <v>0</v>
      </c>
      <c r="P120" s="36">
        <f t="shared" si="19"/>
        <v>0</v>
      </c>
      <c r="Q120" s="36">
        <f t="shared" si="20"/>
        <v>0</v>
      </c>
      <c r="R120" s="36">
        <f t="shared" si="21"/>
        <v>0</v>
      </c>
      <c r="S120" s="36">
        <f t="shared" si="22"/>
        <v>70000</v>
      </c>
      <c r="T120" s="36">
        <f t="shared" si="23"/>
        <v>0</v>
      </c>
      <c r="U120" s="36">
        <f t="shared" si="24"/>
        <v>0</v>
      </c>
      <c r="V120" s="36">
        <f t="shared" si="25"/>
        <v>0</v>
      </c>
      <c r="W120" s="19">
        <f t="shared" si="26"/>
        <v>70000</v>
      </c>
    </row>
    <row r="121" spans="1:23">
      <c r="A121" s="56" t="s">
        <v>102</v>
      </c>
      <c r="B121" s="57">
        <v>40148</v>
      </c>
      <c r="C121" s="84">
        <v>8</v>
      </c>
      <c r="D121" s="56"/>
      <c r="E121" s="58"/>
      <c r="F121" s="59">
        <v>29</v>
      </c>
      <c r="G121" s="56">
        <v>29</v>
      </c>
      <c r="H121" s="58"/>
      <c r="I121" s="58">
        <v>0</v>
      </c>
      <c r="J121" s="19">
        <f t="shared" si="14"/>
        <v>0</v>
      </c>
      <c r="K121" s="19">
        <f t="shared" si="27"/>
        <v>1448159</v>
      </c>
      <c r="L121" s="36">
        <f t="shared" si="15"/>
        <v>0</v>
      </c>
      <c r="M121" s="36">
        <f t="shared" si="16"/>
        <v>0</v>
      </c>
      <c r="N121" s="36">
        <f t="shared" si="17"/>
        <v>0</v>
      </c>
      <c r="O121" s="36">
        <f t="shared" si="18"/>
        <v>0</v>
      </c>
      <c r="P121" s="36">
        <f t="shared" si="19"/>
        <v>0</v>
      </c>
      <c r="Q121" s="36">
        <f t="shared" si="20"/>
        <v>0</v>
      </c>
      <c r="R121" s="36">
        <f t="shared" si="21"/>
        <v>0</v>
      </c>
      <c r="S121" s="36">
        <f t="shared" si="22"/>
        <v>0</v>
      </c>
      <c r="T121" s="36">
        <f t="shared" si="23"/>
        <v>0</v>
      </c>
      <c r="U121" s="36">
        <f t="shared" si="24"/>
        <v>0</v>
      </c>
      <c r="V121" s="36">
        <f t="shared" si="25"/>
        <v>0</v>
      </c>
      <c r="W121" s="19">
        <f t="shared" si="26"/>
        <v>0</v>
      </c>
    </row>
    <row r="122" spans="1:23" ht="15">
      <c r="A122" s="73" t="s">
        <v>225</v>
      </c>
      <c r="B122" s="74">
        <v>40152</v>
      </c>
      <c r="C122" s="85">
        <v>8</v>
      </c>
      <c r="D122" s="56">
        <v>30</v>
      </c>
      <c r="E122" s="58">
        <v>160</v>
      </c>
      <c r="F122" s="59"/>
      <c r="G122" s="59"/>
      <c r="H122" s="58"/>
      <c r="I122" s="60"/>
      <c r="J122" s="19">
        <f t="shared" si="14"/>
        <v>160</v>
      </c>
      <c r="K122" s="19">
        <f t="shared" si="27"/>
        <v>1448319</v>
      </c>
      <c r="L122" s="36">
        <f t="shared" si="15"/>
        <v>0</v>
      </c>
      <c r="M122" s="36">
        <f t="shared" si="16"/>
        <v>0</v>
      </c>
      <c r="N122" s="36">
        <f t="shared" si="17"/>
        <v>0</v>
      </c>
      <c r="O122" s="36">
        <f t="shared" si="18"/>
        <v>0</v>
      </c>
      <c r="P122" s="36">
        <f t="shared" si="19"/>
        <v>0</v>
      </c>
      <c r="Q122" s="36">
        <f t="shared" si="20"/>
        <v>0</v>
      </c>
      <c r="R122" s="36">
        <f t="shared" si="21"/>
        <v>0</v>
      </c>
      <c r="S122" s="36">
        <f t="shared" si="22"/>
        <v>160</v>
      </c>
      <c r="T122" s="36">
        <f t="shared" si="23"/>
        <v>0</v>
      </c>
      <c r="U122" s="36">
        <f t="shared" si="24"/>
        <v>0</v>
      </c>
      <c r="V122" s="36">
        <f t="shared" si="25"/>
        <v>0</v>
      </c>
      <c r="W122" s="19">
        <f t="shared" si="26"/>
        <v>160</v>
      </c>
    </row>
    <row r="123" spans="1:23">
      <c r="A123" s="56" t="s">
        <v>100</v>
      </c>
      <c r="B123" s="57">
        <v>40154</v>
      </c>
      <c r="C123" s="84">
        <v>6</v>
      </c>
      <c r="D123" s="56"/>
      <c r="E123" s="58"/>
      <c r="F123" s="59">
        <v>26</v>
      </c>
      <c r="G123" s="94">
        <v>26</v>
      </c>
      <c r="H123" s="93">
        <f>-140150+6000+2000+20140+5000+1200+250+210+450+8000+19400+1150+250+3000+4000+11000+250+1500+8000+21400+1530</f>
        <v>-25420</v>
      </c>
      <c r="I123" s="93">
        <v>140150</v>
      </c>
      <c r="J123" s="19">
        <f t="shared" si="14"/>
        <v>114730</v>
      </c>
      <c r="K123" s="19">
        <f t="shared" si="27"/>
        <v>1563049</v>
      </c>
      <c r="L123" s="36">
        <f t="shared" si="15"/>
        <v>0</v>
      </c>
      <c r="M123" s="36">
        <f t="shared" si="16"/>
        <v>0</v>
      </c>
      <c r="N123" s="36">
        <f t="shared" si="17"/>
        <v>0</v>
      </c>
      <c r="O123" s="36">
        <f t="shared" si="18"/>
        <v>0</v>
      </c>
      <c r="P123" s="36">
        <f t="shared" si="19"/>
        <v>0</v>
      </c>
      <c r="Q123" s="36">
        <f t="shared" si="20"/>
        <v>114730</v>
      </c>
      <c r="R123" s="36">
        <f t="shared" si="21"/>
        <v>0</v>
      </c>
      <c r="S123" s="36">
        <f t="shared" si="22"/>
        <v>0</v>
      </c>
      <c r="T123" s="36">
        <f t="shared" si="23"/>
        <v>0</v>
      </c>
      <c r="U123" s="36">
        <f t="shared" si="24"/>
        <v>0</v>
      </c>
      <c r="V123" s="36">
        <f t="shared" si="25"/>
        <v>0</v>
      </c>
      <c r="W123" s="19">
        <f t="shared" si="26"/>
        <v>114730</v>
      </c>
    </row>
    <row r="124" spans="1:23">
      <c r="A124" s="56" t="s">
        <v>95</v>
      </c>
      <c r="B124" s="57">
        <v>40154</v>
      </c>
      <c r="C124" s="84">
        <v>8</v>
      </c>
      <c r="D124" s="56"/>
      <c r="E124" s="58"/>
      <c r="F124" s="59">
        <v>30</v>
      </c>
      <c r="G124" s="94">
        <v>30</v>
      </c>
      <c r="H124" s="93"/>
      <c r="I124" s="93">
        <v>3000</v>
      </c>
      <c r="J124" s="19">
        <f t="shared" si="14"/>
        <v>3000</v>
      </c>
      <c r="K124" s="19">
        <f t="shared" si="27"/>
        <v>1566049</v>
      </c>
      <c r="L124" s="36">
        <f t="shared" si="15"/>
        <v>0</v>
      </c>
      <c r="M124" s="36">
        <f t="shared" si="16"/>
        <v>0</v>
      </c>
      <c r="N124" s="36">
        <f t="shared" si="17"/>
        <v>0</v>
      </c>
      <c r="O124" s="36">
        <f t="shared" si="18"/>
        <v>0</v>
      </c>
      <c r="P124" s="36">
        <f t="shared" si="19"/>
        <v>0</v>
      </c>
      <c r="Q124" s="36">
        <f t="shared" si="20"/>
        <v>0</v>
      </c>
      <c r="R124" s="36">
        <f t="shared" si="21"/>
        <v>0</v>
      </c>
      <c r="S124" s="36">
        <f t="shared" si="22"/>
        <v>3000</v>
      </c>
      <c r="T124" s="36">
        <f t="shared" si="23"/>
        <v>0</v>
      </c>
      <c r="U124" s="36">
        <f t="shared" si="24"/>
        <v>0</v>
      </c>
      <c r="V124" s="36">
        <f t="shared" si="25"/>
        <v>0</v>
      </c>
      <c r="W124" s="19">
        <f t="shared" si="26"/>
        <v>3000</v>
      </c>
    </row>
    <row r="125" spans="1:23">
      <c r="A125" s="56" t="s">
        <v>103</v>
      </c>
      <c r="B125" s="57">
        <v>40154</v>
      </c>
      <c r="C125" s="84">
        <v>8</v>
      </c>
      <c r="D125" s="56"/>
      <c r="E125" s="58"/>
      <c r="F125" s="59">
        <v>31</v>
      </c>
      <c r="G125" s="94">
        <v>31</v>
      </c>
      <c r="H125" s="93">
        <v>0</v>
      </c>
      <c r="I125" s="93">
        <v>92500</v>
      </c>
      <c r="J125" s="19">
        <f t="shared" si="14"/>
        <v>92500</v>
      </c>
      <c r="K125" s="19">
        <f t="shared" si="27"/>
        <v>1658549</v>
      </c>
      <c r="L125" s="36">
        <f t="shared" si="15"/>
        <v>0</v>
      </c>
      <c r="M125" s="36">
        <f t="shared" si="16"/>
        <v>0</v>
      </c>
      <c r="N125" s="36">
        <f t="shared" si="17"/>
        <v>0</v>
      </c>
      <c r="O125" s="36">
        <f t="shared" si="18"/>
        <v>0</v>
      </c>
      <c r="P125" s="36">
        <f t="shared" si="19"/>
        <v>0</v>
      </c>
      <c r="Q125" s="36">
        <f t="shared" si="20"/>
        <v>0</v>
      </c>
      <c r="R125" s="36">
        <f t="shared" si="21"/>
        <v>0</v>
      </c>
      <c r="S125" s="36">
        <f t="shared" si="22"/>
        <v>92500</v>
      </c>
      <c r="T125" s="36">
        <f t="shared" si="23"/>
        <v>0</v>
      </c>
      <c r="U125" s="36">
        <f t="shared" si="24"/>
        <v>0</v>
      </c>
      <c r="V125" s="36">
        <f t="shared" si="25"/>
        <v>0</v>
      </c>
      <c r="W125" s="19">
        <f t="shared" si="26"/>
        <v>92500</v>
      </c>
    </row>
    <row r="126" spans="1:23" ht="15">
      <c r="A126" s="73" t="s">
        <v>228</v>
      </c>
      <c r="B126" s="74">
        <v>40154</v>
      </c>
      <c r="C126" s="85">
        <v>1</v>
      </c>
      <c r="D126" s="56">
        <v>31</v>
      </c>
      <c r="E126" s="58">
        <v>400</v>
      </c>
      <c r="F126" s="59"/>
      <c r="G126" s="59"/>
      <c r="H126" s="58"/>
      <c r="I126" s="60"/>
      <c r="J126" s="19">
        <f t="shared" si="14"/>
        <v>400</v>
      </c>
      <c r="K126" s="19">
        <f t="shared" si="27"/>
        <v>1658949</v>
      </c>
      <c r="L126" s="36">
        <f t="shared" si="15"/>
        <v>400</v>
      </c>
      <c r="M126" s="36">
        <f t="shared" si="16"/>
        <v>0</v>
      </c>
      <c r="N126" s="36">
        <f t="shared" si="17"/>
        <v>0</v>
      </c>
      <c r="O126" s="36">
        <f t="shared" si="18"/>
        <v>0</v>
      </c>
      <c r="P126" s="36">
        <f t="shared" si="19"/>
        <v>0</v>
      </c>
      <c r="Q126" s="36">
        <f t="shared" si="20"/>
        <v>0</v>
      </c>
      <c r="R126" s="36">
        <f t="shared" si="21"/>
        <v>0</v>
      </c>
      <c r="S126" s="36">
        <f t="shared" si="22"/>
        <v>0</v>
      </c>
      <c r="T126" s="36">
        <f t="shared" si="23"/>
        <v>0</v>
      </c>
      <c r="U126" s="36">
        <f t="shared" si="24"/>
        <v>0</v>
      </c>
      <c r="V126" s="36">
        <f t="shared" si="25"/>
        <v>0</v>
      </c>
      <c r="W126" s="19">
        <f t="shared" si="26"/>
        <v>400</v>
      </c>
    </row>
    <row r="127" spans="1:23">
      <c r="A127" s="56" t="s">
        <v>207</v>
      </c>
      <c r="B127" s="57">
        <v>40155</v>
      </c>
      <c r="C127" s="84">
        <v>6</v>
      </c>
      <c r="D127" s="56"/>
      <c r="E127" s="58"/>
      <c r="F127" s="59"/>
      <c r="G127" s="56" t="s">
        <v>269</v>
      </c>
      <c r="H127" s="93">
        <v>19335</v>
      </c>
      <c r="I127" s="93">
        <v>-19335</v>
      </c>
      <c r="J127" s="19">
        <f t="shared" si="14"/>
        <v>0</v>
      </c>
      <c r="K127" s="19">
        <f t="shared" si="27"/>
        <v>1658949</v>
      </c>
      <c r="L127" s="36">
        <f t="shared" si="15"/>
        <v>0</v>
      </c>
      <c r="M127" s="36">
        <f t="shared" si="16"/>
        <v>0</v>
      </c>
      <c r="N127" s="36">
        <f t="shared" si="17"/>
        <v>0</v>
      </c>
      <c r="O127" s="36">
        <f t="shared" si="18"/>
        <v>0</v>
      </c>
      <c r="P127" s="36">
        <f t="shared" si="19"/>
        <v>0</v>
      </c>
      <c r="Q127" s="36">
        <f t="shared" si="20"/>
        <v>0</v>
      </c>
      <c r="R127" s="36">
        <f t="shared" si="21"/>
        <v>0</v>
      </c>
      <c r="S127" s="36">
        <f t="shared" si="22"/>
        <v>0</v>
      </c>
      <c r="T127" s="36">
        <f t="shared" si="23"/>
        <v>0</v>
      </c>
      <c r="U127" s="36">
        <f t="shared" si="24"/>
        <v>0</v>
      </c>
      <c r="V127" s="36">
        <f t="shared" si="25"/>
        <v>0</v>
      </c>
      <c r="W127" s="19">
        <f t="shared" si="26"/>
        <v>0</v>
      </c>
    </row>
    <row r="128" spans="1:23" ht="15">
      <c r="A128" s="73" t="s">
        <v>229</v>
      </c>
      <c r="B128" s="74">
        <v>40155</v>
      </c>
      <c r="C128" s="85">
        <v>1</v>
      </c>
      <c r="D128" s="56">
        <v>32</v>
      </c>
      <c r="E128" s="58">
        <v>1000</v>
      </c>
      <c r="F128" s="59"/>
      <c r="G128" s="59"/>
      <c r="H128" s="58"/>
      <c r="I128" s="60"/>
      <c r="J128" s="19">
        <f t="shared" si="14"/>
        <v>1000</v>
      </c>
      <c r="K128" s="19">
        <f t="shared" si="27"/>
        <v>1659949</v>
      </c>
      <c r="L128" s="36">
        <f t="shared" si="15"/>
        <v>1000</v>
      </c>
      <c r="M128" s="36">
        <f t="shared" si="16"/>
        <v>0</v>
      </c>
      <c r="N128" s="36">
        <f t="shared" si="17"/>
        <v>0</v>
      </c>
      <c r="O128" s="36">
        <f t="shared" si="18"/>
        <v>0</v>
      </c>
      <c r="P128" s="36">
        <f t="shared" si="19"/>
        <v>0</v>
      </c>
      <c r="Q128" s="36">
        <f t="shared" si="20"/>
        <v>0</v>
      </c>
      <c r="R128" s="36">
        <f t="shared" si="21"/>
        <v>0</v>
      </c>
      <c r="S128" s="36">
        <f t="shared" si="22"/>
        <v>0</v>
      </c>
      <c r="T128" s="36">
        <f t="shared" si="23"/>
        <v>0</v>
      </c>
      <c r="U128" s="36">
        <f t="shared" si="24"/>
        <v>0</v>
      </c>
      <c r="V128" s="36">
        <f t="shared" si="25"/>
        <v>0</v>
      </c>
      <c r="W128" s="19">
        <f t="shared" si="26"/>
        <v>1000</v>
      </c>
    </row>
    <row r="129" spans="1:23" ht="15">
      <c r="A129" s="73" t="s">
        <v>229</v>
      </c>
      <c r="B129" s="74">
        <v>40156</v>
      </c>
      <c r="C129" s="85">
        <v>1</v>
      </c>
      <c r="D129" s="56">
        <v>33</v>
      </c>
      <c r="E129" s="58">
        <v>400</v>
      </c>
      <c r="F129" s="59"/>
      <c r="G129" s="59"/>
      <c r="H129" s="58"/>
      <c r="I129" s="60"/>
      <c r="J129" s="19">
        <f t="shared" si="14"/>
        <v>400</v>
      </c>
      <c r="K129" s="19">
        <f t="shared" si="27"/>
        <v>1660349</v>
      </c>
      <c r="L129" s="36">
        <f t="shared" si="15"/>
        <v>400</v>
      </c>
      <c r="M129" s="36">
        <f t="shared" si="16"/>
        <v>0</v>
      </c>
      <c r="N129" s="36">
        <f t="shared" si="17"/>
        <v>0</v>
      </c>
      <c r="O129" s="36">
        <f t="shared" si="18"/>
        <v>0</v>
      </c>
      <c r="P129" s="36">
        <f t="shared" si="19"/>
        <v>0</v>
      </c>
      <c r="Q129" s="36">
        <f t="shared" si="20"/>
        <v>0</v>
      </c>
      <c r="R129" s="36">
        <f t="shared" si="21"/>
        <v>0</v>
      </c>
      <c r="S129" s="36">
        <f t="shared" si="22"/>
        <v>0</v>
      </c>
      <c r="T129" s="36">
        <f t="shared" si="23"/>
        <v>0</v>
      </c>
      <c r="U129" s="36">
        <f t="shared" si="24"/>
        <v>0</v>
      </c>
      <c r="V129" s="36">
        <f t="shared" si="25"/>
        <v>0</v>
      </c>
      <c r="W129" s="19">
        <f t="shared" si="26"/>
        <v>400</v>
      </c>
    </row>
    <row r="130" spans="1:23" ht="15">
      <c r="A130" s="73" t="s">
        <v>228</v>
      </c>
      <c r="B130" s="74">
        <v>40161</v>
      </c>
      <c r="C130" s="85">
        <v>1</v>
      </c>
      <c r="D130" s="56">
        <v>34</v>
      </c>
      <c r="E130" s="58">
        <v>3000</v>
      </c>
      <c r="F130" s="59"/>
      <c r="G130" s="59"/>
      <c r="H130" s="58"/>
      <c r="I130" s="60"/>
      <c r="J130" s="19">
        <f t="shared" si="14"/>
        <v>3000</v>
      </c>
      <c r="K130" s="19">
        <f t="shared" si="27"/>
        <v>1663349</v>
      </c>
      <c r="L130" s="36">
        <f t="shared" si="15"/>
        <v>3000</v>
      </c>
      <c r="M130" s="36">
        <f t="shared" si="16"/>
        <v>0</v>
      </c>
      <c r="N130" s="36">
        <f t="shared" si="17"/>
        <v>0</v>
      </c>
      <c r="O130" s="36">
        <f t="shared" si="18"/>
        <v>0</v>
      </c>
      <c r="P130" s="36">
        <f t="shared" si="19"/>
        <v>0</v>
      </c>
      <c r="Q130" s="36">
        <f t="shared" si="20"/>
        <v>0</v>
      </c>
      <c r="R130" s="36">
        <f t="shared" si="21"/>
        <v>0</v>
      </c>
      <c r="S130" s="36">
        <f t="shared" si="22"/>
        <v>0</v>
      </c>
      <c r="T130" s="36">
        <f t="shared" si="23"/>
        <v>0</v>
      </c>
      <c r="U130" s="36">
        <f t="shared" si="24"/>
        <v>0</v>
      </c>
      <c r="V130" s="36">
        <f t="shared" si="25"/>
        <v>0</v>
      </c>
      <c r="W130" s="19">
        <f t="shared" si="26"/>
        <v>3000</v>
      </c>
    </row>
    <row r="131" spans="1:23" ht="15">
      <c r="A131" s="73" t="s">
        <v>229</v>
      </c>
      <c r="B131" s="74">
        <v>40163</v>
      </c>
      <c r="C131" s="85">
        <v>1</v>
      </c>
      <c r="D131" s="56">
        <v>35</v>
      </c>
      <c r="E131" s="58">
        <v>400</v>
      </c>
      <c r="F131" s="59"/>
      <c r="G131" s="59"/>
      <c r="H131" s="58"/>
      <c r="I131" s="60"/>
      <c r="J131" s="19">
        <f t="shared" si="14"/>
        <v>400</v>
      </c>
      <c r="K131" s="19">
        <f t="shared" si="27"/>
        <v>1663749</v>
      </c>
      <c r="L131" s="36">
        <f t="shared" si="15"/>
        <v>400</v>
      </c>
      <c r="M131" s="36">
        <f t="shared" si="16"/>
        <v>0</v>
      </c>
      <c r="N131" s="36">
        <f t="shared" si="17"/>
        <v>0</v>
      </c>
      <c r="O131" s="36">
        <f t="shared" si="18"/>
        <v>0</v>
      </c>
      <c r="P131" s="36">
        <f t="shared" si="19"/>
        <v>0</v>
      </c>
      <c r="Q131" s="36">
        <f t="shared" si="20"/>
        <v>0</v>
      </c>
      <c r="R131" s="36">
        <f t="shared" si="21"/>
        <v>0</v>
      </c>
      <c r="S131" s="36">
        <f t="shared" si="22"/>
        <v>0</v>
      </c>
      <c r="T131" s="36">
        <f t="shared" si="23"/>
        <v>0</v>
      </c>
      <c r="U131" s="36">
        <f t="shared" si="24"/>
        <v>0</v>
      </c>
      <c r="V131" s="36">
        <f t="shared" si="25"/>
        <v>0</v>
      </c>
      <c r="W131" s="19">
        <f t="shared" si="26"/>
        <v>400</v>
      </c>
    </row>
    <row r="132" spans="1:23">
      <c r="A132" s="56" t="s">
        <v>147</v>
      </c>
      <c r="B132" s="57">
        <v>40164</v>
      </c>
      <c r="C132" s="84">
        <v>8</v>
      </c>
      <c r="D132" s="56"/>
      <c r="E132" s="58"/>
      <c r="F132" s="59">
        <v>32</v>
      </c>
      <c r="G132" s="94">
        <v>32</v>
      </c>
      <c r="H132" s="93">
        <f>-117250+117250</f>
        <v>0</v>
      </c>
      <c r="I132" s="93">
        <v>117250</v>
      </c>
      <c r="J132" s="19">
        <f t="shared" si="14"/>
        <v>117250</v>
      </c>
      <c r="K132" s="19">
        <f t="shared" si="27"/>
        <v>1780999</v>
      </c>
      <c r="L132" s="36">
        <f t="shared" si="15"/>
        <v>0</v>
      </c>
      <c r="M132" s="36">
        <f t="shared" si="16"/>
        <v>0</v>
      </c>
      <c r="N132" s="36">
        <f t="shared" si="17"/>
        <v>0</v>
      </c>
      <c r="O132" s="36">
        <f t="shared" si="18"/>
        <v>0</v>
      </c>
      <c r="P132" s="36">
        <f t="shared" si="19"/>
        <v>0</v>
      </c>
      <c r="Q132" s="36">
        <f t="shared" si="20"/>
        <v>0</v>
      </c>
      <c r="R132" s="36">
        <f t="shared" si="21"/>
        <v>0</v>
      </c>
      <c r="S132" s="36">
        <f t="shared" si="22"/>
        <v>117250</v>
      </c>
      <c r="T132" s="36">
        <f t="shared" si="23"/>
        <v>0</v>
      </c>
      <c r="U132" s="36">
        <f t="shared" si="24"/>
        <v>0</v>
      </c>
      <c r="V132" s="36">
        <f t="shared" si="25"/>
        <v>0</v>
      </c>
      <c r="W132" s="19">
        <f t="shared" si="26"/>
        <v>117250</v>
      </c>
    </row>
    <row r="133" spans="1:23">
      <c r="A133" s="56" t="s">
        <v>148</v>
      </c>
      <c r="B133" s="57">
        <v>40164</v>
      </c>
      <c r="C133" s="84">
        <v>8</v>
      </c>
      <c r="D133" s="56"/>
      <c r="E133" s="58"/>
      <c r="F133" s="59">
        <v>33</v>
      </c>
      <c r="G133" s="94">
        <v>33</v>
      </c>
      <c r="H133" s="93">
        <v>0</v>
      </c>
      <c r="I133" s="93">
        <v>25975</v>
      </c>
      <c r="J133" s="19">
        <f t="shared" si="14"/>
        <v>25975</v>
      </c>
      <c r="K133" s="19">
        <f t="shared" si="27"/>
        <v>1806974</v>
      </c>
      <c r="L133" s="36">
        <f t="shared" si="15"/>
        <v>0</v>
      </c>
      <c r="M133" s="36">
        <f t="shared" si="16"/>
        <v>0</v>
      </c>
      <c r="N133" s="36">
        <f t="shared" si="17"/>
        <v>0</v>
      </c>
      <c r="O133" s="36">
        <f t="shared" si="18"/>
        <v>0</v>
      </c>
      <c r="P133" s="36">
        <f t="shared" si="19"/>
        <v>0</v>
      </c>
      <c r="Q133" s="36">
        <f t="shared" si="20"/>
        <v>0</v>
      </c>
      <c r="R133" s="36">
        <f t="shared" si="21"/>
        <v>0</v>
      </c>
      <c r="S133" s="36">
        <f t="shared" si="22"/>
        <v>25975</v>
      </c>
      <c r="T133" s="36">
        <f t="shared" si="23"/>
        <v>0</v>
      </c>
      <c r="U133" s="36">
        <f t="shared" si="24"/>
        <v>0</v>
      </c>
      <c r="V133" s="36">
        <f t="shared" si="25"/>
        <v>0</v>
      </c>
      <c r="W133" s="19">
        <f t="shared" si="26"/>
        <v>25975</v>
      </c>
    </row>
    <row r="134" spans="1:23">
      <c r="A134" s="56" t="s">
        <v>149</v>
      </c>
      <c r="B134" s="57">
        <v>40164</v>
      </c>
      <c r="C134" s="84">
        <v>1</v>
      </c>
      <c r="D134" s="56"/>
      <c r="E134" s="58"/>
      <c r="F134" s="59">
        <v>34</v>
      </c>
      <c r="G134" s="94">
        <v>34</v>
      </c>
      <c r="H134" s="93">
        <f>-17300+800*3+2000+1000*5+1200*2</f>
        <v>-5500</v>
      </c>
      <c r="I134" s="93">
        <v>17300</v>
      </c>
      <c r="J134" s="19">
        <f t="shared" si="14"/>
        <v>11800</v>
      </c>
      <c r="K134" s="19">
        <f t="shared" si="27"/>
        <v>1818774</v>
      </c>
      <c r="L134" s="36">
        <f t="shared" si="15"/>
        <v>11800</v>
      </c>
      <c r="M134" s="36">
        <f t="shared" si="16"/>
        <v>0</v>
      </c>
      <c r="N134" s="36">
        <f t="shared" si="17"/>
        <v>0</v>
      </c>
      <c r="O134" s="36">
        <f t="shared" si="18"/>
        <v>0</v>
      </c>
      <c r="P134" s="36">
        <f t="shared" si="19"/>
        <v>0</v>
      </c>
      <c r="Q134" s="36">
        <f t="shared" si="20"/>
        <v>0</v>
      </c>
      <c r="R134" s="36">
        <f t="shared" si="21"/>
        <v>0</v>
      </c>
      <c r="S134" s="36">
        <f t="shared" si="22"/>
        <v>0</v>
      </c>
      <c r="T134" s="36">
        <f t="shared" si="23"/>
        <v>0</v>
      </c>
      <c r="U134" s="36">
        <f t="shared" si="24"/>
        <v>0</v>
      </c>
      <c r="V134" s="36">
        <f t="shared" si="25"/>
        <v>0</v>
      </c>
      <c r="W134" s="19">
        <f t="shared" si="26"/>
        <v>11800</v>
      </c>
    </row>
    <row r="135" spans="1:23" ht="15">
      <c r="A135" s="73" t="s">
        <v>231</v>
      </c>
      <c r="B135" s="74">
        <v>40164</v>
      </c>
      <c r="C135" s="85">
        <v>8</v>
      </c>
      <c r="D135" s="56">
        <v>36</v>
      </c>
      <c r="E135" s="76">
        <v>123</v>
      </c>
      <c r="F135" s="59"/>
      <c r="G135" s="59"/>
      <c r="H135" s="58"/>
      <c r="I135" s="60"/>
      <c r="J135" s="19">
        <f t="shared" ref="J135:J198" si="28">I135+E135+H135</f>
        <v>123</v>
      </c>
      <c r="K135" s="19">
        <f t="shared" si="27"/>
        <v>1818897</v>
      </c>
      <c r="L135" s="36">
        <f t="shared" ref="L135:L198" si="29">IF(C135=1,SUM(E135+I135+H135),(0))</f>
        <v>0</v>
      </c>
      <c r="M135" s="36">
        <f t="shared" ref="M135:M198" si="30">IF(C135=2,SUM(E135+I135+H135),(0))</f>
        <v>0</v>
      </c>
      <c r="N135" s="36">
        <f t="shared" ref="N135:N198" si="31">IF(C135=3,SUM(E135+I135+H135),(0))</f>
        <v>0</v>
      </c>
      <c r="O135" s="36">
        <f t="shared" ref="O135:O198" si="32">IF(C135=4,SUM(E135+I135+H135),(0))</f>
        <v>0</v>
      </c>
      <c r="P135" s="36">
        <f t="shared" ref="P135:P198" si="33">IF(C135=5,SUM(E135+I135+H135),(0))</f>
        <v>0</v>
      </c>
      <c r="Q135" s="36">
        <f t="shared" ref="Q135:Q198" si="34">IF(C135=6,SUM(E135+I135+H135),(0))</f>
        <v>0</v>
      </c>
      <c r="R135" s="36">
        <f t="shared" ref="R135:R198" si="35">IF(C135=7,SUM(E135+I135+H135),(0))</f>
        <v>0</v>
      </c>
      <c r="S135" s="36">
        <f t="shared" ref="S135:S198" si="36">IF(C135=8,SUM(E135+I135+H135),(0))</f>
        <v>123</v>
      </c>
      <c r="T135" s="36">
        <f t="shared" ref="T135:T198" si="37">IF(C135=8.1,SUM(E135+I135+H135),(0))</f>
        <v>0</v>
      </c>
      <c r="U135" s="36">
        <f t="shared" ref="U135:U198" si="38">IF(C135=9,SUM(E135+I135+H135),(0))</f>
        <v>0</v>
      </c>
      <c r="V135" s="36">
        <f t="shared" ref="V135:V198" si="39">IF(C135=10,SUM(E135+I135+H135),(0))</f>
        <v>0</v>
      </c>
      <c r="W135" s="19">
        <f t="shared" ref="W135:W198" si="40">SUM(L135:V135)</f>
        <v>123</v>
      </c>
    </row>
    <row r="136" spans="1:23" ht="15">
      <c r="A136" s="71" t="s">
        <v>237</v>
      </c>
      <c r="B136" s="72">
        <v>40164</v>
      </c>
      <c r="C136" s="86">
        <v>8</v>
      </c>
      <c r="D136" s="56">
        <v>37</v>
      </c>
      <c r="E136" s="75">
        <v>290</v>
      </c>
      <c r="F136" s="59"/>
      <c r="G136" s="59"/>
      <c r="H136" s="58"/>
      <c r="I136" s="60"/>
      <c r="J136" s="19">
        <f t="shared" si="28"/>
        <v>290</v>
      </c>
      <c r="K136" s="19">
        <f t="shared" si="27"/>
        <v>1819187</v>
      </c>
      <c r="L136" s="36">
        <f t="shared" si="29"/>
        <v>0</v>
      </c>
      <c r="M136" s="36">
        <f t="shared" si="30"/>
        <v>0</v>
      </c>
      <c r="N136" s="36">
        <f t="shared" si="31"/>
        <v>0</v>
      </c>
      <c r="O136" s="36">
        <f t="shared" si="32"/>
        <v>0</v>
      </c>
      <c r="P136" s="36">
        <f t="shared" si="33"/>
        <v>0</v>
      </c>
      <c r="Q136" s="36">
        <f t="shared" si="34"/>
        <v>0</v>
      </c>
      <c r="R136" s="36">
        <f t="shared" si="35"/>
        <v>0</v>
      </c>
      <c r="S136" s="36">
        <f t="shared" si="36"/>
        <v>290</v>
      </c>
      <c r="T136" s="36">
        <f t="shared" si="37"/>
        <v>0</v>
      </c>
      <c r="U136" s="36">
        <f t="shared" si="38"/>
        <v>0</v>
      </c>
      <c r="V136" s="36">
        <f t="shared" si="39"/>
        <v>0</v>
      </c>
      <c r="W136" s="19">
        <f t="shared" si="40"/>
        <v>290</v>
      </c>
    </row>
    <row r="137" spans="1:23">
      <c r="A137" s="56" t="s">
        <v>150</v>
      </c>
      <c r="B137" s="57">
        <v>40165</v>
      </c>
      <c r="C137" s="84">
        <v>8</v>
      </c>
      <c r="D137" s="56"/>
      <c r="E137" s="58">
        <f>-10000</f>
        <v>-10000</v>
      </c>
      <c r="F137" s="59">
        <v>35</v>
      </c>
      <c r="G137" s="94">
        <v>35</v>
      </c>
      <c r="H137" s="93">
        <f>-10100+10100</f>
        <v>0</v>
      </c>
      <c r="I137" s="93">
        <v>10100</v>
      </c>
      <c r="J137" s="19">
        <f t="shared" si="28"/>
        <v>100</v>
      </c>
      <c r="K137" s="19">
        <f t="shared" ref="K137:K200" si="41">K136+J137</f>
        <v>1819287</v>
      </c>
      <c r="L137" s="36">
        <f t="shared" si="29"/>
        <v>0</v>
      </c>
      <c r="M137" s="36">
        <f t="shared" si="30"/>
        <v>0</v>
      </c>
      <c r="N137" s="36">
        <f t="shared" si="31"/>
        <v>0</v>
      </c>
      <c r="O137" s="36">
        <f t="shared" si="32"/>
        <v>0</v>
      </c>
      <c r="P137" s="36">
        <f t="shared" si="33"/>
        <v>0</v>
      </c>
      <c r="Q137" s="36">
        <f t="shared" si="34"/>
        <v>0</v>
      </c>
      <c r="R137" s="36">
        <f t="shared" si="35"/>
        <v>0</v>
      </c>
      <c r="S137" s="36">
        <f t="shared" si="36"/>
        <v>100</v>
      </c>
      <c r="T137" s="36">
        <f t="shared" si="37"/>
        <v>0</v>
      </c>
      <c r="U137" s="36">
        <f t="shared" si="38"/>
        <v>0</v>
      </c>
      <c r="V137" s="36">
        <f t="shared" si="39"/>
        <v>0</v>
      </c>
      <c r="W137" s="19">
        <f t="shared" si="40"/>
        <v>100</v>
      </c>
    </row>
    <row r="138" spans="1:23" ht="15">
      <c r="A138" s="73" t="s">
        <v>232</v>
      </c>
      <c r="B138" s="74">
        <v>40165</v>
      </c>
      <c r="C138" s="85">
        <v>8</v>
      </c>
      <c r="D138" s="56">
        <v>38</v>
      </c>
      <c r="E138" s="76">
        <v>1200</v>
      </c>
      <c r="F138" s="59"/>
      <c r="G138" s="59"/>
      <c r="H138" s="58"/>
      <c r="I138" s="60"/>
      <c r="J138" s="19">
        <f t="shared" si="28"/>
        <v>1200</v>
      </c>
      <c r="K138" s="19">
        <f t="shared" si="41"/>
        <v>1820487</v>
      </c>
      <c r="L138" s="36">
        <f t="shared" si="29"/>
        <v>0</v>
      </c>
      <c r="M138" s="36">
        <f t="shared" si="30"/>
        <v>0</v>
      </c>
      <c r="N138" s="36">
        <f t="shared" si="31"/>
        <v>0</v>
      </c>
      <c r="O138" s="36">
        <f t="shared" si="32"/>
        <v>0</v>
      </c>
      <c r="P138" s="36">
        <f t="shared" si="33"/>
        <v>0</v>
      </c>
      <c r="Q138" s="36">
        <f t="shared" si="34"/>
        <v>0</v>
      </c>
      <c r="R138" s="36">
        <f t="shared" si="35"/>
        <v>0</v>
      </c>
      <c r="S138" s="36">
        <f t="shared" si="36"/>
        <v>1200</v>
      </c>
      <c r="T138" s="36">
        <f t="shared" si="37"/>
        <v>0</v>
      </c>
      <c r="U138" s="36">
        <f t="shared" si="38"/>
        <v>0</v>
      </c>
      <c r="V138" s="36">
        <f t="shared" si="39"/>
        <v>0</v>
      </c>
      <c r="W138" s="19">
        <f t="shared" si="40"/>
        <v>1200</v>
      </c>
    </row>
    <row r="139" spans="1:23" ht="15">
      <c r="A139" s="73" t="s">
        <v>225</v>
      </c>
      <c r="B139" s="74">
        <v>40165</v>
      </c>
      <c r="C139" s="85">
        <v>8</v>
      </c>
      <c r="D139" s="56">
        <v>39</v>
      </c>
      <c r="E139" s="76">
        <v>18</v>
      </c>
      <c r="F139" s="59"/>
      <c r="G139" s="59"/>
      <c r="H139" s="58"/>
      <c r="I139" s="60"/>
      <c r="J139" s="19">
        <f t="shared" si="28"/>
        <v>18</v>
      </c>
      <c r="K139" s="19">
        <f t="shared" si="41"/>
        <v>1820505</v>
      </c>
      <c r="L139" s="36">
        <f t="shared" si="29"/>
        <v>0</v>
      </c>
      <c r="M139" s="36">
        <f t="shared" si="30"/>
        <v>0</v>
      </c>
      <c r="N139" s="36">
        <f t="shared" si="31"/>
        <v>0</v>
      </c>
      <c r="O139" s="36">
        <f t="shared" si="32"/>
        <v>0</v>
      </c>
      <c r="P139" s="36">
        <f t="shared" si="33"/>
        <v>0</v>
      </c>
      <c r="Q139" s="36">
        <f t="shared" si="34"/>
        <v>0</v>
      </c>
      <c r="R139" s="36">
        <f t="shared" si="35"/>
        <v>0</v>
      </c>
      <c r="S139" s="36">
        <f t="shared" si="36"/>
        <v>18</v>
      </c>
      <c r="T139" s="36">
        <f t="shared" si="37"/>
        <v>0</v>
      </c>
      <c r="U139" s="36">
        <f t="shared" si="38"/>
        <v>0</v>
      </c>
      <c r="V139" s="36">
        <f t="shared" si="39"/>
        <v>0</v>
      </c>
      <c r="W139" s="19">
        <f t="shared" si="40"/>
        <v>18</v>
      </c>
    </row>
    <row r="140" spans="1:23" ht="15">
      <c r="A140" s="71" t="s">
        <v>230</v>
      </c>
      <c r="B140" s="72">
        <v>40165</v>
      </c>
      <c r="C140" s="86">
        <v>8</v>
      </c>
      <c r="D140" s="56">
        <v>40</v>
      </c>
      <c r="E140" s="75">
        <v>2500</v>
      </c>
      <c r="F140" s="59"/>
      <c r="G140" s="59"/>
      <c r="H140" s="58"/>
      <c r="I140" s="60"/>
      <c r="J140" s="19">
        <f t="shared" si="28"/>
        <v>2500</v>
      </c>
      <c r="K140" s="19">
        <f t="shared" si="41"/>
        <v>1823005</v>
      </c>
      <c r="L140" s="36">
        <f t="shared" si="29"/>
        <v>0</v>
      </c>
      <c r="M140" s="36">
        <f t="shared" si="30"/>
        <v>0</v>
      </c>
      <c r="N140" s="36">
        <f t="shared" si="31"/>
        <v>0</v>
      </c>
      <c r="O140" s="36">
        <f t="shared" si="32"/>
        <v>0</v>
      </c>
      <c r="P140" s="36">
        <f t="shared" si="33"/>
        <v>0</v>
      </c>
      <c r="Q140" s="36">
        <f t="shared" si="34"/>
        <v>0</v>
      </c>
      <c r="R140" s="36">
        <f t="shared" si="35"/>
        <v>0</v>
      </c>
      <c r="S140" s="36">
        <f t="shared" si="36"/>
        <v>2500</v>
      </c>
      <c r="T140" s="36">
        <f t="shared" si="37"/>
        <v>0</v>
      </c>
      <c r="U140" s="36">
        <f t="shared" si="38"/>
        <v>0</v>
      </c>
      <c r="V140" s="36">
        <f t="shared" si="39"/>
        <v>0</v>
      </c>
      <c r="W140" s="19">
        <f t="shared" si="40"/>
        <v>2500</v>
      </c>
    </row>
    <row r="141" spans="1:23" ht="15">
      <c r="A141" s="71" t="s">
        <v>238</v>
      </c>
      <c r="B141" s="72">
        <v>40165</v>
      </c>
      <c r="C141" s="86">
        <v>3</v>
      </c>
      <c r="D141" s="56">
        <v>41</v>
      </c>
      <c r="E141" s="75">
        <v>1000</v>
      </c>
      <c r="F141" s="59"/>
      <c r="G141" s="59"/>
      <c r="H141" s="58"/>
      <c r="I141" s="60"/>
      <c r="J141" s="19">
        <f t="shared" si="28"/>
        <v>1000</v>
      </c>
      <c r="K141" s="19">
        <f t="shared" si="41"/>
        <v>1824005</v>
      </c>
      <c r="L141" s="36">
        <f t="shared" si="29"/>
        <v>0</v>
      </c>
      <c r="M141" s="36">
        <f t="shared" si="30"/>
        <v>0</v>
      </c>
      <c r="N141" s="36">
        <f t="shared" si="31"/>
        <v>1000</v>
      </c>
      <c r="O141" s="36">
        <f t="shared" si="32"/>
        <v>0</v>
      </c>
      <c r="P141" s="36">
        <f t="shared" si="33"/>
        <v>0</v>
      </c>
      <c r="Q141" s="36">
        <f t="shared" si="34"/>
        <v>0</v>
      </c>
      <c r="R141" s="36">
        <f t="shared" si="35"/>
        <v>0</v>
      </c>
      <c r="S141" s="36">
        <f t="shared" si="36"/>
        <v>0</v>
      </c>
      <c r="T141" s="36">
        <f t="shared" si="37"/>
        <v>0</v>
      </c>
      <c r="U141" s="36">
        <f t="shared" si="38"/>
        <v>0</v>
      </c>
      <c r="V141" s="36">
        <f t="shared" si="39"/>
        <v>0</v>
      </c>
      <c r="W141" s="19">
        <f t="shared" si="40"/>
        <v>1000</v>
      </c>
    </row>
    <row r="142" spans="1:23" ht="15">
      <c r="A142" s="71" t="s">
        <v>239</v>
      </c>
      <c r="B142" s="72">
        <v>40165</v>
      </c>
      <c r="C142" s="86">
        <v>8</v>
      </c>
      <c r="D142" s="56">
        <v>42</v>
      </c>
      <c r="E142" s="75">
        <v>100</v>
      </c>
      <c r="F142" s="59"/>
      <c r="G142" s="59"/>
      <c r="H142" s="58"/>
      <c r="I142" s="60"/>
      <c r="J142" s="19">
        <f t="shared" si="28"/>
        <v>100</v>
      </c>
      <c r="K142" s="19">
        <f t="shared" si="41"/>
        <v>1824105</v>
      </c>
      <c r="L142" s="36">
        <f t="shared" si="29"/>
        <v>0</v>
      </c>
      <c r="M142" s="36">
        <f t="shared" si="30"/>
        <v>0</v>
      </c>
      <c r="N142" s="36">
        <f t="shared" si="31"/>
        <v>0</v>
      </c>
      <c r="O142" s="36">
        <f t="shared" si="32"/>
        <v>0</v>
      </c>
      <c r="P142" s="36">
        <f t="shared" si="33"/>
        <v>0</v>
      </c>
      <c r="Q142" s="36">
        <f t="shared" si="34"/>
        <v>0</v>
      </c>
      <c r="R142" s="36">
        <f t="shared" si="35"/>
        <v>0</v>
      </c>
      <c r="S142" s="36">
        <f t="shared" si="36"/>
        <v>100</v>
      </c>
      <c r="T142" s="36">
        <f t="shared" si="37"/>
        <v>0</v>
      </c>
      <c r="U142" s="36">
        <f t="shared" si="38"/>
        <v>0</v>
      </c>
      <c r="V142" s="36">
        <f t="shared" si="39"/>
        <v>0</v>
      </c>
      <c r="W142" s="19">
        <f t="shared" si="40"/>
        <v>100</v>
      </c>
    </row>
    <row r="143" spans="1:23">
      <c r="A143" s="56" t="s">
        <v>151</v>
      </c>
      <c r="B143" s="57">
        <v>40166</v>
      </c>
      <c r="C143" s="84">
        <v>8</v>
      </c>
      <c r="D143" s="56"/>
      <c r="E143" s="58"/>
      <c r="F143" s="95">
        <v>36</v>
      </c>
      <c r="G143" s="94">
        <v>36</v>
      </c>
      <c r="H143" s="93"/>
      <c r="I143" s="93">
        <v>3000</v>
      </c>
      <c r="J143" s="19">
        <f t="shared" si="28"/>
        <v>3000</v>
      </c>
      <c r="K143" s="19">
        <f t="shared" si="41"/>
        <v>1827105</v>
      </c>
      <c r="L143" s="36">
        <f t="shared" si="29"/>
        <v>0</v>
      </c>
      <c r="M143" s="36">
        <f t="shared" si="30"/>
        <v>0</v>
      </c>
      <c r="N143" s="36">
        <f t="shared" si="31"/>
        <v>0</v>
      </c>
      <c r="O143" s="36">
        <f t="shared" si="32"/>
        <v>0</v>
      </c>
      <c r="P143" s="36">
        <f t="shared" si="33"/>
        <v>0</v>
      </c>
      <c r="Q143" s="36">
        <f t="shared" si="34"/>
        <v>0</v>
      </c>
      <c r="R143" s="36">
        <f t="shared" si="35"/>
        <v>0</v>
      </c>
      <c r="S143" s="36">
        <f t="shared" si="36"/>
        <v>3000</v>
      </c>
      <c r="T143" s="36">
        <f t="shared" si="37"/>
        <v>0</v>
      </c>
      <c r="U143" s="36">
        <f t="shared" si="38"/>
        <v>0</v>
      </c>
      <c r="V143" s="36">
        <f t="shared" si="39"/>
        <v>0</v>
      </c>
      <c r="W143" s="19">
        <f t="shared" si="40"/>
        <v>3000</v>
      </c>
    </row>
    <row r="144" spans="1:23">
      <c r="A144" s="56" t="s">
        <v>152</v>
      </c>
      <c r="B144" s="57">
        <v>40167</v>
      </c>
      <c r="C144" s="84">
        <v>8</v>
      </c>
      <c r="D144" s="56"/>
      <c r="E144" s="58"/>
      <c r="F144" s="95">
        <v>37</v>
      </c>
      <c r="G144" s="94">
        <v>37</v>
      </c>
      <c r="H144" s="93"/>
      <c r="I144" s="93">
        <v>3000</v>
      </c>
      <c r="J144" s="19">
        <f t="shared" si="28"/>
        <v>3000</v>
      </c>
      <c r="K144" s="19">
        <f t="shared" si="41"/>
        <v>1830105</v>
      </c>
      <c r="L144" s="36">
        <f t="shared" si="29"/>
        <v>0</v>
      </c>
      <c r="M144" s="36">
        <f t="shared" si="30"/>
        <v>0</v>
      </c>
      <c r="N144" s="36">
        <f t="shared" si="31"/>
        <v>0</v>
      </c>
      <c r="O144" s="36">
        <f t="shared" si="32"/>
        <v>0</v>
      </c>
      <c r="P144" s="36">
        <f t="shared" si="33"/>
        <v>0</v>
      </c>
      <c r="Q144" s="36">
        <f t="shared" si="34"/>
        <v>0</v>
      </c>
      <c r="R144" s="36">
        <f t="shared" si="35"/>
        <v>0</v>
      </c>
      <c r="S144" s="36">
        <f t="shared" si="36"/>
        <v>3000</v>
      </c>
      <c r="T144" s="36">
        <f t="shared" si="37"/>
        <v>0</v>
      </c>
      <c r="U144" s="36">
        <f t="shared" si="38"/>
        <v>0</v>
      </c>
      <c r="V144" s="36">
        <f t="shared" si="39"/>
        <v>0</v>
      </c>
      <c r="W144" s="19">
        <f t="shared" si="40"/>
        <v>3000</v>
      </c>
    </row>
    <row r="145" spans="1:23" ht="15">
      <c r="A145" s="73" t="s">
        <v>229</v>
      </c>
      <c r="B145" s="74">
        <v>40167</v>
      </c>
      <c r="C145" s="85">
        <v>8</v>
      </c>
      <c r="D145" s="56">
        <v>43</v>
      </c>
      <c r="E145" s="76">
        <v>360</v>
      </c>
      <c r="F145" s="59"/>
      <c r="G145" s="59"/>
      <c r="H145" s="58"/>
      <c r="I145" s="60"/>
      <c r="J145" s="19">
        <f t="shared" si="28"/>
        <v>360</v>
      </c>
      <c r="K145" s="19">
        <f t="shared" si="41"/>
        <v>1830465</v>
      </c>
      <c r="L145" s="36">
        <f t="shared" si="29"/>
        <v>0</v>
      </c>
      <c r="M145" s="36">
        <f t="shared" si="30"/>
        <v>0</v>
      </c>
      <c r="N145" s="36">
        <f t="shared" si="31"/>
        <v>0</v>
      </c>
      <c r="O145" s="36">
        <f t="shared" si="32"/>
        <v>0</v>
      </c>
      <c r="P145" s="36">
        <f t="shared" si="33"/>
        <v>0</v>
      </c>
      <c r="Q145" s="36">
        <f t="shared" si="34"/>
        <v>0</v>
      </c>
      <c r="R145" s="36">
        <f t="shared" si="35"/>
        <v>0</v>
      </c>
      <c r="S145" s="36">
        <f t="shared" si="36"/>
        <v>360</v>
      </c>
      <c r="T145" s="36">
        <f t="shared" si="37"/>
        <v>0</v>
      </c>
      <c r="U145" s="36">
        <f t="shared" si="38"/>
        <v>0</v>
      </c>
      <c r="V145" s="36">
        <f t="shared" si="39"/>
        <v>0</v>
      </c>
      <c r="W145" s="19">
        <f t="shared" si="40"/>
        <v>360</v>
      </c>
    </row>
    <row r="146" spans="1:23" ht="15">
      <c r="A146" s="71" t="s">
        <v>233</v>
      </c>
      <c r="B146" s="72">
        <v>40167</v>
      </c>
      <c r="C146" s="86">
        <v>8</v>
      </c>
      <c r="D146" s="56">
        <v>44</v>
      </c>
      <c r="E146" s="75">
        <v>600</v>
      </c>
      <c r="F146" s="59"/>
      <c r="G146" s="59"/>
      <c r="H146" s="58"/>
      <c r="I146" s="60"/>
      <c r="J146" s="19">
        <f t="shared" si="28"/>
        <v>600</v>
      </c>
      <c r="K146" s="19">
        <f t="shared" si="41"/>
        <v>1831065</v>
      </c>
      <c r="L146" s="36">
        <f t="shared" si="29"/>
        <v>0</v>
      </c>
      <c r="M146" s="36">
        <f t="shared" si="30"/>
        <v>0</v>
      </c>
      <c r="N146" s="36">
        <f t="shared" si="31"/>
        <v>0</v>
      </c>
      <c r="O146" s="36">
        <f t="shared" si="32"/>
        <v>0</v>
      </c>
      <c r="P146" s="36">
        <f t="shared" si="33"/>
        <v>0</v>
      </c>
      <c r="Q146" s="36">
        <f t="shared" si="34"/>
        <v>0</v>
      </c>
      <c r="R146" s="36">
        <f t="shared" si="35"/>
        <v>0</v>
      </c>
      <c r="S146" s="36">
        <f t="shared" si="36"/>
        <v>600</v>
      </c>
      <c r="T146" s="36">
        <f t="shared" si="37"/>
        <v>0</v>
      </c>
      <c r="U146" s="36">
        <f t="shared" si="38"/>
        <v>0</v>
      </c>
      <c r="V146" s="36">
        <f t="shared" si="39"/>
        <v>0</v>
      </c>
      <c r="W146" s="19">
        <f t="shared" si="40"/>
        <v>600</v>
      </c>
    </row>
    <row r="147" spans="1:23">
      <c r="A147" s="56" t="s">
        <v>153</v>
      </c>
      <c r="B147" s="57">
        <v>40168</v>
      </c>
      <c r="C147" s="84">
        <v>1</v>
      </c>
      <c r="D147" s="56"/>
      <c r="E147" s="58"/>
      <c r="F147" s="95">
        <v>38</v>
      </c>
      <c r="G147" s="94">
        <v>38</v>
      </c>
      <c r="H147" s="93"/>
      <c r="I147" s="93">
        <v>6700</v>
      </c>
      <c r="J147" s="19">
        <f t="shared" si="28"/>
        <v>6700</v>
      </c>
      <c r="K147" s="19">
        <f t="shared" si="41"/>
        <v>1837765</v>
      </c>
      <c r="L147" s="36">
        <f t="shared" si="29"/>
        <v>6700</v>
      </c>
      <c r="M147" s="36">
        <f t="shared" si="30"/>
        <v>0</v>
      </c>
      <c r="N147" s="36">
        <f t="shared" si="31"/>
        <v>0</v>
      </c>
      <c r="O147" s="36">
        <f t="shared" si="32"/>
        <v>0</v>
      </c>
      <c r="P147" s="36">
        <f t="shared" si="33"/>
        <v>0</v>
      </c>
      <c r="Q147" s="36">
        <f t="shared" si="34"/>
        <v>0</v>
      </c>
      <c r="R147" s="36">
        <f t="shared" si="35"/>
        <v>0</v>
      </c>
      <c r="S147" s="36">
        <f t="shared" si="36"/>
        <v>0</v>
      </c>
      <c r="T147" s="36">
        <f t="shared" si="37"/>
        <v>0</v>
      </c>
      <c r="U147" s="36">
        <f t="shared" si="38"/>
        <v>0</v>
      </c>
      <c r="V147" s="36">
        <f t="shared" si="39"/>
        <v>0</v>
      </c>
      <c r="W147" s="19">
        <f t="shared" si="40"/>
        <v>6700</v>
      </c>
    </row>
    <row r="148" spans="1:23">
      <c r="A148" s="56" t="s">
        <v>154</v>
      </c>
      <c r="B148" s="57">
        <v>40169</v>
      </c>
      <c r="C148" s="84">
        <v>6</v>
      </c>
      <c r="D148" s="56"/>
      <c r="E148" s="58"/>
      <c r="F148" s="95">
        <v>39</v>
      </c>
      <c r="G148" s="94">
        <v>39</v>
      </c>
      <c r="H148" s="93"/>
      <c r="I148" s="93">
        <v>82950</v>
      </c>
      <c r="J148" s="19">
        <f t="shared" si="28"/>
        <v>82950</v>
      </c>
      <c r="K148" s="19">
        <f t="shared" si="41"/>
        <v>1920715</v>
      </c>
      <c r="L148" s="36">
        <f t="shared" si="29"/>
        <v>0</v>
      </c>
      <c r="M148" s="36">
        <f t="shared" si="30"/>
        <v>0</v>
      </c>
      <c r="N148" s="36">
        <f t="shared" si="31"/>
        <v>0</v>
      </c>
      <c r="O148" s="36">
        <f t="shared" si="32"/>
        <v>0</v>
      </c>
      <c r="P148" s="36">
        <f t="shared" si="33"/>
        <v>0</v>
      </c>
      <c r="Q148" s="36">
        <f t="shared" si="34"/>
        <v>82950</v>
      </c>
      <c r="R148" s="36">
        <f t="shared" si="35"/>
        <v>0</v>
      </c>
      <c r="S148" s="36">
        <f t="shared" si="36"/>
        <v>0</v>
      </c>
      <c r="T148" s="36">
        <f t="shared" si="37"/>
        <v>0</v>
      </c>
      <c r="U148" s="36">
        <f t="shared" si="38"/>
        <v>0</v>
      </c>
      <c r="V148" s="36">
        <f t="shared" si="39"/>
        <v>0</v>
      </c>
      <c r="W148" s="19">
        <f t="shared" si="40"/>
        <v>82950</v>
      </c>
    </row>
    <row r="149" spans="1:23">
      <c r="A149" s="56" t="s">
        <v>155</v>
      </c>
      <c r="B149" s="57">
        <v>40170</v>
      </c>
      <c r="C149" s="84">
        <v>1</v>
      </c>
      <c r="D149" s="56"/>
      <c r="E149" s="58"/>
      <c r="F149" s="95">
        <v>40</v>
      </c>
      <c r="G149" s="94">
        <v>40</v>
      </c>
      <c r="H149" s="93"/>
      <c r="I149" s="93">
        <v>73250</v>
      </c>
      <c r="J149" s="19">
        <f t="shared" si="28"/>
        <v>73250</v>
      </c>
      <c r="K149" s="19">
        <f t="shared" si="41"/>
        <v>1993965</v>
      </c>
      <c r="L149" s="36">
        <f t="shared" si="29"/>
        <v>73250</v>
      </c>
      <c r="M149" s="36">
        <f t="shared" si="30"/>
        <v>0</v>
      </c>
      <c r="N149" s="36">
        <f t="shared" si="31"/>
        <v>0</v>
      </c>
      <c r="O149" s="36">
        <f t="shared" si="32"/>
        <v>0</v>
      </c>
      <c r="P149" s="36">
        <f t="shared" si="33"/>
        <v>0</v>
      </c>
      <c r="Q149" s="36">
        <f t="shared" si="34"/>
        <v>0</v>
      </c>
      <c r="R149" s="36">
        <f t="shared" si="35"/>
        <v>0</v>
      </c>
      <c r="S149" s="36">
        <f t="shared" si="36"/>
        <v>0</v>
      </c>
      <c r="T149" s="36">
        <f t="shared" si="37"/>
        <v>0</v>
      </c>
      <c r="U149" s="36">
        <f t="shared" si="38"/>
        <v>0</v>
      </c>
      <c r="V149" s="36">
        <f t="shared" si="39"/>
        <v>0</v>
      </c>
      <c r="W149" s="19">
        <f t="shared" si="40"/>
        <v>73250</v>
      </c>
    </row>
    <row r="150" spans="1:23">
      <c r="A150" s="56" t="s">
        <v>207</v>
      </c>
      <c r="B150" s="57">
        <v>40170</v>
      </c>
      <c r="C150" s="84">
        <v>6</v>
      </c>
      <c r="D150" s="56"/>
      <c r="E150" s="58"/>
      <c r="F150" s="37"/>
      <c r="G150" s="94" t="s">
        <v>268</v>
      </c>
      <c r="H150" s="93">
        <v>28030</v>
      </c>
      <c r="I150" s="93">
        <v>-28030</v>
      </c>
      <c r="J150" s="19">
        <f t="shared" si="28"/>
        <v>0</v>
      </c>
      <c r="K150" s="19">
        <f t="shared" si="41"/>
        <v>1993965</v>
      </c>
      <c r="L150" s="36">
        <f t="shared" si="29"/>
        <v>0</v>
      </c>
      <c r="M150" s="36">
        <f t="shared" si="30"/>
        <v>0</v>
      </c>
      <c r="N150" s="36">
        <f t="shared" si="31"/>
        <v>0</v>
      </c>
      <c r="O150" s="36">
        <f t="shared" si="32"/>
        <v>0</v>
      </c>
      <c r="P150" s="36">
        <f t="shared" si="33"/>
        <v>0</v>
      </c>
      <c r="Q150" s="36">
        <f t="shared" si="34"/>
        <v>0</v>
      </c>
      <c r="R150" s="36">
        <f t="shared" si="35"/>
        <v>0</v>
      </c>
      <c r="S150" s="36">
        <f t="shared" si="36"/>
        <v>0</v>
      </c>
      <c r="T150" s="36">
        <f t="shared" si="37"/>
        <v>0</v>
      </c>
      <c r="U150" s="36">
        <f t="shared" si="38"/>
        <v>0</v>
      </c>
      <c r="V150" s="36">
        <f t="shared" si="39"/>
        <v>0</v>
      </c>
      <c r="W150" s="19">
        <f t="shared" si="40"/>
        <v>0</v>
      </c>
    </row>
    <row r="151" spans="1:23">
      <c r="A151" s="56" t="s">
        <v>156</v>
      </c>
      <c r="B151" s="57">
        <v>40171</v>
      </c>
      <c r="C151" s="84">
        <v>1</v>
      </c>
      <c r="D151" s="56"/>
      <c r="E151" s="58"/>
      <c r="F151" s="95">
        <v>41</v>
      </c>
      <c r="G151" s="94">
        <v>41</v>
      </c>
      <c r="H151" s="93"/>
      <c r="I151" s="93">
        <v>84775</v>
      </c>
      <c r="J151" s="19">
        <f t="shared" si="28"/>
        <v>84775</v>
      </c>
      <c r="K151" s="19">
        <f t="shared" si="41"/>
        <v>2078740</v>
      </c>
      <c r="L151" s="36">
        <f t="shared" si="29"/>
        <v>84775</v>
      </c>
      <c r="M151" s="36">
        <f t="shared" si="30"/>
        <v>0</v>
      </c>
      <c r="N151" s="36">
        <f t="shared" si="31"/>
        <v>0</v>
      </c>
      <c r="O151" s="36">
        <f t="shared" si="32"/>
        <v>0</v>
      </c>
      <c r="P151" s="36">
        <f t="shared" si="33"/>
        <v>0</v>
      </c>
      <c r="Q151" s="36">
        <f t="shared" si="34"/>
        <v>0</v>
      </c>
      <c r="R151" s="36">
        <f t="shared" si="35"/>
        <v>0</v>
      </c>
      <c r="S151" s="36">
        <f t="shared" si="36"/>
        <v>0</v>
      </c>
      <c r="T151" s="36">
        <f t="shared" si="37"/>
        <v>0</v>
      </c>
      <c r="U151" s="36">
        <f t="shared" si="38"/>
        <v>0</v>
      </c>
      <c r="V151" s="36">
        <f t="shared" si="39"/>
        <v>0</v>
      </c>
      <c r="W151" s="19">
        <f t="shared" si="40"/>
        <v>84775</v>
      </c>
    </row>
    <row r="152" spans="1:23" ht="15">
      <c r="A152" s="73" t="s">
        <v>229</v>
      </c>
      <c r="B152" s="74">
        <v>40171</v>
      </c>
      <c r="C152" s="85">
        <v>8</v>
      </c>
      <c r="D152" s="56">
        <v>45</v>
      </c>
      <c r="E152" s="76">
        <v>1000</v>
      </c>
      <c r="F152" s="59"/>
      <c r="G152" s="59"/>
      <c r="H152" s="58"/>
      <c r="I152" s="60"/>
      <c r="J152" s="19">
        <f t="shared" si="28"/>
        <v>1000</v>
      </c>
      <c r="K152" s="19">
        <f t="shared" si="41"/>
        <v>2079740</v>
      </c>
      <c r="L152" s="36">
        <f t="shared" si="29"/>
        <v>0</v>
      </c>
      <c r="M152" s="36">
        <f t="shared" si="30"/>
        <v>0</v>
      </c>
      <c r="N152" s="36">
        <f t="shared" si="31"/>
        <v>0</v>
      </c>
      <c r="O152" s="36">
        <f t="shared" si="32"/>
        <v>0</v>
      </c>
      <c r="P152" s="36">
        <f t="shared" si="33"/>
        <v>0</v>
      </c>
      <c r="Q152" s="36">
        <f t="shared" si="34"/>
        <v>0</v>
      </c>
      <c r="R152" s="36">
        <f t="shared" si="35"/>
        <v>0</v>
      </c>
      <c r="S152" s="36">
        <f t="shared" si="36"/>
        <v>1000</v>
      </c>
      <c r="T152" s="36">
        <f t="shared" si="37"/>
        <v>0</v>
      </c>
      <c r="U152" s="36">
        <f t="shared" si="38"/>
        <v>0</v>
      </c>
      <c r="V152" s="36">
        <f t="shared" si="39"/>
        <v>0</v>
      </c>
      <c r="W152" s="19">
        <f t="shared" si="40"/>
        <v>1000</v>
      </c>
    </row>
    <row r="153" spans="1:23" ht="15">
      <c r="A153" s="71" t="s">
        <v>231</v>
      </c>
      <c r="B153" s="72">
        <v>40171</v>
      </c>
      <c r="C153" s="86">
        <v>8</v>
      </c>
      <c r="D153" s="56">
        <v>46</v>
      </c>
      <c r="E153" s="75">
        <v>100</v>
      </c>
      <c r="F153" s="59"/>
      <c r="G153" s="59"/>
      <c r="H153" s="58"/>
      <c r="I153" s="60"/>
      <c r="J153" s="19">
        <f t="shared" si="28"/>
        <v>100</v>
      </c>
      <c r="K153" s="19">
        <f t="shared" si="41"/>
        <v>2079840</v>
      </c>
      <c r="L153" s="36">
        <f t="shared" si="29"/>
        <v>0</v>
      </c>
      <c r="M153" s="36">
        <f t="shared" si="30"/>
        <v>0</v>
      </c>
      <c r="N153" s="36">
        <f t="shared" si="31"/>
        <v>0</v>
      </c>
      <c r="O153" s="36">
        <f t="shared" si="32"/>
        <v>0</v>
      </c>
      <c r="P153" s="36">
        <f t="shared" si="33"/>
        <v>0</v>
      </c>
      <c r="Q153" s="36">
        <f t="shared" si="34"/>
        <v>0</v>
      </c>
      <c r="R153" s="36">
        <f t="shared" si="35"/>
        <v>0</v>
      </c>
      <c r="S153" s="36">
        <f t="shared" si="36"/>
        <v>100</v>
      </c>
      <c r="T153" s="36">
        <f t="shared" si="37"/>
        <v>0</v>
      </c>
      <c r="U153" s="36">
        <f t="shared" si="38"/>
        <v>0</v>
      </c>
      <c r="V153" s="36">
        <f t="shared" si="39"/>
        <v>0</v>
      </c>
      <c r="W153" s="19">
        <f t="shared" si="40"/>
        <v>100</v>
      </c>
    </row>
    <row r="154" spans="1:23">
      <c r="A154" s="56" t="s">
        <v>157</v>
      </c>
      <c r="B154" s="57">
        <v>40172</v>
      </c>
      <c r="C154" s="84">
        <v>2</v>
      </c>
      <c r="D154" s="56"/>
      <c r="E154" s="58"/>
      <c r="F154" s="95">
        <v>42</v>
      </c>
      <c r="G154" s="94">
        <v>42</v>
      </c>
      <c r="H154" s="93"/>
      <c r="I154" s="93">
        <v>7000</v>
      </c>
      <c r="J154" s="19">
        <f t="shared" si="28"/>
        <v>7000</v>
      </c>
      <c r="K154" s="19">
        <f t="shared" si="41"/>
        <v>2086840</v>
      </c>
      <c r="L154" s="36">
        <f t="shared" si="29"/>
        <v>0</v>
      </c>
      <c r="M154" s="36">
        <f t="shared" si="30"/>
        <v>7000</v>
      </c>
      <c r="N154" s="36">
        <f t="shared" si="31"/>
        <v>0</v>
      </c>
      <c r="O154" s="36">
        <f t="shared" si="32"/>
        <v>0</v>
      </c>
      <c r="P154" s="36">
        <f t="shared" si="33"/>
        <v>0</v>
      </c>
      <c r="Q154" s="36">
        <f t="shared" si="34"/>
        <v>0</v>
      </c>
      <c r="R154" s="36">
        <f t="shared" si="35"/>
        <v>0</v>
      </c>
      <c r="S154" s="36">
        <f t="shared" si="36"/>
        <v>0</v>
      </c>
      <c r="T154" s="36">
        <f t="shared" si="37"/>
        <v>0</v>
      </c>
      <c r="U154" s="36">
        <f t="shared" si="38"/>
        <v>0</v>
      </c>
      <c r="V154" s="36">
        <f t="shared" si="39"/>
        <v>0</v>
      </c>
      <c r="W154" s="19">
        <f t="shared" si="40"/>
        <v>7000</v>
      </c>
    </row>
    <row r="155" spans="1:23">
      <c r="A155" s="56" t="s">
        <v>158</v>
      </c>
      <c r="B155" s="57">
        <v>40173</v>
      </c>
      <c r="C155" s="84">
        <v>6</v>
      </c>
      <c r="D155" s="56"/>
      <c r="E155" s="58"/>
      <c r="F155" s="95">
        <v>43</v>
      </c>
      <c r="G155" s="94">
        <v>43</v>
      </c>
      <c r="H155" s="93"/>
      <c r="I155" s="93">
        <v>37000</v>
      </c>
      <c r="J155" s="19">
        <f t="shared" si="28"/>
        <v>37000</v>
      </c>
      <c r="K155" s="19">
        <f t="shared" si="41"/>
        <v>2123840</v>
      </c>
      <c r="L155" s="36">
        <f t="shared" si="29"/>
        <v>0</v>
      </c>
      <c r="M155" s="36">
        <f t="shared" si="30"/>
        <v>0</v>
      </c>
      <c r="N155" s="36">
        <f t="shared" si="31"/>
        <v>0</v>
      </c>
      <c r="O155" s="36">
        <f t="shared" si="32"/>
        <v>0</v>
      </c>
      <c r="P155" s="36">
        <f t="shared" si="33"/>
        <v>0</v>
      </c>
      <c r="Q155" s="36">
        <f t="shared" si="34"/>
        <v>37000</v>
      </c>
      <c r="R155" s="36">
        <f t="shared" si="35"/>
        <v>0</v>
      </c>
      <c r="S155" s="36">
        <f t="shared" si="36"/>
        <v>0</v>
      </c>
      <c r="T155" s="36">
        <f t="shared" si="37"/>
        <v>0</v>
      </c>
      <c r="U155" s="36">
        <f t="shared" si="38"/>
        <v>0</v>
      </c>
      <c r="V155" s="36">
        <f t="shared" si="39"/>
        <v>0</v>
      </c>
      <c r="W155" s="19">
        <f t="shared" si="40"/>
        <v>37000</v>
      </c>
    </row>
    <row r="156" spans="1:23">
      <c r="A156" s="56" t="s">
        <v>159</v>
      </c>
      <c r="B156" s="57">
        <v>40174</v>
      </c>
      <c r="C156" s="84">
        <v>8</v>
      </c>
      <c r="D156" s="56"/>
      <c r="E156" s="58"/>
      <c r="F156" s="95">
        <v>44</v>
      </c>
      <c r="G156" s="94">
        <v>44</v>
      </c>
      <c r="H156" s="93"/>
      <c r="I156" s="93">
        <v>8430</v>
      </c>
      <c r="J156" s="19">
        <f t="shared" si="28"/>
        <v>8430</v>
      </c>
      <c r="K156" s="19">
        <f t="shared" si="41"/>
        <v>2132270</v>
      </c>
      <c r="L156" s="36">
        <f t="shared" si="29"/>
        <v>0</v>
      </c>
      <c r="M156" s="36">
        <f t="shared" si="30"/>
        <v>0</v>
      </c>
      <c r="N156" s="36">
        <f t="shared" si="31"/>
        <v>0</v>
      </c>
      <c r="O156" s="36">
        <f t="shared" si="32"/>
        <v>0</v>
      </c>
      <c r="P156" s="36">
        <f t="shared" si="33"/>
        <v>0</v>
      </c>
      <c r="Q156" s="36">
        <f t="shared" si="34"/>
        <v>0</v>
      </c>
      <c r="R156" s="36">
        <f t="shared" si="35"/>
        <v>0</v>
      </c>
      <c r="S156" s="36">
        <f t="shared" si="36"/>
        <v>8430</v>
      </c>
      <c r="T156" s="36">
        <f t="shared" si="37"/>
        <v>0</v>
      </c>
      <c r="U156" s="36">
        <f t="shared" si="38"/>
        <v>0</v>
      </c>
      <c r="V156" s="36">
        <f t="shared" si="39"/>
        <v>0</v>
      </c>
      <c r="W156" s="19">
        <f t="shared" si="40"/>
        <v>8430</v>
      </c>
    </row>
    <row r="157" spans="1:23">
      <c r="A157" s="56" t="s">
        <v>204</v>
      </c>
      <c r="B157" s="57">
        <v>40178</v>
      </c>
      <c r="C157" s="84">
        <v>8.1</v>
      </c>
      <c r="D157" s="56"/>
      <c r="E157" s="58"/>
      <c r="F157" s="59"/>
      <c r="G157" s="56"/>
      <c r="H157" s="58"/>
      <c r="I157" s="93">
        <f>50*10+25*2+1000</f>
        <v>1550</v>
      </c>
      <c r="J157" s="19">
        <f t="shared" si="28"/>
        <v>1550</v>
      </c>
      <c r="K157" s="19">
        <f t="shared" si="41"/>
        <v>2133820</v>
      </c>
      <c r="L157" s="36">
        <f t="shared" si="29"/>
        <v>0</v>
      </c>
      <c r="M157" s="36">
        <f t="shared" si="30"/>
        <v>0</v>
      </c>
      <c r="N157" s="36">
        <f t="shared" si="31"/>
        <v>0</v>
      </c>
      <c r="O157" s="36">
        <f t="shared" si="32"/>
        <v>0</v>
      </c>
      <c r="P157" s="36">
        <f t="shared" si="33"/>
        <v>0</v>
      </c>
      <c r="Q157" s="36">
        <f t="shared" si="34"/>
        <v>0</v>
      </c>
      <c r="R157" s="36">
        <f t="shared" si="35"/>
        <v>0</v>
      </c>
      <c r="S157" s="36">
        <f t="shared" si="36"/>
        <v>0</v>
      </c>
      <c r="T157" s="36">
        <f t="shared" si="37"/>
        <v>1550</v>
      </c>
      <c r="U157" s="36">
        <f t="shared" si="38"/>
        <v>0</v>
      </c>
      <c r="V157" s="36">
        <f t="shared" si="39"/>
        <v>0</v>
      </c>
      <c r="W157" s="19">
        <f t="shared" si="40"/>
        <v>1550</v>
      </c>
    </row>
    <row r="158" spans="1:23" ht="15">
      <c r="A158" s="73" t="s">
        <v>233</v>
      </c>
      <c r="B158" s="74">
        <v>40183</v>
      </c>
      <c r="C158" s="85">
        <v>8</v>
      </c>
      <c r="D158" s="56">
        <v>47</v>
      </c>
      <c r="E158" s="76">
        <v>750</v>
      </c>
      <c r="F158" s="59"/>
      <c r="G158" s="59"/>
      <c r="H158" s="58"/>
      <c r="I158" s="60"/>
      <c r="J158" s="19">
        <f t="shared" si="28"/>
        <v>750</v>
      </c>
      <c r="K158" s="19">
        <f t="shared" si="41"/>
        <v>2134570</v>
      </c>
      <c r="L158" s="36">
        <f t="shared" si="29"/>
        <v>0</v>
      </c>
      <c r="M158" s="36">
        <f t="shared" si="30"/>
        <v>0</v>
      </c>
      <c r="N158" s="36">
        <f t="shared" si="31"/>
        <v>0</v>
      </c>
      <c r="O158" s="36">
        <f t="shared" si="32"/>
        <v>0</v>
      </c>
      <c r="P158" s="36">
        <f t="shared" si="33"/>
        <v>0</v>
      </c>
      <c r="Q158" s="36">
        <f t="shared" si="34"/>
        <v>0</v>
      </c>
      <c r="R158" s="36">
        <f t="shared" si="35"/>
        <v>0</v>
      </c>
      <c r="S158" s="36">
        <f t="shared" si="36"/>
        <v>750</v>
      </c>
      <c r="T158" s="36">
        <f t="shared" si="37"/>
        <v>0</v>
      </c>
      <c r="U158" s="36">
        <f t="shared" si="38"/>
        <v>0</v>
      </c>
      <c r="V158" s="36">
        <f t="shared" si="39"/>
        <v>0</v>
      </c>
      <c r="W158" s="19">
        <f t="shared" si="40"/>
        <v>750</v>
      </c>
    </row>
    <row r="159" spans="1:23" ht="15">
      <c r="A159" s="71" t="s">
        <v>240</v>
      </c>
      <c r="B159" s="72">
        <v>40183</v>
      </c>
      <c r="C159" s="86">
        <v>8</v>
      </c>
      <c r="D159" s="56">
        <v>48</v>
      </c>
      <c r="E159" s="75">
        <v>3400</v>
      </c>
      <c r="F159" s="59"/>
      <c r="G159" s="59"/>
      <c r="H159" s="58"/>
      <c r="I159" s="60"/>
      <c r="J159" s="19">
        <f t="shared" si="28"/>
        <v>3400</v>
      </c>
      <c r="K159" s="19">
        <f t="shared" si="41"/>
        <v>2137970</v>
      </c>
      <c r="L159" s="36">
        <f t="shared" si="29"/>
        <v>0</v>
      </c>
      <c r="M159" s="36">
        <f t="shared" si="30"/>
        <v>0</v>
      </c>
      <c r="N159" s="36">
        <f t="shared" si="31"/>
        <v>0</v>
      </c>
      <c r="O159" s="36">
        <f t="shared" si="32"/>
        <v>0</v>
      </c>
      <c r="P159" s="36">
        <f t="shared" si="33"/>
        <v>0</v>
      </c>
      <c r="Q159" s="36">
        <f t="shared" si="34"/>
        <v>0</v>
      </c>
      <c r="R159" s="36">
        <f t="shared" si="35"/>
        <v>0</v>
      </c>
      <c r="S159" s="36">
        <f t="shared" si="36"/>
        <v>3400</v>
      </c>
      <c r="T159" s="36">
        <f t="shared" si="37"/>
        <v>0</v>
      </c>
      <c r="U159" s="36">
        <f t="shared" si="38"/>
        <v>0</v>
      </c>
      <c r="V159" s="36">
        <f t="shared" si="39"/>
        <v>0</v>
      </c>
      <c r="W159" s="19">
        <f t="shared" si="40"/>
        <v>3400</v>
      </c>
    </row>
    <row r="160" spans="1:23" ht="15">
      <c r="A160" s="73" t="s">
        <v>234</v>
      </c>
      <c r="B160" s="74">
        <v>40184</v>
      </c>
      <c r="C160" s="85">
        <v>8</v>
      </c>
      <c r="D160" s="56">
        <v>49</v>
      </c>
      <c r="E160" s="76">
        <v>250</v>
      </c>
      <c r="F160" s="59"/>
      <c r="G160" s="59"/>
      <c r="H160" s="58"/>
      <c r="I160" s="60"/>
      <c r="J160" s="19">
        <f t="shared" si="28"/>
        <v>250</v>
      </c>
      <c r="K160" s="19">
        <f t="shared" si="41"/>
        <v>2138220</v>
      </c>
      <c r="L160" s="36">
        <f t="shared" si="29"/>
        <v>0</v>
      </c>
      <c r="M160" s="36">
        <f t="shared" si="30"/>
        <v>0</v>
      </c>
      <c r="N160" s="36">
        <f t="shared" si="31"/>
        <v>0</v>
      </c>
      <c r="O160" s="36">
        <f t="shared" si="32"/>
        <v>0</v>
      </c>
      <c r="P160" s="36">
        <f t="shared" si="33"/>
        <v>0</v>
      </c>
      <c r="Q160" s="36">
        <f t="shared" si="34"/>
        <v>0</v>
      </c>
      <c r="R160" s="36">
        <f t="shared" si="35"/>
        <v>0</v>
      </c>
      <c r="S160" s="36">
        <f t="shared" si="36"/>
        <v>250</v>
      </c>
      <c r="T160" s="36">
        <f t="shared" si="37"/>
        <v>0</v>
      </c>
      <c r="U160" s="36">
        <f t="shared" si="38"/>
        <v>0</v>
      </c>
      <c r="V160" s="36">
        <f t="shared" si="39"/>
        <v>0</v>
      </c>
      <c r="W160" s="19">
        <f t="shared" si="40"/>
        <v>250</v>
      </c>
    </row>
    <row r="161" spans="1:23">
      <c r="A161" s="56" t="s">
        <v>273</v>
      </c>
      <c r="B161" s="57">
        <v>40145</v>
      </c>
      <c r="C161" s="84">
        <v>8</v>
      </c>
      <c r="D161" s="56"/>
      <c r="E161" s="58"/>
      <c r="F161" s="95">
        <v>27</v>
      </c>
      <c r="G161" s="94">
        <v>27</v>
      </c>
      <c r="H161" s="93">
        <v>0</v>
      </c>
      <c r="I161" s="93">
        <v>330000</v>
      </c>
      <c r="J161" s="19">
        <f t="shared" si="28"/>
        <v>330000</v>
      </c>
      <c r="K161" s="19">
        <f t="shared" si="41"/>
        <v>2468220</v>
      </c>
      <c r="L161" s="36">
        <f t="shared" si="29"/>
        <v>0</v>
      </c>
      <c r="M161" s="36">
        <f t="shared" si="30"/>
        <v>0</v>
      </c>
      <c r="N161" s="36">
        <f t="shared" si="31"/>
        <v>0</v>
      </c>
      <c r="O161" s="36">
        <f t="shared" si="32"/>
        <v>0</v>
      </c>
      <c r="P161" s="36">
        <f t="shared" si="33"/>
        <v>0</v>
      </c>
      <c r="Q161" s="36">
        <f t="shared" si="34"/>
        <v>0</v>
      </c>
      <c r="R161" s="36">
        <f t="shared" si="35"/>
        <v>0</v>
      </c>
      <c r="S161" s="36">
        <f t="shared" si="36"/>
        <v>330000</v>
      </c>
      <c r="T161" s="36">
        <f t="shared" si="37"/>
        <v>0</v>
      </c>
      <c r="U161" s="36">
        <f t="shared" si="38"/>
        <v>0</v>
      </c>
      <c r="V161" s="36">
        <f t="shared" si="39"/>
        <v>0</v>
      </c>
      <c r="W161" s="19">
        <f t="shared" si="40"/>
        <v>330000</v>
      </c>
    </row>
    <row r="162" spans="1:23" ht="15">
      <c r="A162" s="73" t="s">
        <v>235</v>
      </c>
      <c r="B162" s="74">
        <v>40186</v>
      </c>
      <c r="C162" s="85">
        <v>8</v>
      </c>
      <c r="D162" s="56">
        <v>50</v>
      </c>
      <c r="E162" s="76">
        <v>500</v>
      </c>
      <c r="F162" s="59"/>
      <c r="G162" s="59"/>
      <c r="H162" s="58"/>
      <c r="I162" s="60"/>
      <c r="J162" s="19">
        <f t="shared" si="28"/>
        <v>500</v>
      </c>
      <c r="K162" s="19">
        <f t="shared" si="41"/>
        <v>2468720</v>
      </c>
      <c r="L162" s="36">
        <f t="shared" si="29"/>
        <v>0</v>
      </c>
      <c r="M162" s="36">
        <f t="shared" si="30"/>
        <v>0</v>
      </c>
      <c r="N162" s="36">
        <f t="shared" si="31"/>
        <v>0</v>
      </c>
      <c r="O162" s="36">
        <f t="shared" si="32"/>
        <v>0</v>
      </c>
      <c r="P162" s="36">
        <f t="shared" si="33"/>
        <v>0</v>
      </c>
      <c r="Q162" s="36">
        <f t="shared" si="34"/>
        <v>0</v>
      </c>
      <c r="R162" s="36">
        <f t="shared" si="35"/>
        <v>0</v>
      </c>
      <c r="S162" s="36">
        <f t="shared" si="36"/>
        <v>500</v>
      </c>
      <c r="T162" s="36">
        <f t="shared" si="37"/>
        <v>0</v>
      </c>
      <c r="U162" s="36">
        <f t="shared" si="38"/>
        <v>0</v>
      </c>
      <c r="V162" s="36">
        <f t="shared" si="39"/>
        <v>0</v>
      </c>
      <c r="W162" s="19">
        <f t="shared" si="40"/>
        <v>500</v>
      </c>
    </row>
    <row r="163" spans="1:23" ht="15">
      <c r="A163" s="73" t="s">
        <v>229</v>
      </c>
      <c r="B163" s="74">
        <v>40186</v>
      </c>
      <c r="C163" s="85">
        <v>8</v>
      </c>
      <c r="D163" s="56">
        <v>51</v>
      </c>
      <c r="E163" s="76">
        <v>800</v>
      </c>
      <c r="F163" s="59"/>
      <c r="G163" s="59"/>
      <c r="H163" s="58"/>
      <c r="I163" s="60"/>
      <c r="J163" s="19">
        <f t="shared" si="28"/>
        <v>800</v>
      </c>
      <c r="K163" s="19">
        <f t="shared" si="41"/>
        <v>2469520</v>
      </c>
      <c r="L163" s="36">
        <f t="shared" si="29"/>
        <v>0</v>
      </c>
      <c r="M163" s="36">
        <f t="shared" si="30"/>
        <v>0</v>
      </c>
      <c r="N163" s="36">
        <f t="shared" si="31"/>
        <v>0</v>
      </c>
      <c r="O163" s="36">
        <f t="shared" si="32"/>
        <v>0</v>
      </c>
      <c r="P163" s="36">
        <f t="shared" si="33"/>
        <v>0</v>
      </c>
      <c r="Q163" s="36">
        <f t="shared" si="34"/>
        <v>0</v>
      </c>
      <c r="R163" s="36">
        <f t="shared" si="35"/>
        <v>0</v>
      </c>
      <c r="S163" s="36">
        <f t="shared" si="36"/>
        <v>800</v>
      </c>
      <c r="T163" s="36">
        <f t="shared" si="37"/>
        <v>0</v>
      </c>
      <c r="U163" s="36">
        <f t="shared" si="38"/>
        <v>0</v>
      </c>
      <c r="V163" s="36">
        <f t="shared" si="39"/>
        <v>0</v>
      </c>
      <c r="W163" s="19">
        <f t="shared" si="40"/>
        <v>800</v>
      </c>
    </row>
    <row r="164" spans="1:23" ht="15">
      <c r="A164" s="73" t="s">
        <v>236</v>
      </c>
      <c r="B164" s="74">
        <v>40186</v>
      </c>
      <c r="C164" s="85">
        <v>1</v>
      </c>
      <c r="D164" s="56">
        <v>52</v>
      </c>
      <c r="E164" s="76">
        <v>1000</v>
      </c>
      <c r="F164" s="59"/>
      <c r="G164" s="59"/>
      <c r="H164" s="58"/>
      <c r="I164" s="60"/>
      <c r="J164" s="19">
        <f t="shared" si="28"/>
        <v>1000</v>
      </c>
      <c r="K164" s="19">
        <f t="shared" si="41"/>
        <v>2470520</v>
      </c>
      <c r="L164" s="36">
        <f t="shared" si="29"/>
        <v>1000</v>
      </c>
      <c r="M164" s="36">
        <f t="shared" si="30"/>
        <v>0</v>
      </c>
      <c r="N164" s="36">
        <f t="shared" si="31"/>
        <v>0</v>
      </c>
      <c r="O164" s="36">
        <f t="shared" si="32"/>
        <v>0</v>
      </c>
      <c r="P164" s="36">
        <f t="shared" si="33"/>
        <v>0</v>
      </c>
      <c r="Q164" s="36">
        <f t="shared" si="34"/>
        <v>0</v>
      </c>
      <c r="R164" s="36">
        <f t="shared" si="35"/>
        <v>0</v>
      </c>
      <c r="S164" s="36">
        <f t="shared" si="36"/>
        <v>0</v>
      </c>
      <c r="T164" s="36">
        <f t="shared" si="37"/>
        <v>0</v>
      </c>
      <c r="U164" s="36">
        <f t="shared" si="38"/>
        <v>0</v>
      </c>
      <c r="V164" s="36">
        <f t="shared" si="39"/>
        <v>0</v>
      </c>
      <c r="W164" s="19">
        <f t="shared" si="40"/>
        <v>1000</v>
      </c>
    </row>
    <row r="165" spans="1:23" ht="15">
      <c r="A165" s="71" t="s">
        <v>242</v>
      </c>
      <c r="B165" s="72">
        <v>40186</v>
      </c>
      <c r="C165" s="86">
        <v>8</v>
      </c>
      <c r="D165" s="56">
        <v>53</v>
      </c>
      <c r="E165" s="75">
        <v>1700</v>
      </c>
      <c r="F165" s="59"/>
      <c r="G165" s="59"/>
      <c r="H165" s="58"/>
      <c r="I165" s="60"/>
      <c r="J165" s="19">
        <f t="shared" si="28"/>
        <v>1700</v>
      </c>
      <c r="K165" s="19">
        <f t="shared" si="41"/>
        <v>2472220</v>
      </c>
      <c r="L165" s="36">
        <f t="shared" si="29"/>
        <v>0</v>
      </c>
      <c r="M165" s="36">
        <f t="shared" si="30"/>
        <v>0</v>
      </c>
      <c r="N165" s="36">
        <f t="shared" si="31"/>
        <v>0</v>
      </c>
      <c r="O165" s="36">
        <f t="shared" si="32"/>
        <v>0</v>
      </c>
      <c r="P165" s="36">
        <f t="shared" si="33"/>
        <v>0</v>
      </c>
      <c r="Q165" s="36">
        <f t="shared" si="34"/>
        <v>0</v>
      </c>
      <c r="R165" s="36">
        <f t="shared" si="35"/>
        <v>0</v>
      </c>
      <c r="S165" s="36">
        <f t="shared" si="36"/>
        <v>1700</v>
      </c>
      <c r="T165" s="36">
        <f t="shared" si="37"/>
        <v>0</v>
      </c>
      <c r="U165" s="36">
        <f t="shared" si="38"/>
        <v>0</v>
      </c>
      <c r="V165" s="36">
        <f t="shared" si="39"/>
        <v>0</v>
      </c>
      <c r="W165" s="19">
        <f t="shared" si="40"/>
        <v>1700</v>
      </c>
    </row>
    <row r="166" spans="1:23">
      <c r="A166" s="56" t="s">
        <v>160</v>
      </c>
      <c r="B166" s="57">
        <v>40189</v>
      </c>
      <c r="C166" s="84">
        <v>1</v>
      </c>
      <c r="D166" s="56"/>
      <c r="E166" s="58"/>
      <c r="F166" s="95">
        <v>45</v>
      </c>
      <c r="G166" s="94">
        <v>45</v>
      </c>
      <c r="H166" s="93">
        <v>0</v>
      </c>
      <c r="I166" s="93">
        <v>82000</v>
      </c>
      <c r="J166" s="19">
        <f t="shared" si="28"/>
        <v>82000</v>
      </c>
      <c r="K166" s="19">
        <f t="shared" si="41"/>
        <v>2554220</v>
      </c>
      <c r="L166" s="36">
        <f t="shared" si="29"/>
        <v>82000</v>
      </c>
      <c r="M166" s="36">
        <f t="shared" si="30"/>
        <v>0</v>
      </c>
      <c r="N166" s="36">
        <f t="shared" si="31"/>
        <v>0</v>
      </c>
      <c r="O166" s="36">
        <f t="shared" si="32"/>
        <v>0</v>
      </c>
      <c r="P166" s="36">
        <f t="shared" si="33"/>
        <v>0</v>
      </c>
      <c r="Q166" s="36">
        <f t="shared" si="34"/>
        <v>0</v>
      </c>
      <c r="R166" s="36">
        <f t="shared" si="35"/>
        <v>0</v>
      </c>
      <c r="S166" s="36">
        <f t="shared" si="36"/>
        <v>0</v>
      </c>
      <c r="T166" s="36">
        <f t="shared" si="37"/>
        <v>0</v>
      </c>
      <c r="U166" s="36">
        <f t="shared" si="38"/>
        <v>0</v>
      </c>
      <c r="V166" s="36">
        <f t="shared" si="39"/>
        <v>0</v>
      </c>
      <c r="W166" s="19">
        <f t="shared" si="40"/>
        <v>82000</v>
      </c>
    </row>
    <row r="167" spans="1:23">
      <c r="A167" s="56" t="s">
        <v>150</v>
      </c>
      <c r="B167" s="57">
        <v>40189</v>
      </c>
      <c r="C167" s="84">
        <v>8</v>
      </c>
      <c r="D167" s="56"/>
      <c r="E167" s="58">
        <f>-10000</f>
        <v>-10000</v>
      </c>
      <c r="F167" s="95">
        <v>46</v>
      </c>
      <c r="G167" s="94">
        <v>46</v>
      </c>
      <c r="H167" s="93">
        <f>-10000+10000</f>
        <v>0</v>
      </c>
      <c r="I167" s="93">
        <v>10000</v>
      </c>
      <c r="J167" s="19">
        <f t="shared" si="28"/>
        <v>0</v>
      </c>
      <c r="K167" s="19">
        <f t="shared" si="41"/>
        <v>2554220</v>
      </c>
      <c r="L167" s="36">
        <f t="shared" si="29"/>
        <v>0</v>
      </c>
      <c r="M167" s="36">
        <f t="shared" si="30"/>
        <v>0</v>
      </c>
      <c r="N167" s="36">
        <f t="shared" si="31"/>
        <v>0</v>
      </c>
      <c r="O167" s="36">
        <f t="shared" si="32"/>
        <v>0</v>
      </c>
      <c r="P167" s="36">
        <f t="shared" si="33"/>
        <v>0</v>
      </c>
      <c r="Q167" s="36">
        <f t="shared" si="34"/>
        <v>0</v>
      </c>
      <c r="R167" s="36">
        <f t="shared" si="35"/>
        <v>0</v>
      </c>
      <c r="S167" s="36">
        <f t="shared" si="36"/>
        <v>0</v>
      </c>
      <c r="T167" s="36">
        <f t="shared" si="37"/>
        <v>0</v>
      </c>
      <c r="U167" s="36">
        <f t="shared" si="38"/>
        <v>0</v>
      </c>
      <c r="V167" s="36">
        <f t="shared" si="39"/>
        <v>0</v>
      </c>
      <c r="W167" s="19">
        <f t="shared" si="40"/>
        <v>0</v>
      </c>
    </row>
    <row r="168" spans="1:23">
      <c r="A168" s="56" t="s">
        <v>164</v>
      </c>
      <c r="B168" s="57">
        <v>40189</v>
      </c>
      <c r="C168" s="84">
        <v>8</v>
      </c>
      <c r="D168" s="56"/>
      <c r="E168" s="58"/>
      <c r="F168" s="95">
        <v>47</v>
      </c>
      <c r="G168" s="94">
        <v>47</v>
      </c>
      <c r="H168" s="93">
        <v>0</v>
      </c>
      <c r="I168" s="93">
        <v>16000</v>
      </c>
      <c r="J168" s="19">
        <f t="shared" si="28"/>
        <v>16000</v>
      </c>
      <c r="K168" s="19">
        <f t="shared" si="41"/>
        <v>2570220</v>
      </c>
      <c r="L168" s="36">
        <f t="shared" si="29"/>
        <v>0</v>
      </c>
      <c r="M168" s="36">
        <f t="shared" si="30"/>
        <v>0</v>
      </c>
      <c r="N168" s="36">
        <f t="shared" si="31"/>
        <v>0</v>
      </c>
      <c r="O168" s="36">
        <f t="shared" si="32"/>
        <v>0</v>
      </c>
      <c r="P168" s="36">
        <f t="shared" si="33"/>
        <v>0</v>
      </c>
      <c r="Q168" s="36">
        <f t="shared" si="34"/>
        <v>0</v>
      </c>
      <c r="R168" s="36">
        <f t="shared" si="35"/>
        <v>0</v>
      </c>
      <c r="S168" s="36">
        <f t="shared" si="36"/>
        <v>16000</v>
      </c>
      <c r="T168" s="36">
        <f t="shared" si="37"/>
        <v>0</v>
      </c>
      <c r="U168" s="36">
        <f t="shared" si="38"/>
        <v>0</v>
      </c>
      <c r="V168" s="36">
        <f t="shared" si="39"/>
        <v>0</v>
      </c>
      <c r="W168" s="19">
        <f t="shared" si="40"/>
        <v>16000</v>
      </c>
    </row>
    <row r="169" spans="1:23" ht="15">
      <c r="A169" s="73" t="s">
        <v>224</v>
      </c>
      <c r="B169" s="74">
        <v>40189</v>
      </c>
      <c r="C169" s="85">
        <v>8</v>
      </c>
      <c r="D169" s="56">
        <v>54</v>
      </c>
      <c r="E169" s="76">
        <v>200</v>
      </c>
      <c r="F169" s="59"/>
      <c r="G169" s="59"/>
      <c r="H169" s="58"/>
      <c r="I169" s="60"/>
      <c r="J169" s="19">
        <f t="shared" si="28"/>
        <v>200</v>
      </c>
      <c r="K169" s="19">
        <f t="shared" si="41"/>
        <v>2570420</v>
      </c>
      <c r="L169" s="36">
        <f t="shared" si="29"/>
        <v>0</v>
      </c>
      <c r="M169" s="36">
        <f t="shared" si="30"/>
        <v>0</v>
      </c>
      <c r="N169" s="36">
        <f t="shared" si="31"/>
        <v>0</v>
      </c>
      <c r="O169" s="36">
        <f t="shared" si="32"/>
        <v>0</v>
      </c>
      <c r="P169" s="36">
        <f t="shared" si="33"/>
        <v>0</v>
      </c>
      <c r="Q169" s="36">
        <f t="shared" si="34"/>
        <v>0</v>
      </c>
      <c r="R169" s="36">
        <f t="shared" si="35"/>
        <v>0</v>
      </c>
      <c r="S169" s="36">
        <f t="shared" si="36"/>
        <v>200</v>
      </c>
      <c r="T169" s="36">
        <f t="shared" si="37"/>
        <v>0</v>
      </c>
      <c r="U169" s="36">
        <f t="shared" si="38"/>
        <v>0</v>
      </c>
      <c r="V169" s="36">
        <f t="shared" si="39"/>
        <v>0</v>
      </c>
      <c r="W169" s="19">
        <f t="shared" si="40"/>
        <v>200</v>
      </c>
    </row>
    <row r="170" spans="1:23" ht="15">
      <c r="A170" s="71" t="s">
        <v>241</v>
      </c>
      <c r="B170" s="72">
        <v>40191</v>
      </c>
      <c r="C170" s="86">
        <v>8</v>
      </c>
      <c r="D170" s="56">
        <v>55</v>
      </c>
      <c r="E170" s="75">
        <v>400</v>
      </c>
      <c r="F170" s="59"/>
      <c r="G170" s="59"/>
      <c r="H170" s="58"/>
      <c r="I170" s="60"/>
      <c r="J170" s="19">
        <f t="shared" si="28"/>
        <v>400</v>
      </c>
      <c r="K170" s="19">
        <f t="shared" si="41"/>
        <v>2570820</v>
      </c>
      <c r="L170" s="36">
        <f t="shared" si="29"/>
        <v>0</v>
      </c>
      <c r="M170" s="36">
        <f t="shared" si="30"/>
        <v>0</v>
      </c>
      <c r="N170" s="36">
        <f t="shared" si="31"/>
        <v>0</v>
      </c>
      <c r="O170" s="36">
        <f t="shared" si="32"/>
        <v>0</v>
      </c>
      <c r="P170" s="36">
        <f t="shared" si="33"/>
        <v>0</v>
      </c>
      <c r="Q170" s="36">
        <f t="shared" si="34"/>
        <v>0</v>
      </c>
      <c r="R170" s="36">
        <f t="shared" si="35"/>
        <v>0</v>
      </c>
      <c r="S170" s="36">
        <f t="shared" si="36"/>
        <v>400</v>
      </c>
      <c r="T170" s="36">
        <f t="shared" si="37"/>
        <v>0</v>
      </c>
      <c r="U170" s="36">
        <f t="shared" si="38"/>
        <v>0</v>
      </c>
      <c r="V170" s="36">
        <f t="shared" si="39"/>
        <v>0</v>
      </c>
      <c r="W170" s="19">
        <f t="shared" si="40"/>
        <v>400</v>
      </c>
    </row>
    <row r="171" spans="1:23">
      <c r="A171" s="56" t="s">
        <v>150</v>
      </c>
      <c r="B171" s="57">
        <v>40193</v>
      </c>
      <c r="C171" s="84">
        <v>8</v>
      </c>
      <c r="D171" s="56"/>
      <c r="E171" s="58"/>
      <c r="F171" s="95">
        <v>48</v>
      </c>
      <c r="G171" s="94">
        <v>48</v>
      </c>
      <c r="H171" s="93">
        <f>-10100+10100</f>
        <v>0</v>
      </c>
      <c r="I171" s="93">
        <v>10100</v>
      </c>
      <c r="J171" s="19">
        <f t="shared" si="28"/>
        <v>10100</v>
      </c>
      <c r="K171" s="19">
        <f t="shared" si="41"/>
        <v>2580920</v>
      </c>
      <c r="L171" s="36">
        <f t="shared" si="29"/>
        <v>0</v>
      </c>
      <c r="M171" s="36">
        <f t="shared" si="30"/>
        <v>0</v>
      </c>
      <c r="N171" s="36">
        <f t="shared" si="31"/>
        <v>0</v>
      </c>
      <c r="O171" s="36">
        <f t="shared" si="32"/>
        <v>0</v>
      </c>
      <c r="P171" s="36">
        <f t="shared" si="33"/>
        <v>0</v>
      </c>
      <c r="Q171" s="36">
        <f t="shared" si="34"/>
        <v>0</v>
      </c>
      <c r="R171" s="36">
        <f t="shared" si="35"/>
        <v>0</v>
      </c>
      <c r="S171" s="36">
        <f t="shared" si="36"/>
        <v>10100</v>
      </c>
      <c r="T171" s="36">
        <f t="shared" si="37"/>
        <v>0</v>
      </c>
      <c r="U171" s="36">
        <f t="shared" si="38"/>
        <v>0</v>
      </c>
      <c r="V171" s="36">
        <f t="shared" si="39"/>
        <v>0</v>
      </c>
      <c r="W171" s="19">
        <f t="shared" si="40"/>
        <v>10100</v>
      </c>
    </row>
    <row r="172" spans="1:23">
      <c r="A172" s="56" t="s">
        <v>164</v>
      </c>
      <c r="B172" s="57">
        <v>40193</v>
      </c>
      <c r="C172" s="84">
        <v>8</v>
      </c>
      <c r="D172" s="56"/>
      <c r="E172" s="58"/>
      <c r="F172" s="95">
        <v>49</v>
      </c>
      <c r="G172" s="94">
        <v>49</v>
      </c>
      <c r="H172" s="93"/>
      <c r="I172" s="93">
        <v>21400</v>
      </c>
      <c r="J172" s="19">
        <f t="shared" si="28"/>
        <v>21400</v>
      </c>
      <c r="K172" s="19">
        <f t="shared" si="41"/>
        <v>2602320</v>
      </c>
      <c r="L172" s="36">
        <f t="shared" si="29"/>
        <v>0</v>
      </c>
      <c r="M172" s="36">
        <f t="shared" si="30"/>
        <v>0</v>
      </c>
      <c r="N172" s="36">
        <f t="shared" si="31"/>
        <v>0</v>
      </c>
      <c r="O172" s="36">
        <f t="shared" si="32"/>
        <v>0</v>
      </c>
      <c r="P172" s="36">
        <f t="shared" si="33"/>
        <v>0</v>
      </c>
      <c r="Q172" s="36">
        <f t="shared" si="34"/>
        <v>0</v>
      </c>
      <c r="R172" s="36">
        <f t="shared" si="35"/>
        <v>0</v>
      </c>
      <c r="S172" s="36">
        <f t="shared" si="36"/>
        <v>21400</v>
      </c>
      <c r="T172" s="36">
        <f t="shared" si="37"/>
        <v>0</v>
      </c>
      <c r="U172" s="36">
        <f t="shared" si="38"/>
        <v>0</v>
      </c>
      <c r="V172" s="36">
        <f t="shared" si="39"/>
        <v>0</v>
      </c>
      <c r="W172" s="19">
        <f t="shared" si="40"/>
        <v>21400</v>
      </c>
    </row>
    <row r="173" spans="1:23">
      <c r="A173" s="56" t="s">
        <v>188</v>
      </c>
      <c r="B173" s="57">
        <v>40193</v>
      </c>
      <c r="C173" s="84">
        <v>1</v>
      </c>
      <c r="D173" s="56"/>
      <c r="E173" s="58"/>
      <c r="F173" s="95">
        <v>50</v>
      </c>
      <c r="G173" s="94">
        <v>50</v>
      </c>
      <c r="H173" s="93"/>
      <c r="I173" s="93">
        <v>20375</v>
      </c>
      <c r="J173" s="19">
        <f t="shared" si="28"/>
        <v>20375</v>
      </c>
      <c r="K173" s="19">
        <f t="shared" si="41"/>
        <v>2622695</v>
      </c>
      <c r="L173" s="36">
        <f t="shared" si="29"/>
        <v>20375</v>
      </c>
      <c r="M173" s="36">
        <f t="shared" si="30"/>
        <v>0</v>
      </c>
      <c r="N173" s="36">
        <f t="shared" si="31"/>
        <v>0</v>
      </c>
      <c r="O173" s="36">
        <f t="shared" si="32"/>
        <v>0</v>
      </c>
      <c r="P173" s="36">
        <f t="shared" si="33"/>
        <v>0</v>
      </c>
      <c r="Q173" s="36">
        <f t="shared" si="34"/>
        <v>0</v>
      </c>
      <c r="R173" s="36">
        <f t="shared" si="35"/>
        <v>0</v>
      </c>
      <c r="S173" s="36">
        <f t="shared" si="36"/>
        <v>0</v>
      </c>
      <c r="T173" s="36">
        <f t="shared" si="37"/>
        <v>0</v>
      </c>
      <c r="U173" s="36">
        <f t="shared" si="38"/>
        <v>0</v>
      </c>
      <c r="V173" s="36">
        <f t="shared" si="39"/>
        <v>0</v>
      </c>
      <c r="W173" s="19">
        <f t="shared" si="40"/>
        <v>20375</v>
      </c>
    </row>
    <row r="174" spans="1:23">
      <c r="A174" s="56" t="s">
        <v>165</v>
      </c>
      <c r="B174" s="57">
        <v>40193</v>
      </c>
      <c r="C174" s="84">
        <v>8</v>
      </c>
      <c r="D174" s="56"/>
      <c r="E174" s="58"/>
      <c r="F174" s="95">
        <v>51</v>
      </c>
      <c r="G174" s="94">
        <v>51</v>
      </c>
      <c r="H174" s="93"/>
      <c r="I174" s="93">
        <v>32903</v>
      </c>
      <c r="J174" s="19">
        <f t="shared" si="28"/>
        <v>32903</v>
      </c>
      <c r="K174" s="19">
        <f t="shared" si="41"/>
        <v>2655598</v>
      </c>
      <c r="L174" s="36">
        <f t="shared" si="29"/>
        <v>0</v>
      </c>
      <c r="M174" s="36">
        <f t="shared" si="30"/>
        <v>0</v>
      </c>
      <c r="N174" s="36">
        <f t="shared" si="31"/>
        <v>0</v>
      </c>
      <c r="O174" s="36">
        <f t="shared" si="32"/>
        <v>0</v>
      </c>
      <c r="P174" s="36">
        <f t="shared" si="33"/>
        <v>0</v>
      </c>
      <c r="Q174" s="36">
        <f t="shared" si="34"/>
        <v>0</v>
      </c>
      <c r="R174" s="36">
        <f t="shared" si="35"/>
        <v>0</v>
      </c>
      <c r="S174" s="36">
        <f t="shared" si="36"/>
        <v>32903</v>
      </c>
      <c r="T174" s="36">
        <f t="shared" si="37"/>
        <v>0</v>
      </c>
      <c r="U174" s="36">
        <f t="shared" si="38"/>
        <v>0</v>
      </c>
      <c r="V174" s="36">
        <f t="shared" si="39"/>
        <v>0</v>
      </c>
      <c r="W174" s="19">
        <f t="shared" si="40"/>
        <v>32903</v>
      </c>
    </row>
    <row r="175" spans="1:23">
      <c r="A175" s="56" t="s">
        <v>167</v>
      </c>
      <c r="B175" s="57">
        <v>40193</v>
      </c>
      <c r="C175" s="84">
        <v>8</v>
      </c>
      <c r="D175" s="56"/>
      <c r="E175" s="58"/>
      <c r="F175" s="95">
        <v>52</v>
      </c>
      <c r="G175" s="94">
        <v>52</v>
      </c>
      <c r="H175" s="93"/>
      <c r="I175" s="93">
        <v>26153</v>
      </c>
      <c r="J175" s="19">
        <f t="shared" si="28"/>
        <v>26153</v>
      </c>
      <c r="K175" s="19">
        <f t="shared" si="41"/>
        <v>2681751</v>
      </c>
      <c r="L175" s="36">
        <f t="shared" si="29"/>
        <v>0</v>
      </c>
      <c r="M175" s="36">
        <f t="shared" si="30"/>
        <v>0</v>
      </c>
      <c r="N175" s="36">
        <f t="shared" si="31"/>
        <v>0</v>
      </c>
      <c r="O175" s="36">
        <f t="shared" si="32"/>
        <v>0</v>
      </c>
      <c r="P175" s="36">
        <f t="shared" si="33"/>
        <v>0</v>
      </c>
      <c r="Q175" s="36">
        <f t="shared" si="34"/>
        <v>0</v>
      </c>
      <c r="R175" s="36">
        <f t="shared" si="35"/>
        <v>0</v>
      </c>
      <c r="S175" s="36">
        <f t="shared" si="36"/>
        <v>26153</v>
      </c>
      <c r="T175" s="36">
        <f t="shared" si="37"/>
        <v>0</v>
      </c>
      <c r="U175" s="36">
        <f t="shared" si="38"/>
        <v>0</v>
      </c>
      <c r="V175" s="36">
        <f t="shared" si="39"/>
        <v>0</v>
      </c>
      <c r="W175" s="19">
        <f t="shared" si="40"/>
        <v>26153</v>
      </c>
    </row>
    <row r="176" spans="1:23">
      <c r="A176" s="56" t="s">
        <v>166</v>
      </c>
      <c r="B176" s="57">
        <v>40193</v>
      </c>
      <c r="C176" s="84">
        <v>8</v>
      </c>
      <c r="D176" s="56"/>
      <c r="E176" s="58"/>
      <c r="F176" s="59">
        <v>53</v>
      </c>
      <c r="G176" s="56">
        <v>53</v>
      </c>
      <c r="H176" s="58"/>
      <c r="I176" s="58">
        <v>5577</v>
      </c>
      <c r="J176" s="19">
        <f t="shared" si="28"/>
        <v>5577</v>
      </c>
      <c r="K176" s="19">
        <f t="shared" si="41"/>
        <v>2687328</v>
      </c>
      <c r="L176" s="36">
        <f t="shared" si="29"/>
        <v>0</v>
      </c>
      <c r="M176" s="36">
        <f t="shared" si="30"/>
        <v>0</v>
      </c>
      <c r="N176" s="36">
        <f t="shared" si="31"/>
        <v>0</v>
      </c>
      <c r="O176" s="36">
        <f t="shared" si="32"/>
        <v>0</v>
      </c>
      <c r="P176" s="36">
        <f t="shared" si="33"/>
        <v>0</v>
      </c>
      <c r="Q176" s="36">
        <f t="shared" si="34"/>
        <v>0</v>
      </c>
      <c r="R176" s="36">
        <f t="shared" si="35"/>
        <v>0</v>
      </c>
      <c r="S176" s="36">
        <f t="shared" si="36"/>
        <v>5577</v>
      </c>
      <c r="T176" s="36">
        <f t="shared" si="37"/>
        <v>0</v>
      </c>
      <c r="U176" s="36">
        <f t="shared" si="38"/>
        <v>0</v>
      </c>
      <c r="V176" s="36">
        <f t="shared" si="39"/>
        <v>0</v>
      </c>
      <c r="W176" s="19">
        <f t="shared" si="40"/>
        <v>5577</v>
      </c>
    </row>
    <row r="177" spans="1:23">
      <c r="A177" s="56" t="s">
        <v>66</v>
      </c>
      <c r="B177" s="57">
        <v>40193</v>
      </c>
      <c r="C177" s="84">
        <v>8</v>
      </c>
      <c r="D177" s="56"/>
      <c r="E177" s="58"/>
      <c r="F177" s="59">
        <v>54</v>
      </c>
      <c r="G177" s="56">
        <v>54</v>
      </c>
      <c r="H177" s="58"/>
      <c r="I177" s="58">
        <v>0</v>
      </c>
      <c r="J177" s="19">
        <f t="shared" si="28"/>
        <v>0</v>
      </c>
      <c r="K177" s="19">
        <f t="shared" si="41"/>
        <v>2687328</v>
      </c>
      <c r="L177" s="36">
        <f t="shared" si="29"/>
        <v>0</v>
      </c>
      <c r="M177" s="36">
        <f t="shared" si="30"/>
        <v>0</v>
      </c>
      <c r="N177" s="36">
        <f t="shared" si="31"/>
        <v>0</v>
      </c>
      <c r="O177" s="36">
        <f t="shared" si="32"/>
        <v>0</v>
      </c>
      <c r="P177" s="36">
        <f t="shared" si="33"/>
        <v>0</v>
      </c>
      <c r="Q177" s="36">
        <f t="shared" si="34"/>
        <v>0</v>
      </c>
      <c r="R177" s="36">
        <f t="shared" si="35"/>
        <v>0</v>
      </c>
      <c r="S177" s="36">
        <f t="shared" si="36"/>
        <v>0</v>
      </c>
      <c r="T177" s="36">
        <f t="shared" si="37"/>
        <v>0</v>
      </c>
      <c r="U177" s="36">
        <f t="shared" si="38"/>
        <v>0</v>
      </c>
      <c r="V177" s="36">
        <f t="shared" si="39"/>
        <v>0</v>
      </c>
      <c r="W177" s="19">
        <f t="shared" si="40"/>
        <v>0</v>
      </c>
    </row>
    <row r="178" spans="1:23">
      <c r="A178" s="56" t="s">
        <v>168</v>
      </c>
      <c r="B178" s="57">
        <v>40193</v>
      </c>
      <c r="C178" s="84">
        <v>8</v>
      </c>
      <c r="D178" s="56"/>
      <c r="E178" s="58"/>
      <c r="F178" s="59">
        <v>55</v>
      </c>
      <c r="G178" s="56">
        <v>55</v>
      </c>
      <c r="H178" s="58"/>
      <c r="I178" s="58">
        <v>320</v>
      </c>
      <c r="J178" s="19">
        <f t="shared" si="28"/>
        <v>320</v>
      </c>
      <c r="K178" s="19">
        <f t="shared" si="41"/>
        <v>2687648</v>
      </c>
      <c r="L178" s="36">
        <f t="shared" si="29"/>
        <v>0</v>
      </c>
      <c r="M178" s="36">
        <f t="shared" si="30"/>
        <v>0</v>
      </c>
      <c r="N178" s="36">
        <f t="shared" si="31"/>
        <v>0</v>
      </c>
      <c r="O178" s="36">
        <f t="shared" si="32"/>
        <v>0</v>
      </c>
      <c r="P178" s="36">
        <f t="shared" si="33"/>
        <v>0</v>
      </c>
      <c r="Q178" s="36">
        <f t="shared" si="34"/>
        <v>0</v>
      </c>
      <c r="R178" s="36">
        <f t="shared" si="35"/>
        <v>0</v>
      </c>
      <c r="S178" s="36">
        <f t="shared" si="36"/>
        <v>320</v>
      </c>
      <c r="T178" s="36">
        <f t="shared" si="37"/>
        <v>0</v>
      </c>
      <c r="U178" s="36">
        <f t="shared" si="38"/>
        <v>0</v>
      </c>
      <c r="V178" s="36">
        <f t="shared" si="39"/>
        <v>0</v>
      </c>
      <c r="W178" s="19">
        <f t="shared" si="40"/>
        <v>320</v>
      </c>
    </row>
    <row r="179" spans="1:23">
      <c r="A179" s="56" t="s">
        <v>171</v>
      </c>
      <c r="B179" s="57">
        <v>40193</v>
      </c>
      <c r="C179" s="84">
        <v>8</v>
      </c>
      <c r="D179" s="56"/>
      <c r="E179" s="58"/>
      <c r="F179" s="59">
        <v>56</v>
      </c>
      <c r="G179" s="56">
        <v>56</v>
      </c>
      <c r="H179" s="58"/>
      <c r="I179" s="58">
        <v>400</v>
      </c>
      <c r="J179" s="19">
        <f t="shared" si="28"/>
        <v>400</v>
      </c>
      <c r="K179" s="19">
        <f t="shared" si="41"/>
        <v>2688048</v>
      </c>
      <c r="L179" s="36">
        <f t="shared" si="29"/>
        <v>0</v>
      </c>
      <c r="M179" s="36">
        <f t="shared" si="30"/>
        <v>0</v>
      </c>
      <c r="N179" s="36">
        <f t="shared" si="31"/>
        <v>0</v>
      </c>
      <c r="O179" s="36">
        <f t="shared" si="32"/>
        <v>0</v>
      </c>
      <c r="P179" s="36">
        <f t="shared" si="33"/>
        <v>0</v>
      </c>
      <c r="Q179" s="36">
        <f t="shared" si="34"/>
        <v>0</v>
      </c>
      <c r="R179" s="36">
        <f t="shared" si="35"/>
        <v>0</v>
      </c>
      <c r="S179" s="36">
        <f t="shared" si="36"/>
        <v>400</v>
      </c>
      <c r="T179" s="36">
        <f t="shared" si="37"/>
        <v>0</v>
      </c>
      <c r="U179" s="36">
        <f t="shared" si="38"/>
        <v>0</v>
      </c>
      <c r="V179" s="36">
        <f t="shared" si="39"/>
        <v>0</v>
      </c>
      <c r="W179" s="19">
        <f t="shared" si="40"/>
        <v>400</v>
      </c>
    </row>
    <row r="180" spans="1:23">
      <c r="A180" s="56" t="s">
        <v>170</v>
      </c>
      <c r="B180" s="57">
        <v>40193</v>
      </c>
      <c r="C180" s="84">
        <v>8</v>
      </c>
      <c r="D180" s="56"/>
      <c r="E180" s="58"/>
      <c r="F180" s="59">
        <v>57</v>
      </c>
      <c r="G180" s="56">
        <v>57</v>
      </c>
      <c r="H180" s="58"/>
      <c r="I180" s="58">
        <v>320</v>
      </c>
      <c r="J180" s="19">
        <f t="shared" si="28"/>
        <v>320</v>
      </c>
      <c r="K180" s="19">
        <f t="shared" si="41"/>
        <v>2688368</v>
      </c>
      <c r="L180" s="36">
        <f t="shared" si="29"/>
        <v>0</v>
      </c>
      <c r="M180" s="36">
        <f t="shared" si="30"/>
        <v>0</v>
      </c>
      <c r="N180" s="36">
        <f t="shared" si="31"/>
        <v>0</v>
      </c>
      <c r="O180" s="36">
        <f t="shared" si="32"/>
        <v>0</v>
      </c>
      <c r="P180" s="36">
        <f t="shared" si="33"/>
        <v>0</v>
      </c>
      <c r="Q180" s="36">
        <f t="shared" si="34"/>
        <v>0</v>
      </c>
      <c r="R180" s="36">
        <f t="shared" si="35"/>
        <v>0</v>
      </c>
      <c r="S180" s="36">
        <f t="shared" si="36"/>
        <v>320</v>
      </c>
      <c r="T180" s="36">
        <f t="shared" si="37"/>
        <v>0</v>
      </c>
      <c r="U180" s="36">
        <f t="shared" si="38"/>
        <v>0</v>
      </c>
      <c r="V180" s="36">
        <f t="shared" si="39"/>
        <v>0</v>
      </c>
      <c r="W180" s="19">
        <f t="shared" si="40"/>
        <v>320</v>
      </c>
    </row>
    <row r="181" spans="1:23">
      <c r="A181" s="56" t="s">
        <v>169</v>
      </c>
      <c r="B181" s="57">
        <v>40193</v>
      </c>
      <c r="C181" s="84">
        <v>8</v>
      </c>
      <c r="D181" s="56"/>
      <c r="E181" s="58"/>
      <c r="F181" s="59">
        <v>58</v>
      </c>
      <c r="G181" s="56">
        <v>58</v>
      </c>
      <c r="H181" s="58"/>
      <c r="I181" s="58">
        <v>400</v>
      </c>
      <c r="J181" s="19">
        <f t="shared" si="28"/>
        <v>400</v>
      </c>
      <c r="K181" s="19">
        <f t="shared" si="41"/>
        <v>2688768</v>
      </c>
      <c r="L181" s="36">
        <f t="shared" si="29"/>
        <v>0</v>
      </c>
      <c r="M181" s="36">
        <f t="shared" si="30"/>
        <v>0</v>
      </c>
      <c r="N181" s="36">
        <f t="shared" si="31"/>
        <v>0</v>
      </c>
      <c r="O181" s="36">
        <f t="shared" si="32"/>
        <v>0</v>
      </c>
      <c r="P181" s="36">
        <f t="shared" si="33"/>
        <v>0</v>
      </c>
      <c r="Q181" s="36">
        <f t="shared" si="34"/>
        <v>0</v>
      </c>
      <c r="R181" s="36">
        <f t="shared" si="35"/>
        <v>0</v>
      </c>
      <c r="S181" s="36">
        <f t="shared" si="36"/>
        <v>400</v>
      </c>
      <c r="T181" s="36">
        <f t="shared" si="37"/>
        <v>0</v>
      </c>
      <c r="U181" s="36">
        <f t="shared" si="38"/>
        <v>0</v>
      </c>
      <c r="V181" s="36">
        <f t="shared" si="39"/>
        <v>0</v>
      </c>
      <c r="W181" s="19">
        <f t="shared" si="40"/>
        <v>400</v>
      </c>
    </row>
    <row r="182" spans="1:23">
      <c r="A182" s="56" t="s">
        <v>172</v>
      </c>
      <c r="B182" s="57">
        <v>40193</v>
      </c>
      <c r="C182" s="84">
        <v>8</v>
      </c>
      <c r="D182" s="56"/>
      <c r="E182" s="58"/>
      <c r="F182" s="59">
        <v>59</v>
      </c>
      <c r="G182" s="56">
        <v>59</v>
      </c>
      <c r="H182" s="58"/>
      <c r="I182" s="58">
        <v>3327</v>
      </c>
      <c r="J182" s="19">
        <f t="shared" si="28"/>
        <v>3327</v>
      </c>
      <c r="K182" s="19">
        <f t="shared" si="41"/>
        <v>2692095</v>
      </c>
      <c r="L182" s="36">
        <f t="shared" si="29"/>
        <v>0</v>
      </c>
      <c r="M182" s="36">
        <f t="shared" si="30"/>
        <v>0</v>
      </c>
      <c r="N182" s="36">
        <f t="shared" si="31"/>
        <v>0</v>
      </c>
      <c r="O182" s="36">
        <f t="shared" si="32"/>
        <v>0</v>
      </c>
      <c r="P182" s="36">
        <f t="shared" si="33"/>
        <v>0</v>
      </c>
      <c r="Q182" s="36">
        <f t="shared" si="34"/>
        <v>0</v>
      </c>
      <c r="R182" s="36">
        <f t="shared" si="35"/>
        <v>0</v>
      </c>
      <c r="S182" s="36">
        <f t="shared" si="36"/>
        <v>3327</v>
      </c>
      <c r="T182" s="36">
        <f t="shared" si="37"/>
        <v>0</v>
      </c>
      <c r="U182" s="36">
        <f t="shared" si="38"/>
        <v>0</v>
      </c>
      <c r="V182" s="36">
        <f t="shared" si="39"/>
        <v>0</v>
      </c>
      <c r="W182" s="19">
        <f t="shared" si="40"/>
        <v>3327</v>
      </c>
    </row>
    <row r="183" spans="1:23" ht="15">
      <c r="A183" s="73" t="s">
        <v>224</v>
      </c>
      <c r="B183" s="74">
        <v>40194</v>
      </c>
      <c r="C183" s="85">
        <v>8</v>
      </c>
      <c r="D183" s="56">
        <v>56</v>
      </c>
      <c r="E183" s="76">
        <v>500</v>
      </c>
      <c r="F183" s="59"/>
      <c r="G183" s="59"/>
      <c r="H183" s="58"/>
      <c r="I183" s="60"/>
      <c r="J183" s="19">
        <f t="shared" si="28"/>
        <v>500</v>
      </c>
      <c r="K183" s="19">
        <f t="shared" si="41"/>
        <v>2692595</v>
      </c>
      <c r="L183" s="36">
        <f t="shared" si="29"/>
        <v>0</v>
      </c>
      <c r="M183" s="36">
        <f t="shared" si="30"/>
        <v>0</v>
      </c>
      <c r="N183" s="36">
        <f t="shared" si="31"/>
        <v>0</v>
      </c>
      <c r="O183" s="36">
        <f t="shared" si="32"/>
        <v>0</v>
      </c>
      <c r="P183" s="36">
        <f t="shared" si="33"/>
        <v>0</v>
      </c>
      <c r="Q183" s="36">
        <f t="shared" si="34"/>
        <v>0</v>
      </c>
      <c r="R183" s="36">
        <f t="shared" si="35"/>
        <v>0</v>
      </c>
      <c r="S183" s="36">
        <f t="shared" si="36"/>
        <v>500</v>
      </c>
      <c r="T183" s="36">
        <f t="shared" si="37"/>
        <v>0</v>
      </c>
      <c r="U183" s="36">
        <f t="shared" si="38"/>
        <v>0</v>
      </c>
      <c r="V183" s="36">
        <f t="shared" si="39"/>
        <v>0</v>
      </c>
      <c r="W183" s="19">
        <f t="shared" si="40"/>
        <v>500</v>
      </c>
    </row>
    <row r="184" spans="1:23" ht="15">
      <c r="A184" s="73" t="s">
        <v>243</v>
      </c>
      <c r="B184" s="74">
        <v>40194</v>
      </c>
      <c r="C184" s="85">
        <v>8</v>
      </c>
      <c r="D184" s="56">
        <v>57</v>
      </c>
      <c r="E184" s="76">
        <v>120</v>
      </c>
      <c r="F184" s="59"/>
      <c r="G184" s="59"/>
      <c r="H184" s="58"/>
      <c r="I184" s="60"/>
      <c r="J184" s="19">
        <f t="shared" si="28"/>
        <v>120</v>
      </c>
      <c r="K184" s="19">
        <f t="shared" si="41"/>
        <v>2692715</v>
      </c>
      <c r="L184" s="36">
        <f t="shared" si="29"/>
        <v>0</v>
      </c>
      <c r="M184" s="36">
        <f t="shared" si="30"/>
        <v>0</v>
      </c>
      <c r="N184" s="36">
        <f t="shared" si="31"/>
        <v>0</v>
      </c>
      <c r="O184" s="36">
        <f t="shared" si="32"/>
        <v>0</v>
      </c>
      <c r="P184" s="36">
        <f t="shared" si="33"/>
        <v>0</v>
      </c>
      <c r="Q184" s="36">
        <f t="shared" si="34"/>
        <v>0</v>
      </c>
      <c r="R184" s="36">
        <f t="shared" si="35"/>
        <v>0</v>
      </c>
      <c r="S184" s="36">
        <f t="shared" si="36"/>
        <v>120</v>
      </c>
      <c r="T184" s="36">
        <f t="shared" si="37"/>
        <v>0</v>
      </c>
      <c r="U184" s="36">
        <f t="shared" si="38"/>
        <v>0</v>
      </c>
      <c r="V184" s="36">
        <f t="shared" si="39"/>
        <v>0</v>
      </c>
      <c r="W184" s="19">
        <f t="shared" si="40"/>
        <v>120</v>
      </c>
    </row>
    <row r="185" spans="1:23" ht="15">
      <c r="A185" s="73" t="s">
        <v>244</v>
      </c>
      <c r="B185" s="74">
        <v>40197</v>
      </c>
      <c r="C185" s="85">
        <v>8</v>
      </c>
      <c r="D185" s="56">
        <v>58</v>
      </c>
      <c r="E185" s="76">
        <v>95</v>
      </c>
      <c r="F185" s="59"/>
      <c r="G185" s="59"/>
      <c r="H185" s="58"/>
      <c r="I185" s="60"/>
      <c r="J185" s="19">
        <f t="shared" si="28"/>
        <v>95</v>
      </c>
      <c r="K185" s="19">
        <f t="shared" si="41"/>
        <v>2692810</v>
      </c>
      <c r="L185" s="36">
        <f t="shared" si="29"/>
        <v>0</v>
      </c>
      <c r="M185" s="36">
        <f t="shared" si="30"/>
        <v>0</v>
      </c>
      <c r="N185" s="36">
        <f t="shared" si="31"/>
        <v>0</v>
      </c>
      <c r="O185" s="36">
        <f t="shared" si="32"/>
        <v>0</v>
      </c>
      <c r="P185" s="36">
        <f t="shared" si="33"/>
        <v>0</v>
      </c>
      <c r="Q185" s="36">
        <f t="shared" si="34"/>
        <v>0</v>
      </c>
      <c r="R185" s="36">
        <f t="shared" si="35"/>
        <v>0</v>
      </c>
      <c r="S185" s="36">
        <f t="shared" si="36"/>
        <v>95</v>
      </c>
      <c r="T185" s="36">
        <f t="shared" si="37"/>
        <v>0</v>
      </c>
      <c r="U185" s="36">
        <f t="shared" si="38"/>
        <v>0</v>
      </c>
      <c r="V185" s="36">
        <f t="shared" si="39"/>
        <v>0</v>
      </c>
      <c r="W185" s="19">
        <f t="shared" si="40"/>
        <v>95</v>
      </c>
    </row>
    <row r="186" spans="1:23" ht="15">
      <c r="A186" s="73" t="s">
        <v>224</v>
      </c>
      <c r="B186" s="74">
        <v>40197</v>
      </c>
      <c r="C186" s="85">
        <v>8</v>
      </c>
      <c r="D186" s="56">
        <v>59</v>
      </c>
      <c r="E186" s="76">
        <v>665</v>
      </c>
      <c r="F186" s="59"/>
      <c r="G186" s="59"/>
      <c r="H186" s="58"/>
      <c r="I186" s="60"/>
      <c r="J186" s="19">
        <f t="shared" si="28"/>
        <v>665</v>
      </c>
      <c r="K186" s="19">
        <f t="shared" si="41"/>
        <v>2693475</v>
      </c>
      <c r="L186" s="36">
        <f t="shared" si="29"/>
        <v>0</v>
      </c>
      <c r="M186" s="36">
        <f t="shared" si="30"/>
        <v>0</v>
      </c>
      <c r="N186" s="36">
        <f t="shared" si="31"/>
        <v>0</v>
      </c>
      <c r="O186" s="36">
        <f t="shared" si="32"/>
        <v>0</v>
      </c>
      <c r="P186" s="36">
        <f t="shared" si="33"/>
        <v>0</v>
      </c>
      <c r="Q186" s="36">
        <f t="shared" si="34"/>
        <v>0</v>
      </c>
      <c r="R186" s="36">
        <f t="shared" si="35"/>
        <v>0</v>
      </c>
      <c r="S186" s="36">
        <f t="shared" si="36"/>
        <v>665</v>
      </c>
      <c r="T186" s="36">
        <f t="shared" si="37"/>
        <v>0</v>
      </c>
      <c r="U186" s="36">
        <f t="shared" si="38"/>
        <v>0</v>
      </c>
      <c r="V186" s="36">
        <f t="shared" si="39"/>
        <v>0</v>
      </c>
      <c r="W186" s="19">
        <f t="shared" si="40"/>
        <v>665</v>
      </c>
    </row>
    <row r="187" spans="1:23" ht="15">
      <c r="A187" s="73" t="s">
        <v>224</v>
      </c>
      <c r="B187" s="74">
        <v>40197</v>
      </c>
      <c r="C187" s="85">
        <v>8</v>
      </c>
      <c r="D187" s="56">
        <v>60</v>
      </c>
      <c r="E187" s="76">
        <v>1800</v>
      </c>
      <c r="F187" s="59"/>
      <c r="G187" s="59"/>
      <c r="H187" s="58"/>
      <c r="I187" s="60"/>
      <c r="J187" s="19">
        <f t="shared" si="28"/>
        <v>1800</v>
      </c>
      <c r="K187" s="19">
        <f t="shared" si="41"/>
        <v>2695275</v>
      </c>
      <c r="L187" s="36">
        <f t="shared" si="29"/>
        <v>0</v>
      </c>
      <c r="M187" s="36">
        <f t="shared" si="30"/>
        <v>0</v>
      </c>
      <c r="N187" s="36">
        <f t="shared" si="31"/>
        <v>0</v>
      </c>
      <c r="O187" s="36">
        <f t="shared" si="32"/>
        <v>0</v>
      </c>
      <c r="P187" s="36">
        <f t="shared" si="33"/>
        <v>0</v>
      </c>
      <c r="Q187" s="36">
        <f t="shared" si="34"/>
        <v>0</v>
      </c>
      <c r="R187" s="36">
        <f t="shared" si="35"/>
        <v>0</v>
      </c>
      <c r="S187" s="36">
        <f t="shared" si="36"/>
        <v>1800</v>
      </c>
      <c r="T187" s="36">
        <f t="shared" si="37"/>
        <v>0</v>
      </c>
      <c r="U187" s="36">
        <f t="shared" si="38"/>
        <v>0</v>
      </c>
      <c r="V187" s="36">
        <f t="shared" si="39"/>
        <v>0</v>
      </c>
      <c r="W187" s="19">
        <f t="shared" si="40"/>
        <v>1800</v>
      </c>
    </row>
    <row r="188" spans="1:23" ht="15">
      <c r="A188" s="73" t="s">
        <v>245</v>
      </c>
      <c r="B188" s="74">
        <v>40197</v>
      </c>
      <c r="C188" s="85">
        <v>8</v>
      </c>
      <c r="D188" s="56">
        <v>61</v>
      </c>
      <c r="E188" s="76">
        <v>500</v>
      </c>
      <c r="F188" s="59"/>
      <c r="G188" s="59"/>
      <c r="H188" s="58"/>
      <c r="I188" s="60"/>
      <c r="J188" s="19">
        <f t="shared" si="28"/>
        <v>500</v>
      </c>
      <c r="K188" s="19">
        <f t="shared" si="41"/>
        <v>2695775</v>
      </c>
      <c r="L188" s="36">
        <f t="shared" si="29"/>
        <v>0</v>
      </c>
      <c r="M188" s="36">
        <f t="shared" si="30"/>
        <v>0</v>
      </c>
      <c r="N188" s="36">
        <f t="shared" si="31"/>
        <v>0</v>
      </c>
      <c r="O188" s="36">
        <f t="shared" si="32"/>
        <v>0</v>
      </c>
      <c r="P188" s="36">
        <f t="shared" si="33"/>
        <v>0</v>
      </c>
      <c r="Q188" s="36">
        <f t="shared" si="34"/>
        <v>0</v>
      </c>
      <c r="R188" s="36">
        <f t="shared" si="35"/>
        <v>0</v>
      </c>
      <c r="S188" s="36">
        <f t="shared" si="36"/>
        <v>500</v>
      </c>
      <c r="T188" s="36">
        <f t="shared" si="37"/>
        <v>0</v>
      </c>
      <c r="U188" s="36">
        <f t="shared" si="38"/>
        <v>0</v>
      </c>
      <c r="V188" s="36">
        <f t="shared" si="39"/>
        <v>0</v>
      </c>
      <c r="W188" s="19">
        <f t="shared" si="40"/>
        <v>500</v>
      </c>
    </row>
    <row r="189" spans="1:23" ht="15">
      <c r="A189" s="73" t="s">
        <v>246</v>
      </c>
      <c r="B189" s="74">
        <v>40198</v>
      </c>
      <c r="C189" s="85">
        <v>8</v>
      </c>
      <c r="D189" s="56">
        <v>62</v>
      </c>
      <c r="E189" s="76">
        <v>2700</v>
      </c>
      <c r="F189" s="59"/>
      <c r="G189" s="59"/>
      <c r="H189" s="58"/>
      <c r="I189" s="60"/>
      <c r="J189" s="19">
        <f t="shared" si="28"/>
        <v>2700</v>
      </c>
      <c r="K189" s="19">
        <f t="shared" si="41"/>
        <v>2698475</v>
      </c>
      <c r="L189" s="36">
        <f t="shared" si="29"/>
        <v>0</v>
      </c>
      <c r="M189" s="36">
        <f t="shared" si="30"/>
        <v>0</v>
      </c>
      <c r="N189" s="36">
        <f t="shared" si="31"/>
        <v>0</v>
      </c>
      <c r="O189" s="36">
        <f t="shared" si="32"/>
        <v>0</v>
      </c>
      <c r="P189" s="36">
        <f t="shared" si="33"/>
        <v>0</v>
      </c>
      <c r="Q189" s="36">
        <f t="shared" si="34"/>
        <v>0</v>
      </c>
      <c r="R189" s="36">
        <f t="shared" si="35"/>
        <v>0</v>
      </c>
      <c r="S189" s="36">
        <f t="shared" si="36"/>
        <v>2700</v>
      </c>
      <c r="T189" s="36">
        <f t="shared" si="37"/>
        <v>0</v>
      </c>
      <c r="U189" s="36">
        <f t="shared" si="38"/>
        <v>0</v>
      </c>
      <c r="V189" s="36">
        <f t="shared" si="39"/>
        <v>0</v>
      </c>
      <c r="W189" s="19">
        <f t="shared" si="40"/>
        <v>2700</v>
      </c>
    </row>
    <row r="190" spans="1:23" ht="15">
      <c r="A190" s="73" t="s">
        <v>224</v>
      </c>
      <c r="B190" s="74">
        <v>40198</v>
      </c>
      <c r="C190" s="85">
        <v>8</v>
      </c>
      <c r="D190" s="56">
        <v>63</v>
      </c>
      <c r="E190" s="76">
        <v>700</v>
      </c>
      <c r="F190" s="59"/>
      <c r="G190" s="59"/>
      <c r="H190" s="58"/>
      <c r="I190" s="60"/>
      <c r="J190" s="19">
        <f t="shared" si="28"/>
        <v>700</v>
      </c>
      <c r="K190" s="19">
        <f t="shared" si="41"/>
        <v>2699175</v>
      </c>
      <c r="L190" s="36">
        <f t="shared" si="29"/>
        <v>0</v>
      </c>
      <c r="M190" s="36">
        <f t="shared" si="30"/>
        <v>0</v>
      </c>
      <c r="N190" s="36">
        <f t="shared" si="31"/>
        <v>0</v>
      </c>
      <c r="O190" s="36">
        <f t="shared" si="32"/>
        <v>0</v>
      </c>
      <c r="P190" s="36">
        <f t="shared" si="33"/>
        <v>0</v>
      </c>
      <c r="Q190" s="36">
        <f t="shared" si="34"/>
        <v>0</v>
      </c>
      <c r="R190" s="36">
        <f t="shared" si="35"/>
        <v>0</v>
      </c>
      <c r="S190" s="36">
        <f t="shared" si="36"/>
        <v>700</v>
      </c>
      <c r="T190" s="36">
        <f t="shared" si="37"/>
        <v>0</v>
      </c>
      <c r="U190" s="36">
        <f t="shared" si="38"/>
        <v>0</v>
      </c>
      <c r="V190" s="36">
        <f t="shared" si="39"/>
        <v>0</v>
      </c>
      <c r="W190" s="19">
        <f t="shared" si="40"/>
        <v>700</v>
      </c>
    </row>
    <row r="191" spans="1:23" ht="15">
      <c r="A191" s="73" t="s">
        <v>247</v>
      </c>
      <c r="B191" s="74">
        <v>40198</v>
      </c>
      <c r="C191" s="85">
        <v>8</v>
      </c>
      <c r="D191" s="56">
        <v>64</v>
      </c>
      <c r="E191" s="76">
        <v>925</v>
      </c>
      <c r="F191" s="59"/>
      <c r="G191" s="59"/>
      <c r="H191" s="58"/>
      <c r="I191" s="60"/>
      <c r="J191" s="19">
        <f t="shared" si="28"/>
        <v>925</v>
      </c>
      <c r="K191" s="19">
        <f t="shared" si="41"/>
        <v>2700100</v>
      </c>
      <c r="L191" s="36">
        <f t="shared" si="29"/>
        <v>0</v>
      </c>
      <c r="M191" s="36">
        <f t="shared" si="30"/>
        <v>0</v>
      </c>
      <c r="N191" s="36">
        <f t="shared" si="31"/>
        <v>0</v>
      </c>
      <c r="O191" s="36">
        <f t="shared" si="32"/>
        <v>0</v>
      </c>
      <c r="P191" s="36">
        <f t="shared" si="33"/>
        <v>0</v>
      </c>
      <c r="Q191" s="36">
        <f t="shared" si="34"/>
        <v>0</v>
      </c>
      <c r="R191" s="36">
        <f t="shared" si="35"/>
        <v>0</v>
      </c>
      <c r="S191" s="36">
        <f t="shared" si="36"/>
        <v>925</v>
      </c>
      <c r="T191" s="36">
        <f t="shared" si="37"/>
        <v>0</v>
      </c>
      <c r="U191" s="36">
        <f t="shared" si="38"/>
        <v>0</v>
      </c>
      <c r="V191" s="36">
        <f t="shared" si="39"/>
        <v>0</v>
      </c>
      <c r="W191" s="19">
        <f t="shared" si="40"/>
        <v>925</v>
      </c>
    </row>
    <row r="192" spans="1:23" ht="15">
      <c r="A192" s="73" t="s">
        <v>224</v>
      </c>
      <c r="B192" s="74">
        <v>40199</v>
      </c>
      <c r="C192" s="85">
        <v>8</v>
      </c>
      <c r="D192" s="56">
        <v>65</v>
      </c>
      <c r="E192" s="76">
        <v>100</v>
      </c>
      <c r="F192" s="59"/>
      <c r="G192" s="59"/>
      <c r="H192" s="58"/>
      <c r="I192" s="60"/>
      <c r="J192" s="19">
        <f t="shared" si="28"/>
        <v>100</v>
      </c>
      <c r="K192" s="19">
        <f t="shared" si="41"/>
        <v>2700200</v>
      </c>
      <c r="L192" s="36">
        <f t="shared" si="29"/>
        <v>0</v>
      </c>
      <c r="M192" s="36">
        <f t="shared" si="30"/>
        <v>0</v>
      </c>
      <c r="N192" s="36">
        <f t="shared" si="31"/>
        <v>0</v>
      </c>
      <c r="O192" s="36">
        <f t="shared" si="32"/>
        <v>0</v>
      </c>
      <c r="P192" s="36">
        <f t="shared" si="33"/>
        <v>0</v>
      </c>
      <c r="Q192" s="36">
        <f t="shared" si="34"/>
        <v>0</v>
      </c>
      <c r="R192" s="36">
        <f t="shared" si="35"/>
        <v>0</v>
      </c>
      <c r="S192" s="36">
        <f t="shared" si="36"/>
        <v>100</v>
      </c>
      <c r="T192" s="36">
        <f t="shared" si="37"/>
        <v>0</v>
      </c>
      <c r="U192" s="36">
        <f t="shared" si="38"/>
        <v>0</v>
      </c>
      <c r="V192" s="36">
        <f t="shared" si="39"/>
        <v>0</v>
      </c>
      <c r="W192" s="19">
        <f t="shared" si="40"/>
        <v>100</v>
      </c>
    </row>
    <row r="193" spans="1:23">
      <c r="A193" s="56" t="s">
        <v>191</v>
      </c>
      <c r="B193" s="57">
        <v>40200</v>
      </c>
      <c r="C193" s="84">
        <v>1</v>
      </c>
      <c r="D193" s="56"/>
      <c r="E193" s="58"/>
      <c r="F193" s="95">
        <v>62</v>
      </c>
      <c r="G193" s="94">
        <v>62</v>
      </c>
      <c r="H193" s="93"/>
      <c r="I193" s="93">
        <v>89375</v>
      </c>
      <c r="J193" s="19">
        <f t="shared" si="28"/>
        <v>89375</v>
      </c>
      <c r="K193" s="19">
        <f t="shared" si="41"/>
        <v>2789575</v>
      </c>
      <c r="L193" s="36">
        <f t="shared" si="29"/>
        <v>89375</v>
      </c>
      <c r="M193" s="36">
        <f t="shared" si="30"/>
        <v>0</v>
      </c>
      <c r="N193" s="36">
        <f t="shared" si="31"/>
        <v>0</v>
      </c>
      <c r="O193" s="36">
        <f t="shared" si="32"/>
        <v>0</v>
      </c>
      <c r="P193" s="36">
        <f t="shared" si="33"/>
        <v>0</v>
      </c>
      <c r="Q193" s="36">
        <f t="shared" si="34"/>
        <v>0</v>
      </c>
      <c r="R193" s="36">
        <f t="shared" si="35"/>
        <v>0</v>
      </c>
      <c r="S193" s="36">
        <f t="shared" si="36"/>
        <v>0</v>
      </c>
      <c r="T193" s="36">
        <f t="shared" si="37"/>
        <v>0</v>
      </c>
      <c r="U193" s="36">
        <f t="shared" si="38"/>
        <v>0</v>
      </c>
      <c r="V193" s="36">
        <f t="shared" si="39"/>
        <v>0</v>
      </c>
      <c r="W193" s="19">
        <f t="shared" si="40"/>
        <v>89375</v>
      </c>
    </row>
    <row r="194" spans="1:23" ht="15">
      <c r="A194" s="73" t="s">
        <v>248</v>
      </c>
      <c r="B194" s="74">
        <v>40200</v>
      </c>
      <c r="C194" s="85">
        <v>8</v>
      </c>
      <c r="D194" s="56">
        <v>66</v>
      </c>
      <c r="E194" s="76">
        <v>1695</v>
      </c>
      <c r="F194" s="59"/>
      <c r="G194" s="59"/>
      <c r="H194" s="58"/>
      <c r="I194" s="60"/>
      <c r="J194" s="19">
        <f t="shared" si="28"/>
        <v>1695</v>
      </c>
      <c r="K194" s="19">
        <f t="shared" si="41"/>
        <v>2791270</v>
      </c>
      <c r="L194" s="36">
        <f t="shared" si="29"/>
        <v>0</v>
      </c>
      <c r="M194" s="36">
        <f t="shared" si="30"/>
        <v>0</v>
      </c>
      <c r="N194" s="36">
        <f t="shared" si="31"/>
        <v>0</v>
      </c>
      <c r="O194" s="36">
        <f t="shared" si="32"/>
        <v>0</v>
      </c>
      <c r="P194" s="36">
        <f t="shared" si="33"/>
        <v>0</v>
      </c>
      <c r="Q194" s="36">
        <f t="shared" si="34"/>
        <v>0</v>
      </c>
      <c r="R194" s="36">
        <f t="shared" si="35"/>
        <v>0</v>
      </c>
      <c r="S194" s="36">
        <f t="shared" si="36"/>
        <v>1695</v>
      </c>
      <c r="T194" s="36">
        <f t="shared" si="37"/>
        <v>0</v>
      </c>
      <c r="U194" s="36">
        <f t="shared" si="38"/>
        <v>0</v>
      </c>
      <c r="V194" s="36">
        <f t="shared" si="39"/>
        <v>0</v>
      </c>
      <c r="W194" s="19">
        <f t="shared" si="40"/>
        <v>1695</v>
      </c>
    </row>
    <row r="195" spans="1:23" ht="15">
      <c r="A195" s="73" t="s">
        <v>249</v>
      </c>
      <c r="B195" s="74">
        <v>40200</v>
      </c>
      <c r="C195" s="85">
        <v>8</v>
      </c>
      <c r="D195" s="56">
        <v>67</v>
      </c>
      <c r="E195" s="76">
        <v>800</v>
      </c>
      <c r="F195" s="59"/>
      <c r="G195" s="59"/>
      <c r="H195" s="58"/>
      <c r="I195" s="60"/>
      <c r="J195" s="19">
        <f t="shared" si="28"/>
        <v>800</v>
      </c>
      <c r="K195" s="19">
        <f t="shared" si="41"/>
        <v>2792070</v>
      </c>
      <c r="L195" s="36">
        <f t="shared" si="29"/>
        <v>0</v>
      </c>
      <c r="M195" s="36">
        <f t="shared" si="30"/>
        <v>0</v>
      </c>
      <c r="N195" s="36">
        <f t="shared" si="31"/>
        <v>0</v>
      </c>
      <c r="O195" s="36">
        <f t="shared" si="32"/>
        <v>0</v>
      </c>
      <c r="P195" s="36">
        <f t="shared" si="33"/>
        <v>0</v>
      </c>
      <c r="Q195" s="36">
        <f t="shared" si="34"/>
        <v>0</v>
      </c>
      <c r="R195" s="36">
        <f t="shared" si="35"/>
        <v>0</v>
      </c>
      <c r="S195" s="36">
        <f t="shared" si="36"/>
        <v>800</v>
      </c>
      <c r="T195" s="36">
        <f t="shared" si="37"/>
        <v>0</v>
      </c>
      <c r="U195" s="36">
        <f t="shared" si="38"/>
        <v>0</v>
      </c>
      <c r="V195" s="36">
        <f t="shared" si="39"/>
        <v>0</v>
      </c>
      <c r="W195" s="19">
        <f t="shared" si="40"/>
        <v>800</v>
      </c>
    </row>
    <row r="196" spans="1:23">
      <c r="A196" s="56" t="s">
        <v>193</v>
      </c>
      <c r="B196" s="57">
        <v>40201</v>
      </c>
      <c r="C196" s="84">
        <v>8</v>
      </c>
      <c r="D196" s="56"/>
      <c r="E196" s="58"/>
      <c r="F196" s="59">
        <v>64</v>
      </c>
      <c r="G196" s="56">
        <v>64</v>
      </c>
      <c r="H196" s="58"/>
      <c r="I196" s="58">
        <v>9985</v>
      </c>
      <c r="J196" s="19">
        <f t="shared" si="28"/>
        <v>9985</v>
      </c>
      <c r="K196" s="19">
        <f t="shared" si="41"/>
        <v>2802055</v>
      </c>
      <c r="L196" s="36">
        <f t="shared" si="29"/>
        <v>0</v>
      </c>
      <c r="M196" s="36">
        <f t="shared" si="30"/>
        <v>0</v>
      </c>
      <c r="N196" s="36">
        <f t="shared" si="31"/>
        <v>0</v>
      </c>
      <c r="O196" s="36">
        <f t="shared" si="32"/>
        <v>0</v>
      </c>
      <c r="P196" s="36">
        <f t="shared" si="33"/>
        <v>0</v>
      </c>
      <c r="Q196" s="36">
        <f t="shared" si="34"/>
        <v>0</v>
      </c>
      <c r="R196" s="36">
        <f t="shared" si="35"/>
        <v>0</v>
      </c>
      <c r="S196" s="36">
        <f t="shared" si="36"/>
        <v>9985</v>
      </c>
      <c r="T196" s="36">
        <f t="shared" si="37"/>
        <v>0</v>
      </c>
      <c r="U196" s="36">
        <f t="shared" si="38"/>
        <v>0</v>
      </c>
      <c r="V196" s="36">
        <f t="shared" si="39"/>
        <v>0</v>
      </c>
      <c r="W196" s="19">
        <f t="shared" si="40"/>
        <v>9985</v>
      </c>
    </row>
    <row r="197" spans="1:23">
      <c r="A197" s="56" t="s">
        <v>192</v>
      </c>
      <c r="B197" s="57">
        <v>40205</v>
      </c>
      <c r="C197" s="84">
        <v>8</v>
      </c>
      <c r="D197" s="56"/>
      <c r="E197" s="58">
        <f>-10000</f>
        <v>-10000</v>
      </c>
      <c r="F197" s="95">
        <v>63</v>
      </c>
      <c r="G197" s="94">
        <v>63</v>
      </c>
      <c r="H197" s="93"/>
      <c r="I197" s="93">
        <v>10000</v>
      </c>
      <c r="J197" s="19">
        <f t="shared" si="28"/>
        <v>0</v>
      </c>
      <c r="K197" s="19">
        <f t="shared" si="41"/>
        <v>2802055</v>
      </c>
      <c r="L197" s="36">
        <f t="shared" si="29"/>
        <v>0</v>
      </c>
      <c r="M197" s="36">
        <f t="shared" si="30"/>
        <v>0</v>
      </c>
      <c r="N197" s="36">
        <f t="shared" si="31"/>
        <v>0</v>
      </c>
      <c r="O197" s="36">
        <f t="shared" si="32"/>
        <v>0</v>
      </c>
      <c r="P197" s="36">
        <f t="shared" si="33"/>
        <v>0</v>
      </c>
      <c r="Q197" s="36">
        <f t="shared" si="34"/>
        <v>0</v>
      </c>
      <c r="R197" s="36">
        <f t="shared" si="35"/>
        <v>0</v>
      </c>
      <c r="S197" s="36">
        <f t="shared" si="36"/>
        <v>0</v>
      </c>
      <c r="T197" s="36">
        <f t="shared" si="37"/>
        <v>0</v>
      </c>
      <c r="U197" s="36">
        <f t="shared" si="38"/>
        <v>0</v>
      </c>
      <c r="V197" s="36">
        <f t="shared" si="39"/>
        <v>0</v>
      </c>
      <c r="W197" s="19">
        <f t="shared" si="40"/>
        <v>0</v>
      </c>
    </row>
    <row r="198" spans="1:23">
      <c r="A198" s="56" t="s">
        <v>195</v>
      </c>
      <c r="B198" s="57">
        <v>40205</v>
      </c>
      <c r="C198" s="84">
        <v>8</v>
      </c>
      <c r="D198" s="56"/>
      <c r="E198" s="58"/>
      <c r="F198" s="59">
        <v>66</v>
      </c>
      <c r="G198" s="56">
        <v>66</v>
      </c>
      <c r="H198" s="58"/>
      <c r="I198" s="58">
        <v>0</v>
      </c>
      <c r="J198" s="19">
        <f t="shared" si="28"/>
        <v>0</v>
      </c>
      <c r="K198" s="19">
        <f t="shared" si="41"/>
        <v>2802055</v>
      </c>
      <c r="L198" s="36">
        <f t="shared" si="29"/>
        <v>0</v>
      </c>
      <c r="M198" s="36">
        <f t="shared" si="30"/>
        <v>0</v>
      </c>
      <c r="N198" s="36">
        <f t="shared" si="31"/>
        <v>0</v>
      </c>
      <c r="O198" s="36">
        <f t="shared" si="32"/>
        <v>0</v>
      </c>
      <c r="P198" s="36">
        <f t="shared" si="33"/>
        <v>0</v>
      </c>
      <c r="Q198" s="36">
        <f t="shared" si="34"/>
        <v>0</v>
      </c>
      <c r="R198" s="36">
        <f t="shared" si="35"/>
        <v>0</v>
      </c>
      <c r="S198" s="36">
        <f t="shared" si="36"/>
        <v>0</v>
      </c>
      <c r="T198" s="36">
        <f t="shared" si="37"/>
        <v>0</v>
      </c>
      <c r="U198" s="36">
        <f t="shared" si="38"/>
        <v>0</v>
      </c>
      <c r="V198" s="36">
        <f t="shared" si="39"/>
        <v>0</v>
      </c>
      <c r="W198" s="19">
        <f t="shared" si="40"/>
        <v>0</v>
      </c>
    </row>
    <row r="199" spans="1:23" ht="15">
      <c r="A199" s="73" t="s">
        <v>250</v>
      </c>
      <c r="B199" s="74">
        <v>40206</v>
      </c>
      <c r="C199" s="85">
        <v>8</v>
      </c>
      <c r="D199" s="56">
        <v>68</v>
      </c>
      <c r="E199" s="76">
        <v>200</v>
      </c>
      <c r="F199" s="59"/>
      <c r="G199" s="59"/>
      <c r="H199" s="58"/>
      <c r="I199" s="60"/>
      <c r="J199" s="19">
        <f t="shared" ref="J199:J262" si="42">I199+E199+H199</f>
        <v>200</v>
      </c>
      <c r="K199" s="19">
        <f t="shared" si="41"/>
        <v>2802255</v>
      </c>
      <c r="L199" s="36">
        <f t="shared" ref="L199:L262" si="43">IF(C199=1,SUM(E199+I199+H199),(0))</f>
        <v>0</v>
      </c>
      <c r="M199" s="36">
        <f t="shared" ref="M199:M262" si="44">IF(C199=2,SUM(E199+I199+H199),(0))</f>
        <v>0</v>
      </c>
      <c r="N199" s="36">
        <f t="shared" ref="N199:N262" si="45">IF(C199=3,SUM(E199+I199+H199),(0))</f>
        <v>0</v>
      </c>
      <c r="O199" s="36">
        <f t="shared" ref="O199:O262" si="46">IF(C199=4,SUM(E199+I199+H199),(0))</f>
        <v>0</v>
      </c>
      <c r="P199" s="36">
        <f t="shared" ref="P199:P262" si="47">IF(C199=5,SUM(E199+I199+H199),(0))</f>
        <v>0</v>
      </c>
      <c r="Q199" s="36">
        <f t="shared" ref="Q199:Q262" si="48">IF(C199=6,SUM(E199+I199+H199),(0))</f>
        <v>0</v>
      </c>
      <c r="R199" s="36">
        <f t="shared" ref="R199:R262" si="49">IF(C199=7,SUM(E199+I199+H199),(0))</f>
        <v>0</v>
      </c>
      <c r="S199" s="36">
        <f t="shared" ref="S199:S262" si="50">IF(C199=8,SUM(E199+I199+H199),(0))</f>
        <v>200</v>
      </c>
      <c r="T199" s="36">
        <f t="shared" ref="T199:T262" si="51">IF(C199=8.1,SUM(E199+I199+H199),(0))</f>
        <v>0</v>
      </c>
      <c r="U199" s="36">
        <f t="shared" ref="U199:U262" si="52">IF(C199=9,SUM(E199+I199+H199),(0))</f>
        <v>0</v>
      </c>
      <c r="V199" s="36">
        <f t="shared" ref="V199:V262" si="53">IF(C199=10,SUM(E199+I199+H199),(0))</f>
        <v>0</v>
      </c>
      <c r="W199" s="19">
        <f t="shared" ref="W199:W262" si="54">SUM(L199:V199)</f>
        <v>200</v>
      </c>
    </row>
    <row r="200" spans="1:23" ht="15">
      <c r="A200" s="73" t="s">
        <v>251</v>
      </c>
      <c r="B200" s="74">
        <v>40206</v>
      </c>
      <c r="C200" s="85">
        <v>8</v>
      </c>
      <c r="D200" s="56">
        <v>69</v>
      </c>
      <c r="E200" s="76">
        <v>2500</v>
      </c>
      <c r="F200" s="59"/>
      <c r="G200" s="59"/>
      <c r="H200" s="58"/>
      <c r="I200" s="60"/>
      <c r="J200" s="19">
        <f t="shared" si="42"/>
        <v>2500</v>
      </c>
      <c r="K200" s="19">
        <f t="shared" si="41"/>
        <v>2804755</v>
      </c>
      <c r="L200" s="36">
        <f t="shared" si="43"/>
        <v>0</v>
      </c>
      <c r="M200" s="36">
        <f t="shared" si="44"/>
        <v>0</v>
      </c>
      <c r="N200" s="36">
        <f t="shared" si="45"/>
        <v>0</v>
      </c>
      <c r="O200" s="36">
        <f t="shared" si="46"/>
        <v>0</v>
      </c>
      <c r="P200" s="36">
        <f t="shared" si="47"/>
        <v>0</v>
      </c>
      <c r="Q200" s="36">
        <f t="shared" si="48"/>
        <v>0</v>
      </c>
      <c r="R200" s="36">
        <f t="shared" si="49"/>
        <v>0</v>
      </c>
      <c r="S200" s="36">
        <f t="shared" si="50"/>
        <v>2500</v>
      </c>
      <c r="T200" s="36">
        <f t="shared" si="51"/>
        <v>0</v>
      </c>
      <c r="U200" s="36">
        <f t="shared" si="52"/>
        <v>0</v>
      </c>
      <c r="V200" s="36">
        <f t="shared" si="53"/>
        <v>0</v>
      </c>
      <c r="W200" s="19">
        <f t="shared" si="54"/>
        <v>2500</v>
      </c>
    </row>
    <row r="201" spans="1:23" ht="15">
      <c r="A201" s="73" t="s">
        <v>250</v>
      </c>
      <c r="B201" s="74">
        <v>40206</v>
      </c>
      <c r="C201" s="85">
        <v>8</v>
      </c>
      <c r="D201" s="56">
        <v>70</v>
      </c>
      <c r="E201" s="76">
        <v>100</v>
      </c>
      <c r="F201" s="59"/>
      <c r="G201" s="59"/>
      <c r="H201" s="58"/>
      <c r="I201" s="60"/>
      <c r="J201" s="19">
        <f t="shared" si="42"/>
        <v>100</v>
      </c>
      <c r="K201" s="19">
        <f t="shared" ref="K201:K264" si="55">K200+J201</f>
        <v>2804855</v>
      </c>
      <c r="L201" s="36">
        <f t="shared" si="43"/>
        <v>0</v>
      </c>
      <c r="M201" s="36">
        <f t="shared" si="44"/>
        <v>0</v>
      </c>
      <c r="N201" s="36">
        <f t="shared" si="45"/>
        <v>0</v>
      </c>
      <c r="O201" s="36">
        <f t="shared" si="46"/>
        <v>0</v>
      </c>
      <c r="P201" s="36">
        <f t="shared" si="47"/>
        <v>0</v>
      </c>
      <c r="Q201" s="36">
        <f t="shared" si="48"/>
        <v>0</v>
      </c>
      <c r="R201" s="36">
        <f t="shared" si="49"/>
        <v>0</v>
      </c>
      <c r="S201" s="36">
        <f t="shared" si="50"/>
        <v>100</v>
      </c>
      <c r="T201" s="36">
        <f t="shared" si="51"/>
        <v>0</v>
      </c>
      <c r="U201" s="36">
        <f t="shared" si="52"/>
        <v>0</v>
      </c>
      <c r="V201" s="36">
        <f t="shared" si="53"/>
        <v>0</v>
      </c>
      <c r="W201" s="19">
        <f t="shared" si="54"/>
        <v>100</v>
      </c>
    </row>
    <row r="202" spans="1:23">
      <c r="A202" s="56" t="s">
        <v>205</v>
      </c>
      <c r="B202" s="57">
        <v>40209</v>
      </c>
      <c r="C202" s="84">
        <v>8.1</v>
      </c>
      <c r="D202" s="56"/>
      <c r="E202" s="58"/>
      <c r="F202" s="59"/>
      <c r="G202" s="56"/>
      <c r="H202" s="58"/>
      <c r="I202" s="93">
        <f>1450+50*8+25*2</f>
        <v>1900</v>
      </c>
      <c r="J202" s="19">
        <f t="shared" si="42"/>
        <v>1900</v>
      </c>
      <c r="K202" s="19">
        <f t="shared" si="55"/>
        <v>2806755</v>
      </c>
      <c r="L202" s="36">
        <f t="shared" si="43"/>
        <v>0</v>
      </c>
      <c r="M202" s="36">
        <f t="shared" si="44"/>
        <v>0</v>
      </c>
      <c r="N202" s="36">
        <f t="shared" si="45"/>
        <v>0</v>
      </c>
      <c r="O202" s="36">
        <f t="shared" si="46"/>
        <v>0</v>
      </c>
      <c r="P202" s="36">
        <f t="shared" si="47"/>
        <v>0</v>
      </c>
      <c r="Q202" s="36">
        <f t="shared" si="48"/>
        <v>0</v>
      </c>
      <c r="R202" s="36">
        <f t="shared" si="49"/>
        <v>0</v>
      </c>
      <c r="S202" s="36">
        <f t="shared" si="50"/>
        <v>0</v>
      </c>
      <c r="T202" s="36">
        <f t="shared" si="51"/>
        <v>1900</v>
      </c>
      <c r="U202" s="36">
        <f t="shared" si="52"/>
        <v>0</v>
      </c>
      <c r="V202" s="36">
        <f t="shared" si="53"/>
        <v>0</v>
      </c>
      <c r="W202" s="19">
        <f t="shared" si="54"/>
        <v>1900</v>
      </c>
    </row>
    <row r="203" spans="1:23" ht="15">
      <c r="A203" s="73" t="s">
        <v>250</v>
      </c>
      <c r="B203" s="74">
        <v>40211</v>
      </c>
      <c r="C203" s="85">
        <v>8</v>
      </c>
      <c r="D203" s="56">
        <v>71</v>
      </c>
      <c r="E203" s="76">
        <v>100</v>
      </c>
      <c r="F203" s="59"/>
      <c r="G203" s="59"/>
      <c r="H203" s="58"/>
      <c r="I203" s="60"/>
      <c r="J203" s="19">
        <f t="shared" si="42"/>
        <v>100</v>
      </c>
      <c r="K203" s="19">
        <f t="shared" si="55"/>
        <v>2806855</v>
      </c>
      <c r="L203" s="36">
        <f t="shared" si="43"/>
        <v>0</v>
      </c>
      <c r="M203" s="36">
        <f t="shared" si="44"/>
        <v>0</v>
      </c>
      <c r="N203" s="36">
        <f t="shared" si="45"/>
        <v>0</v>
      </c>
      <c r="O203" s="36">
        <f t="shared" si="46"/>
        <v>0</v>
      </c>
      <c r="P203" s="36">
        <f t="shared" si="47"/>
        <v>0</v>
      </c>
      <c r="Q203" s="36">
        <f t="shared" si="48"/>
        <v>0</v>
      </c>
      <c r="R203" s="36">
        <f t="shared" si="49"/>
        <v>0</v>
      </c>
      <c r="S203" s="36">
        <f t="shared" si="50"/>
        <v>100</v>
      </c>
      <c r="T203" s="36">
        <f t="shared" si="51"/>
        <v>0</v>
      </c>
      <c r="U203" s="36">
        <f t="shared" si="52"/>
        <v>0</v>
      </c>
      <c r="V203" s="36">
        <f t="shared" si="53"/>
        <v>0</v>
      </c>
      <c r="W203" s="19">
        <f t="shared" si="54"/>
        <v>100</v>
      </c>
    </row>
    <row r="204" spans="1:23">
      <c r="A204" s="56" t="s">
        <v>189</v>
      </c>
      <c r="B204" s="57">
        <v>40212</v>
      </c>
      <c r="C204" s="84">
        <v>8</v>
      </c>
      <c r="D204" s="56"/>
      <c r="E204" s="58"/>
      <c r="F204" s="59">
        <v>60</v>
      </c>
      <c r="G204" s="56">
        <v>60</v>
      </c>
      <c r="H204" s="58"/>
      <c r="I204" s="58">
        <v>16500</v>
      </c>
      <c r="J204" s="19">
        <f t="shared" si="42"/>
        <v>16500</v>
      </c>
      <c r="K204" s="19">
        <f t="shared" si="55"/>
        <v>2823355</v>
      </c>
      <c r="L204" s="36">
        <f t="shared" si="43"/>
        <v>0</v>
      </c>
      <c r="M204" s="36">
        <f t="shared" si="44"/>
        <v>0</v>
      </c>
      <c r="N204" s="36">
        <f t="shared" si="45"/>
        <v>0</v>
      </c>
      <c r="O204" s="36">
        <f t="shared" si="46"/>
        <v>0</v>
      </c>
      <c r="P204" s="36">
        <f t="shared" si="47"/>
        <v>0</v>
      </c>
      <c r="Q204" s="36">
        <f t="shared" si="48"/>
        <v>0</v>
      </c>
      <c r="R204" s="36">
        <f t="shared" si="49"/>
        <v>0</v>
      </c>
      <c r="S204" s="36">
        <f t="shared" si="50"/>
        <v>16500</v>
      </c>
      <c r="T204" s="36">
        <f t="shared" si="51"/>
        <v>0</v>
      </c>
      <c r="U204" s="36">
        <f t="shared" si="52"/>
        <v>0</v>
      </c>
      <c r="V204" s="36">
        <f t="shared" si="53"/>
        <v>0</v>
      </c>
      <c r="W204" s="19">
        <f t="shared" si="54"/>
        <v>16500</v>
      </c>
    </row>
    <row r="205" spans="1:23">
      <c r="A205" s="56" t="s">
        <v>190</v>
      </c>
      <c r="B205" s="57">
        <v>40212</v>
      </c>
      <c r="C205" s="84">
        <v>1</v>
      </c>
      <c r="D205" s="56"/>
      <c r="E205" s="58"/>
      <c r="F205" s="59">
        <v>61</v>
      </c>
      <c r="G205" s="56">
        <v>61</v>
      </c>
      <c r="H205" s="58"/>
      <c r="I205" s="58">
        <v>137575</v>
      </c>
      <c r="J205" s="19">
        <f t="shared" si="42"/>
        <v>137575</v>
      </c>
      <c r="K205" s="19">
        <f t="shared" si="55"/>
        <v>2960930</v>
      </c>
      <c r="L205" s="36">
        <f t="shared" si="43"/>
        <v>137575</v>
      </c>
      <c r="M205" s="36">
        <f t="shared" si="44"/>
        <v>0</v>
      </c>
      <c r="N205" s="36">
        <f t="shared" si="45"/>
        <v>0</v>
      </c>
      <c r="O205" s="36">
        <f t="shared" si="46"/>
        <v>0</v>
      </c>
      <c r="P205" s="36">
        <f t="shared" si="47"/>
        <v>0</v>
      </c>
      <c r="Q205" s="36">
        <f t="shared" si="48"/>
        <v>0</v>
      </c>
      <c r="R205" s="36">
        <f t="shared" si="49"/>
        <v>0</v>
      </c>
      <c r="S205" s="36">
        <f t="shared" si="50"/>
        <v>0</v>
      </c>
      <c r="T205" s="36">
        <f t="shared" si="51"/>
        <v>0</v>
      </c>
      <c r="U205" s="36">
        <f t="shared" si="52"/>
        <v>0</v>
      </c>
      <c r="V205" s="36">
        <f t="shared" si="53"/>
        <v>0</v>
      </c>
      <c r="W205" s="19">
        <f t="shared" si="54"/>
        <v>137575</v>
      </c>
    </row>
    <row r="206" spans="1:23">
      <c r="A206" s="56" t="s">
        <v>194</v>
      </c>
      <c r="B206" s="57">
        <v>40212</v>
      </c>
      <c r="C206" s="84">
        <v>8</v>
      </c>
      <c r="D206" s="56"/>
      <c r="E206" s="58"/>
      <c r="F206" s="59">
        <v>65</v>
      </c>
      <c r="G206" s="56">
        <v>65</v>
      </c>
      <c r="H206" s="58"/>
      <c r="I206" s="58">
        <v>37200</v>
      </c>
      <c r="J206" s="19">
        <f t="shared" si="42"/>
        <v>37200</v>
      </c>
      <c r="K206" s="19">
        <f t="shared" si="55"/>
        <v>2998130</v>
      </c>
      <c r="L206" s="36">
        <f t="shared" si="43"/>
        <v>0</v>
      </c>
      <c r="M206" s="36">
        <f t="shared" si="44"/>
        <v>0</v>
      </c>
      <c r="N206" s="36">
        <f t="shared" si="45"/>
        <v>0</v>
      </c>
      <c r="O206" s="36">
        <f t="shared" si="46"/>
        <v>0</v>
      </c>
      <c r="P206" s="36">
        <f t="shared" si="47"/>
        <v>0</v>
      </c>
      <c r="Q206" s="36">
        <f t="shared" si="48"/>
        <v>0</v>
      </c>
      <c r="R206" s="36">
        <f t="shared" si="49"/>
        <v>0</v>
      </c>
      <c r="S206" s="36">
        <f t="shared" si="50"/>
        <v>37200</v>
      </c>
      <c r="T206" s="36">
        <f t="shared" si="51"/>
        <v>0</v>
      </c>
      <c r="U206" s="36">
        <f t="shared" si="52"/>
        <v>0</v>
      </c>
      <c r="V206" s="36">
        <f t="shared" si="53"/>
        <v>0</v>
      </c>
      <c r="W206" s="19">
        <f t="shared" si="54"/>
        <v>37200</v>
      </c>
    </row>
    <row r="207" spans="1:23">
      <c r="A207" s="56" t="s">
        <v>196</v>
      </c>
      <c r="B207" s="57">
        <v>40212</v>
      </c>
      <c r="C207" s="84">
        <v>8</v>
      </c>
      <c r="D207" s="56"/>
      <c r="E207" s="58"/>
      <c r="F207" s="59">
        <v>67</v>
      </c>
      <c r="G207" s="56">
        <v>67</v>
      </c>
      <c r="H207" s="58"/>
      <c r="I207" s="58">
        <v>26153</v>
      </c>
      <c r="J207" s="19">
        <f t="shared" si="42"/>
        <v>26153</v>
      </c>
      <c r="K207" s="19">
        <f t="shared" si="55"/>
        <v>3024283</v>
      </c>
      <c r="L207" s="36">
        <f t="shared" si="43"/>
        <v>0</v>
      </c>
      <c r="M207" s="36">
        <f t="shared" si="44"/>
        <v>0</v>
      </c>
      <c r="N207" s="36">
        <f t="shared" si="45"/>
        <v>0</v>
      </c>
      <c r="O207" s="36">
        <f t="shared" si="46"/>
        <v>0</v>
      </c>
      <c r="P207" s="36">
        <f t="shared" si="47"/>
        <v>0</v>
      </c>
      <c r="Q207" s="36">
        <f t="shared" si="48"/>
        <v>0</v>
      </c>
      <c r="R207" s="36">
        <f t="shared" si="49"/>
        <v>0</v>
      </c>
      <c r="S207" s="36">
        <f t="shared" si="50"/>
        <v>26153</v>
      </c>
      <c r="T207" s="36">
        <f t="shared" si="51"/>
        <v>0</v>
      </c>
      <c r="U207" s="36">
        <f t="shared" si="52"/>
        <v>0</v>
      </c>
      <c r="V207" s="36">
        <f t="shared" si="53"/>
        <v>0</v>
      </c>
      <c r="W207" s="19">
        <f t="shared" si="54"/>
        <v>26153</v>
      </c>
    </row>
    <row r="208" spans="1:23" ht="15">
      <c r="A208" s="73" t="s">
        <v>257</v>
      </c>
      <c r="B208" s="74">
        <v>40212</v>
      </c>
      <c r="C208" s="85">
        <v>8</v>
      </c>
      <c r="D208" s="56">
        <v>72</v>
      </c>
      <c r="E208" s="76">
        <v>150</v>
      </c>
      <c r="F208" s="59"/>
      <c r="G208" s="59"/>
      <c r="H208" s="58"/>
      <c r="I208" s="60"/>
      <c r="J208" s="19">
        <f t="shared" si="42"/>
        <v>150</v>
      </c>
      <c r="K208" s="19">
        <f t="shared" si="55"/>
        <v>3024433</v>
      </c>
      <c r="L208" s="36">
        <f t="shared" si="43"/>
        <v>0</v>
      </c>
      <c r="M208" s="36">
        <f t="shared" si="44"/>
        <v>0</v>
      </c>
      <c r="N208" s="36">
        <f t="shared" si="45"/>
        <v>0</v>
      </c>
      <c r="O208" s="36">
        <f t="shared" si="46"/>
        <v>0</v>
      </c>
      <c r="P208" s="36">
        <f t="shared" si="47"/>
        <v>0</v>
      </c>
      <c r="Q208" s="36">
        <f t="shared" si="48"/>
        <v>0</v>
      </c>
      <c r="R208" s="36">
        <f t="shared" si="49"/>
        <v>0</v>
      </c>
      <c r="S208" s="36">
        <f t="shared" si="50"/>
        <v>150</v>
      </c>
      <c r="T208" s="36">
        <f t="shared" si="51"/>
        <v>0</v>
      </c>
      <c r="U208" s="36">
        <f t="shared" si="52"/>
        <v>0</v>
      </c>
      <c r="V208" s="36">
        <f t="shared" si="53"/>
        <v>0</v>
      </c>
      <c r="W208" s="19">
        <f t="shared" si="54"/>
        <v>150</v>
      </c>
    </row>
    <row r="209" spans="1:23">
      <c r="A209" s="56" t="s">
        <v>197</v>
      </c>
      <c r="B209" s="57">
        <v>40213</v>
      </c>
      <c r="C209" s="84">
        <v>8</v>
      </c>
      <c r="D209" s="56"/>
      <c r="E209" s="58"/>
      <c r="F209" s="59">
        <v>68</v>
      </c>
      <c r="G209" s="56">
        <v>68</v>
      </c>
      <c r="H209" s="58"/>
      <c r="I209" s="58">
        <v>320</v>
      </c>
      <c r="J209" s="19">
        <f t="shared" si="42"/>
        <v>320</v>
      </c>
      <c r="K209" s="19">
        <f t="shared" si="55"/>
        <v>3024753</v>
      </c>
      <c r="L209" s="36">
        <f t="shared" si="43"/>
        <v>0</v>
      </c>
      <c r="M209" s="36">
        <f t="shared" si="44"/>
        <v>0</v>
      </c>
      <c r="N209" s="36">
        <f t="shared" si="45"/>
        <v>0</v>
      </c>
      <c r="O209" s="36">
        <f t="shared" si="46"/>
        <v>0</v>
      </c>
      <c r="P209" s="36">
        <f t="shared" si="47"/>
        <v>0</v>
      </c>
      <c r="Q209" s="36">
        <f t="shared" si="48"/>
        <v>0</v>
      </c>
      <c r="R209" s="36">
        <f t="shared" si="49"/>
        <v>0</v>
      </c>
      <c r="S209" s="36">
        <f t="shared" si="50"/>
        <v>320</v>
      </c>
      <c r="T209" s="36">
        <f t="shared" si="51"/>
        <v>0</v>
      </c>
      <c r="U209" s="36">
        <f t="shared" si="52"/>
        <v>0</v>
      </c>
      <c r="V209" s="36">
        <f t="shared" si="53"/>
        <v>0</v>
      </c>
      <c r="W209" s="19">
        <f t="shared" si="54"/>
        <v>320</v>
      </c>
    </row>
    <row r="210" spans="1:23">
      <c r="A210" s="56" t="s">
        <v>198</v>
      </c>
      <c r="B210" s="57">
        <v>40214</v>
      </c>
      <c r="C210" s="84">
        <v>8</v>
      </c>
      <c r="D210" s="56"/>
      <c r="E210" s="58"/>
      <c r="F210" s="59">
        <v>69</v>
      </c>
      <c r="G210" s="56">
        <v>69</v>
      </c>
      <c r="H210" s="58"/>
      <c r="I210" s="58">
        <v>400</v>
      </c>
      <c r="J210" s="19">
        <f t="shared" si="42"/>
        <v>400</v>
      </c>
      <c r="K210" s="19">
        <f t="shared" si="55"/>
        <v>3025153</v>
      </c>
      <c r="L210" s="36">
        <f t="shared" si="43"/>
        <v>0</v>
      </c>
      <c r="M210" s="36">
        <f t="shared" si="44"/>
        <v>0</v>
      </c>
      <c r="N210" s="36">
        <f t="shared" si="45"/>
        <v>0</v>
      </c>
      <c r="O210" s="36">
        <f t="shared" si="46"/>
        <v>0</v>
      </c>
      <c r="P210" s="36">
        <f t="shared" si="47"/>
        <v>0</v>
      </c>
      <c r="Q210" s="36">
        <f t="shared" si="48"/>
        <v>0</v>
      </c>
      <c r="R210" s="36">
        <f t="shared" si="49"/>
        <v>0</v>
      </c>
      <c r="S210" s="36">
        <f t="shared" si="50"/>
        <v>400</v>
      </c>
      <c r="T210" s="36">
        <f t="shared" si="51"/>
        <v>0</v>
      </c>
      <c r="U210" s="36">
        <f t="shared" si="52"/>
        <v>0</v>
      </c>
      <c r="V210" s="36">
        <f t="shared" si="53"/>
        <v>0</v>
      </c>
      <c r="W210" s="19">
        <f t="shared" si="54"/>
        <v>400</v>
      </c>
    </row>
    <row r="211" spans="1:23" ht="15">
      <c r="A211" s="73" t="s">
        <v>250</v>
      </c>
      <c r="B211" s="74">
        <v>40214</v>
      </c>
      <c r="C211" s="85">
        <v>8</v>
      </c>
      <c r="D211" s="56">
        <v>73</v>
      </c>
      <c r="E211" s="76">
        <v>220</v>
      </c>
      <c r="F211" s="59"/>
      <c r="G211" s="59"/>
      <c r="H211" s="58"/>
      <c r="I211" s="60"/>
      <c r="J211" s="19">
        <f t="shared" si="42"/>
        <v>220</v>
      </c>
      <c r="K211" s="19">
        <f t="shared" si="55"/>
        <v>3025373</v>
      </c>
      <c r="L211" s="36">
        <f t="shared" si="43"/>
        <v>0</v>
      </c>
      <c r="M211" s="36">
        <f t="shared" si="44"/>
        <v>0</v>
      </c>
      <c r="N211" s="36">
        <f t="shared" si="45"/>
        <v>0</v>
      </c>
      <c r="O211" s="36">
        <f t="shared" si="46"/>
        <v>0</v>
      </c>
      <c r="P211" s="36">
        <f t="shared" si="47"/>
        <v>0</v>
      </c>
      <c r="Q211" s="36">
        <f t="shared" si="48"/>
        <v>0</v>
      </c>
      <c r="R211" s="36">
        <f t="shared" si="49"/>
        <v>0</v>
      </c>
      <c r="S211" s="36">
        <f t="shared" si="50"/>
        <v>220</v>
      </c>
      <c r="T211" s="36">
        <f t="shared" si="51"/>
        <v>0</v>
      </c>
      <c r="U211" s="36">
        <f t="shared" si="52"/>
        <v>0</v>
      </c>
      <c r="V211" s="36">
        <f t="shared" si="53"/>
        <v>0</v>
      </c>
      <c r="W211" s="19">
        <f t="shared" si="54"/>
        <v>220</v>
      </c>
    </row>
    <row r="212" spans="1:23" ht="15">
      <c r="A212" s="73" t="s">
        <v>252</v>
      </c>
      <c r="B212" s="74">
        <v>40214</v>
      </c>
      <c r="C212" s="85">
        <v>8</v>
      </c>
      <c r="D212" s="56">
        <v>74</v>
      </c>
      <c r="E212" s="76">
        <v>1101</v>
      </c>
      <c r="F212" s="59"/>
      <c r="G212" s="59"/>
      <c r="H212" s="58"/>
      <c r="I212" s="60"/>
      <c r="J212" s="19">
        <f t="shared" si="42"/>
        <v>1101</v>
      </c>
      <c r="K212" s="19">
        <f t="shared" si="55"/>
        <v>3026474</v>
      </c>
      <c r="L212" s="36">
        <f t="shared" si="43"/>
        <v>0</v>
      </c>
      <c r="M212" s="36">
        <f t="shared" si="44"/>
        <v>0</v>
      </c>
      <c r="N212" s="36">
        <f t="shared" si="45"/>
        <v>0</v>
      </c>
      <c r="O212" s="36">
        <f t="shared" si="46"/>
        <v>0</v>
      </c>
      <c r="P212" s="36">
        <f t="shared" si="47"/>
        <v>0</v>
      </c>
      <c r="Q212" s="36">
        <f t="shared" si="48"/>
        <v>0</v>
      </c>
      <c r="R212" s="36">
        <f t="shared" si="49"/>
        <v>0</v>
      </c>
      <c r="S212" s="36">
        <f t="shared" si="50"/>
        <v>1101</v>
      </c>
      <c r="T212" s="36">
        <f t="shared" si="51"/>
        <v>0</v>
      </c>
      <c r="U212" s="36">
        <f t="shared" si="52"/>
        <v>0</v>
      </c>
      <c r="V212" s="36">
        <f t="shared" si="53"/>
        <v>0</v>
      </c>
      <c r="W212" s="19">
        <f t="shared" si="54"/>
        <v>1101</v>
      </c>
    </row>
    <row r="213" spans="1:23" ht="15">
      <c r="A213" s="73" t="s">
        <v>258</v>
      </c>
      <c r="B213" s="74">
        <v>40214</v>
      </c>
      <c r="C213" s="85">
        <v>8</v>
      </c>
      <c r="D213" s="56">
        <v>75</v>
      </c>
      <c r="E213" s="76">
        <v>1245</v>
      </c>
      <c r="F213" s="59"/>
      <c r="G213" s="59"/>
      <c r="H213" s="58"/>
      <c r="I213" s="60"/>
      <c r="J213" s="19">
        <f t="shared" si="42"/>
        <v>1245</v>
      </c>
      <c r="K213" s="19">
        <f t="shared" si="55"/>
        <v>3027719</v>
      </c>
      <c r="L213" s="36">
        <f t="shared" si="43"/>
        <v>0</v>
      </c>
      <c r="M213" s="36">
        <f t="shared" si="44"/>
        <v>0</v>
      </c>
      <c r="N213" s="36">
        <f t="shared" si="45"/>
        <v>0</v>
      </c>
      <c r="O213" s="36">
        <f t="shared" si="46"/>
        <v>0</v>
      </c>
      <c r="P213" s="36">
        <f t="shared" si="47"/>
        <v>0</v>
      </c>
      <c r="Q213" s="36">
        <f t="shared" si="48"/>
        <v>0</v>
      </c>
      <c r="R213" s="36">
        <f t="shared" si="49"/>
        <v>0</v>
      </c>
      <c r="S213" s="36">
        <f t="shared" si="50"/>
        <v>1245</v>
      </c>
      <c r="T213" s="36">
        <f t="shared" si="51"/>
        <v>0</v>
      </c>
      <c r="U213" s="36">
        <f t="shared" si="52"/>
        <v>0</v>
      </c>
      <c r="V213" s="36">
        <f t="shared" si="53"/>
        <v>0</v>
      </c>
      <c r="W213" s="19">
        <f t="shared" si="54"/>
        <v>1245</v>
      </c>
    </row>
    <row r="214" spans="1:23" ht="15">
      <c r="A214" s="73" t="s">
        <v>250</v>
      </c>
      <c r="B214" s="74">
        <v>40214</v>
      </c>
      <c r="C214" s="85">
        <v>8</v>
      </c>
      <c r="D214" s="56">
        <v>76</v>
      </c>
      <c r="E214" s="76">
        <v>500</v>
      </c>
      <c r="F214" s="59"/>
      <c r="G214" s="59"/>
      <c r="H214" s="58"/>
      <c r="I214" s="60"/>
      <c r="J214" s="19">
        <f t="shared" si="42"/>
        <v>500</v>
      </c>
      <c r="K214" s="19">
        <f t="shared" si="55"/>
        <v>3028219</v>
      </c>
      <c r="L214" s="36">
        <f t="shared" si="43"/>
        <v>0</v>
      </c>
      <c r="M214" s="36">
        <f t="shared" si="44"/>
        <v>0</v>
      </c>
      <c r="N214" s="36">
        <f t="shared" si="45"/>
        <v>0</v>
      </c>
      <c r="O214" s="36">
        <f t="shared" si="46"/>
        <v>0</v>
      </c>
      <c r="P214" s="36">
        <f t="shared" si="47"/>
        <v>0</v>
      </c>
      <c r="Q214" s="36">
        <f t="shared" si="48"/>
        <v>0</v>
      </c>
      <c r="R214" s="36">
        <f t="shared" si="49"/>
        <v>0</v>
      </c>
      <c r="S214" s="36">
        <f t="shared" si="50"/>
        <v>500</v>
      </c>
      <c r="T214" s="36">
        <f t="shared" si="51"/>
        <v>0</v>
      </c>
      <c r="U214" s="36">
        <f t="shared" si="52"/>
        <v>0</v>
      </c>
      <c r="V214" s="36">
        <f t="shared" si="53"/>
        <v>0</v>
      </c>
      <c r="W214" s="19">
        <f t="shared" si="54"/>
        <v>500</v>
      </c>
    </row>
    <row r="215" spans="1:23">
      <c r="A215" s="56" t="s">
        <v>199</v>
      </c>
      <c r="B215" s="57">
        <v>40215</v>
      </c>
      <c r="C215" s="84">
        <v>8</v>
      </c>
      <c r="D215" s="56"/>
      <c r="E215" s="58"/>
      <c r="F215" s="59">
        <v>70</v>
      </c>
      <c r="G215" s="56">
        <v>70</v>
      </c>
      <c r="H215" s="58"/>
      <c r="I215" s="58">
        <v>3327</v>
      </c>
      <c r="J215" s="19">
        <f t="shared" si="42"/>
        <v>3327</v>
      </c>
      <c r="K215" s="19">
        <f t="shared" si="55"/>
        <v>3031546</v>
      </c>
      <c r="L215" s="36">
        <f t="shared" si="43"/>
        <v>0</v>
      </c>
      <c r="M215" s="36">
        <f t="shared" si="44"/>
        <v>0</v>
      </c>
      <c r="N215" s="36">
        <f t="shared" si="45"/>
        <v>0</v>
      </c>
      <c r="O215" s="36">
        <f t="shared" si="46"/>
        <v>0</v>
      </c>
      <c r="P215" s="36">
        <f t="shared" si="47"/>
        <v>0</v>
      </c>
      <c r="Q215" s="36">
        <f t="shared" si="48"/>
        <v>0</v>
      </c>
      <c r="R215" s="36">
        <f t="shared" si="49"/>
        <v>0</v>
      </c>
      <c r="S215" s="36">
        <f t="shared" si="50"/>
        <v>3327</v>
      </c>
      <c r="T215" s="36">
        <f t="shared" si="51"/>
        <v>0</v>
      </c>
      <c r="U215" s="36">
        <f t="shared" si="52"/>
        <v>0</v>
      </c>
      <c r="V215" s="36">
        <f t="shared" si="53"/>
        <v>0</v>
      </c>
      <c r="W215" s="19">
        <f t="shared" si="54"/>
        <v>3327</v>
      </c>
    </row>
    <row r="216" spans="1:23">
      <c r="A216" s="56" t="s">
        <v>200</v>
      </c>
      <c r="B216" s="57">
        <v>40216</v>
      </c>
      <c r="C216" s="84">
        <v>8</v>
      </c>
      <c r="D216" s="56"/>
      <c r="E216" s="58"/>
      <c r="F216" s="59">
        <v>71</v>
      </c>
      <c r="G216" s="56">
        <v>71</v>
      </c>
      <c r="H216" s="58"/>
      <c r="I216" s="58">
        <v>3000</v>
      </c>
      <c r="J216" s="19">
        <f t="shared" si="42"/>
        <v>3000</v>
      </c>
      <c r="K216" s="19">
        <f t="shared" si="55"/>
        <v>3034546</v>
      </c>
      <c r="L216" s="36">
        <f t="shared" si="43"/>
        <v>0</v>
      </c>
      <c r="M216" s="36">
        <f t="shared" si="44"/>
        <v>0</v>
      </c>
      <c r="N216" s="36">
        <f t="shared" si="45"/>
        <v>0</v>
      </c>
      <c r="O216" s="36">
        <f t="shared" si="46"/>
        <v>0</v>
      </c>
      <c r="P216" s="36">
        <f t="shared" si="47"/>
        <v>0</v>
      </c>
      <c r="Q216" s="36">
        <f t="shared" si="48"/>
        <v>0</v>
      </c>
      <c r="R216" s="36">
        <f t="shared" si="49"/>
        <v>0</v>
      </c>
      <c r="S216" s="36">
        <f t="shared" si="50"/>
        <v>3000</v>
      </c>
      <c r="T216" s="36">
        <f t="shared" si="51"/>
        <v>0</v>
      </c>
      <c r="U216" s="36">
        <f t="shared" si="52"/>
        <v>0</v>
      </c>
      <c r="V216" s="36">
        <f t="shared" si="53"/>
        <v>0</v>
      </c>
      <c r="W216" s="19">
        <f t="shared" si="54"/>
        <v>3000</v>
      </c>
    </row>
    <row r="217" spans="1:23" ht="15">
      <c r="A217" s="73" t="s">
        <v>254</v>
      </c>
      <c r="B217" s="74">
        <v>40217</v>
      </c>
      <c r="C217" s="85">
        <v>8</v>
      </c>
      <c r="D217" s="56">
        <v>77</v>
      </c>
      <c r="E217" s="76">
        <v>500</v>
      </c>
      <c r="F217" s="59"/>
      <c r="G217" s="59"/>
      <c r="H217" s="58"/>
      <c r="I217" s="60"/>
      <c r="J217" s="19">
        <f t="shared" si="42"/>
        <v>500</v>
      </c>
      <c r="K217" s="19">
        <f t="shared" si="55"/>
        <v>3035046</v>
      </c>
      <c r="L217" s="36">
        <f t="shared" si="43"/>
        <v>0</v>
      </c>
      <c r="M217" s="36">
        <f t="shared" si="44"/>
        <v>0</v>
      </c>
      <c r="N217" s="36">
        <f t="shared" si="45"/>
        <v>0</v>
      </c>
      <c r="O217" s="36">
        <f t="shared" si="46"/>
        <v>0</v>
      </c>
      <c r="P217" s="36">
        <f t="shared" si="47"/>
        <v>0</v>
      </c>
      <c r="Q217" s="36">
        <f t="shared" si="48"/>
        <v>0</v>
      </c>
      <c r="R217" s="36">
        <f t="shared" si="49"/>
        <v>0</v>
      </c>
      <c r="S217" s="36">
        <f t="shared" si="50"/>
        <v>500</v>
      </c>
      <c r="T217" s="36">
        <f t="shared" si="51"/>
        <v>0</v>
      </c>
      <c r="U217" s="36">
        <f t="shared" si="52"/>
        <v>0</v>
      </c>
      <c r="V217" s="36">
        <f t="shared" si="53"/>
        <v>0</v>
      </c>
      <c r="W217" s="19">
        <f t="shared" si="54"/>
        <v>500</v>
      </c>
    </row>
    <row r="218" spans="1:23" ht="15">
      <c r="A218" s="73" t="s">
        <v>255</v>
      </c>
      <c r="B218" s="74">
        <v>40217</v>
      </c>
      <c r="C218" s="85">
        <v>8</v>
      </c>
      <c r="D218" s="56">
        <v>78</v>
      </c>
      <c r="E218" s="76">
        <v>40</v>
      </c>
      <c r="F218" s="59"/>
      <c r="G218" s="59"/>
      <c r="H218" s="58"/>
      <c r="I218" s="60"/>
      <c r="J218" s="19">
        <f t="shared" si="42"/>
        <v>40</v>
      </c>
      <c r="K218" s="19">
        <f t="shared" si="55"/>
        <v>3035086</v>
      </c>
      <c r="L218" s="36">
        <f t="shared" si="43"/>
        <v>0</v>
      </c>
      <c r="M218" s="36">
        <f t="shared" si="44"/>
        <v>0</v>
      </c>
      <c r="N218" s="36">
        <f t="shared" si="45"/>
        <v>0</v>
      </c>
      <c r="O218" s="36">
        <f t="shared" si="46"/>
        <v>0</v>
      </c>
      <c r="P218" s="36">
        <f t="shared" si="47"/>
        <v>0</v>
      </c>
      <c r="Q218" s="36">
        <f t="shared" si="48"/>
        <v>0</v>
      </c>
      <c r="R218" s="36">
        <f t="shared" si="49"/>
        <v>0</v>
      </c>
      <c r="S218" s="36">
        <f t="shared" si="50"/>
        <v>40</v>
      </c>
      <c r="T218" s="36">
        <f t="shared" si="51"/>
        <v>0</v>
      </c>
      <c r="U218" s="36">
        <f t="shared" si="52"/>
        <v>0</v>
      </c>
      <c r="V218" s="36">
        <f t="shared" si="53"/>
        <v>0</v>
      </c>
      <c r="W218" s="19">
        <f t="shared" si="54"/>
        <v>40</v>
      </c>
    </row>
    <row r="219" spans="1:23" ht="15">
      <c r="A219" s="73" t="s">
        <v>256</v>
      </c>
      <c r="B219" s="74">
        <v>40217</v>
      </c>
      <c r="C219" s="85">
        <v>8</v>
      </c>
      <c r="D219" s="56">
        <v>79</v>
      </c>
      <c r="E219" s="76">
        <v>180</v>
      </c>
      <c r="F219" s="59"/>
      <c r="G219" s="59"/>
      <c r="H219" s="58"/>
      <c r="I219" s="60"/>
      <c r="J219" s="19">
        <f t="shared" si="42"/>
        <v>180</v>
      </c>
      <c r="K219" s="19">
        <f t="shared" si="55"/>
        <v>3035266</v>
      </c>
      <c r="L219" s="36">
        <f t="shared" si="43"/>
        <v>0</v>
      </c>
      <c r="M219" s="36">
        <f t="shared" si="44"/>
        <v>0</v>
      </c>
      <c r="N219" s="36">
        <f t="shared" si="45"/>
        <v>0</v>
      </c>
      <c r="O219" s="36">
        <f t="shared" si="46"/>
        <v>0</v>
      </c>
      <c r="P219" s="36">
        <f t="shared" si="47"/>
        <v>0</v>
      </c>
      <c r="Q219" s="36">
        <f t="shared" si="48"/>
        <v>0</v>
      </c>
      <c r="R219" s="36">
        <f t="shared" si="49"/>
        <v>0</v>
      </c>
      <c r="S219" s="36">
        <f t="shared" si="50"/>
        <v>180</v>
      </c>
      <c r="T219" s="36">
        <f t="shared" si="51"/>
        <v>0</v>
      </c>
      <c r="U219" s="36">
        <f t="shared" si="52"/>
        <v>0</v>
      </c>
      <c r="V219" s="36">
        <f t="shared" si="53"/>
        <v>0</v>
      </c>
      <c r="W219" s="19">
        <f t="shared" si="54"/>
        <v>180</v>
      </c>
    </row>
    <row r="220" spans="1:23" ht="15">
      <c r="A220" s="73" t="s">
        <v>249</v>
      </c>
      <c r="B220" s="74">
        <v>40218</v>
      </c>
      <c r="C220" s="85">
        <v>8</v>
      </c>
      <c r="D220" s="56">
        <v>80</v>
      </c>
      <c r="E220" s="76">
        <v>200</v>
      </c>
      <c r="F220" s="59"/>
      <c r="G220" s="59"/>
      <c r="H220" s="58"/>
      <c r="I220" s="60"/>
      <c r="J220" s="19">
        <f t="shared" si="42"/>
        <v>200</v>
      </c>
      <c r="K220" s="19">
        <f t="shared" si="55"/>
        <v>3035466</v>
      </c>
      <c r="L220" s="36">
        <f t="shared" si="43"/>
        <v>0</v>
      </c>
      <c r="M220" s="36">
        <f t="shared" si="44"/>
        <v>0</v>
      </c>
      <c r="N220" s="36">
        <f t="shared" si="45"/>
        <v>0</v>
      </c>
      <c r="O220" s="36">
        <f t="shared" si="46"/>
        <v>0</v>
      </c>
      <c r="P220" s="36">
        <f t="shared" si="47"/>
        <v>0</v>
      </c>
      <c r="Q220" s="36">
        <f t="shared" si="48"/>
        <v>0</v>
      </c>
      <c r="R220" s="36">
        <f t="shared" si="49"/>
        <v>0</v>
      </c>
      <c r="S220" s="36">
        <f t="shared" si="50"/>
        <v>200</v>
      </c>
      <c r="T220" s="36">
        <f t="shared" si="51"/>
        <v>0</v>
      </c>
      <c r="U220" s="36">
        <f t="shared" si="52"/>
        <v>0</v>
      </c>
      <c r="V220" s="36">
        <f t="shared" si="53"/>
        <v>0</v>
      </c>
      <c r="W220" s="19">
        <f t="shared" si="54"/>
        <v>200</v>
      </c>
    </row>
    <row r="221" spans="1:23" ht="15">
      <c r="A221" s="73" t="s">
        <v>253</v>
      </c>
      <c r="B221" s="74">
        <v>40218</v>
      </c>
      <c r="C221" s="85">
        <v>8</v>
      </c>
      <c r="D221" s="56">
        <v>81</v>
      </c>
      <c r="E221" s="76">
        <v>1200</v>
      </c>
      <c r="F221" s="59"/>
      <c r="G221" s="59"/>
      <c r="H221" s="58"/>
      <c r="I221" s="60"/>
      <c r="J221" s="19">
        <f t="shared" si="42"/>
        <v>1200</v>
      </c>
      <c r="K221" s="19">
        <f t="shared" si="55"/>
        <v>3036666</v>
      </c>
      <c r="L221" s="36">
        <f t="shared" si="43"/>
        <v>0</v>
      </c>
      <c r="M221" s="36">
        <f t="shared" si="44"/>
        <v>0</v>
      </c>
      <c r="N221" s="36">
        <f t="shared" si="45"/>
        <v>0</v>
      </c>
      <c r="O221" s="36">
        <f t="shared" si="46"/>
        <v>0</v>
      </c>
      <c r="P221" s="36">
        <f t="shared" si="47"/>
        <v>0</v>
      </c>
      <c r="Q221" s="36">
        <f t="shared" si="48"/>
        <v>0</v>
      </c>
      <c r="R221" s="36">
        <f t="shared" si="49"/>
        <v>0</v>
      </c>
      <c r="S221" s="36">
        <f t="shared" si="50"/>
        <v>1200</v>
      </c>
      <c r="T221" s="36">
        <f t="shared" si="51"/>
        <v>0</v>
      </c>
      <c r="U221" s="36">
        <f t="shared" si="52"/>
        <v>0</v>
      </c>
      <c r="V221" s="36">
        <f t="shared" si="53"/>
        <v>0</v>
      </c>
      <c r="W221" s="19">
        <f t="shared" si="54"/>
        <v>1200</v>
      </c>
    </row>
    <row r="222" spans="1:23" ht="15">
      <c r="A222" s="73" t="s">
        <v>249</v>
      </c>
      <c r="B222" s="74">
        <v>40219</v>
      </c>
      <c r="C222" s="85">
        <v>8</v>
      </c>
      <c r="D222" s="56">
        <v>82</v>
      </c>
      <c r="E222" s="76">
        <v>600</v>
      </c>
      <c r="F222" s="59"/>
      <c r="G222" s="59"/>
      <c r="H222" s="58"/>
      <c r="I222" s="60"/>
      <c r="J222" s="19">
        <f t="shared" si="42"/>
        <v>600</v>
      </c>
      <c r="K222" s="19">
        <f t="shared" si="55"/>
        <v>3037266</v>
      </c>
      <c r="L222" s="36">
        <f t="shared" si="43"/>
        <v>0</v>
      </c>
      <c r="M222" s="36">
        <f t="shared" si="44"/>
        <v>0</v>
      </c>
      <c r="N222" s="36">
        <f t="shared" si="45"/>
        <v>0</v>
      </c>
      <c r="O222" s="36">
        <f t="shared" si="46"/>
        <v>0</v>
      </c>
      <c r="P222" s="36">
        <f t="shared" si="47"/>
        <v>0</v>
      </c>
      <c r="Q222" s="36">
        <f t="shared" si="48"/>
        <v>0</v>
      </c>
      <c r="R222" s="36">
        <f t="shared" si="49"/>
        <v>0</v>
      </c>
      <c r="S222" s="36">
        <f t="shared" si="50"/>
        <v>600</v>
      </c>
      <c r="T222" s="36">
        <f t="shared" si="51"/>
        <v>0</v>
      </c>
      <c r="U222" s="36">
        <f t="shared" si="52"/>
        <v>0</v>
      </c>
      <c r="V222" s="36">
        <f t="shared" si="53"/>
        <v>0</v>
      </c>
      <c r="W222" s="19">
        <f t="shared" si="54"/>
        <v>600</v>
      </c>
    </row>
    <row r="223" spans="1:23" ht="15">
      <c r="A223" s="73" t="s">
        <v>261</v>
      </c>
      <c r="B223" s="74">
        <v>40219</v>
      </c>
      <c r="C223" s="85">
        <v>2</v>
      </c>
      <c r="D223" s="56">
        <v>83</v>
      </c>
      <c r="E223" s="76">
        <v>1000</v>
      </c>
      <c r="F223" s="59"/>
      <c r="G223" s="59"/>
      <c r="H223" s="58"/>
      <c r="I223" s="60"/>
      <c r="J223" s="19">
        <f t="shared" si="42"/>
        <v>1000</v>
      </c>
      <c r="K223" s="19">
        <f t="shared" si="55"/>
        <v>3038266</v>
      </c>
      <c r="L223" s="36">
        <f t="shared" si="43"/>
        <v>0</v>
      </c>
      <c r="M223" s="36">
        <f t="shared" si="44"/>
        <v>1000</v>
      </c>
      <c r="N223" s="36">
        <f t="shared" si="45"/>
        <v>0</v>
      </c>
      <c r="O223" s="36">
        <f t="shared" si="46"/>
        <v>0</v>
      </c>
      <c r="P223" s="36">
        <f t="shared" si="47"/>
        <v>0</v>
      </c>
      <c r="Q223" s="36">
        <f t="shared" si="48"/>
        <v>0</v>
      </c>
      <c r="R223" s="36">
        <f t="shared" si="49"/>
        <v>0</v>
      </c>
      <c r="S223" s="36">
        <f t="shared" si="50"/>
        <v>0</v>
      </c>
      <c r="T223" s="36">
        <f t="shared" si="51"/>
        <v>0</v>
      </c>
      <c r="U223" s="36">
        <f t="shared" si="52"/>
        <v>0</v>
      </c>
      <c r="V223" s="36">
        <f t="shared" si="53"/>
        <v>0</v>
      </c>
      <c r="W223" s="19">
        <f t="shared" si="54"/>
        <v>1000</v>
      </c>
    </row>
    <row r="224" spans="1:23" ht="15">
      <c r="A224" s="73" t="s">
        <v>257</v>
      </c>
      <c r="B224" s="74">
        <v>40220</v>
      </c>
      <c r="C224" s="85">
        <v>8</v>
      </c>
      <c r="D224" s="56">
        <v>84</v>
      </c>
      <c r="E224" s="76">
        <v>100</v>
      </c>
      <c r="F224" s="59"/>
      <c r="G224" s="59"/>
      <c r="H224" s="58"/>
      <c r="I224" s="60"/>
      <c r="J224" s="19">
        <f t="shared" si="42"/>
        <v>100</v>
      </c>
      <c r="K224" s="19">
        <f t="shared" si="55"/>
        <v>3038366</v>
      </c>
      <c r="L224" s="36">
        <f t="shared" si="43"/>
        <v>0</v>
      </c>
      <c r="M224" s="36">
        <f t="shared" si="44"/>
        <v>0</v>
      </c>
      <c r="N224" s="36">
        <f t="shared" si="45"/>
        <v>0</v>
      </c>
      <c r="O224" s="36">
        <f t="shared" si="46"/>
        <v>0</v>
      </c>
      <c r="P224" s="36">
        <f t="shared" si="47"/>
        <v>0</v>
      </c>
      <c r="Q224" s="36">
        <f t="shared" si="48"/>
        <v>0</v>
      </c>
      <c r="R224" s="36">
        <f t="shared" si="49"/>
        <v>0</v>
      </c>
      <c r="S224" s="36">
        <f t="shared" si="50"/>
        <v>100</v>
      </c>
      <c r="T224" s="36">
        <f t="shared" si="51"/>
        <v>0</v>
      </c>
      <c r="U224" s="36">
        <f t="shared" si="52"/>
        <v>0</v>
      </c>
      <c r="V224" s="36">
        <f t="shared" si="53"/>
        <v>0</v>
      </c>
      <c r="W224" s="19">
        <f t="shared" si="54"/>
        <v>100</v>
      </c>
    </row>
    <row r="225" spans="1:23">
      <c r="A225" s="56" t="s">
        <v>202</v>
      </c>
      <c r="B225" s="57">
        <v>40226</v>
      </c>
      <c r="C225" s="84">
        <v>2</v>
      </c>
      <c r="D225" s="56"/>
      <c r="E225" s="58"/>
      <c r="F225" s="59">
        <v>72</v>
      </c>
      <c r="G225" s="56">
        <v>72</v>
      </c>
      <c r="H225" s="58"/>
      <c r="I225" s="58">
        <v>381000</v>
      </c>
      <c r="J225" s="19">
        <f t="shared" si="42"/>
        <v>381000</v>
      </c>
      <c r="K225" s="19">
        <f t="shared" si="55"/>
        <v>3419366</v>
      </c>
      <c r="L225" s="36">
        <f t="shared" si="43"/>
        <v>0</v>
      </c>
      <c r="M225" s="36">
        <f t="shared" si="44"/>
        <v>381000</v>
      </c>
      <c r="N225" s="36">
        <f t="shared" si="45"/>
        <v>0</v>
      </c>
      <c r="O225" s="36">
        <f t="shared" si="46"/>
        <v>0</v>
      </c>
      <c r="P225" s="36">
        <f t="shared" si="47"/>
        <v>0</v>
      </c>
      <c r="Q225" s="36">
        <f t="shared" si="48"/>
        <v>0</v>
      </c>
      <c r="R225" s="36">
        <f t="shared" si="49"/>
        <v>0</v>
      </c>
      <c r="S225" s="36">
        <f t="shared" si="50"/>
        <v>0</v>
      </c>
      <c r="T225" s="36">
        <f t="shared" si="51"/>
        <v>0</v>
      </c>
      <c r="U225" s="36">
        <f t="shared" si="52"/>
        <v>0</v>
      </c>
      <c r="V225" s="36">
        <f t="shared" si="53"/>
        <v>0</v>
      </c>
      <c r="W225" s="19">
        <f t="shared" si="54"/>
        <v>381000</v>
      </c>
    </row>
    <row r="226" spans="1:23">
      <c r="A226" s="56" t="s">
        <v>203</v>
      </c>
      <c r="B226" s="57">
        <v>40227</v>
      </c>
      <c r="C226" s="84">
        <v>1</v>
      </c>
      <c r="D226" s="56"/>
      <c r="E226" s="58"/>
      <c r="F226" s="59">
        <v>73</v>
      </c>
      <c r="G226" s="56">
        <v>73</v>
      </c>
      <c r="H226" s="58"/>
      <c r="I226" s="58">
        <v>397280</v>
      </c>
      <c r="J226" s="19">
        <f t="shared" si="42"/>
        <v>397280</v>
      </c>
      <c r="K226" s="19">
        <f t="shared" si="55"/>
        <v>3816646</v>
      </c>
      <c r="L226" s="36">
        <f t="shared" si="43"/>
        <v>397280</v>
      </c>
      <c r="M226" s="36">
        <f t="shared" si="44"/>
        <v>0</v>
      </c>
      <c r="N226" s="36">
        <f t="shared" si="45"/>
        <v>0</v>
      </c>
      <c r="O226" s="36">
        <f t="shared" si="46"/>
        <v>0</v>
      </c>
      <c r="P226" s="36">
        <f t="shared" si="47"/>
        <v>0</v>
      </c>
      <c r="Q226" s="36">
        <f t="shared" si="48"/>
        <v>0</v>
      </c>
      <c r="R226" s="36">
        <f t="shared" si="49"/>
        <v>0</v>
      </c>
      <c r="S226" s="36">
        <f t="shared" si="50"/>
        <v>0</v>
      </c>
      <c r="T226" s="36">
        <f t="shared" si="51"/>
        <v>0</v>
      </c>
      <c r="U226" s="36">
        <f t="shared" si="52"/>
        <v>0</v>
      </c>
      <c r="V226" s="36">
        <f t="shared" si="53"/>
        <v>0</v>
      </c>
      <c r="W226" s="19">
        <f t="shared" si="54"/>
        <v>397280</v>
      </c>
    </row>
    <row r="227" spans="1:23" ht="15">
      <c r="A227" s="73" t="s">
        <v>262</v>
      </c>
      <c r="B227" s="74">
        <v>40227</v>
      </c>
      <c r="C227" s="85">
        <v>8</v>
      </c>
      <c r="D227" s="56">
        <v>85</v>
      </c>
      <c r="E227" s="76">
        <v>1455</v>
      </c>
      <c r="F227" s="59"/>
      <c r="G227" s="59"/>
      <c r="H227" s="58"/>
      <c r="I227" s="60"/>
      <c r="J227" s="19">
        <f t="shared" si="42"/>
        <v>1455</v>
      </c>
      <c r="K227" s="19">
        <f t="shared" si="55"/>
        <v>3818101</v>
      </c>
      <c r="L227" s="36">
        <f t="shared" si="43"/>
        <v>0</v>
      </c>
      <c r="M227" s="36">
        <f t="shared" si="44"/>
        <v>0</v>
      </c>
      <c r="N227" s="36">
        <f t="shared" si="45"/>
        <v>0</v>
      </c>
      <c r="O227" s="36">
        <f t="shared" si="46"/>
        <v>0</v>
      </c>
      <c r="P227" s="36">
        <f t="shared" si="47"/>
        <v>0</v>
      </c>
      <c r="Q227" s="36">
        <f t="shared" si="48"/>
        <v>0</v>
      </c>
      <c r="R227" s="36">
        <f t="shared" si="49"/>
        <v>0</v>
      </c>
      <c r="S227" s="36">
        <f t="shared" si="50"/>
        <v>1455</v>
      </c>
      <c r="T227" s="36">
        <f t="shared" si="51"/>
        <v>0</v>
      </c>
      <c r="U227" s="36">
        <f t="shared" si="52"/>
        <v>0</v>
      </c>
      <c r="V227" s="36">
        <f t="shared" si="53"/>
        <v>0</v>
      </c>
      <c r="W227" s="19">
        <f t="shared" si="54"/>
        <v>1455</v>
      </c>
    </row>
    <row r="228" spans="1:23" ht="15">
      <c r="A228" s="73" t="s">
        <v>250</v>
      </c>
      <c r="B228" s="74">
        <v>40234</v>
      </c>
      <c r="C228" s="85">
        <v>8</v>
      </c>
      <c r="D228" s="56">
        <v>86</v>
      </c>
      <c r="E228" s="76">
        <v>200</v>
      </c>
      <c r="F228" s="59"/>
      <c r="G228" s="59"/>
      <c r="H228" s="58"/>
      <c r="I228" s="60"/>
      <c r="J228" s="19">
        <f t="shared" si="42"/>
        <v>200</v>
      </c>
      <c r="K228" s="19">
        <f t="shared" si="55"/>
        <v>3818301</v>
      </c>
      <c r="L228" s="36">
        <f t="shared" si="43"/>
        <v>0</v>
      </c>
      <c r="M228" s="36">
        <f t="shared" si="44"/>
        <v>0</v>
      </c>
      <c r="N228" s="36">
        <f t="shared" si="45"/>
        <v>0</v>
      </c>
      <c r="O228" s="36">
        <f t="shared" si="46"/>
        <v>0</v>
      </c>
      <c r="P228" s="36">
        <f t="shared" si="47"/>
        <v>0</v>
      </c>
      <c r="Q228" s="36">
        <f t="shared" si="48"/>
        <v>0</v>
      </c>
      <c r="R228" s="36">
        <f t="shared" si="49"/>
        <v>0</v>
      </c>
      <c r="S228" s="36">
        <f t="shared" si="50"/>
        <v>200</v>
      </c>
      <c r="T228" s="36">
        <f t="shared" si="51"/>
        <v>0</v>
      </c>
      <c r="U228" s="36">
        <f t="shared" si="52"/>
        <v>0</v>
      </c>
      <c r="V228" s="36">
        <f t="shared" si="53"/>
        <v>0</v>
      </c>
      <c r="W228" s="19">
        <f t="shared" si="54"/>
        <v>200</v>
      </c>
    </row>
    <row r="229" spans="1:23" ht="15">
      <c r="A229" s="73" t="s">
        <v>225</v>
      </c>
      <c r="B229" s="74">
        <v>40238</v>
      </c>
      <c r="C229" s="85">
        <v>8</v>
      </c>
      <c r="D229" s="56">
        <v>87</v>
      </c>
      <c r="E229" s="76">
        <v>2500</v>
      </c>
      <c r="F229" s="59"/>
      <c r="G229" s="59"/>
      <c r="H229" s="58"/>
      <c r="I229" s="60"/>
      <c r="J229" s="19">
        <f t="shared" si="42"/>
        <v>2500</v>
      </c>
      <c r="K229" s="19">
        <f t="shared" si="55"/>
        <v>3820801</v>
      </c>
      <c r="L229" s="36">
        <f t="shared" si="43"/>
        <v>0</v>
      </c>
      <c r="M229" s="36">
        <f t="shared" si="44"/>
        <v>0</v>
      </c>
      <c r="N229" s="36">
        <f t="shared" si="45"/>
        <v>0</v>
      </c>
      <c r="O229" s="36">
        <f t="shared" si="46"/>
        <v>0</v>
      </c>
      <c r="P229" s="36">
        <f t="shared" si="47"/>
        <v>0</v>
      </c>
      <c r="Q229" s="36">
        <f t="shared" si="48"/>
        <v>0</v>
      </c>
      <c r="R229" s="36">
        <f t="shared" si="49"/>
        <v>0</v>
      </c>
      <c r="S229" s="36">
        <f t="shared" si="50"/>
        <v>2500</v>
      </c>
      <c r="T229" s="36">
        <f t="shared" si="51"/>
        <v>0</v>
      </c>
      <c r="U229" s="36">
        <f t="shared" si="52"/>
        <v>0</v>
      </c>
      <c r="V229" s="36">
        <f t="shared" si="53"/>
        <v>0</v>
      </c>
      <c r="W229" s="19">
        <f t="shared" si="54"/>
        <v>2500</v>
      </c>
    </row>
    <row r="230" spans="1:23">
      <c r="A230" s="56" t="s">
        <v>208</v>
      </c>
      <c r="B230" s="57">
        <v>40239</v>
      </c>
      <c r="C230" s="84">
        <v>1</v>
      </c>
      <c r="D230" s="56"/>
      <c r="E230" s="58"/>
      <c r="F230" s="59">
        <v>74</v>
      </c>
      <c r="G230" s="56">
        <v>74</v>
      </c>
      <c r="H230" s="58"/>
      <c r="I230" s="58">
        <v>145950</v>
      </c>
      <c r="J230" s="19">
        <f t="shared" si="42"/>
        <v>145950</v>
      </c>
      <c r="K230" s="19">
        <f t="shared" si="55"/>
        <v>3966751</v>
      </c>
      <c r="L230" s="36">
        <f t="shared" si="43"/>
        <v>145950</v>
      </c>
      <c r="M230" s="36">
        <f t="shared" si="44"/>
        <v>0</v>
      </c>
      <c r="N230" s="36">
        <f t="shared" si="45"/>
        <v>0</v>
      </c>
      <c r="O230" s="36">
        <f t="shared" si="46"/>
        <v>0</v>
      </c>
      <c r="P230" s="36">
        <f t="shared" si="47"/>
        <v>0</v>
      </c>
      <c r="Q230" s="36">
        <f t="shared" si="48"/>
        <v>0</v>
      </c>
      <c r="R230" s="36">
        <f t="shared" si="49"/>
        <v>0</v>
      </c>
      <c r="S230" s="36">
        <f t="shared" si="50"/>
        <v>0</v>
      </c>
      <c r="T230" s="36">
        <f t="shared" si="51"/>
        <v>0</v>
      </c>
      <c r="U230" s="36">
        <f t="shared" si="52"/>
        <v>0</v>
      </c>
      <c r="V230" s="36">
        <f t="shared" si="53"/>
        <v>0</v>
      </c>
      <c r="W230" s="19">
        <f t="shared" si="54"/>
        <v>145950</v>
      </c>
    </row>
    <row r="231" spans="1:23">
      <c r="A231" s="56" t="s">
        <v>209</v>
      </c>
      <c r="B231" s="57">
        <v>40239</v>
      </c>
      <c r="C231" s="84">
        <v>2</v>
      </c>
      <c r="D231" s="56"/>
      <c r="E231" s="58"/>
      <c r="F231" s="59">
        <v>75</v>
      </c>
      <c r="G231" s="56">
        <v>75</v>
      </c>
      <c r="H231" s="58"/>
      <c r="I231" s="58">
        <v>52400</v>
      </c>
      <c r="J231" s="19">
        <f t="shared" si="42"/>
        <v>52400</v>
      </c>
      <c r="K231" s="19">
        <f t="shared" si="55"/>
        <v>4019151</v>
      </c>
      <c r="L231" s="36">
        <f t="shared" si="43"/>
        <v>0</v>
      </c>
      <c r="M231" s="36">
        <f t="shared" si="44"/>
        <v>52400</v>
      </c>
      <c r="N231" s="36">
        <f t="shared" si="45"/>
        <v>0</v>
      </c>
      <c r="O231" s="36">
        <f t="shared" si="46"/>
        <v>0</v>
      </c>
      <c r="P231" s="36">
        <f t="shared" si="47"/>
        <v>0</v>
      </c>
      <c r="Q231" s="36">
        <f t="shared" si="48"/>
        <v>0</v>
      </c>
      <c r="R231" s="36">
        <f t="shared" si="49"/>
        <v>0</v>
      </c>
      <c r="S231" s="36">
        <f t="shared" si="50"/>
        <v>0</v>
      </c>
      <c r="T231" s="36">
        <f t="shared" si="51"/>
        <v>0</v>
      </c>
      <c r="U231" s="36">
        <f t="shared" si="52"/>
        <v>0</v>
      </c>
      <c r="V231" s="36">
        <f t="shared" si="53"/>
        <v>0</v>
      </c>
      <c r="W231" s="19">
        <f t="shared" si="54"/>
        <v>52400</v>
      </c>
    </row>
    <row r="232" spans="1:23">
      <c r="A232" s="56" t="s">
        <v>210</v>
      </c>
      <c r="B232" s="57">
        <v>40239</v>
      </c>
      <c r="C232" s="84">
        <v>8</v>
      </c>
      <c r="D232" s="56"/>
      <c r="E232" s="58"/>
      <c r="F232" s="59">
        <v>76</v>
      </c>
      <c r="G232" s="56">
        <v>76</v>
      </c>
      <c r="H232" s="58"/>
      <c r="I232" s="58">
        <v>50700</v>
      </c>
      <c r="J232" s="19">
        <f t="shared" si="42"/>
        <v>50700</v>
      </c>
      <c r="K232" s="19">
        <f t="shared" si="55"/>
        <v>4069851</v>
      </c>
      <c r="L232" s="36">
        <f t="shared" si="43"/>
        <v>0</v>
      </c>
      <c r="M232" s="36">
        <f t="shared" si="44"/>
        <v>0</v>
      </c>
      <c r="N232" s="36">
        <f t="shared" si="45"/>
        <v>0</v>
      </c>
      <c r="O232" s="36">
        <f t="shared" si="46"/>
        <v>0</v>
      </c>
      <c r="P232" s="36">
        <f t="shared" si="47"/>
        <v>0</v>
      </c>
      <c r="Q232" s="36">
        <f t="shared" si="48"/>
        <v>0</v>
      </c>
      <c r="R232" s="36">
        <f t="shared" si="49"/>
        <v>0</v>
      </c>
      <c r="S232" s="36">
        <f t="shared" si="50"/>
        <v>50700</v>
      </c>
      <c r="T232" s="36">
        <f t="shared" si="51"/>
        <v>0</v>
      </c>
      <c r="U232" s="36">
        <f t="shared" si="52"/>
        <v>0</v>
      </c>
      <c r="V232" s="36">
        <f t="shared" si="53"/>
        <v>0</v>
      </c>
      <c r="W232" s="19">
        <f t="shared" si="54"/>
        <v>50700</v>
      </c>
    </row>
    <row r="233" spans="1:23">
      <c r="A233" s="56" t="s">
        <v>211</v>
      </c>
      <c r="B233" s="57">
        <v>40239</v>
      </c>
      <c r="C233" s="84">
        <v>3</v>
      </c>
      <c r="D233" s="56"/>
      <c r="E233" s="58"/>
      <c r="F233" s="59">
        <v>77</v>
      </c>
      <c r="G233" s="56">
        <v>77</v>
      </c>
      <c r="H233" s="58"/>
      <c r="I233" s="58">
        <v>125000</v>
      </c>
      <c r="J233" s="19">
        <f t="shared" si="42"/>
        <v>125000</v>
      </c>
      <c r="K233" s="19">
        <f t="shared" si="55"/>
        <v>4194851</v>
      </c>
      <c r="L233" s="36">
        <f t="shared" si="43"/>
        <v>0</v>
      </c>
      <c r="M233" s="36">
        <f t="shared" si="44"/>
        <v>0</v>
      </c>
      <c r="N233" s="36">
        <f t="shared" si="45"/>
        <v>125000</v>
      </c>
      <c r="O233" s="36">
        <f t="shared" si="46"/>
        <v>0</v>
      </c>
      <c r="P233" s="36">
        <f t="shared" si="47"/>
        <v>0</v>
      </c>
      <c r="Q233" s="36">
        <f t="shared" si="48"/>
        <v>0</v>
      </c>
      <c r="R233" s="36">
        <f t="shared" si="49"/>
        <v>0</v>
      </c>
      <c r="S233" s="36">
        <f t="shared" si="50"/>
        <v>0</v>
      </c>
      <c r="T233" s="36">
        <f t="shared" si="51"/>
        <v>0</v>
      </c>
      <c r="U233" s="36">
        <f t="shared" si="52"/>
        <v>0</v>
      </c>
      <c r="V233" s="36">
        <f t="shared" si="53"/>
        <v>0</v>
      </c>
      <c r="W233" s="19">
        <f t="shared" si="54"/>
        <v>125000</v>
      </c>
    </row>
    <row r="234" spans="1:23">
      <c r="A234" s="56" t="s">
        <v>192</v>
      </c>
      <c r="B234" s="57">
        <v>40239</v>
      </c>
      <c r="C234" s="84">
        <v>8</v>
      </c>
      <c r="D234" s="56"/>
      <c r="E234" s="58">
        <f>-9936</f>
        <v>-9936</v>
      </c>
      <c r="F234" s="59">
        <v>78</v>
      </c>
      <c r="G234" s="56">
        <v>78</v>
      </c>
      <c r="H234" s="58"/>
      <c r="I234" s="58">
        <v>9936</v>
      </c>
      <c r="J234" s="19">
        <f t="shared" si="42"/>
        <v>0</v>
      </c>
      <c r="K234" s="19">
        <f t="shared" si="55"/>
        <v>4194851</v>
      </c>
      <c r="L234" s="36">
        <f t="shared" si="43"/>
        <v>0</v>
      </c>
      <c r="M234" s="36">
        <f t="shared" si="44"/>
        <v>0</v>
      </c>
      <c r="N234" s="36">
        <f t="shared" si="45"/>
        <v>0</v>
      </c>
      <c r="O234" s="36">
        <f t="shared" si="46"/>
        <v>0</v>
      </c>
      <c r="P234" s="36">
        <f t="shared" si="47"/>
        <v>0</v>
      </c>
      <c r="Q234" s="36">
        <f t="shared" si="48"/>
        <v>0</v>
      </c>
      <c r="R234" s="36">
        <f t="shared" si="49"/>
        <v>0</v>
      </c>
      <c r="S234" s="36">
        <f t="shared" si="50"/>
        <v>0</v>
      </c>
      <c r="T234" s="36">
        <f t="shared" si="51"/>
        <v>0</v>
      </c>
      <c r="U234" s="36">
        <f t="shared" si="52"/>
        <v>0</v>
      </c>
      <c r="V234" s="36">
        <f t="shared" si="53"/>
        <v>0</v>
      </c>
      <c r="W234" s="19">
        <f t="shared" si="54"/>
        <v>0</v>
      </c>
    </row>
    <row r="235" spans="1:23">
      <c r="A235" s="56" t="s">
        <v>212</v>
      </c>
      <c r="B235" s="57">
        <v>40239</v>
      </c>
      <c r="C235" s="84">
        <v>8</v>
      </c>
      <c r="D235" s="56"/>
      <c r="E235" s="58"/>
      <c r="F235" s="59">
        <v>79</v>
      </c>
      <c r="G235" s="56">
        <v>79</v>
      </c>
      <c r="H235" s="58"/>
      <c r="I235" s="58">
        <v>26153</v>
      </c>
      <c r="J235" s="19">
        <f t="shared" si="42"/>
        <v>26153</v>
      </c>
      <c r="K235" s="19">
        <f t="shared" si="55"/>
        <v>4221004</v>
      </c>
      <c r="L235" s="36">
        <f t="shared" si="43"/>
        <v>0</v>
      </c>
      <c r="M235" s="36">
        <f t="shared" si="44"/>
        <v>0</v>
      </c>
      <c r="N235" s="36">
        <f t="shared" si="45"/>
        <v>0</v>
      </c>
      <c r="O235" s="36">
        <f t="shared" si="46"/>
        <v>0</v>
      </c>
      <c r="P235" s="36">
        <f t="shared" si="47"/>
        <v>0</v>
      </c>
      <c r="Q235" s="36">
        <f t="shared" si="48"/>
        <v>0</v>
      </c>
      <c r="R235" s="36">
        <f t="shared" si="49"/>
        <v>0</v>
      </c>
      <c r="S235" s="36">
        <f t="shared" si="50"/>
        <v>26153</v>
      </c>
      <c r="T235" s="36">
        <f t="shared" si="51"/>
        <v>0</v>
      </c>
      <c r="U235" s="36">
        <f t="shared" si="52"/>
        <v>0</v>
      </c>
      <c r="V235" s="36">
        <f t="shared" si="53"/>
        <v>0</v>
      </c>
      <c r="W235" s="19">
        <f t="shared" si="54"/>
        <v>26153</v>
      </c>
    </row>
    <row r="236" spans="1:23">
      <c r="A236" s="56" t="s">
        <v>213</v>
      </c>
      <c r="B236" s="57">
        <v>40239</v>
      </c>
      <c r="C236" s="84">
        <v>8</v>
      </c>
      <c r="D236" s="56"/>
      <c r="E236" s="58"/>
      <c r="F236" s="59">
        <v>80</v>
      </c>
      <c r="G236" s="56">
        <v>80</v>
      </c>
      <c r="H236" s="58"/>
      <c r="I236" s="58">
        <v>3327</v>
      </c>
      <c r="J236" s="19">
        <f t="shared" si="42"/>
        <v>3327</v>
      </c>
      <c r="K236" s="19">
        <f t="shared" si="55"/>
        <v>4224331</v>
      </c>
      <c r="L236" s="36">
        <f t="shared" si="43"/>
        <v>0</v>
      </c>
      <c r="M236" s="36">
        <f t="shared" si="44"/>
        <v>0</v>
      </c>
      <c r="N236" s="36">
        <f t="shared" si="45"/>
        <v>0</v>
      </c>
      <c r="O236" s="36">
        <f t="shared" si="46"/>
        <v>0</v>
      </c>
      <c r="P236" s="36">
        <f t="shared" si="47"/>
        <v>0</v>
      </c>
      <c r="Q236" s="36">
        <f t="shared" si="48"/>
        <v>0</v>
      </c>
      <c r="R236" s="36">
        <f t="shared" si="49"/>
        <v>0</v>
      </c>
      <c r="S236" s="36">
        <f t="shared" si="50"/>
        <v>3327</v>
      </c>
      <c r="T236" s="36">
        <f t="shared" si="51"/>
        <v>0</v>
      </c>
      <c r="U236" s="36">
        <f t="shared" si="52"/>
        <v>0</v>
      </c>
      <c r="V236" s="36">
        <f t="shared" si="53"/>
        <v>0</v>
      </c>
      <c r="W236" s="19">
        <f t="shared" si="54"/>
        <v>3327</v>
      </c>
    </row>
    <row r="237" spans="1:23">
      <c r="A237" s="56" t="s">
        <v>214</v>
      </c>
      <c r="B237" s="57">
        <v>40239</v>
      </c>
      <c r="C237" s="84">
        <v>8</v>
      </c>
      <c r="D237" s="56"/>
      <c r="E237" s="58"/>
      <c r="F237" s="59">
        <v>81</v>
      </c>
      <c r="G237" s="56">
        <v>81</v>
      </c>
      <c r="H237" s="58"/>
      <c r="I237" s="58">
        <v>6000</v>
      </c>
      <c r="J237" s="19">
        <f t="shared" si="42"/>
        <v>6000</v>
      </c>
      <c r="K237" s="19">
        <f t="shared" si="55"/>
        <v>4230331</v>
      </c>
      <c r="L237" s="36">
        <f t="shared" si="43"/>
        <v>0</v>
      </c>
      <c r="M237" s="36">
        <f t="shared" si="44"/>
        <v>0</v>
      </c>
      <c r="N237" s="36">
        <f t="shared" si="45"/>
        <v>0</v>
      </c>
      <c r="O237" s="36">
        <f t="shared" si="46"/>
        <v>0</v>
      </c>
      <c r="P237" s="36">
        <f t="shared" si="47"/>
        <v>0</v>
      </c>
      <c r="Q237" s="36">
        <f t="shared" si="48"/>
        <v>0</v>
      </c>
      <c r="R237" s="36">
        <f t="shared" si="49"/>
        <v>0</v>
      </c>
      <c r="S237" s="36">
        <f t="shared" si="50"/>
        <v>6000</v>
      </c>
      <c r="T237" s="36">
        <f t="shared" si="51"/>
        <v>0</v>
      </c>
      <c r="U237" s="36">
        <f t="shared" si="52"/>
        <v>0</v>
      </c>
      <c r="V237" s="36">
        <f t="shared" si="53"/>
        <v>0</v>
      </c>
      <c r="W237" s="19">
        <f t="shared" si="54"/>
        <v>6000</v>
      </c>
    </row>
    <row r="238" spans="1:23" ht="15">
      <c r="A238" s="73" t="s">
        <v>260</v>
      </c>
      <c r="B238" s="74">
        <v>40240</v>
      </c>
      <c r="C238" s="85">
        <v>8</v>
      </c>
      <c r="D238" s="56">
        <v>88</v>
      </c>
      <c r="E238" s="76">
        <v>500</v>
      </c>
      <c r="F238" s="59"/>
      <c r="G238" s="59"/>
      <c r="H238" s="58"/>
      <c r="I238" s="60"/>
      <c r="J238" s="19">
        <f t="shared" si="42"/>
        <v>500</v>
      </c>
      <c r="K238" s="19">
        <f t="shared" si="55"/>
        <v>4230831</v>
      </c>
      <c r="L238" s="36">
        <f t="shared" si="43"/>
        <v>0</v>
      </c>
      <c r="M238" s="36">
        <f t="shared" si="44"/>
        <v>0</v>
      </c>
      <c r="N238" s="36">
        <f t="shared" si="45"/>
        <v>0</v>
      </c>
      <c r="O238" s="36">
        <f t="shared" si="46"/>
        <v>0</v>
      </c>
      <c r="P238" s="36">
        <f t="shared" si="47"/>
        <v>0</v>
      </c>
      <c r="Q238" s="36">
        <f t="shared" si="48"/>
        <v>0</v>
      </c>
      <c r="R238" s="36">
        <f t="shared" si="49"/>
        <v>0</v>
      </c>
      <c r="S238" s="36">
        <f t="shared" si="50"/>
        <v>500</v>
      </c>
      <c r="T238" s="36">
        <f t="shared" si="51"/>
        <v>0</v>
      </c>
      <c r="U238" s="36">
        <f t="shared" si="52"/>
        <v>0</v>
      </c>
      <c r="V238" s="36">
        <f t="shared" si="53"/>
        <v>0</v>
      </c>
      <c r="W238" s="19">
        <f t="shared" si="54"/>
        <v>500</v>
      </c>
    </row>
    <row r="239" spans="1:23">
      <c r="A239" s="56" t="s">
        <v>220</v>
      </c>
      <c r="B239" s="57">
        <v>40241</v>
      </c>
      <c r="C239" s="84">
        <v>8</v>
      </c>
      <c r="D239" s="56"/>
      <c r="E239" s="58"/>
      <c r="F239" s="59"/>
      <c r="G239" s="56"/>
      <c r="H239" s="58"/>
      <c r="I239" s="58">
        <v>-1200</v>
      </c>
      <c r="J239" s="19">
        <f t="shared" si="42"/>
        <v>-1200</v>
      </c>
      <c r="K239" s="19">
        <f t="shared" si="55"/>
        <v>4229631</v>
      </c>
      <c r="L239" s="36">
        <f t="shared" si="43"/>
        <v>0</v>
      </c>
      <c r="M239" s="36">
        <f t="shared" si="44"/>
        <v>0</v>
      </c>
      <c r="N239" s="36">
        <f t="shared" si="45"/>
        <v>0</v>
      </c>
      <c r="O239" s="36">
        <f t="shared" si="46"/>
        <v>0</v>
      </c>
      <c r="P239" s="36">
        <f t="shared" si="47"/>
        <v>0</v>
      </c>
      <c r="Q239" s="36">
        <f t="shared" si="48"/>
        <v>0</v>
      </c>
      <c r="R239" s="36">
        <f t="shared" si="49"/>
        <v>0</v>
      </c>
      <c r="S239" s="36">
        <f t="shared" si="50"/>
        <v>-1200</v>
      </c>
      <c r="T239" s="36">
        <f t="shared" si="51"/>
        <v>0</v>
      </c>
      <c r="U239" s="36">
        <f t="shared" si="52"/>
        <v>0</v>
      </c>
      <c r="V239" s="36">
        <f t="shared" si="53"/>
        <v>0</v>
      </c>
      <c r="W239" s="19">
        <f t="shared" si="54"/>
        <v>-1200</v>
      </c>
    </row>
    <row r="240" spans="1:23">
      <c r="A240" s="56" t="s">
        <v>219</v>
      </c>
      <c r="B240" s="57">
        <v>40241</v>
      </c>
      <c r="C240" s="84">
        <v>8</v>
      </c>
      <c r="D240" s="56"/>
      <c r="E240" s="58"/>
      <c r="F240" s="59">
        <v>82</v>
      </c>
      <c r="G240" s="56">
        <v>82</v>
      </c>
      <c r="H240" s="58"/>
      <c r="I240" s="58">
        <v>200000</v>
      </c>
      <c r="J240" s="19">
        <f t="shared" si="42"/>
        <v>200000</v>
      </c>
      <c r="K240" s="19">
        <f t="shared" si="55"/>
        <v>4429631</v>
      </c>
      <c r="L240" s="36">
        <f t="shared" si="43"/>
        <v>0</v>
      </c>
      <c r="M240" s="36">
        <f t="shared" si="44"/>
        <v>0</v>
      </c>
      <c r="N240" s="36">
        <f t="shared" si="45"/>
        <v>0</v>
      </c>
      <c r="O240" s="36">
        <f t="shared" si="46"/>
        <v>0</v>
      </c>
      <c r="P240" s="36">
        <f t="shared" si="47"/>
        <v>0</v>
      </c>
      <c r="Q240" s="36">
        <f t="shared" si="48"/>
        <v>0</v>
      </c>
      <c r="R240" s="36">
        <f t="shared" si="49"/>
        <v>0</v>
      </c>
      <c r="S240" s="36">
        <f t="shared" si="50"/>
        <v>200000</v>
      </c>
      <c r="T240" s="36">
        <f t="shared" si="51"/>
        <v>0</v>
      </c>
      <c r="U240" s="36">
        <f t="shared" si="52"/>
        <v>0</v>
      </c>
      <c r="V240" s="36">
        <f t="shared" si="53"/>
        <v>0</v>
      </c>
      <c r="W240" s="19">
        <f t="shared" si="54"/>
        <v>200000</v>
      </c>
    </row>
    <row r="241" spans="1:25" ht="15">
      <c r="A241" s="73" t="s">
        <v>238</v>
      </c>
      <c r="B241" s="74">
        <v>40247</v>
      </c>
      <c r="C241" s="85">
        <v>8</v>
      </c>
      <c r="D241" s="56">
        <v>89</v>
      </c>
      <c r="E241" s="76">
        <v>850</v>
      </c>
      <c r="F241" s="59"/>
      <c r="G241" s="59"/>
      <c r="H241" s="58"/>
      <c r="I241" s="60"/>
      <c r="J241" s="19">
        <f t="shared" si="42"/>
        <v>850</v>
      </c>
      <c r="K241" s="19">
        <f t="shared" si="55"/>
        <v>4430481</v>
      </c>
      <c r="L241" s="36">
        <f t="shared" si="43"/>
        <v>0</v>
      </c>
      <c r="M241" s="36">
        <f t="shared" si="44"/>
        <v>0</v>
      </c>
      <c r="N241" s="36">
        <f t="shared" si="45"/>
        <v>0</v>
      </c>
      <c r="O241" s="36">
        <f t="shared" si="46"/>
        <v>0</v>
      </c>
      <c r="P241" s="36">
        <f t="shared" si="47"/>
        <v>0</v>
      </c>
      <c r="Q241" s="36">
        <f t="shared" si="48"/>
        <v>0</v>
      </c>
      <c r="R241" s="36">
        <f t="shared" si="49"/>
        <v>0</v>
      </c>
      <c r="S241" s="36">
        <f t="shared" si="50"/>
        <v>850</v>
      </c>
      <c r="T241" s="36">
        <f t="shared" si="51"/>
        <v>0</v>
      </c>
      <c r="U241" s="36">
        <f t="shared" si="52"/>
        <v>0</v>
      </c>
      <c r="V241" s="36">
        <f t="shared" si="53"/>
        <v>0</v>
      </c>
      <c r="W241" s="19">
        <f t="shared" si="54"/>
        <v>850</v>
      </c>
    </row>
    <row r="242" spans="1:25" ht="15">
      <c r="A242" s="73" t="s">
        <v>259</v>
      </c>
      <c r="B242" s="74">
        <v>40252</v>
      </c>
      <c r="C242" s="85">
        <v>8</v>
      </c>
      <c r="D242" s="56">
        <v>90</v>
      </c>
      <c r="E242" s="76">
        <v>300</v>
      </c>
      <c r="F242" s="59"/>
      <c r="G242" s="59"/>
      <c r="H242" s="58"/>
      <c r="I242" s="60"/>
      <c r="J242" s="19">
        <f t="shared" si="42"/>
        <v>300</v>
      </c>
      <c r="K242" s="19">
        <f t="shared" si="55"/>
        <v>4430781</v>
      </c>
      <c r="L242" s="36">
        <f t="shared" si="43"/>
        <v>0</v>
      </c>
      <c r="M242" s="36">
        <f t="shared" si="44"/>
        <v>0</v>
      </c>
      <c r="N242" s="36">
        <f t="shared" si="45"/>
        <v>0</v>
      </c>
      <c r="O242" s="36">
        <f t="shared" si="46"/>
        <v>0</v>
      </c>
      <c r="P242" s="36">
        <f t="shared" si="47"/>
        <v>0</v>
      </c>
      <c r="Q242" s="36">
        <f t="shared" si="48"/>
        <v>0</v>
      </c>
      <c r="R242" s="36">
        <f t="shared" si="49"/>
        <v>0</v>
      </c>
      <c r="S242" s="36">
        <f t="shared" si="50"/>
        <v>300</v>
      </c>
      <c r="T242" s="36">
        <f t="shared" si="51"/>
        <v>0</v>
      </c>
      <c r="U242" s="36">
        <f t="shared" si="52"/>
        <v>0</v>
      </c>
      <c r="V242" s="36">
        <f t="shared" si="53"/>
        <v>0</v>
      </c>
      <c r="W242" s="19">
        <f t="shared" si="54"/>
        <v>300</v>
      </c>
    </row>
    <row r="243" spans="1:25" ht="15">
      <c r="A243" s="73" t="s">
        <v>260</v>
      </c>
      <c r="B243" s="74">
        <v>40252</v>
      </c>
      <c r="C243" s="85">
        <v>8</v>
      </c>
      <c r="D243" s="56">
        <v>91</v>
      </c>
      <c r="E243" s="76">
        <v>100</v>
      </c>
      <c r="F243" s="59"/>
      <c r="G243" s="59"/>
      <c r="H243" s="58"/>
      <c r="I243" s="60"/>
      <c r="J243" s="19">
        <f t="shared" si="42"/>
        <v>100</v>
      </c>
      <c r="K243" s="19">
        <f t="shared" si="55"/>
        <v>4430881</v>
      </c>
      <c r="L243" s="36">
        <f t="shared" si="43"/>
        <v>0</v>
      </c>
      <c r="M243" s="36">
        <f t="shared" si="44"/>
        <v>0</v>
      </c>
      <c r="N243" s="36">
        <f t="shared" si="45"/>
        <v>0</v>
      </c>
      <c r="O243" s="36">
        <f t="shared" si="46"/>
        <v>0</v>
      </c>
      <c r="P243" s="36">
        <f t="shared" si="47"/>
        <v>0</v>
      </c>
      <c r="Q243" s="36">
        <f t="shared" si="48"/>
        <v>0</v>
      </c>
      <c r="R243" s="36">
        <f t="shared" si="49"/>
        <v>0</v>
      </c>
      <c r="S243" s="36">
        <f t="shared" si="50"/>
        <v>100</v>
      </c>
      <c r="T243" s="36">
        <f t="shared" si="51"/>
        <v>0</v>
      </c>
      <c r="U243" s="36">
        <f t="shared" si="52"/>
        <v>0</v>
      </c>
      <c r="V243" s="36">
        <f t="shared" si="53"/>
        <v>0</v>
      </c>
      <c r="W243" s="19">
        <f t="shared" si="54"/>
        <v>100</v>
      </c>
    </row>
    <row r="244" spans="1:25" ht="15">
      <c r="A244" s="73" t="s">
        <v>231</v>
      </c>
      <c r="B244" s="74">
        <v>40253</v>
      </c>
      <c r="C244" s="85">
        <v>8</v>
      </c>
      <c r="D244" s="56">
        <v>92</v>
      </c>
      <c r="E244" s="76">
        <v>200</v>
      </c>
      <c r="F244" s="59"/>
      <c r="G244" s="59"/>
      <c r="H244" s="58"/>
      <c r="I244" s="60"/>
      <c r="J244" s="19">
        <f t="shared" si="42"/>
        <v>200</v>
      </c>
      <c r="K244" s="19">
        <f t="shared" si="55"/>
        <v>4431081</v>
      </c>
      <c r="L244" s="36">
        <f t="shared" si="43"/>
        <v>0</v>
      </c>
      <c r="M244" s="36">
        <f t="shared" si="44"/>
        <v>0</v>
      </c>
      <c r="N244" s="36">
        <f t="shared" si="45"/>
        <v>0</v>
      </c>
      <c r="O244" s="36">
        <f t="shared" si="46"/>
        <v>0</v>
      </c>
      <c r="P244" s="36">
        <f t="shared" si="47"/>
        <v>0</v>
      </c>
      <c r="Q244" s="36">
        <f t="shared" si="48"/>
        <v>0</v>
      </c>
      <c r="R244" s="36">
        <f t="shared" si="49"/>
        <v>0</v>
      </c>
      <c r="S244" s="36">
        <f t="shared" si="50"/>
        <v>200</v>
      </c>
      <c r="T244" s="36">
        <f t="shared" si="51"/>
        <v>0</v>
      </c>
      <c r="U244" s="36">
        <f t="shared" si="52"/>
        <v>0</v>
      </c>
      <c r="V244" s="36">
        <f t="shared" si="53"/>
        <v>0</v>
      </c>
      <c r="W244" s="19">
        <f t="shared" si="54"/>
        <v>200</v>
      </c>
    </row>
    <row r="245" spans="1:25" ht="15">
      <c r="A245" s="73" t="s">
        <v>263</v>
      </c>
      <c r="B245" s="74">
        <v>40253</v>
      </c>
      <c r="C245" s="85">
        <v>8</v>
      </c>
      <c r="D245" s="56">
        <v>93</v>
      </c>
      <c r="E245" s="76">
        <v>330</v>
      </c>
      <c r="F245" s="59"/>
      <c r="G245" s="59"/>
      <c r="H245" s="58"/>
      <c r="I245" s="60"/>
      <c r="J245" s="19">
        <f t="shared" si="42"/>
        <v>330</v>
      </c>
      <c r="K245" s="19">
        <f t="shared" si="55"/>
        <v>4431411</v>
      </c>
      <c r="L245" s="36">
        <f t="shared" si="43"/>
        <v>0</v>
      </c>
      <c r="M245" s="36">
        <f t="shared" si="44"/>
        <v>0</v>
      </c>
      <c r="N245" s="36">
        <f t="shared" si="45"/>
        <v>0</v>
      </c>
      <c r="O245" s="36">
        <f t="shared" si="46"/>
        <v>0</v>
      </c>
      <c r="P245" s="36">
        <f t="shared" si="47"/>
        <v>0</v>
      </c>
      <c r="Q245" s="36">
        <f t="shared" si="48"/>
        <v>0</v>
      </c>
      <c r="R245" s="36">
        <f t="shared" si="49"/>
        <v>0</v>
      </c>
      <c r="S245" s="36">
        <f t="shared" si="50"/>
        <v>330</v>
      </c>
      <c r="T245" s="36">
        <f t="shared" si="51"/>
        <v>0</v>
      </c>
      <c r="U245" s="36">
        <f t="shared" si="52"/>
        <v>0</v>
      </c>
      <c r="V245" s="36">
        <f t="shared" si="53"/>
        <v>0</v>
      </c>
      <c r="W245" s="19">
        <f t="shared" si="54"/>
        <v>330</v>
      </c>
    </row>
    <row r="246" spans="1:25" ht="15">
      <c r="A246" s="73" t="s">
        <v>264</v>
      </c>
      <c r="B246" s="74">
        <v>40253</v>
      </c>
      <c r="C246" s="85">
        <v>8</v>
      </c>
      <c r="D246" s="56">
        <v>94</v>
      </c>
      <c r="E246" s="76">
        <v>1200</v>
      </c>
      <c r="F246" s="59"/>
      <c r="G246" s="59"/>
      <c r="H246" s="58"/>
      <c r="I246" s="60"/>
      <c r="J246" s="19">
        <f t="shared" si="42"/>
        <v>1200</v>
      </c>
      <c r="K246" s="19">
        <f t="shared" si="55"/>
        <v>4432611</v>
      </c>
      <c r="L246" s="36">
        <f t="shared" si="43"/>
        <v>0</v>
      </c>
      <c r="M246" s="36">
        <f t="shared" si="44"/>
        <v>0</v>
      </c>
      <c r="N246" s="36">
        <f t="shared" si="45"/>
        <v>0</v>
      </c>
      <c r="O246" s="36">
        <f t="shared" si="46"/>
        <v>0</v>
      </c>
      <c r="P246" s="36">
        <f t="shared" si="47"/>
        <v>0</v>
      </c>
      <c r="Q246" s="36">
        <f t="shared" si="48"/>
        <v>0</v>
      </c>
      <c r="R246" s="36">
        <f t="shared" si="49"/>
        <v>0</v>
      </c>
      <c r="S246" s="36">
        <f t="shared" si="50"/>
        <v>1200</v>
      </c>
      <c r="T246" s="36">
        <f t="shared" si="51"/>
        <v>0</v>
      </c>
      <c r="U246" s="36">
        <f t="shared" si="52"/>
        <v>0</v>
      </c>
      <c r="V246" s="36">
        <f t="shared" si="53"/>
        <v>0</v>
      </c>
      <c r="W246" s="19">
        <f t="shared" si="54"/>
        <v>1200</v>
      </c>
    </row>
    <row r="247" spans="1:25" ht="15">
      <c r="A247" s="73" t="s">
        <v>260</v>
      </c>
      <c r="B247" s="74">
        <v>40253</v>
      </c>
      <c r="C247" s="85">
        <v>8</v>
      </c>
      <c r="D247" s="56">
        <v>95</v>
      </c>
      <c r="E247" s="76">
        <v>600</v>
      </c>
      <c r="F247" s="59"/>
      <c r="G247" s="59"/>
      <c r="H247" s="58"/>
      <c r="I247" s="60"/>
      <c r="J247" s="19">
        <f t="shared" si="42"/>
        <v>600</v>
      </c>
      <c r="K247" s="19">
        <f t="shared" si="55"/>
        <v>4433211</v>
      </c>
      <c r="L247" s="36">
        <f t="shared" si="43"/>
        <v>0</v>
      </c>
      <c r="M247" s="36">
        <f t="shared" si="44"/>
        <v>0</v>
      </c>
      <c r="N247" s="36">
        <f t="shared" si="45"/>
        <v>0</v>
      </c>
      <c r="O247" s="36">
        <f t="shared" si="46"/>
        <v>0</v>
      </c>
      <c r="P247" s="36">
        <f t="shared" si="47"/>
        <v>0</v>
      </c>
      <c r="Q247" s="36">
        <f t="shared" si="48"/>
        <v>0</v>
      </c>
      <c r="R247" s="36">
        <f t="shared" si="49"/>
        <v>0</v>
      </c>
      <c r="S247" s="36">
        <f t="shared" si="50"/>
        <v>600</v>
      </c>
      <c r="T247" s="36">
        <f t="shared" si="51"/>
        <v>0</v>
      </c>
      <c r="U247" s="36">
        <f t="shared" si="52"/>
        <v>0</v>
      </c>
      <c r="V247" s="36">
        <f t="shared" si="53"/>
        <v>0</v>
      </c>
      <c r="W247" s="19">
        <f t="shared" si="54"/>
        <v>600</v>
      </c>
    </row>
    <row r="248" spans="1:25" ht="15">
      <c r="A248" s="73" t="s">
        <v>260</v>
      </c>
      <c r="B248" s="74">
        <v>40257</v>
      </c>
      <c r="C248" s="85">
        <v>8</v>
      </c>
      <c r="D248" s="56">
        <v>96</v>
      </c>
      <c r="E248" s="76">
        <v>400</v>
      </c>
      <c r="F248" s="59"/>
      <c r="G248" s="59"/>
      <c r="H248" s="58"/>
      <c r="I248" s="60"/>
      <c r="J248" s="19">
        <f t="shared" si="42"/>
        <v>400</v>
      </c>
      <c r="K248" s="19">
        <f t="shared" si="55"/>
        <v>4433611</v>
      </c>
      <c r="L248" s="36">
        <f t="shared" si="43"/>
        <v>0</v>
      </c>
      <c r="M248" s="36">
        <f t="shared" si="44"/>
        <v>0</v>
      </c>
      <c r="N248" s="36">
        <f t="shared" si="45"/>
        <v>0</v>
      </c>
      <c r="O248" s="36">
        <f t="shared" si="46"/>
        <v>0</v>
      </c>
      <c r="P248" s="36">
        <f t="shared" si="47"/>
        <v>0</v>
      </c>
      <c r="Q248" s="36">
        <f t="shared" si="48"/>
        <v>0</v>
      </c>
      <c r="R248" s="36">
        <f t="shared" si="49"/>
        <v>0</v>
      </c>
      <c r="S248" s="36">
        <f t="shared" si="50"/>
        <v>400</v>
      </c>
      <c r="T248" s="36">
        <f t="shared" si="51"/>
        <v>0</v>
      </c>
      <c r="U248" s="36">
        <f t="shared" si="52"/>
        <v>0</v>
      </c>
      <c r="V248" s="36">
        <f t="shared" si="53"/>
        <v>0</v>
      </c>
      <c r="W248" s="19">
        <f t="shared" si="54"/>
        <v>400</v>
      </c>
    </row>
    <row r="249" spans="1:25">
      <c r="A249" s="63"/>
      <c r="B249" s="78"/>
      <c r="C249" s="84"/>
      <c r="D249" s="56"/>
      <c r="E249" s="58"/>
      <c r="F249" s="59"/>
      <c r="G249" s="56"/>
      <c r="H249" s="58"/>
      <c r="I249" s="58"/>
      <c r="J249" s="19">
        <f t="shared" si="42"/>
        <v>0</v>
      </c>
      <c r="K249" s="19">
        <f t="shared" si="55"/>
        <v>4433611</v>
      </c>
      <c r="L249" s="36">
        <f t="shared" si="43"/>
        <v>0</v>
      </c>
      <c r="M249" s="36">
        <f t="shared" si="44"/>
        <v>0</v>
      </c>
      <c r="N249" s="36">
        <f t="shared" si="45"/>
        <v>0</v>
      </c>
      <c r="O249" s="36">
        <f t="shared" si="46"/>
        <v>0</v>
      </c>
      <c r="P249" s="36">
        <f t="shared" si="47"/>
        <v>0</v>
      </c>
      <c r="Q249" s="36">
        <f t="shared" si="48"/>
        <v>0</v>
      </c>
      <c r="R249" s="36">
        <f t="shared" si="49"/>
        <v>0</v>
      </c>
      <c r="S249" s="36">
        <f t="shared" si="50"/>
        <v>0</v>
      </c>
      <c r="T249" s="36">
        <f t="shared" si="51"/>
        <v>0</v>
      </c>
      <c r="U249" s="36">
        <f t="shared" si="52"/>
        <v>0</v>
      </c>
      <c r="V249" s="36">
        <f t="shared" si="53"/>
        <v>0</v>
      </c>
      <c r="W249" s="19">
        <f t="shared" si="54"/>
        <v>0</v>
      </c>
      <c r="Y249" s="47"/>
    </row>
    <row r="250" spans="1:25">
      <c r="A250" s="56"/>
      <c r="B250" s="57"/>
      <c r="C250" s="84"/>
      <c r="D250" s="56"/>
      <c r="E250" s="58"/>
      <c r="F250" s="59"/>
      <c r="G250" s="56"/>
      <c r="H250" s="58"/>
      <c r="I250" s="58"/>
      <c r="J250" s="19">
        <f t="shared" si="42"/>
        <v>0</v>
      </c>
      <c r="K250" s="19">
        <f t="shared" si="55"/>
        <v>4433611</v>
      </c>
      <c r="L250" s="36">
        <f t="shared" si="43"/>
        <v>0</v>
      </c>
      <c r="M250" s="36">
        <f t="shared" si="44"/>
        <v>0</v>
      </c>
      <c r="N250" s="36">
        <f t="shared" si="45"/>
        <v>0</v>
      </c>
      <c r="O250" s="36">
        <f t="shared" si="46"/>
        <v>0</v>
      </c>
      <c r="P250" s="36">
        <f t="shared" si="47"/>
        <v>0</v>
      </c>
      <c r="Q250" s="36">
        <f t="shared" si="48"/>
        <v>0</v>
      </c>
      <c r="R250" s="36">
        <f t="shared" si="49"/>
        <v>0</v>
      </c>
      <c r="S250" s="36">
        <f t="shared" si="50"/>
        <v>0</v>
      </c>
      <c r="T250" s="36">
        <f t="shared" si="51"/>
        <v>0</v>
      </c>
      <c r="U250" s="36">
        <f t="shared" si="52"/>
        <v>0</v>
      </c>
      <c r="V250" s="36">
        <f t="shared" si="53"/>
        <v>0</v>
      </c>
      <c r="W250" s="19">
        <f t="shared" si="54"/>
        <v>0</v>
      </c>
    </row>
    <row r="251" spans="1:25">
      <c r="A251" s="56"/>
      <c r="B251" s="57"/>
      <c r="C251" s="84"/>
      <c r="D251" s="56"/>
      <c r="E251" s="58"/>
      <c r="F251" s="59"/>
      <c r="G251" s="56"/>
      <c r="H251" s="58"/>
      <c r="I251" s="58"/>
      <c r="J251" s="19">
        <f t="shared" si="42"/>
        <v>0</v>
      </c>
      <c r="K251" s="19">
        <f t="shared" si="55"/>
        <v>4433611</v>
      </c>
      <c r="L251" s="36">
        <f t="shared" si="43"/>
        <v>0</v>
      </c>
      <c r="M251" s="36">
        <f t="shared" si="44"/>
        <v>0</v>
      </c>
      <c r="N251" s="36">
        <f t="shared" si="45"/>
        <v>0</v>
      </c>
      <c r="O251" s="36">
        <f t="shared" si="46"/>
        <v>0</v>
      </c>
      <c r="P251" s="36">
        <f t="shared" si="47"/>
        <v>0</v>
      </c>
      <c r="Q251" s="36">
        <f t="shared" si="48"/>
        <v>0</v>
      </c>
      <c r="R251" s="36">
        <f t="shared" si="49"/>
        <v>0</v>
      </c>
      <c r="S251" s="36">
        <f t="shared" si="50"/>
        <v>0</v>
      </c>
      <c r="T251" s="36">
        <f t="shared" si="51"/>
        <v>0</v>
      </c>
      <c r="U251" s="36">
        <f t="shared" si="52"/>
        <v>0</v>
      </c>
      <c r="V251" s="36">
        <f t="shared" si="53"/>
        <v>0</v>
      </c>
      <c r="W251" s="19">
        <f t="shared" si="54"/>
        <v>0</v>
      </c>
    </row>
    <row r="252" spans="1:25">
      <c r="A252" s="56"/>
      <c r="B252" s="57"/>
      <c r="C252" s="84"/>
      <c r="D252" s="56"/>
      <c r="E252" s="58"/>
      <c r="F252" s="59"/>
      <c r="G252" s="56"/>
      <c r="H252" s="58"/>
      <c r="I252" s="58"/>
      <c r="J252" s="19">
        <f t="shared" si="42"/>
        <v>0</v>
      </c>
      <c r="K252" s="19">
        <f t="shared" si="55"/>
        <v>4433611</v>
      </c>
      <c r="L252" s="36">
        <f t="shared" si="43"/>
        <v>0</v>
      </c>
      <c r="M252" s="36">
        <f t="shared" si="44"/>
        <v>0</v>
      </c>
      <c r="N252" s="36">
        <f t="shared" si="45"/>
        <v>0</v>
      </c>
      <c r="O252" s="36">
        <f t="shared" si="46"/>
        <v>0</v>
      </c>
      <c r="P252" s="36">
        <f t="shared" si="47"/>
        <v>0</v>
      </c>
      <c r="Q252" s="36">
        <f t="shared" si="48"/>
        <v>0</v>
      </c>
      <c r="R252" s="36">
        <f t="shared" si="49"/>
        <v>0</v>
      </c>
      <c r="S252" s="36">
        <f t="shared" si="50"/>
        <v>0</v>
      </c>
      <c r="T252" s="36">
        <f t="shared" si="51"/>
        <v>0</v>
      </c>
      <c r="U252" s="36">
        <f t="shared" si="52"/>
        <v>0</v>
      </c>
      <c r="V252" s="36">
        <f t="shared" si="53"/>
        <v>0</v>
      </c>
      <c r="W252" s="19">
        <f t="shared" si="54"/>
        <v>0</v>
      </c>
    </row>
    <row r="253" spans="1:25">
      <c r="A253" s="56"/>
      <c r="B253" s="57"/>
      <c r="C253" s="84"/>
      <c r="D253" s="56"/>
      <c r="E253" s="58"/>
      <c r="F253" s="59"/>
      <c r="G253" s="56"/>
      <c r="H253" s="58"/>
      <c r="I253" s="58"/>
      <c r="J253" s="19">
        <f t="shared" si="42"/>
        <v>0</v>
      </c>
      <c r="K253" s="19">
        <f t="shared" si="55"/>
        <v>4433611</v>
      </c>
      <c r="L253" s="36">
        <f t="shared" si="43"/>
        <v>0</v>
      </c>
      <c r="M253" s="36">
        <f t="shared" si="44"/>
        <v>0</v>
      </c>
      <c r="N253" s="36">
        <f t="shared" si="45"/>
        <v>0</v>
      </c>
      <c r="O253" s="36">
        <f t="shared" si="46"/>
        <v>0</v>
      </c>
      <c r="P253" s="36">
        <f t="shared" si="47"/>
        <v>0</v>
      </c>
      <c r="Q253" s="36">
        <f t="shared" si="48"/>
        <v>0</v>
      </c>
      <c r="R253" s="36">
        <f t="shared" si="49"/>
        <v>0</v>
      </c>
      <c r="S253" s="36">
        <f t="shared" si="50"/>
        <v>0</v>
      </c>
      <c r="T253" s="36">
        <f t="shared" si="51"/>
        <v>0</v>
      </c>
      <c r="U253" s="36">
        <f t="shared" si="52"/>
        <v>0</v>
      </c>
      <c r="V253" s="36">
        <f t="shared" si="53"/>
        <v>0</v>
      </c>
      <c r="W253" s="19">
        <f t="shared" si="54"/>
        <v>0</v>
      </c>
    </row>
    <row r="254" spans="1:25">
      <c r="A254" s="56"/>
      <c r="B254" s="57"/>
      <c r="C254" s="84"/>
      <c r="D254" s="56"/>
      <c r="E254" s="58"/>
      <c r="F254" s="59"/>
      <c r="G254" s="56"/>
      <c r="H254" s="58"/>
      <c r="I254" s="58"/>
      <c r="J254" s="19">
        <f t="shared" si="42"/>
        <v>0</v>
      </c>
      <c r="K254" s="19">
        <f t="shared" si="55"/>
        <v>4433611</v>
      </c>
      <c r="L254" s="36">
        <f t="shared" si="43"/>
        <v>0</v>
      </c>
      <c r="M254" s="36">
        <f t="shared" si="44"/>
        <v>0</v>
      </c>
      <c r="N254" s="36">
        <f t="shared" si="45"/>
        <v>0</v>
      </c>
      <c r="O254" s="36">
        <f t="shared" si="46"/>
        <v>0</v>
      </c>
      <c r="P254" s="36">
        <f t="shared" si="47"/>
        <v>0</v>
      </c>
      <c r="Q254" s="36">
        <f t="shared" si="48"/>
        <v>0</v>
      </c>
      <c r="R254" s="36">
        <f t="shared" si="49"/>
        <v>0</v>
      </c>
      <c r="S254" s="36">
        <f t="shared" si="50"/>
        <v>0</v>
      </c>
      <c r="T254" s="36">
        <f t="shared" si="51"/>
        <v>0</v>
      </c>
      <c r="U254" s="36">
        <f t="shared" si="52"/>
        <v>0</v>
      </c>
      <c r="V254" s="36">
        <f t="shared" si="53"/>
        <v>0</v>
      </c>
      <c r="W254" s="19">
        <f t="shared" si="54"/>
        <v>0</v>
      </c>
    </row>
    <row r="255" spans="1:25">
      <c r="A255" s="56"/>
      <c r="B255" s="57"/>
      <c r="C255" s="84"/>
      <c r="D255" s="56"/>
      <c r="E255" s="58"/>
      <c r="F255" s="59"/>
      <c r="G255" s="56"/>
      <c r="H255" s="58"/>
      <c r="I255" s="58"/>
      <c r="J255" s="19">
        <f t="shared" si="42"/>
        <v>0</v>
      </c>
      <c r="K255" s="19">
        <f t="shared" si="55"/>
        <v>4433611</v>
      </c>
      <c r="L255" s="36">
        <f t="shared" si="43"/>
        <v>0</v>
      </c>
      <c r="M255" s="36">
        <f t="shared" si="44"/>
        <v>0</v>
      </c>
      <c r="N255" s="36">
        <f t="shared" si="45"/>
        <v>0</v>
      </c>
      <c r="O255" s="36">
        <f t="shared" si="46"/>
        <v>0</v>
      </c>
      <c r="P255" s="36">
        <f t="shared" si="47"/>
        <v>0</v>
      </c>
      <c r="Q255" s="36">
        <f t="shared" si="48"/>
        <v>0</v>
      </c>
      <c r="R255" s="36">
        <f t="shared" si="49"/>
        <v>0</v>
      </c>
      <c r="S255" s="36">
        <f t="shared" si="50"/>
        <v>0</v>
      </c>
      <c r="T255" s="36">
        <f t="shared" si="51"/>
        <v>0</v>
      </c>
      <c r="U255" s="36">
        <f t="shared" si="52"/>
        <v>0</v>
      </c>
      <c r="V255" s="36">
        <f t="shared" si="53"/>
        <v>0</v>
      </c>
      <c r="W255" s="19">
        <f t="shared" si="54"/>
        <v>0</v>
      </c>
    </row>
    <row r="256" spans="1:25">
      <c r="A256" s="56"/>
      <c r="B256" s="57"/>
      <c r="C256" s="84"/>
      <c r="D256" s="56"/>
      <c r="E256" s="58"/>
      <c r="F256" s="59"/>
      <c r="G256" s="56"/>
      <c r="H256" s="58"/>
      <c r="I256" s="58"/>
      <c r="J256" s="19">
        <f t="shared" si="42"/>
        <v>0</v>
      </c>
      <c r="K256" s="19">
        <f t="shared" si="55"/>
        <v>4433611</v>
      </c>
      <c r="L256" s="36">
        <f t="shared" si="43"/>
        <v>0</v>
      </c>
      <c r="M256" s="36">
        <f t="shared" si="44"/>
        <v>0</v>
      </c>
      <c r="N256" s="36">
        <f t="shared" si="45"/>
        <v>0</v>
      </c>
      <c r="O256" s="36">
        <f t="shared" si="46"/>
        <v>0</v>
      </c>
      <c r="P256" s="36">
        <f t="shared" si="47"/>
        <v>0</v>
      </c>
      <c r="Q256" s="36">
        <f t="shared" si="48"/>
        <v>0</v>
      </c>
      <c r="R256" s="36">
        <f t="shared" si="49"/>
        <v>0</v>
      </c>
      <c r="S256" s="36">
        <f t="shared" si="50"/>
        <v>0</v>
      </c>
      <c r="T256" s="36">
        <f t="shared" si="51"/>
        <v>0</v>
      </c>
      <c r="U256" s="36">
        <f t="shared" si="52"/>
        <v>0</v>
      </c>
      <c r="V256" s="36">
        <f t="shared" si="53"/>
        <v>0</v>
      </c>
      <c r="W256" s="19">
        <f t="shared" si="54"/>
        <v>0</v>
      </c>
    </row>
    <row r="257" spans="1:23">
      <c r="A257" s="56"/>
      <c r="B257" s="57"/>
      <c r="C257" s="84"/>
      <c r="D257" s="56"/>
      <c r="E257" s="58"/>
      <c r="F257" s="59"/>
      <c r="G257" s="56"/>
      <c r="H257" s="58"/>
      <c r="I257" s="58"/>
      <c r="J257" s="19">
        <f t="shared" si="42"/>
        <v>0</v>
      </c>
      <c r="K257" s="19">
        <f t="shared" si="55"/>
        <v>4433611</v>
      </c>
      <c r="L257" s="36">
        <f t="shared" si="43"/>
        <v>0</v>
      </c>
      <c r="M257" s="36">
        <f t="shared" si="44"/>
        <v>0</v>
      </c>
      <c r="N257" s="36">
        <f t="shared" si="45"/>
        <v>0</v>
      </c>
      <c r="O257" s="36">
        <f t="shared" si="46"/>
        <v>0</v>
      </c>
      <c r="P257" s="36">
        <f t="shared" si="47"/>
        <v>0</v>
      </c>
      <c r="Q257" s="36">
        <f t="shared" si="48"/>
        <v>0</v>
      </c>
      <c r="R257" s="36">
        <f t="shared" si="49"/>
        <v>0</v>
      </c>
      <c r="S257" s="36">
        <f t="shared" si="50"/>
        <v>0</v>
      </c>
      <c r="T257" s="36">
        <f t="shared" si="51"/>
        <v>0</v>
      </c>
      <c r="U257" s="36">
        <f t="shared" si="52"/>
        <v>0</v>
      </c>
      <c r="V257" s="36">
        <f t="shared" si="53"/>
        <v>0</v>
      </c>
      <c r="W257" s="19">
        <f t="shared" si="54"/>
        <v>0</v>
      </c>
    </row>
    <row r="258" spans="1:23">
      <c r="A258" s="56"/>
      <c r="B258" s="57"/>
      <c r="C258" s="84"/>
      <c r="D258" s="56"/>
      <c r="E258" s="58"/>
      <c r="F258" s="59"/>
      <c r="G258" s="56"/>
      <c r="H258" s="58"/>
      <c r="I258" s="58"/>
      <c r="J258" s="19">
        <f t="shared" si="42"/>
        <v>0</v>
      </c>
      <c r="K258" s="19">
        <f t="shared" si="55"/>
        <v>4433611</v>
      </c>
      <c r="L258" s="36">
        <f t="shared" si="43"/>
        <v>0</v>
      </c>
      <c r="M258" s="36">
        <f t="shared" si="44"/>
        <v>0</v>
      </c>
      <c r="N258" s="36">
        <f t="shared" si="45"/>
        <v>0</v>
      </c>
      <c r="O258" s="36">
        <f t="shared" si="46"/>
        <v>0</v>
      </c>
      <c r="P258" s="36">
        <f t="shared" si="47"/>
        <v>0</v>
      </c>
      <c r="Q258" s="36">
        <f t="shared" si="48"/>
        <v>0</v>
      </c>
      <c r="R258" s="36">
        <f t="shared" si="49"/>
        <v>0</v>
      </c>
      <c r="S258" s="36">
        <f t="shared" si="50"/>
        <v>0</v>
      </c>
      <c r="T258" s="36">
        <f t="shared" si="51"/>
        <v>0</v>
      </c>
      <c r="U258" s="36">
        <f t="shared" si="52"/>
        <v>0</v>
      </c>
      <c r="V258" s="36">
        <f t="shared" si="53"/>
        <v>0</v>
      </c>
      <c r="W258" s="19">
        <f t="shared" si="54"/>
        <v>0</v>
      </c>
    </row>
    <row r="259" spans="1:23">
      <c r="A259" s="56"/>
      <c r="B259" s="57"/>
      <c r="C259" s="84"/>
      <c r="D259" s="56"/>
      <c r="E259" s="58"/>
      <c r="F259" s="59"/>
      <c r="G259" s="56"/>
      <c r="H259" s="58"/>
      <c r="I259" s="58"/>
      <c r="J259" s="19">
        <f t="shared" si="42"/>
        <v>0</v>
      </c>
      <c r="K259" s="19">
        <f t="shared" si="55"/>
        <v>4433611</v>
      </c>
      <c r="L259" s="36">
        <f t="shared" si="43"/>
        <v>0</v>
      </c>
      <c r="M259" s="36">
        <f t="shared" si="44"/>
        <v>0</v>
      </c>
      <c r="N259" s="36">
        <f t="shared" si="45"/>
        <v>0</v>
      </c>
      <c r="O259" s="36">
        <f t="shared" si="46"/>
        <v>0</v>
      </c>
      <c r="P259" s="36">
        <f t="shared" si="47"/>
        <v>0</v>
      </c>
      <c r="Q259" s="36">
        <f t="shared" si="48"/>
        <v>0</v>
      </c>
      <c r="R259" s="36">
        <f t="shared" si="49"/>
        <v>0</v>
      </c>
      <c r="S259" s="36">
        <f t="shared" si="50"/>
        <v>0</v>
      </c>
      <c r="T259" s="36">
        <f t="shared" si="51"/>
        <v>0</v>
      </c>
      <c r="U259" s="36">
        <f t="shared" si="52"/>
        <v>0</v>
      </c>
      <c r="V259" s="36">
        <f t="shared" si="53"/>
        <v>0</v>
      </c>
      <c r="W259" s="19">
        <f t="shared" si="54"/>
        <v>0</v>
      </c>
    </row>
    <row r="260" spans="1:23">
      <c r="A260" s="56"/>
      <c r="B260" s="57"/>
      <c r="C260" s="84"/>
      <c r="D260" s="56"/>
      <c r="E260" s="58"/>
      <c r="F260" s="59"/>
      <c r="G260" s="56"/>
      <c r="H260" s="58"/>
      <c r="I260" s="58"/>
      <c r="J260" s="19">
        <f t="shared" si="42"/>
        <v>0</v>
      </c>
      <c r="K260" s="19">
        <f t="shared" si="55"/>
        <v>4433611</v>
      </c>
      <c r="L260" s="36">
        <f t="shared" si="43"/>
        <v>0</v>
      </c>
      <c r="M260" s="36">
        <f t="shared" si="44"/>
        <v>0</v>
      </c>
      <c r="N260" s="36">
        <f t="shared" si="45"/>
        <v>0</v>
      </c>
      <c r="O260" s="36">
        <f t="shared" si="46"/>
        <v>0</v>
      </c>
      <c r="P260" s="36">
        <f t="shared" si="47"/>
        <v>0</v>
      </c>
      <c r="Q260" s="36">
        <f t="shared" si="48"/>
        <v>0</v>
      </c>
      <c r="R260" s="36">
        <f t="shared" si="49"/>
        <v>0</v>
      </c>
      <c r="S260" s="36">
        <f t="shared" si="50"/>
        <v>0</v>
      </c>
      <c r="T260" s="36">
        <f t="shared" si="51"/>
        <v>0</v>
      </c>
      <c r="U260" s="36">
        <f t="shared" si="52"/>
        <v>0</v>
      </c>
      <c r="V260" s="36">
        <f t="shared" si="53"/>
        <v>0</v>
      </c>
      <c r="W260" s="19">
        <f t="shared" si="54"/>
        <v>0</v>
      </c>
    </row>
    <row r="261" spans="1:23">
      <c r="A261" s="56"/>
      <c r="B261" s="57"/>
      <c r="C261" s="84"/>
      <c r="D261" s="56"/>
      <c r="E261" s="58"/>
      <c r="F261" s="59"/>
      <c r="G261" s="56"/>
      <c r="H261" s="58"/>
      <c r="I261" s="58"/>
      <c r="J261" s="19">
        <f t="shared" si="42"/>
        <v>0</v>
      </c>
      <c r="K261" s="19">
        <f t="shared" si="55"/>
        <v>4433611</v>
      </c>
      <c r="L261" s="36">
        <f t="shared" si="43"/>
        <v>0</v>
      </c>
      <c r="M261" s="36">
        <f t="shared" si="44"/>
        <v>0</v>
      </c>
      <c r="N261" s="36">
        <f t="shared" si="45"/>
        <v>0</v>
      </c>
      <c r="O261" s="36">
        <f t="shared" si="46"/>
        <v>0</v>
      </c>
      <c r="P261" s="36">
        <f t="shared" si="47"/>
        <v>0</v>
      </c>
      <c r="Q261" s="36">
        <f t="shared" si="48"/>
        <v>0</v>
      </c>
      <c r="R261" s="36">
        <f t="shared" si="49"/>
        <v>0</v>
      </c>
      <c r="S261" s="36">
        <f t="shared" si="50"/>
        <v>0</v>
      </c>
      <c r="T261" s="36">
        <f t="shared" si="51"/>
        <v>0</v>
      </c>
      <c r="U261" s="36">
        <f t="shared" si="52"/>
        <v>0</v>
      </c>
      <c r="V261" s="36">
        <f t="shared" si="53"/>
        <v>0</v>
      </c>
      <c r="W261" s="19">
        <f t="shared" si="54"/>
        <v>0</v>
      </c>
    </row>
    <row r="262" spans="1:23">
      <c r="A262" s="56"/>
      <c r="B262" s="57"/>
      <c r="C262" s="84"/>
      <c r="D262" s="56"/>
      <c r="E262" s="58"/>
      <c r="F262" s="59"/>
      <c r="G262" s="56"/>
      <c r="H262" s="58"/>
      <c r="I262" s="58"/>
      <c r="J262" s="19">
        <f t="shared" si="42"/>
        <v>0</v>
      </c>
      <c r="K262" s="19">
        <f t="shared" si="55"/>
        <v>4433611</v>
      </c>
      <c r="L262" s="36">
        <f t="shared" si="43"/>
        <v>0</v>
      </c>
      <c r="M262" s="36">
        <f t="shared" si="44"/>
        <v>0</v>
      </c>
      <c r="N262" s="36">
        <f t="shared" si="45"/>
        <v>0</v>
      </c>
      <c r="O262" s="36">
        <f t="shared" si="46"/>
        <v>0</v>
      </c>
      <c r="P262" s="36">
        <f t="shared" si="47"/>
        <v>0</v>
      </c>
      <c r="Q262" s="36">
        <f t="shared" si="48"/>
        <v>0</v>
      </c>
      <c r="R262" s="36">
        <f t="shared" si="49"/>
        <v>0</v>
      </c>
      <c r="S262" s="36">
        <f t="shared" si="50"/>
        <v>0</v>
      </c>
      <c r="T262" s="36">
        <f t="shared" si="51"/>
        <v>0</v>
      </c>
      <c r="U262" s="36">
        <f t="shared" si="52"/>
        <v>0</v>
      </c>
      <c r="V262" s="36">
        <f t="shared" si="53"/>
        <v>0</v>
      </c>
      <c r="W262" s="19">
        <f t="shared" si="54"/>
        <v>0</v>
      </c>
    </row>
    <row r="263" spans="1:23">
      <c r="A263" s="56"/>
      <c r="B263" s="57"/>
      <c r="C263" s="84"/>
      <c r="D263" s="56"/>
      <c r="E263" s="58"/>
      <c r="F263" s="59"/>
      <c r="G263" s="56"/>
      <c r="H263" s="58"/>
      <c r="I263" s="58"/>
      <c r="J263" s="19">
        <f t="shared" ref="J263:J288" si="56">I263+E263+H263</f>
        <v>0</v>
      </c>
      <c r="K263" s="19">
        <f t="shared" si="55"/>
        <v>4433611</v>
      </c>
      <c r="L263" s="36">
        <f t="shared" ref="L263:L288" si="57">IF(C263=1,SUM(E263+I263+H263),(0))</f>
        <v>0</v>
      </c>
      <c r="M263" s="36">
        <f t="shared" ref="M263:M288" si="58">IF(C263=2,SUM(E263+I263+H263),(0))</f>
        <v>0</v>
      </c>
      <c r="N263" s="36">
        <f t="shared" ref="N263:N288" si="59">IF(C263=3,SUM(E263+I263+H263),(0))</f>
        <v>0</v>
      </c>
      <c r="O263" s="36">
        <f t="shared" ref="O263:O288" si="60">IF(C263=4,SUM(E263+I263+H263),(0))</f>
        <v>0</v>
      </c>
      <c r="P263" s="36">
        <f t="shared" ref="P263:P288" si="61">IF(C263=5,SUM(E263+I263+H263),(0))</f>
        <v>0</v>
      </c>
      <c r="Q263" s="36">
        <f t="shared" ref="Q263:Q288" si="62">IF(C263=6,SUM(E263+I263+H263),(0))</f>
        <v>0</v>
      </c>
      <c r="R263" s="36">
        <f t="shared" ref="R263:R288" si="63">IF(C263=7,SUM(E263+I263+H263),(0))</f>
        <v>0</v>
      </c>
      <c r="S263" s="36">
        <f t="shared" ref="S263:S288" si="64">IF(C263=8,SUM(E263+I263+H263),(0))</f>
        <v>0</v>
      </c>
      <c r="T263" s="36">
        <f t="shared" ref="T263:T288" si="65">IF(C263=8.1,SUM(E263+I263+H263),(0))</f>
        <v>0</v>
      </c>
      <c r="U263" s="36">
        <f t="shared" ref="U263:U288" si="66">IF(C263=9,SUM(E263+I263+H263),(0))</f>
        <v>0</v>
      </c>
      <c r="V263" s="36">
        <f t="shared" ref="V263:V288" si="67">IF(C263=10,SUM(E263+I263+H263),(0))</f>
        <v>0</v>
      </c>
      <c r="W263" s="19">
        <f t="shared" ref="W263:W288" si="68">SUM(L263:V263)</f>
        <v>0</v>
      </c>
    </row>
    <row r="264" spans="1:23">
      <c r="A264" s="56"/>
      <c r="B264" s="57"/>
      <c r="C264" s="84"/>
      <c r="D264" s="56"/>
      <c r="E264" s="58"/>
      <c r="F264" s="59"/>
      <c r="G264" s="56"/>
      <c r="H264" s="58"/>
      <c r="I264" s="58"/>
      <c r="J264" s="19">
        <f t="shared" si="56"/>
        <v>0</v>
      </c>
      <c r="K264" s="19">
        <f t="shared" si="55"/>
        <v>4433611</v>
      </c>
      <c r="L264" s="36">
        <f t="shared" si="57"/>
        <v>0</v>
      </c>
      <c r="M264" s="36">
        <f t="shared" si="58"/>
        <v>0</v>
      </c>
      <c r="N264" s="36">
        <f t="shared" si="59"/>
        <v>0</v>
      </c>
      <c r="O264" s="36">
        <f t="shared" si="60"/>
        <v>0</v>
      </c>
      <c r="P264" s="36">
        <f t="shared" si="61"/>
        <v>0</v>
      </c>
      <c r="Q264" s="36">
        <f t="shared" si="62"/>
        <v>0</v>
      </c>
      <c r="R264" s="36">
        <f t="shared" si="63"/>
        <v>0</v>
      </c>
      <c r="S264" s="36">
        <f t="shared" si="64"/>
        <v>0</v>
      </c>
      <c r="T264" s="36">
        <f t="shared" si="65"/>
        <v>0</v>
      </c>
      <c r="U264" s="36">
        <f t="shared" si="66"/>
        <v>0</v>
      </c>
      <c r="V264" s="36">
        <f t="shared" si="67"/>
        <v>0</v>
      </c>
      <c r="W264" s="19">
        <f t="shared" si="68"/>
        <v>0</v>
      </c>
    </row>
    <row r="265" spans="1:23">
      <c r="A265" s="56"/>
      <c r="B265" s="57"/>
      <c r="C265" s="84"/>
      <c r="D265" s="56"/>
      <c r="E265" s="58"/>
      <c r="F265" s="59"/>
      <c r="G265" s="56"/>
      <c r="H265" s="58"/>
      <c r="I265" s="58"/>
      <c r="J265" s="19">
        <f t="shared" si="56"/>
        <v>0</v>
      </c>
      <c r="K265" s="19">
        <f t="shared" ref="K265:K288" si="69">K264+J265</f>
        <v>4433611</v>
      </c>
      <c r="L265" s="36">
        <f t="shared" si="57"/>
        <v>0</v>
      </c>
      <c r="M265" s="36">
        <f t="shared" si="58"/>
        <v>0</v>
      </c>
      <c r="N265" s="36">
        <f t="shared" si="59"/>
        <v>0</v>
      </c>
      <c r="O265" s="36">
        <f t="shared" si="60"/>
        <v>0</v>
      </c>
      <c r="P265" s="36">
        <f t="shared" si="61"/>
        <v>0</v>
      </c>
      <c r="Q265" s="36">
        <f t="shared" si="62"/>
        <v>0</v>
      </c>
      <c r="R265" s="36">
        <f t="shared" si="63"/>
        <v>0</v>
      </c>
      <c r="S265" s="36">
        <f t="shared" si="64"/>
        <v>0</v>
      </c>
      <c r="T265" s="36">
        <f t="shared" si="65"/>
        <v>0</v>
      </c>
      <c r="U265" s="36">
        <f t="shared" si="66"/>
        <v>0</v>
      </c>
      <c r="V265" s="36">
        <f t="shared" si="67"/>
        <v>0</v>
      </c>
      <c r="W265" s="19">
        <f t="shared" si="68"/>
        <v>0</v>
      </c>
    </row>
    <row r="266" spans="1:23">
      <c r="A266" s="56"/>
      <c r="B266" s="57"/>
      <c r="C266" s="84"/>
      <c r="D266" s="56"/>
      <c r="E266" s="58"/>
      <c r="F266" s="59"/>
      <c r="G266" s="56"/>
      <c r="H266" s="58"/>
      <c r="I266" s="58"/>
      <c r="J266" s="19">
        <f t="shared" si="56"/>
        <v>0</v>
      </c>
      <c r="K266" s="19">
        <f t="shared" si="69"/>
        <v>4433611</v>
      </c>
      <c r="L266" s="36">
        <f t="shared" si="57"/>
        <v>0</v>
      </c>
      <c r="M266" s="36">
        <f t="shared" si="58"/>
        <v>0</v>
      </c>
      <c r="N266" s="36">
        <f t="shared" si="59"/>
        <v>0</v>
      </c>
      <c r="O266" s="36">
        <f t="shared" si="60"/>
        <v>0</v>
      </c>
      <c r="P266" s="36">
        <f t="shared" si="61"/>
        <v>0</v>
      </c>
      <c r="Q266" s="36">
        <f t="shared" si="62"/>
        <v>0</v>
      </c>
      <c r="R266" s="36">
        <f t="shared" si="63"/>
        <v>0</v>
      </c>
      <c r="S266" s="36">
        <f t="shared" si="64"/>
        <v>0</v>
      </c>
      <c r="T266" s="36">
        <f t="shared" si="65"/>
        <v>0</v>
      </c>
      <c r="U266" s="36">
        <f t="shared" si="66"/>
        <v>0</v>
      </c>
      <c r="V266" s="36">
        <f t="shared" si="67"/>
        <v>0</v>
      </c>
      <c r="W266" s="19">
        <f t="shared" si="68"/>
        <v>0</v>
      </c>
    </row>
    <row r="267" spans="1:23">
      <c r="A267" s="56"/>
      <c r="B267" s="57"/>
      <c r="C267" s="84"/>
      <c r="D267" s="56"/>
      <c r="E267" s="58"/>
      <c r="F267" s="59"/>
      <c r="G267" s="56"/>
      <c r="H267" s="58"/>
      <c r="I267" s="58"/>
      <c r="J267" s="19">
        <f t="shared" si="56"/>
        <v>0</v>
      </c>
      <c r="K267" s="19">
        <f t="shared" si="69"/>
        <v>4433611</v>
      </c>
      <c r="L267" s="36">
        <f t="shared" si="57"/>
        <v>0</v>
      </c>
      <c r="M267" s="36">
        <f t="shared" si="58"/>
        <v>0</v>
      </c>
      <c r="N267" s="36">
        <f t="shared" si="59"/>
        <v>0</v>
      </c>
      <c r="O267" s="36">
        <f t="shared" si="60"/>
        <v>0</v>
      </c>
      <c r="P267" s="36">
        <f t="shared" si="61"/>
        <v>0</v>
      </c>
      <c r="Q267" s="36">
        <f t="shared" si="62"/>
        <v>0</v>
      </c>
      <c r="R267" s="36">
        <f t="shared" si="63"/>
        <v>0</v>
      </c>
      <c r="S267" s="36">
        <f t="shared" si="64"/>
        <v>0</v>
      </c>
      <c r="T267" s="36">
        <f t="shared" si="65"/>
        <v>0</v>
      </c>
      <c r="U267" s="36">
        <f t="shared" si="66"/>
        <v>0</v>
      </c>
      <c r="V267" s="36">
        <f t="shared" si="67"/>
        <v>0</v>
      </c>
      <c r="W267" s="19">
        <f t="shared" si="68"/>
        <v>0</v>
      </c>
    </row>
    <row r="268" spans="1:23">
      <c r="A268" s="56"/>
      <c r="B268" s="57"/>
      <c r="C268" s="84"/>
      <c r="D268" s="56"/>
      <c r="E268" s="58"/>
      <c r="F268" s="59"/>
      <c r="G268" s="56"/>
      <c r="H268" s="58"/>
      <c r="I268" s="58"/>
      <c r="J268" s="19">
        <f t="shared" si="56"/>
        <v>0</v>
      </c>
      <c r="K268" s="19">
        <f t="shared" si="69"/>
        <v>4433611</v>
      </c>
      <c r="L268" s="36">
        <f t="shared" si="57"/>
        <v>0</v>
      </c>
      <c r="M268" s="36">
        <f t="shared" si="58"/>
        <v>0</v>
      </c>
      <c r="N268" s="36">
        <f t="shared" si="59"/>
        <v>0</v>
      </c>
      <c r="O268" s="36">
        <f t="shared" si="60"/>
        <v>0</v>
      </c>
      <c r="P268" s="36">
        <f t="shared" si="61"/>
        <v>0</v>
      </c>
      <c r="Q268" s="36">
        <f t="shared" si="62"/>
        <v>0</v>
      </c>
      <c r="R268" s="36">
        <f t="shared" si="63"/>
        <v>0</v>
      </c>
      <c r="S268" s="36">
        <f t="shared" si="64"/>
        <v>0</v>
      </c>
      <c r="T268" s="36">
        <f t="shared" si="65"/>
        <v>0</v>
      </c>
      <c r="U268" s="36">
        <f t="shared" si="66"/>
        <v>0</v>
      </c>
      <c r="V268" s="36">
        <f t="shared" si="67"/>
        <v>0</v>
      </c>
      <c r="W268" s="19">
        <f t="shared" si="68"/>
        <v>0</v>
      </c>
    </row>
    <row r="269" spans="1:23">
      <c r="A269" s="56"/>
      <c r="B269" s="57"/>
      <c r="C269" s="84"/>
      <c r="D269" s="56"/>
      <c r="E269" s="58"/>
      <c r="F269" s="59"/>
      <c r="G269" s="56"/>
      <c r="H269" s="58"/>
      <c r="I269" s="58"/>
      <c r="J269" s="19">
        <f t="shared" si="56"/>
        <v>0</v>
      </c>
      <c r="K269" s="19">
        <f t="shared" si="69"/>
        <v>4433611</v>
      </c>
      <c r="L269" s="36">
        <f t="shared" si="57"/>
        <v>0</v>
      </c>
      <c r="M269" s="36">
        <f t="shared" si="58"/>
        <v>0</v>
      </c>
      <c r="N269" s="36">
        <f t="shared" si="59"/>
        <v>0</v>
      </c>
      <c r="O269" s="36">
        <f t="shared" si="60"/>
        <v>0</v>
      </c>
      <c r="P269" s="36">
        <f t="shared" si="61"/>
        <v>0</v>
      </c>
      <c r="Q269" s="36">
        <f t="shared" si="62"/>
        <v>0</v>
      </c>
      <c r="R269" s="36">
        <f t="shared" si="63"/>
        <v>0</v>
      </c>
      <c r="S269" s="36">
        <f t="shared" si="64"/>
        <v>0</v>
      </c>
      <c r="T269" s="36">
        <f t="shared" si="65"/>
        <v>0</v>
      </c>
      <c r="U269" s="36">
        <f t="shared" si="66"/>
        <v>0</v>
      </c>
      <c r="V269" s="36">
        <f t="shared" si="67"/>
        <v>0</v>
      </c>
      <c r="W269" s="19">
        <f t="shared" si="68"/>
        <v>0</v>
      </c>
    </row>
    <row r="270" spans="1:23">
      <c r="A270" s="56"/>
      <c r="B270" s="57"/>
      <c r="C270" s="84"/>
      <c r="D270" s="56"/>
      <c r="E270" s="58"/>
      <c r="F270" s="59"/>
      <c r="G270" s="59"/>
      <c r="H270" s="58"/>
      <c r="I270" s="60"/>
      <c r="J270" s="19">
        <f t="shared" si="56"/>
        <v>0</v>
      </c>
      <c r="K270" s="19">
        <f t="shared" si="69"/>
        <v>4433611</v>
      </c>
      <c r="L270" s="36">
        <f t="shared" si="57"/>
        <v>0</v>
      </c>
      <c r="M270" s="36">
        <f t="shared" si="58"/>
        <v>0</v>
      </c>
      <c r="N270" s="36">
        <f t="shared" si="59"/>
        <v>0</v>
      </c>
      <c r="O270" s="36">
        <f t="shared" si="60"/>
        <v>0</v>
      </c>
      <c r="P270" s="36">
        <f t="shared" si="61"/>
        <v>0</v>
      </c>
      <c r="Q270" s="36">
        <f t="shared" si="62"/>
        <v>0</v>
      </c>
      <c r="R270" s="36">
        <f t="shared" si="63"/>
        <v>0</v>
      </c>
      <c r="S270" s="36">
        <f t="shared" si="64"/>
        <v>0</v>
      </c>
      <c r="T270" s="36">
        <f t="shared" si="65"/>
        <v>0</v>
      </c>
      <c r="U270" s="36">
        <f t="shared" si="66"/>
        <v>0</v>
      </c>
      <c r="V270" s="36">
        <f t="shared" si="67"/>
        <v>0</v>
      </c>
      <c r="W270" s="19">
        <f t="shared" si="68"/>
        <v>0</v>
      </c>
    </row>
    <row r="271" spans="1:23">
      <c r="A271" s="56"/>
      <c r="B271" s="57"/>
      <c r="C271" s="84"/>
      <c r="D271" s="56"/>
      <c r="E271" s="58"/>
      <c r="F271" s="59"/>
      <c r="G271" s="59"/>
      <c r="H271" s="58"/>
      <c r="I271" s="60"/>
      <c r="J271" s="19">
        <f t="shared" si="56"/>
        <v>0</v>
      </c>
      <c r="K271" s="19">
        <f t="shared" si="69"/>
        <v>4433611</v>
      </c>
      <c r="L271" s="36">
        <f t="shared" si="57"/>
        <v>0</v>
      </c>
      <c r="M271" s="36">
        <f t="shared" si="58"/>
        <v>0</v>
      </c>
      <c r="N271" s="36">
        <f t="shared" si="59"/>
        <v>0</v>
      </c>
      <c r="O271" s="36">
        <f t="shared" si="60"/>
        <v>0</v>
      </c>
      <c r="P271" s="36">
        <f t="shared" si="61"/>
        <v>0</v>
      </c>
      <c r="Q271" s="36">
        <f t="shared" si="62"/>
        <v>0</v>
      </c>
      <c r="R271" s="36">
        <f t="shared" si="63"/>
        <v>0</v>
      </c>
      <c r="S271" s="36">
        <f t="shared" si="64"/>
        <v>0</v>
      </c>
      <c r="T271" s="36">
        <f t="shared" si="65"/>
        <v>0</v>
      </c>
      <c r="U271" s="36">
        <f t="shared" si="66"/>
        <v>0</v>
      </c>
      <c r="V271" s="36">
        <f t="shared" si="67"/>
        <v>0</v>
      </c>
      <c r="W271" s="19">
        <f t="shared" si="68"/>
        <v>0</v>
      </c>
    </row>
    <row r="272" spans="1:23">
      <c r="A272" s="56"/>
      <c r="B272" s="57"/>
      <c r="C272" s="84"/>
      <c r="D272" s="56"/>
      <c r="E272" s="58"/>
      <c r="F272" s="59"/>
      <c r="G272" s="59"/>
      <c r="H272" s="58"/>
      <c r="I272" s="60"/>
      <c r="J272" s="19">
        <f t="shared" si="56"/>
        <v>0</v>
      </c>
      <c r="K272" s="19">
        <f t="shared" si="69"/>
        <v>4433611</v>
      </c>
      <c r="L272" s="36">
        <f t="shared" si="57"/>
        <v>0</v>
      </c>
      <c r="M272" s="36">
        <f t="shared" si="58"/>
        <v>0</v>
      </c>
      <c r="N272" s="36">
        <f t="shared" si="59"/>
        <v>0</v>
      </c>
      <c r="O272" s="36">
        <f t="shared" si="60"/>
        <v>0</v>
      </c>
      <c r="P272" s="36">
        <f t="shared" si="61"/>
        <v>0</v>
      </c>
      <c r="Q272" s="36">
        <f t="shared" si="62"/>
        <v>0</v>
      </c>
      <c r="R272" s="36">
        <f t="shared" si="63"/>
        <v>0</v>
      </c>
      <c r="S272" s="36">
        <f t="shared" si="64"/>
        <v>0</v>
      </c>
      <c r="T272" s="36">
        <f t="shared" si="65"/>
        <v>0</v>
      </c>
      <c r="U272" s="36">
        <f t="shared" si="66"/>
        <v>0</v>
      </c>
      <c r="V272" s="36">
        <f t="shared" si="67"/>
        <v>0</v>
      </c>
      <c r="W272" s="19">
        <f t="shared" si="68"/>
        <v>0</v>
      </c>
    </row>
    <row r="273" spans="1:23">
      <c r="A273" s="56"/>
      <c r="B273" s="57"/>
      <c r="C273" s="84"/>
      <c r="D273" s="56"/>
      <c r="E273" s="58"/>
      <c r="F273" s="59"/>
      <c r="G273" s="59"/>
      <c r="H273" s="58"/>
      <c r="I273" s="60"/>
      <c r="J273" s="19">
        <f t="shared" si="56"/>
        <v>0</v>
      </c>
      <c r="K273" s="19">
        <f t="shared" si="69"/>
        <v>4433611</v>
      </c>
      <c r="L273" s="36">
        <f t="shared" si="57"/>
        <v>0</v>
      </c>
      <c r="M273" s="36">
        <f t="shared" si="58"/>
        <v>0</v>
      </c>
      <c r="N273" s="36">
        <f t="shared" si="59"/>
        <v>0</v>
      </c>
      <c r="O273" s="36">
        <f t="shared" si="60"/>
        <v>0</v>
      </c>
      <c r="P273" s="36">
        <f t="shared" si="61"/>
        <v>0</v>
      </c>
      <c r="Q273" s="36">
        <f t="shared" si="62"/>
        <v>0</v>
      </c>
      <c r="R273" s="36">
        <f t="shared" si="63"/>
        <v>0</v>
      </c>
      <c r="S273" s="36">
        <f t="shared" si="64"/>
        <v>0</v>
      </c>
      <c r="T273" s="36">
        <f t="shared" si="65"/>
        <v>0</v>
      </c>
      <c r="U273" s="36">
        <f t="shared" si="66"/>
        <v>0</v>
      </c>
      <c r="V273" s="36">
        <f t="shared" si="67"/>
        <v>0</v>
      </c>
      <c r="W273" s="19">
        <f t="shared" si="68"/>
        <v>0</v>
      </c>
    </row>
    <row r="274" spans="1:23">
      <c r="A274" s="56"/>
      <c r="B274" s="57"/>
      <c r="C274" s="84"/>
      <c r="D274" s="56"/>
      <c r="E274" s="58"/>
      <c r="F274" s="59"/>
      <c r="G274" s="59"/>
      <c r="H274" s="58"/>
      <c r="I274" s="60"/>
      <c r="J274" s="19">
        <f t="shared" si="56"/>
        <v>0</v>
      </c>
      <c r="K274" s="19">
        <f t="shared" si="69"/>
        <v>4433611</v>
      </c>
      <c r="L274" s="36">
        <f t="shared" si="57"/>
        <v>0</v>
      </c>
      <c r="M274" s="36">
        <f t="shared" si="58"/>
        <v>0</v>
      </c>
      <c r="N274" s="36">
        <f t="shared" si="59"/>
        <v>0</v>
      </c>
      <c r="O274" s="36">
        <f t="shared" si="60"/>
        <v>0</v>
      </c>
      <c r="P274" s="36">
        <f t="shared" si="61"/>
        <v>0</v>
      </c>
      <c r="Q274" s="36">
        <f t="shared" si="62"/>
        <v>0</v>
      </c>
      <c r="R274" s="36">
        <f t="shared" si="63"/>
        <v>0</v>
      </c>
      <c r="S274" s="36">
        <f t="shared" si="64"/>
        <v>0</v>
      </c>
      <c r="T274" s="36">
        <f t="shared" si="65"/>
        <v>0</v>
      </c>
      <c r="U274" s="36">
        <f t="shared" si="66"/>
        <v>0</v>
      </c>
      <c r="V274" s="36">
        <f t="shared" si="67"/>
        <v>0</v>
      </c>
      <c r="W274" s="19">
        <f t="shared" si="68"/>
        <v>0</v>
      </c>
    </row>
    <row r="275" spans="1:23">
      <c r="A275" s="56"/>
      <c r="B275" s="57"/>
      <c r="C275" s="84"/>
      <c r="D275" s="56"/>
      <c r="E275" s="58"/>
      <c r="F275" s="59"/>
      <c r="G275" s="59"/>
      <c r="H275" s="58"/>
      <c r="I275" s="60"/>
      <c r="J275" s="19">
        <f t="shared" si="56"/>
        <v>0</v>
      </c>
      <c r="K275" s="19">
        <f t="shared" si="69"/>
        <v>4433611</v>
      </c>
      <c r="L275" s="36">
        <f t="shared" si="57"/>
        <v>0</v>
      </c>
      <c r="M275" s="36">
        <f t="shared" si="58"/>
        <v>0</v>
      </c>
      <c r="N275" s="36">
        <f t="shared" si="59"/>
        <v>0</v>
      </c>
      <c r="O275" s="36">
        <f t="shared" si="60"/>
        <v>0</v>
      </c>
      <c r="P275" s="36">
        <f t="shared" si="61"/>
        <v>0</v>
      </c>
      <c r="Q275" s="36">
        <f t="shared" si="62"/>
        <v>0</v>
      </c>
      <c r="R275" s="36">
        <f t="shared" si="63"/>
        <v>0</v>
      </c>
      <c r="S275" s="36">
        <f t="shared" si="64"/>
        <v>0</v>
      </c>
      <c r="T275" s="36">
        <f t="shared" si="65"/>
        <v>0</v>
      </c>
      <c r="U275" s="36">
        <f t="shared" si="66"/>
        <v>0</v>
      </c>
      <c r="V275" s="36">
        <f t="shared" si="67"/>
        <v>0</v>
      </c>
      <c r="W275" s="19">
        <f t="shared" si="68"/>
        <v>0</v>
      </c>
    </row>
    <row r="276" spans="1:23">
      <c r="A276" s="56"/>
      <c r="B276" s="57"/>
      <c r="C276" s="84"/>
      <c r="D276" s="56"/>
      <c r="E276" s="58"/>
      <c r="F276" s="59"/>
      <c r="G276" s="59"/>
      <c r="H276" s="58"/>
      <c r="I276" s="60"/>
      <c r="J276" s="19">
        <f t="shared" si="56"/>
        <v>0</v>
      </c>
      <c r="K276" s="19">
        <f t="shared" si="69"/>
        <v>4433611</v>
      </c>
      <c r="L276" s="36">
        <f t="shared" si="57"/>
        <v>0</v>
      </c>
      <c r="M276" s="36">
        <f t="shared" si="58"/>
        <v>0</v>
      </c>
      <c r="N276" s="36">
        <f t="shared" si="59"/>
        <v>0</v>
      </c>
      <c r="O276" s="36">
        <f t="shared" si="60"/>
        <v>0</v>
      </c>
      <c r="P276" s="36">
        <f t="shared" si="61"/>
        <v>0</v>
      </c>
      <c r="Q276" s="36">
        <f t="shared" si="62"/>
        <v>0</v>
      </c>
      <c r="R276" s="36">
        <f t="shared" si="63"/>
        <v>0</v>
      </c>
      <c r="S276" s="36">
        <f t="shared" si="64"/>
        <v>0</v>
      </c>
      <c r="T276" s="36">
        <f t="shared" si="65"/>
        <v>0</v>
      </c>
      <c r="U276" s="36">
        <f t="shared" si="66"/>
        <v>0</v>
      </c>
      <c r="V276" s="36">
        <f t="shared" si="67"/>
        <v>0</v>
      </c>
      <c r="W276" s="19">
        <f t="shared" si="68"/>
        <v>0</v>
      </c>
    </row>
    <row r="277" spans="1:23">
      <c r="A277" s="56"/>
      <c r="B277" s="57"/>
      <c r="C277" s="84"/>
      <c r="D277" s="56"/>
      <c r="E277" s="58"/>
      <c r="F277" s="59"/>
      <c r="G277" s="59"/>
      <c r="H277" s="58"/>
      <c r="I277" s="60"/>
      <c r="J277" s="19">
        <f t="shared" si="56"/>
        <v>0</v>
      </c>
      <c r="K277" s="19">
        <f t="shared" si="69"/>
        <v>4433611</v>
      </c>
      <c r="L277" s="36">
        <f t="shared" si="57"/>
        <v>0</v>
      </c>
      <c r="M277" s="36">
        <f t="shared" si="58"/>
        <v>0</v>
      </c>
      <c r="N277" s="36">
        <f t="shared" si="59"/>
        <v>0</v>
      </c>
      <c r="O277" s="36">
        <f t="shared" si="60"/>
        <v>0</v>
      </c>
      <c r="P277" s="36">
        <f t="shared" si="61"/>
        <v>0</v>
      </c>
      <c r="Q277" s="36">
        <f t="shared" si="62"/>
        <v>0</v>
      </c>
      <c r="R277" s="36">
        <f t="shared" si="63"/>
        <v>0</v>
      </c>
      <c r="S277" s="36">
        <f t="shared" si="64"/>
        <v>0</v>
      </c>
      <c r="T277" s="36">
        <f t="shared" si="65"/>
        <v>0</v>
      </c>
      <c r="U277" s="36">
        <f t="shared" si="66"/>
        <v>0</v>
      </c>
      <c r="V277" s="36">
        <f t="shared" si="67"/>
        <v>0</v>
      </c>
      <c r="W277" s="19">
        <f t="shared" si="68"/>
        <v>0</v>
      </c>
    </row>
    <row r="278" spans="1:23">
      <c r="A278" s="56"/>
      <c r="B278" s="57"/>
      <c r="C278" s="84"/>
      <c r="D278" s="56"/>
      <c r="E278" s="58"/>
      <c r="F278" s="59"/>
      <c r="G278" s="59"/>
      <c r="H278" s="58"/>
      <c r="I278" s="60"/>
      <c r="J278" s="19">
        <f t="shared" si="56"/>
        <v>0</v>
      </c>
      <c r="K278" s="19">
        <f t="shared" si="69"/>
        <v>4433611</v>
      </c>
      <c r="L278" s="36">
        <f t="shared" si="57"/>
        <v>0</v>
      </c>
      <c r="M278" s="36">
        <f t="shared" si="58"/>
        <v>0</v>
      </c>
      <c r="N278" s="36">
        <f t="shared" si="59"/>
        <v>0</v>
      </c>
      <c r="O278" s="36">
        <f t="shared" si="60"/>
        <v>0</v>
      </c>
      <c r="P278" s="36">
        <f t="shared" si="61"/>
        <v>0</v>
      </c>
      <c r="Q278" s="36">
        <f t="shared" si="62"/>
        <v>0</v>
      </c>
      <c r="R278" s="36">
        <f t="shared" si="63"/>
        <v>0</v>
      </c>
      <c r="S278" s="36">
        <f t="shared" si="64"/>
        <v>0</v>
      </c>
      <c r="T278" s="36">
        <f t="shared" si="65"/>
        <v>0</v>
      </c>
      <c r="U278" s="36">
        <f t="shared" si="66"/>
        <v>0</v>
      </c>
      <c r="V278" s="36">
        <f t="shared" si="67"/>
        <v>0</v>
      </c>
      <c r="W278" s="19">
        <f t="shared" si="68"/>
        <v>0</v>
      </c>
    </row>
    <row r="279" spans="1:23">
      <c r="A279" s="56"/>
      <c r="B279" s="57"/>
      <c r="C279" s="84"/>
      <c r="D279" s="56"/>
      <c r="E279" s="58"/>
      <c r="F279" s="59"/>
      <c r="G279" s="59"/>
      <c r="H279" s="58"/>
      <c r="I279" s="60"/>
      <c r="J279" s="19">
        <f t="shared" si="56"/>
        <v>0</v>
      </c>
      <c r="K279" s="19">
        <f t="shared" si="69"/>
        <v>4433611</v>
      </c>
      <c r="L279" s="36">
        <f t="shared" si="57"/>
        <v>0</v>
      </c>
      <c r="M279" s="36">
        <f t="shared" si="58"/>
        <v>0</v>
      </c>
      <c r="N279" s="36">
        <f t="shared" si="59"/>
        <v>0</v>
      </c>
      <c r="O279" s="36">
        <f t="shared" si="60"/>
        <v>0</v>
      </c>
      <c r="P279" s="36">
        <f t="shared" si="61"/>
        <v>0</v>
      </c>
      <c r="Q279" s="36">
        <f t="shared" si="62"/>
        <v>0</v>
      </c>
      <c r="R279" s="36">
        <f t="shared" si="63"/>
        <v>0</v>
      </c>
      <c r="S279" s="36">
        <f t="shared" si="64"/>
        <v>0</v>
      </c>
      <c r="T279" s="36">
        <f t="shared" si="65"/>
        <v>0</v>
      </c>
      <c r="U279" s="36">
        <f t="shared" si="66"/>
        <v>0</v>
      </c>
      <c r="V279" s="36">
        <f t="shared" si="67"/>
        <v>0</v>
      </c>
      <c r="W279" s="19">
        <f t="shared" si="68"/>
        <v>0</v>
      </c>
    </row>
    <row r="280" spans="1:23">
      <c r="A280" s="56"/>
      <c r="B280" s="57"/>
      <c r="C280" s="84"/>
      <c r="D280" s="56"/>
      <c r="E280" s="58"/>
      <c r="F280" s="59"/>
      <c r="G280" s="59"/>
      <c r="H280" s="58"/>
      <c r="I280" s="60"/>
      <c r="J280" s="19">
        <f t="shared" si="56"/>
        <v>0</v>
      </c>
      <c r="K280" s="19">
        <f t="shared" si="69"/>
        <v>4433611</v>
      </c>
      <c r="L280" s="36">
        <f t="shared" si="57"/>
        <v>0</v>
      </c>
      <c r="M280" s="36">
        <f t="shared" si="58"/>
        <v>0</v>
      </c>
      <c r="N280" s="36">
        <f t="shared" si="59"/>
        <v>0</v>
      </c>
      <c r="O280" s="36">
        <f t="shared" si="60"/>
        <v>0</v>
      </c>
      <c r="P280" s="36">
        <f t="shared" si="61"/>
        <v>0</v>
      </c>
      <c r="Q280" s="36">
        <f t="shared" si="62"/>
        <v>0</v>
      </c>
      <c r="R280" s="36">
        <f t="shared" si="63"/>
        <v>0</v>
      </c>
      <c r="S280" s="36">
        <f t="shared" si="64"/>
        <v>0</v>
      </c>
      <c r="T280" s="36">
        <f t="shared" si="65"/>
        <v>0</v>
      </c>
      <c r="U280" s="36">
        <f t="shared" si="66"/>
        <v>0</v>
      </c>
      <c r="V280" s="36">
        <f t="shared" si="67"/>
        <v>0</v>
      </c>
      <c r="W280" s="19">
        <f t="shared" si="68"/>
        <v>0</v>
      </c>
    </row>
    <row r="281" spans="1:23">
      <c r="A281" s="56"/>
      <c r="B281" s="57"/>
      <c r="C281" s="84"/>
      <c r="D281" s="56"/>
      <c r="E281" s="58"/>
      <c r="F281" s="59"/>
      <c r="G281" s="59"/>
      <c r="H281" s="58"/>
      <c r="I281" s="60"/>
      <c r="J281" s="19">
        <f t="shared" si="56"/>
        <v>0</v>
      </c>
      <c r="K281" s="19">
        <f t="shared" si="69"/>
        <v>4433611</v>
      </c>
      <c r="L281" s="36">
        <f t="shared" si="57"/>
        <v>0</v>
      </c>
      <c r="M281" s="36">
        <f t="shared" si="58"/>
        <v>0</v>
      </c>
      <c r="N281" s="36">
        <f t="shared" si="59"/>
        <v>0</v>
      </c>
      <c r="O281" s="36">
        <f t="shared" si="60"/>
        <v>0</v>
      </c>
      <c r="P281" s="36">
        <f t="shared" si="61"/>
        <v>0</v>
      </c>
      <c r="Q281" s="36">
        <f t="shared" si="62"/>
        <v>0</v>
      </c>
      <c r="R281" s="36">
        <f t="shared" si="63"/>
        <v>0</v>
      </c>
      <c r="S281" s="36">
        <f t="shared" si="64"/>
        <v>0</v>
      </c>
      <c r="T281" s="36">
        <f t="shared" si="65"/>
        <v>0</v>
      </c>
      <c r="U281" s="36">
        <f t="shared" si="66"/>
        <v>0</v>
      </c>
      <c r="V281" s="36">
        <f t="shared" si="67"/>
        <v>0</v>
      </c>
      <c r="W281" s="19">
        <f t="shared" si="68"/>
        <v>0</v>
      </c>
    </row>
    <row r="282" spans="1:23">
      <c r="A282" s="56"/>
      <c r="B282" s="57"/>
      <c r="C282" s="84"/>
      <c r="D282" s="56"/>
      <c r="E282" s="58"/>
      <c r="F282" s="59"/>
      <c r="G282" s="59"/>
      <c r="H282" s="58"/>
      <c r="I282" s="60"/>
      <c r="J282" s="19">
        <f t="shared" si="56"/>
        <v>0</v>
      </c>
      <c r="K282" s="19">
        <f t="shared" si="69"/>
        <v>4433611</v>
      </c>
      <c r="L282" s="36">
        <f t="shared" si="57"/>
        <v>0</v>
      </c>
      <c r="M282" s="36">
        <f t="shared" si="58"/>
        <v>0</v>
      </c>
      <c r="N282" s="36">
        <f t="shared" si="59"/>
        <v>0</v>
      </c>
      <c r="O282" s="36">
        <f t="shared" si="60"/>
        <v>0</v>
      </c>
      <c r="P282" s="36">
        <f t="shared" si="61"/>
        <v>0</v>
      </c>
      <c r="Q282" s="36">
        <f t="shared" si="62"/>
        <v>0</v>
      </c>
      <c r="R282" s="36">
        <f t="shared" si="63"/>
        <v>0</v>
      </c>
      <c r="S282" s="36">
        <f t="shared" si="64"/>
        <v>0</v>
      </c>
      <c r="T282" s="36">
        <f t="shared" si="65"/>
        <v>0</v>
      </c>
      <c r="U282" s="36">
        <f t="shared" si="66"/>
        <v>0</v>
      </c>
      <c r="V282" s="36">
        <f t="shared" si="67"/>
        <v>0</v>
      </c>
      <c r="W282" s="19">
        <f t="shared" si="68"/>
        <v>0</v>
      </c>
    </row>
    <row r="283" spans="1:23">
      <c r="A283" s="56"/>
      <c r="B283" s="57"/>
      <c r="C283" s="84"/>
      <c r="D283" s="56"/>
      <c r="E283" s="58"/>
      <c r="F283" s="59"/>
      <c r="G283" s="59"/>
      <c r="H283" s="58"/>
      <c r="I283" s="60"/>
      <c r="J283" s="19">
        <f t="shared" si="56"/>
        <v>0</v>
      </c>
      <c r="K283" s="19">
        <f t="shared" si="69"/>
        <v>4433611</v>
      </c>
      <c r="L283" s="36">
        <f t="shared" si="57"/>
        <v>0</v>
      </c>
      <c r="M283" s="36">
        <f t="shared" si="58"/>
        <v>0</v>
      </c>
      <c r="N283" s="36">
        <f t="shared" si="59"/>
        <v>0</v>
      </c>
      <c r="O283" s="36">
        <f t="shared" si="60"/>
        <v>0</v>
      </c>
      <c r="P283" s="36">
        <f t="shared" si="61"/>
        <v>0</v>
      </c>
      <c r="Q283" s="36">
        <f t="shared" si="62"/>
        <v>0</v>
      </c>
      <c r="R283" s="36">
        <f t="shared" si="63"/>
        <v>0</v>
      </c>
      <c r="S283" s="36">
        <f t="shared" si="64"/>
        <v>0</v>
      </c>
      <c r="T283" s="36">
        <f t="shared" si="65"/>
        <v>0</v>
      </c>
      <c r="U283" s="36">
        <f t="shared" si="66"/>
        <v>0</v>
      </c>
      <c r="V283" s="36">
        <f t="shared" si="67"/>
        <v>0</v>
      </c>
      <c r="W283" s="19">
        <f t="shared" si="68"/>
        <v>0</v>
      </c>
    </row>
    <row r="284" spans="1:23">
      <c r="A284" s="56"/>
      <c r="B284" s="57"/>
      <c r="C284" s="84"/>
      <c r="D284" s="56"/>
      <c r="E284" s="58"/>
      <c r="F284" s="59"/>
      <c r="G284" s="59"/>
      <c r="H284" s="58"/>
      <c r="I284" s="60"/>
      <c r="J284" s="19">
        <f t="shared" si="56"/>
        <v>0</v>
      </c>
      <c r="K284" s="19">
        <f t="shared" si="69"/>
        <v>4433611</v>
      </c>
      <c r="L284" s="36">
        <f t="shared" si="57"/>
        <v>0</v>
      </c>
      <c r="M284" s="36">
        <f t="shared" si="58"/>
        <v>0</v>
      </c>
      <c r="N284" s="36">
        <f t="shared" si="59"/>
        <v>0</v>
      </c>
      <c r="O284" s="36">
        <f t="shared" si="60"/>
        <v>0</v>
      </c>
      <c r="P284" s="36">
        <f t="shared" si="61"/>
        <v>0</v>
      </c>
      <c r="Q284" s="36">
        <f t="shared" si="62"/>
        <v>0</v>
      </c>
      <c r="R284" s="36">
        <f t="shared" si="63"/>
        <v>0</v>
      </c>
      <c r="S284" s="36">
        <f t="shared" si="64"/>
        <v>0</v>
      </c>
      <c r="T284" s="36">
        <f t="shared" si="65"/>
        <v>0</v>
      </c>
      <c r="U284" s="36">
        <f t="shared" si="66"/>
        <v>0</v>
      </c>
      <c r="V284" s="36">
        <f t="shared" si="67"/>
        <v>0</v>
      </c>
      <c r="W284" s="19">
        <f t="shared" si="68"/>
        <v>0</v>
      </c>
    </row>
    <row r="285" spans="1:23">
      <c r="A285" s="56"/>
      <c r="B285" s="57"/>
      <c r="C285" s="84"/>
      <c r="D285" s="56"/>
      <c r="E285" s="58"/>
      <c r="F285" s="59"/>
      <c r="G285" s="59"/>
      <c r="H285" s="58"/>
      <c r="I285" s="60"/>
      <c r="J285" s="19">
        <f t="shared" si="56"/>
        <v>0</v>
      </c>
      <c r="K285" s="19">
        <f t="shared" si="69"/>
        <v>4433611</v>
      </c>
      <c r="L285" s="36">
        <f t="shared" si="57"/>
        <v>0</v>
      </c>
      <c r="M285" s="36">
        <f t="shared" si="58"/>
        <v>0</v>
      </c>
      <c r="N285" s="36">
        <f t="shared" si="59"/>
        <v>0</v>
      </c>
      <c r="O285" s="36">
        <f t="shared" si="60"/>
        <v>0</v>
      </c>
      <c r="P285" s="36">
        <f t="shared" si="61"/>
        <v>0</v>
      </c>
      <c r="Q285" s="36">
        <f t="shared" si="62"/>
        <v>0</v>
      </c>
      <c r="R285" s="36">
        <f t="shared" si="63"/>
        <v>0</v>
      </c>
      <c r="S285" s="36">
        <f t="shared" si="64"/>
        <v>0</v>
      </c>
      <c r="T285" s="36">
        <f t="shared" si="65"/>
        <v>0</v>
      </c>
      <c r="U285" s="36">
        <f t="shared" si="66"/>
        <v>0</v>
      </c>
      <c r="V285" s="36">
        <f t="shared" si="67"/>
        <v>0</v>
      </c>
      <c r="W285" s="19">
        <f t="shared" si="68"/>
        <v>0</v>
      </c>
    </row>
    <row r="286" spans="1:23">
      <c r="A286" s="56"/>
      <c r="B286" s="57"/>
      <c r="C286" s="84"/>
      <c r="D286" s="56"/>
      <c r="E286" s="58"/>
      <c r="F286" s="59"/>
      <c r="G286" s="59"/>
      <c r="H286" s="58"/>
      <c r="I286" s="60"/>
      <c r="J286" s="19">
        <f t="shared" si="56"/>
        <v>0</v>
      </c>
      <c r="K286" s="19">
        <f t="shared" si="69"/>
        <v>4433611</v>
      </c>
      <c r="L286" s="36">
        <f t="shared" si="57"/>
        <v>0</v>
      </c>
      <c r="M286" s="36">
        <f t="shared" si="58"/>
        <v>0</v>
      </c>
      <c r="N286" s="36">
        <f t="shared" si="59"/>
        <v>0</v>
      </c>
      <c r="O286" s="36">
        <f t="shared" si="60"/>
        <v>0</v>
      </c>
      <c r="P286" s="36">
        <f t="shared" si="61"/>
        <v>0</v>
      </c>
      <c r="Q286" s="36">
        <f t="shared" si="62"/>
        <v>0</v>
      </c>
      <c r="R286" s="36">
        <f t="shared" si="63"/>
        <v>0</v>
      </c>
      <c r="S286" s="36">
        <f t="shared" si="64"/>
        <v>0</v>
      </c>
      <c r="T286" s="36">
        <f t="shared" si="65"/>
        <v>0</v>
      </c>
      <c r="U286" s="36">
        <f t="shared" si="66"/>
        <v>0</v>
      </c>
      <c r="V286" s="36">
        <f t="shared" si="67"/>
        <v>0</v>
      </c>
      <c r="W286" s="19">
        <f t="shared" si="68"/>
        <v>0</v>
      </c>
    </row>
    <row r="287" spans="1:23">
      <c r="A287" s="56"/>
      <c r="B287" s="57"/>
      <c r="C287" s="84"/>
      <c r="D287" s="56"/>
      <c r="E287" s="58"/>
      <c r="F287" s="59"/>
      <c r="G287" s="59"/>
      <c r="H287" s="58"/>
      <c r="I287" s="60"/>
      <c r="J287" s="19">
        <f t="shared" si="56"/>
        <v>0</v>
      </c>
      <c r="K287" s="19">
        <f t="shared" si="69"/>
        <v>4433611</v>
      </c>
      <c r="L287" s="36">
        <f t="shared" si="57"/>
        <v>0</v>
      </c>
      <c r="M287" s="36">
        <f t="shared" si="58"/>
        <v>0</v>
      </c>
      <c r="N287" s="36">
        <f t="shared" si="59"/>
        <v>0</v>
      </c>
      <c r="O287" s="36">
        <f t="shared" si="60"/>
        <v>0</v>
      </c>
      <c r="P287" s="36">
        <f t="shared" si="61"/>
        <v>0</v>
      </c>
      <c r="Q287" s="36">
        <f t="shared" si="62"/>
        <v>0</v>
      </c>
      <c r="R287" s="36">
        <f t="shared" si="63"/>
        <v>0</v>
      </c>
      <c r="S287" s="36">
        <f t="shared" si="64"/>
        <v>0</v>
      </c>
      <c r="T287" s="36">
        <f t="shared" si="65"/>
        <v>0</v>
      </c>
      <c r="U287" s="36">
        <f t="shared" si="66"/>
        <v>0</v>
      </c>
      <c r="V287" s="36">
        <f t="shared" si="67"/>
        <v>0</v>
      </c>
      <c r="W287" s="19">
        <f t="shared" si="68"/>
        <v>0</v>
      </c>
    </row>
    <row r="288" spans="1:23">
      <c r="A288" s="56"/>
      <c r="B288" s="57"/>
      <c r="C288" s="84"/>
      <c r="D288" s="56"/>
      <c r="E288" s="58"/>
      <c r="F288" s="59"/>
      <c r="G288" s="59"/>
      <c r="H288" s="58"/>
      <c r="I288" s="60"/>
      <c r="J288" s="19">
        <f t="shared" si="56"/>
        <v>0</v>
      </c>
      <c r="K288" s="19">
        <f t="shared" si="69"/>
        <v>4433611</v>
      </c>
      <c r="L288" s="36">
        <f t="shared" si="57"/>
        <v>0</v>
      </c>
      <c r="M288" s="36">
        <f t="shared" si="58"/>
        <v>0</v>
      </c>
      <c r="N288" s="36">
        <f t="shared" si="59"/>
        <v>0</v>
      </c>
      <c r="O288" s="36">
        <f t="shared" si="60"/>
        <v>0</v>
      </c>
      <c r="P288" s="36">
        <f t="shared" si="61"/>
        <v>0</v>
      </c>
      <c r="Q288" s="36">
        <f t="shared" si="62"/>
        <v>0</v>
      </c>
      <c r="R288" s="36">
        <f t="shared" si="63"/>
        <v>0</v>
      </c>
      <c r="S288" s="36">
        <f t="shared" si="64"/>
        <v>0</v>
      </c>
      <c r="T288" s="36">
        <f t="shared" si="65"/>
        <v>0</v>
      </c>
      <c r="U288" s="36">
        <f t="shared" si="66"/>
        <v>0</v>
      </c>
      <c r="V288" s="36">
        <f t="shared" si="67"/>
        <v>0</v>
      </c>
      <c r="W288" s="19">
        <f t="shared" si="68"/>
        <v>0</v>
      </c>
    </row>
    <row r="289" spans="1:23">
      <c r="A289" s="56"/>
      <c r="B289" s="57"/>
      <c r="C289" s="84"/>
      <c r="D289" s="56"/>
      <c r="E289" s="58"/>
      <c r="F289" s="59"/>
      <c r="G289" s="59"/>
      <c r="H289" s="58"/>
      <c r="I289" s="60"/>
      <c r="J289" s="19"/>
      <c r="K289" s="19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19"/>
    </row>
    <row r="290" spans="1:23">
      <c r="A290" s="15"/>
      <c r="B290" s="38"/>
      <c r="C290" s="82"/>
      <c r="D290" s="15"/>
      <c r="E290" s="22">
        <f>SUM(E6:E289)</f>
        <v>10625</v>
      </c>
      <c r="F290" s="22"/>
      <c r="G290" s="22"/>
      <c r="H290" s="22">
        <f>SUM(H6:H289)</f>
        <v>-7998</v>
      </c>
      <c r="I290" s="22">
        <f>SUM(I6:I289)</f>
        <v>4430984</v>
      </c>
      <c r="J290" s="22">
        <f>SUM(J6:J289)</f>
        <v>4433611</v>
      </c>
      <c r="K290" s="22"/>
      <c r="L290" s="22">
        <f t="shared" ref="L290:W290" si="70">SUM(L6:L289)</f>
        <v>1055280</v>
      </c>
      <c r="M290" s="22">
        <f t="shared" si="70"/>
        <v>1389580</v>
      </c>
      <c r="N290" s="22">
        <f t="shared" si="70"/>
        <v>127800</v>
      </c>
      <c r="O290" s="22">
        <f t="shared" si="70"/>
        <v>0</v>
      </c>
      <c r="P290" s="22">
        <f t="shared" si="70"/>
        <v>0</v>
      </c>
      <c r="Q290" s="22">
        <f t="shared" si="70"/>
        <v>414685</v>
      </c>
      <c r="R290" s="22">
        <f t="shared" si="70"/>
        <v>0</v>
      </c>
      <c r="S290" s="22">
        <f t="shared" si="70"/>
        <v>1441541</v>
      </c>
      <c r="T290" s="22">
        <f t="shared" si="70"/>
        <v>4725</v>
      </c>
      <c r="U290" s="22">
        <f t="shared" si="70"/>
        <v>0</v>
      </c>
      <c r="V290" s="22">
        <f t="shared" si="70"/>
        <v>0</v>
      </c>
      <c r="W290" s="22">
        <f t="shared" si="70"/>
        <v>4433611</v>
      </c>
    </row>
    <row r="291" spans="1:23">
      <c r="A291" s="11"/>
      <c r="B291" s="24"/>
      <c r="C291" s="80"/>
      <c r="D291" s="12"/>
      <c r="E291" s="25"/>
      <c r="F291" s="26"/>
      <c r="G291" s="26"/>
      <c r="H291" s="25"/>
      <c r="I291" s="20"/>
      <c r="J291" s="20"/>
      <c r="K291" s="12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3"/>
    </row>
    <row r="292" spans="1:23">
      <c r="A292" s="16" t="s">
        <v>13</v>
      </c>
      <c r="B292" s="24"/>
      <c r="C292" s="80"/>
      <c r="D292" s="12"/>
      <c r="E292" s="25"/>
      <c r="F292" s="26"/>
      <c r="G292" s="26"/>
      <c r="H292" s="25"/>
      <c r="I292" s="20"/>
      <c r="J292" s="20"/>
      <c r="K292" s="12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3">
        <f>W290-J290</f>
        <v>0</v>
      </c>
    </row>
    <row r="293" spans="1:23">
      <c r="A293" s="12" t="s">
        <v>267</v>
      </c>
      <c r="B293" s="24"/>
      <c r="C293" s="80"/>
      <c r="D293" s="12"/>
      <c r="E293" s="25"/>
      <c r="F293" s="26"/>
      <c r="G293" s="26"/>
      <c r="H293" s="25"/>
      <c r="I293" s="20"/>
      <c r="J293" s="20"/>
      <c r="K293" s="12"/>
      <c r="L293" s="20">
        <f>3600+2500+1200</f>
        <v>7300</v>
      </c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3"/>
    </row>
    <row r="294" spans="1:23">
      <c r="A294" s="17" t="s">
        <v>272</v>
      </c>
    </row>
  </sheetData>
  <phoneticPr fontId="0" type="noConversion"/>
  <pageMargins left="0.24" right="0.17" top="0.17" bottom="0.17" header="0.17" footer="0.17"/>
  <pageSetup paperSize="9" scale="5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320"/>
  <sheetViews>
    <sheetView tabSelected="1" view="pageBreakPreview" zoomScaleSheetLayoutView="100" workbookViewId="0">
      <selection activeCell="H14" sqref="H14"/>
    </sheetView>
  </sheetViews>
  <sheetFormatPr defaultRowHeight="12.75"/>
  <cols>
    <col min="1" max="1" width="34.42578125" style="18" customWidth="1"/>
    <col min="2" max="2" width="14" style="18" bestFit="1" customWidth="1"/>
    <col min="3" max="3" width="7.42578125" style="87" customWidth="1"/>
    <col min="4" max="4" width="6.28515625" style="18" customWidth="1"/>
    <col min="5" max="5" width="13.7109375" style="18" bestFit="1" customWidth="1"/>
    <col min="6" max="6" width="7.28515625" style="18" customWidth="1"/>
    <col min="7" max="7" width="7.7109375" style="18" customWidth="1"/>
    <col min="8" max="8" width="13.5703125" style="62" customWidth="1"/>
    <col min="9" max="9" width="15.140625" style="18" bestFit="1" customWidth="1"/>
    <col min="10" max="10" width="12.140625" style="18" customWidth="1"/>
    <col min="11" max="11" width="17.140625" style="62" customWidth="1"/>
    <col min="12" max="12" width="20" style="18" customWidth="1"/>
    <col min="13" max="13" width="11.85546875" style="18" bestFit="1" customWidth="1"/>
    <col min="14" max="14" width="12.42578125" style="18" customWidth="1"/>
    <col min="15" max="15" width="21.7109375" style="18" customWidth="1"/>
    <col min="16" max="16" width="12.42578125" style="18" customWidth="1"/>
    <col min="17" max="17" width="16.140625" style="18" customWidth="1"/>
    <col min="18" max="19" width="13.28515625" style="18" customWidth="1"/>
    <col min="20" max="21" width="12" style="18" customWidth="1"/>
    <col min="22" max="22" width="12.5703125" style="18" customWidth="1"/>
    <col min="23" max="23" width="13.28515625" style="18" customWidth="1"/>
    <col min="24" max="24" width="15.7109375" style="18" customWidth="1"/>
    <col min="25" max="25" width="9.140625" style="18"/>
    <col min="26" max="26" width="12" style="18" customWidth="1"/>
    <col min="27" max="16384" width="9.140625" style="18"/>
  </cols>
  <sheetData>
    <row r="1" spans="1:26">
      <c r="A1" s="118" t="s">
        <v>46</v>
      </c>
      <c r="B1" s="119"/>
      <c r="C1" s="120"/>
      <c r="D1" s="121"/>
      <c r="E1" s="122"/>
      <c r="F1" s="123"/>
      <c r="G1" s="123"/>
      <c r="H1" s="124"/>
      <c r="I1" s="125"/>
      <c r="J1" s="125"/>
      <c r="K1" s="124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</row>
    <row r="2" spans="1:26">
      <c r="A2" s="121"/>
      <c r="B2" s="119"/>
      <c r="C2" s="120"/>
      <c r="D2" s="121"/>
      <c r="E2" s="122"/>
      <c r="F2" s="123"/>
      <c r="G2" s="123"/>
      <c r="H2" s="124"/>
      <c r="I2" s="125"/>
      <c r="J2" s="125"/>
      <c r="K2" s="124"/>
      <c r="L2" s="127">
        <v>1</v>
      </c>
      <c r="M2" s="127">
        <v>2</v>
      </c>
      <c r="N2" s="127">
        <v>3</v>
      </c>
      <c r="O2" s="127">
        <v>4</v>
      </c>
      <c r="P2" s="127">
        <v>5</v>
      </c>
      <c r="Q2" s="127">
        <v>6</v>
      </c>
      <c r="R2" s="127">
        <v>7</v>
      </c>
      <c r="S2" s="127">
        <v>8</v>
      </c>
      <c r="T2" s="127">
        <v>8.1</v>
      </c>
      <c r="U2" s="127">
        <v>9</v>
      </c>
      <c r="V2" s="127">
        <v>10</v>
      </c>
      <c r="W2" s="127">
        <v>11</v>
      </c>
      <c r="X2" s="126"/>
    </row>
    <row r="3" spans="1:26" ht="25.5">
      <c r="A3" s="128" t="s">
        <v>4</v>
      </c>
      <c r="B3" s="129" t="s">
        <v>5</v>
      </c>
      <c r="C3" s="130" t="s">
        <v>36</v>
      </c>
      <c r="D3" s="131" t="s">
        <v>6</v>
      </c>
      <c r="E3" s="131" t="s">
        <v>1</v>
      </c>
      <c r="F3" s="128" t="s">
        <v>7</v>
      </c>
      <c r="G3" s="128" t="s">
        <v>34</v>
      </c>
      <c r="H3" s="132" t="s">
        <v>62</v>
      </c>
      <c r="I3" s="131" t="s">
        <v>1</v>
      </c>
      <c r="J3" s="131" t="s">
        <v>8</v>
      </c>
      <c r="K3" s="133" t="s">
        <v>9</v>
      </c>
      <c r="L3" s="134" t="s">
        <v>55</v>
      </c>
      <c r="M3" s="134" t="s">
        <v>56</v>
      </c>
      <c r="N3" s="134" t="s">
        <v>57</v>
      </c>
      <c r="O3" s="135" t="s">
        <v>58</v>
      </c>
      <c r="P3" s="136" t="s">
        <v>59</v>
      </c>
      <c r="Q3" s="137" t="s">
        <v>25</v>
      </c>
      <c r="R3" s="137" t="s">
        <v>60</v>
      </c>
      <c r="S3" s="137" t="s">
        <v>35</v>
      </c>
      <c r="T3" s="137" t="s">
        <v>61</v>
      </c>
      <c r="U3" s="137" t="s">
        <v>26</v>
      </c>
      <c r="V3" s="138" t="s">
        <v>2</v>
      </c>
      <c r="W3" s="138" t="s">
        <v>276</v>
      </c>
      <c r="X3" s="131" t="s">
        <v>10</v>
      </c>
    </row>
    <row r="4" spans="1:26">
      <c r="A4" s="128"/>
      <c r="B4" s="129"/>
      <c r="C4" s="139"/>
      <c r="D4" s="140"/>
      <c r="E4" s="133"/>
      <c r="F4" s="141" t="s">
        <v>11</v>
      </c>
      <c r="G4" s="141" t="s">
        <v>11</v>
      </c>
      <c r="H4" s="133"/>
      <c r="I4" s="131"/>
      <c r="J4" s="131"/>
      <c r="K4" s="133" t="s">
        <v>12</v>
      </c>
      <c r="L4" s="142"/>
      <c r="M4" s="136"/>
      <c r="N4" s="142"/>
      <c r="O4" s="131"/>
      <c r="P4" s="127"/>
      <c r="Q4" s="131"/>
      <c r="R4" s="143"/>
      <c r="S4" s="143"/>
      <c r="T4" s="131"/>
      <c r="U4" s="131"/>
      <c r="V4" s="131"/>
      <c r="W4" s="131"/>
      <c r="X4" s="131"/>
    </row>
    <row r="5" spans="1:26">
      <c r="A5" s="121"/>
      <c r="B5" s="106"/>
      <c r="C5" s="107"/>
      <c r="D5" s="98"/>
      <c r="E5" s="101"/>
      <c r="F5" s="102"/>
      <c r="G5" s="102"/>
      <c r="H5" s="101"/>
      <c r="I5" s="103"/>
      <c r="J5" s="98"/>
      <c r="K5" s="101"/>
      <c r="L5" s="101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98"/>
    </row>
    <row r="6" spans="1:26">
      <c r="A6" s="104" t="s">
        <v>346</v>
      </c>
      <c r="B6" s="106">
        <v>39887</v>
      </c>
      <c r="C6" s="107">
        <v>8</v>
      </c>
      <c r="D6" s="98">
        <v>97</v>
      </c>
      <c r="E6" s="101">
        <v>300</v>
      </c>
      <c r="F6" s="102"/>
      <c r="G6" s="102"/>
      <c r="H6" s="101"/>
      <c r="I6" s="103"/>
      <c r="J6" s="103">
        <f t="shared" ref="J6:J69" si="0">I6+E6+H6</f>
        <v>300</v>
      </c>
      <c r="K6" s="101">
        <f t="shared" ref="K6:K37" si="1">K5+J6</f>
        <v>300</v>
      </c>
      <c r="L6" s="101">
        <f t="shared" ref="L6:L69" si="2">IF(C6=1,SUM(E6+I6+H6),(0))</f>
        <v>0</v>
      </c>
      <c r="M6" s="101">
        <f t="shared" ref="M6:M69" si="3">IF(C6=2,SUM(E6+I6+H6),(0))</f>
        <v>0</v>
      </c>
      <c r="N6" s="101">
        <f t="shared" ref="N6:N69" si="4">IF(C6=3,SUM(E6+I6+H6),(0))</f>
        <v>0</v>
      </c>
      <c r="O6" s="101">
        <f t="shared" ref="O6:O69" si="5">IF(C6=4,SUM(E6+I6+H6),(0))</f>
        <v>0</v>
      </c>
      <c r="P6" s="101">
        <f t="shared" ref="P6:P69" si="6">IF(C6=5,SUM(E6+I6+H6),(0))</f>
        <v>0</v>
      </c>
      <c r="Q6" s="101">
        <f t="shared" ref="Q6:Q69" si="7">IF(C6=6,SUM(E6+I6+H6),(0))</f>
        <v>0</v>
      </c>
      <c r="R6" s="101">
        <f t="shared" ref="R6:R69" si="8">IF(C6=7,SUM(E6+I6+H6),(0))</f>
        <v>0</v>
      </c>
      <c r="S6" s="101">
        <f t="shared" ref="S6:S69" si="9">IF(C6=8,SUM(E6+I6+H6),(0))</f>
        <v>300</v>
      </c>
      <c r="T6" s="101">
        <f t="shared" ref="T6:T69" si="10">IF(C6=8.1,SUM(E6+I6+H6),(0))</f>
        <v>0</v>
      </c>
      <c r="U6" s="101">
        <f t="shared" ref="U6:U69" si="11">IF(C6=9,SUM(E6+I6+H6),(0))</f>
        <v>0</v>
      </c>
      <c r="V6" s="101">
        <f t="shared" ref="V6:V69" si="12">IF(C6=10,SUM(E6+H6+I6),(0))</f>
        <v>0</v>
      </c>
      <c r="W6" s="101">
        <f t="shared" ref="W6:W69" si="13">IF(C6=11,SUM(E6+I6+H6),(0))</f>
        <v>0</v>
      </c>
      <c r="X6" s="103">
        <f t="shared" ref="X6:X69" si="14">SUM(L6:W6)</f>
        <v>300</v>
      </c>
    </row>
    <row r="7" spans="1:26">
      <c r="A7" s="105" t="s">
        <v>347</v>
      </c>
      <c r="B7" s="106">
        <v>39892</v>
      </c>
      <c r="C7" s="107">
        <v>3</v>
      </c>
      <c r="D7" s="98">
        <v>100</v>
      </c>
      <c r="E7" s="101">
        <v>400</v>
      </c>
      <c r="F7" s="102"/>
      <c r="G7" s="98"/>
      <c r="H7" s="101"/>
      <c r="I7" s="101"/>
      <c r="J7" s="103">
        <f t="shared" si="0"/>
        <v>400</v>
      </c>
      <c r="K7" s="101">
        <f t="shared" si="1"/>
        <v>700</v>
      </c>
      <c r="L7" s="101">
        <f t="shared" si="2"/>
        <v>0</v>
      </c>
      <c r="M7" s="101">
        <f t="shared" si="3"/>
        <v>0</v>
      </c>
      <c r="N7" s="101">
        <f t="shared" si="4"/>
        <v>400</v>
      </c>
      <c r="O7" s="101">
        <f t="shared" si="5"/>
        <v>0</v>
      </c>
      <c r="P7" s="101">
        <f t="shared" si="6"/>
        <v>0</v>
      </c>
      <c r="Q7" s="101">
        <f t="shared" si="7"/>
        <v>0</v>
      </c>
      <c r="R7" s="101">
        <f t="shared" si="8"/>
        <v>0</v>
      </c>
      <c r="S7" s="101">
        <f t="shared" si="9"/>
        <v>0</v>
      </c>
      <c r="T7" s="101">
        <f t="shared" si="10"/>
        <v>0</v>
      </c>
      <c r="U7" s="101">
        <f t="shared" si="11"/>
        <v>0</v>
      </c>
      <c r="V7" s="101">
        <f t="shared" si="12"/>
        <v>0</v>
      </c>
      <c r="W7" s="101">
        <f t="shared" si="13"/>
        <v>0</v>
      </c>
      <c r="X7" s="103">
        <f t="shared" si="14"/>
        <v>400</v>
      </c>
    </row>
    <row r="8" spans="1:26">
      <c r="A8" s="105" t="s">
        <v>348</v>
      </c>
      <c r="B8" s="106">
        <v>40219</v>
      </c>
      <c r="C8" s="107">
        <v>1</v>
      </c>
      <c r="D8" s="98">
        <v>103</v>
      </c>
      <c r="E8" s="101">
        <v>1000</v>
      </c>
      <c r="F8" s="102"/>
      <c r="G8" s="98"/>
      <c r="H8" s="101"/>
      <c r="I8" s="101"/>
      <c r="J8" s="103">
        <f t="shared" si="0"/>
        <v>1000</v>
      </c>
      <c r="K8" s="101">
        <f t="shared" si="1"/>
        <v>1700</v>
      </c>
      <c r="L8" s="101">
        <f t="shared" si="2"/>
        <v>1000</v>
      </c>
      <c r="M8" s="101">
        <f t="shared" si="3"/>
        <v>0</v>
      </c>
      <c r="N8" s="101">
        <f t="shared" si="4"/>
        <v>0</v>
      </c>
      <c r="O8" s="101">
        <f t="shared" si="5"/>
        <v>0</v>
      </c>
      <c r="P8" s="101">
        <f t="shared" si="6"/>
        <v>0</v>
      </c>
      <c r="Q8" s="101">
        <f t="shared" si="7"/>
        <v>0</v>
      </c>
      <c r="R8" s="101">
        <f t="shared" si="8"/>
        <v>0</v>
      </c>
      <c r="S8" s="101">
        <f t="shared" si="9"/>
        <v>0</v>
      </c>
      <c r="T8" s="101">
        <f t="shared" si="10"/>
        <v>0</v>
      </c>
      <c r="U8" s="101">
        <f t="shared" si="11"/>
        <v>0</v>
      </c>
      <c r="V8" s="101">
        <f t="shared" si="12"/>
        <v>0</v>
      </c>
      <c r="W8" s="101">
        <f t="shared" si="13"/>
        <v>0</v>
      </c>
      <c r="X8" s="103">
        <f t="shared" si="14"/>
        <v>1000</v>
      </c>
    </row>
    <row r="9" spans="1:26">
      <c r="A9" s="105" t="s">
        <v>349</v>
      </c>
      <c r="B9" s="106">
        <v>40227</v>
      </c>
      <c r="C9" s="107">
        <v>8</v>
      </c>
      <c r="D9" s="98">
        <v>104</v>
      </c>
      <c r="E9" s="101">
        <v>1455</v>
      </c>
      <c r="F9" s="102"/>
      <c r="G9" s="98"/>
      <c r="H9" s="101"/>
      <c r="I9" s="101"/>
      <c r="J9" s="103">
        <f t="shared" si="0"/>
        <v>1455</v>
      </c>
      <c r="K9" s="101">
        <f t="shared" si="1"/>
        <v>3155</v>
      </c>
      <c r="L9" s="101">
        <f t="shared" si="2"/>
        <v>0</v>
      </c>
      <c r="M9" s="101">
        <f t="shared" si="3"/>
        <v>0</v>
      </c>
      <c r="N9" s="101">
        <f t="shared" si="4"/>
        <v>0</v>
      </c>
      <c r="O9" s="101">
        <f t="shared" si="5"/>
        <v>0</v>
      </c>
      <c r="P9" s="101">
        <f t="shared" si="6"/>
        <v>0</v>
      </c>
      <c r="Q9" s="101">
        <f t="shared" si="7"/>
        <v>0</v>
      </c>
      <c r="R9" s="101">
        <f t="shared" si="8"/>
        <v>0</v>
      </c>
      <c r="S9" s="101">
        <f t="shared" si="9"/>
        <v>1455</v>
      </c>
      <c r="T9" s="101">
        <f t="shared" si="10"/>
        <v>0</v>
      </c>
      <c r="U9" s="101">
        <f t="shared" si="11"/>
        <v>0</v>
      </c>
      <c r="V9" s="101">
        <f t="shared" si="12"/>
        <v>0</v>
      </c>
      <c r="W9" s="101">
        <f t="shared" si="13"/>
        <v>0</v>
      </c>
      <c r="X9" s="103">
        <f t="shared" si="14"/>
        <v>1455</v>
      </c>
    </row>
    <row r="10" spans="1:26">
      <c r="A10" s="105" t="s">
        <v>350</v>
      </c>
      <c r="B10" s="106">
        <v>40227</v>
      </c>
      <c r="C10" s="107">
        <v>8</v>
      </c>
      <c r="D10" s="98">
        <v>113</v>
      </c>
      <c r="E10" s="101">
        <v>100</v>
      </c>
      <c r="F10" s="102"/>
      <c r="G10" s="98"/>
      <c r="H10" s="101"/>
      <c r="I10" s="101"/>
      <c r="J10" s="103">
        <f t="shared" si="0"/>
        <v>100</v>
      </c>
      <c r="K10" s="101">
        <f t="shared" si="1"/>
        <v>3255</v>
      </c>
      <c r="L10" s="101">
        <f t="shared" si="2"/>
        <v>0</v>
      </c>
      <c r="M10" s="101">
        <f t="shared" si="3"/>
        <v>0</v>
      </c>
      <c r="N10" s="101">
        <f t="shared" si="4"/>
        <v>0</v>
      </c>
      <c r="O10" s="101">
        <f t="shared" si="5"/>
        <v>0</v>
      </c>
      <c r="P10" s="101">
        <f t="shared" si="6"/>
        <v>0</v>
      </c>
      <c r="Q10" s="101">
        <f t="shared" si="7"/>
        <v>0</v>
      </c>
      <c r="R10" s="101">
        <f t="shared" si="8"/>
        <v>0</v>
      </c>
      <c r="S10" s="101">
        <f t="shared" si="9"/>
        <v>100</v>
      </c>
      <c r="T10" s="101">
        <f t="shared" si="10"/>
        <v>0</v>
      </c>
      <c r="U10" s="101">
        <f t="shared" si="11"/>
        <v>0</v>
      </c>
      <c r="V10" s="101">
        <f t="shared" si="12"/>
        <v>0</v>
      </c>
      <c r="W10" s="101">
        <f t="shared" si="13"/>
        <v>0</v>
      </c>
      <c r="X10" s="103">
        <f t="shared" si="14"/>
        <v>100</v>
      </c>
    </row>
    <row r="11" spans="1:26">
      <c r="A11" s="105" t="s">
        <v>351</v>
      </c>
      <c r="B11" s="106">
        <v>40227</v>
      </c>
      <c r="C11" s="107">
        <v>8</v>
      </c>
      <c r="D11" s="98">
        <v>120</v>
      </c>
      <c r="E11" s="101">
        <v>400</v>
      </c>
      <c r="F11" s="102"/>
      <c r="G11" s="102"/>
      <c r="H11" s="101"/>
      <c r="I11" s="103"/>
      <c r="J11" s="103">
        <f t="shared" si="0"/>
        <v>400</v>
      </c>
      <c r="K11" s="101">
        <f t="shared" si="1"/>
        <v>3655</v>
      </c>
      <c r="L11" s="101">
        <f t="shared" si="2"/>
        <v>0</v>
      </c>
      <c r="M11" s="101">
        <f t="shared" si="3"/>
        <v>0</v>
      </c>
      <c r="N11" s="101">
        <f t="shared" si="4"/>
        <v>0</v>
      </c>
      <c r="O11" s="101">
        <f t="shared" si="5"/>
        <v>0</v>
      </c>
      <c r="P11" s="101">
        <f t="shared" si="6"/>
        <v>0</v>
      </c>
      <c r="Q11" s="101">
        <f t="shared" si="7"/>
        <v>0</v>
      </c>
      <c r="R11" s="101">
        <f t="shared" si="8"/>
        <v>0</v>
      </c>
      <c r="S11" s="101">
        <f t="shared" si="9"/>
        <v>400</v>
      </c>
      <c r="T11" s="101">
        <f t="shared" si="10"/>
        <v>0</v>
      </c>
      <c r="U11" s="101">
        <f t="shared" si="11"/>
        <v>0</v>
      </c>
      <c r="V11" s="101">
        <f t="shared" si="12"/>
        <v>0</v>
      </c>
      <c r="W11" s="101">
        <f t="shared" si="13"/>
        <v>0</v>
      </c>
      <c r="X11" s="103">
        <f t="shared" si="14"/>
        <v>400</v>
      </c>
    </row>
    <row r="12" spans="1:26">
      <c r="A12" s="144" t="s">
        <v>61</v>
      </c>
      <c r="B12" s="106">
        <v>40232</v>
      </c>
      <c r="C12" s="107">
        <v>8.1</v>
      </c>
      <c r="D12" s="98"/>
      <c r="E12" s="101"/>
      <c r="F12" s="102"/>
      <c r="G12" s="98"/>
      <c r="H12" s="101"/>
      <c r="I12" s="101">
        <f>25*5+50*3</f>
        <v>275</v>
      </c>
      <c r="J12" s="103">
        <f t="shared" si="0"/>
        <v>275</v>
      </c>
      <c r="K12" s="101">
        <f t="shared" si="1"/>
        <v>3930</v>
      </c>
      <c r="L12" s="101">
        <f t="shared" si="2"/>
        <v>0</v>
      </c>
      <c r="M12" s="101">
        <f t="shared" si="3"/>
        <v>0</v>
      </c>
      <c r="N12" s="101">
        <f t="shared" si="4"/>
        <v>0</v>
      </c>
      <c r="O12" s="101">
        <f t="shared" si="5"/>
        <v>0</v>
      </c>
      <c r="P12" s="101">
        <f t="shared" si="6"/>
        <v>0</v>
      </c>
      <c r="Q12" s="101">
        <f t="shared" si="7"/>
        <v>0</v>
      </c>
      <c r="R12" s="101">
        <f t="shared" si="8"/>
        <v>0</v>
      </c>
      <c r="S12" s="101">
        <f t="shared" si="9"/>
        <v>0</v>
      </c>
      <c r="T12" s="101">
        <f t="shared" si="10"/>
        <v>275</v>
      </c>
      <c r="U12" s="101">
        <f t="shared" si="11"/>
        <v>0</v>
      </c>
      <c r="V12" s="101">
        <f t="shared" si="12"/>
        <v>0</v>
      </c>
      <c r="W12" s="101">
        <f t="shared" si="13"/>
        <v>0</v>
      </c>
      <c r="X12" s="103">
        <f t="shared" si="14"/>
        <v>275</v>
      </c>
      <c r="Z12" s="47"/>
    </row>
    <row r="13" spans="1:26">
      <c r="A13" s="145" t="s">
        <v>279</v>
      </c>
      <c r="B13" s="106">
        <v>40235</v>
      </c>
      <c r="C13" s="107">
        <v>2</v>
      </c>
      <c r="D13" s="98"/>
      <c r="E13" s="101"/>
      <c r="F13" s="102"/>
      <c r="G13" s="98">
        <v>83</v>
      </c>
      <c r="H13" s="101">
        <v>9800</v>
      </c>
      <c r="I13" s="101"/>
      <c r="J13" s="103">
        <f t="shared" si="0"/>
        <v>9800</v>
      </c>
      <c r="K13" s="101">
        <f t="shared" si="1"/>
        <v>13730</v>
      </c>
      <c r="L13" s="101">
        <f t="shared" si="2"/>
        <v>0</v>
      </c>
      <c r="M13" s="101">
        <f t="shared" si="3"/>
        <v>9800</v>
      </c>
      <c r="N13" s="101">
        <f t="shared" si="4"/>
        <v>0</v>
      </c>
      <c r="O13" s="101">
        <f t="shared" si="5"/>
        <v>0</v>
      </c>
      <c r="P13" s="101">
        <f t="shared" si="6"/>
        <v>0</v>
      </c>
      <c r="Q13" s="101">
        <f t="shared" si="7"/>
        <v>0</v>
      </c>
      <c r="R13" s="101">
        <f t="shared" si="8"/>
        <v>0</v>
      </c>
      <c r="S13" s="101">
        <f t="shared" si="9"/>
        <v>0</v>
      </c>
      <c r="T13" s="101">
        <f t="shared" si="10"/>
        <v>0</v>
      </c>
      <c r="U13" s="101">
        <f t="shared" si="11"/>
        <v>0</v>
      </c>
      <c r="V13" s="101">
        <f t="shared" si="12"/>
        <v>0</v>
      </c>
      <c r="W13" s="101">
        <f t="shared" si="13"/>
        <v>0</v>
      </c>
      <c r="X13" s="103">
        <f t="shared" si="14"/>
        <v>9800</v>
      </c>
      <c r="Z13" s="47"/>
    </row>
    <row r="14" spans="1:26">
      <c r="A14" s="105" t="s">
        <v>352</v>
      </c>
      <c r="B14" s="106">
        <v>40238</v>
      </c>
      <c r="C14" s="107">
        <v>8</v>
      </c>
      <c r="D14" s="98">
        <v>101</v>
      </c>
      <c r="E14" s="101">
        <v>2500</v>
      </c>
      <c r="F14" s="102"/>
      <c r="G14" s="98"/>
      <c r="H14" s="101"/>
      <c r="I14" s="101"/>
      <c r="J14" s="103">
        <f t="shared" si="0"/>
        <v>2500</v>
      </c>
      <c r="K14" s="101">
        <f t="shared" si="1"/>
        <v>16230</v>
      </c>
      <c r="L14" s="101">
        <f t="shared" si="2"/>
        <v>0</v>
      </c>
      <c r="M14" s="101">
        <f t="shared" si="3"/>
        <v>0</v>
      </c>
      <c r="N14" s="101">
        <f t="shared" si="4"/>
        <v>0</v>
      </c>
      <c r="O14" s="101">
        <f t="shared" si="5"/>
        <v>0</v>
      </c>
      <c r="P14" s="101">
        <f t="shared" si="6"/>
        <v>0</v>
      </c>
      <c r="Q14" s="101">
        <f t="shared" si="7"/>
        <v>0</v>
      </c>
      <c r="R14" s="101">
        <f t="shared" si="8"/>
        <v>0</v>
      </c>
      <c r="S14" s="101">
        <f t="shared" si="9"/>
        <v>2500</v>
      </c>
      <c r="T14" s="101">
        <f t="shared" si="10"/>
        <v>0</v>
      </c>
      <c r="U14" s="101">
        <f t="shared" si="11"/>
        <v>0</v>
      </c>
      <c r="V14" s="101">
        <f t="shared" si="12"/>
        <v>0</v>
      </c>
      <c r="W14" s="101">
        <f t="shared" si="13"/>
        <v>0</v>
      </c>
      <c r="X14" s="103">
        <f t="shared" si="14"/>
        <v>2500</v>
      </c>
    </row>
    <row r="15" spans="1:26">
      <c r="A15" s="105" t="s">
        <v>333</v>
      </c>
      <c r="B15" s="106">
        <v>40240</v>
      </c>
      <c r="C15" s="107">
        <v>8</v>
      </c>
      <c r="D15" s="98">
        <v>102</v>
      </c>
      <c r="E15" s="101">
        <v>500</v>
      </c>
      <c r="F15" s="102"/>
      <c r="G15" s="98"/>
      <c r="H15" s="101"/>
      <c r="I15" s="101"/>
      <c r="J15" s="103">
        <f t="shared" si="0"/>
        <v>500</v>
      </c>
      <c r="K15" s="101">
        <f t="shared" si="1"/>
        <v>16730</v>
      </c>
      <c r="L15" s="101">
        <f t="shared" si="2"/>
        <v>0</v>
      </c>
      <c r="M15" s="101">
        <f t="shared" si="3"/>
        <v>0</v>
      </c>
      <c r="N15" s="101">
        <f t="shared" si="4"/>
        <v>0</v>
      </c>
      <c r="O15" s="101">
        <f t="shared" si="5"/>
        <v>0</v>
      </c>
      <c r="P15" s="101">
        <f t="shared" si="6"/>
        <v>0</v>
      </c>
      <c r="Q15" s="101">
        <f t="shared" si="7"/>
        <v>0</v>
      </c>
      <c r="R15" s="101">
        <f t="shared" si="8"/>
        <v>0</v>
      </c>
      <c r="S15" s="101">
        <f t="shared" si="9"/>
        <v>500</v>
      </c>
      <c r="T15" s="101">
        <f t="shared" si="10"/>
        <v>0</v>
      </c>
      <c r="U15" s="101">
        <f t="shared" si="11"/>
        <v>0</v>
      </c>
      <c r="V15" s="101">
        <f t="shared" si="12"/>
        <v>0</v>
      </c>
      <c r="W15" s="101">
        <f t="shared" si="13"/>
        <v>0</v>
      </c>
      <c r="X15" s="103">
        <f t="shared" si="14"/>
        <v>500</v>
      </c>
    </row>
    <row r="16" spans="1:26">
      <c r="A16" s="105" t="s">
        <v>333</v>
      </c>
      <c r="B16" s="106">
        <v>40240</v>
      </c>
      <c r="C16" s="107">
        <v>8</v>
      </c>
      <c r="D16" s="98">
        <v>112</v>
      </c>
      <c r="E16" s="101">
        <v>500</v>
      </c>
      <c r="F16" s="102"/>
      <c r="G16" s="98"/>
      <c r="H16" s="101"/>
      <c r="I16" s="101"/>
      <c r="J16" s="103">
        <f t="shared" si="0"/>
        <v>500</v>
      </c>
      <c r="K16" s="101">
        <f t="shared" si="1"/>
        <v>17230</v>
      </c>
      <c r="L16" s="101">
        <f t="shared" si="2"/>
        <v>0</v>
      </c>
      <c r="M16" s="101">
        <f t="shared" si="3"/>
        <v>0</v>
      </c>
      <c r="N16" s="101">
        <f t="shared" si="4"/>
        <v>0</v>
      </c>
      <c r="O16" s="101">
        <f t="shared" si="5"/>
        <v>0</v>
      </c>
      <c r="P16" s="101">
        <f t="shared" si="6"/>
        <v>0</v>
      </c>
      <c r="Q16" s="101">
        <f t="shared" si="7"/>
        <v>0</v>
      </c>
      <c r="R16" s="101">
        <f t="shared" si="8"/>
        <v>0</v>
      </c>
      <c r="S16" s="101">
        <f t="shared" si="9"/>
        <v>500</v>
      </c>
      <c r="T16" s="101">
        <f t="shared" si="10"/>
        <v>0</v>
      </c>
      <c r="U16" s="101">
        <f t="shared" si="11"/>
        <v>0</v>
      </c>
      <c r="V16" s="101">
        <f t="shared" si="12"/>
        <v>0</v>
      </c>
      <c r="W16" s="101">
        <f t="shared" si="13"/>
        <v>0</v>
      </c>
      <c r="X16" s="103">
        <f t="shared" si="14"/>
        <v>500</v>
      </c>
    </row>
    <row r="17" spans="1:26">
      <c r="A17" s="105" t="s">
        <v>353</v>
      </c>
      <c r="B17" s="106">
        <v>40240</v>
      </c>
      <c r="C17" s="107">
        <v>8</v>
      </c>
      <c r="D17" s="98">
        <v>119</v>
      </c>
      <c r="E17" s="101">
        <v>180</v>
      </c>
      <c r="F17" s="102"/>
      <c r="G17" s="102"/>
      <c r="H17" s="101"/>
      <c r="I17" s="103"/>
      <c r="J17" s="103">
        <f t="shared" si="0"/>
        <v>180</v>
      </c>
      <c r="K17" s="101">
        <f t="shared" si="1"/>
        <v>17410</v>
      </c>
      <c r="L17" s="101">
        <f t="shared" si="2"/>
        <v>0</v>
      </c>
      <c r="M17" s="101">
        <f t="shared" si="3"/>
        <v>0</v>
      </c>
      <c r="N17" s="101">
        <f t="shared" si="4"/>
        <v>0</v>
      </c>
      <c r="O17" s="101">
        <f t="shared" si="5"/>
        <v>0</v>
      </c>
      <c r="P17" s="101">
        <f t="shared" si="6"/>
        <v>0</v>
      </c>
      <c r="Q17" s="101">
        <f t="shared" si="7"/>
        <v>0</v>
      </c>
      <c r="R17" s="101">
        <f t="shared" si="8"/>
        <v>0</v>
      </c>
      <c r="S17" s="101">
        <f t="shared" si="9"/>
        <v>180</v>
      </c>
      <c r="T17" s="101">
        <f t="shared" si="10"/>
        <v>0</v>
      </c>
      <c r="U17" s="101">
        <f t="shared" si="11"/>
        <v>0</v>
      </c>
      <c r="V17" s="101">
        <f t="shared" si="12"/>
        <v>0</v>
      </c>
      <c r="W17" s="101">
        <f t="shared" si="13"/>
        <v>0</v>
      </c>
      <c r="X17" s="103">
        <f t="shared" si="14"/>
        <v>180</v>
      </c>
    </row>
    <row r="18" spans="1:26">
      <c r="A18" s="105" t="s">
        <v>354</v>
      </c>
      <c r="B18" s="106">
        <v>40247</v>
      </c>
      <c r="C18" s="107">
        <v>3</v>
      </c>
      <c r="D18" s="98">
        <v>99</v>
      </c>
      <c r="E18" s="101">
        <v>850</v>
      </c>
      <c r="F18" s="102"/>
      <c r="G18" s="98"/>
      <c r="H18" s="101"/>
      <c r="I18" s="101"/>
      <c r="J18" s="103">
        <f t="shared" si="0"/>
        <v>850</v>
      </c>
      <c r="K18" s="101">
        <f t="shared" si="1"/>
        <v>18260</v>
      </c>
      <c r="L18" s="101">
        <f t="shared" si="2"/>
        <v>0</v>
      </c>
      <c r="M18" s="101">
        <f t="shared" si="3"/>
        <v>0</v>
      </c>
      <c r="N18" s="101">
        <f t="shared" si="4"/>
        <v>850</v>
      </c>
      <c r="O18" s="101">
        <f t="shared" si="5"/>
        <v>0</v>
      </c>
      <c r="P18" s="101">
        <f t="shared" si="6"/>
        <v>0</v>
      </c>
      <c r="Q18" s="101">
        <f t="shared" si="7"/>
        <v>0</v>
      </c>
      <c r="R18" s="101">
        <f t="shared" si="8"/>
        <v>0</v>
      </c>
      <c r="S18" s="101">
        <f t="shared" si="9"/>
        <v>0</v>
      </c>
      <c r="T18" s="101">
        <f t="shared" si="10"/>
        <v>0</v>
      </c>
      <c r="U18" s="101">
        <f t="shared" si="11"/>
        <v>0</v>
      </c>
      <c r="V18" s="101">
        <f t="shared" si="12"/>
        <v>0</v>
      </c>
      <c r="W18" s="101">
        <f t="shared" si="13"/>
        <v>0</v>
      </c>
      <c r="X18" s="103">
        <f t="shared" si="14"/>
        <v>850</v>
      </c>
    </row>
    <row r="19" spans="1:26">
      <c r="A19" s="145" t="s">
        <v>278</v>
      </c>
      <c r="B19" s="106">
        <v>40248</v>
      </c>
      <c r="C19" s="107">
        <v>8</v>
      </c>
      <c r="D19" s="98"/>
      <c r="E19" s="101"/>
      <c r="F19" s="102"/>
      <c r="G19" s="98">
        <v>83</v>
      </c>
      <c r="H19" s="101">
        <f>-70000+9500+6000+2700+4700+1000+7800</f>
        <v>-38300</v>
      </c>
      <c r="I19" s="101">
        <v>70000</v>
      </c>
      <c r="J19" s="103">
        <f t="shared" si="0"/>
        <v>31700</v>
      </c>
      <c r="K19" s="101">
        <f t="shared" si="1"/>
        <v>49960</v>
      </c>
      <c r="L19" s="101">
        <f t="shared" si="2"/>
        <v>0</v>
      </c>
      <c r="M19" s="101">
        <f t="shared" si="3"/>
        <v>0</v>
      </c>
      <c r="N19" s="101">
        <f t="shared" si="4"/>
        <v>0</v>
      </c>
      <c r="O19" s="101">
        <f t="shared" si="5"/>
        <v>0</v>
      </c>
      <c r="P19" s="101">
        <f t="shared" si="6"/>
        <v>0</v>
      </c>
      <c r="Q19" s="101">
        <f t="shared" si="7"/>
        <v>0</v>
      </c>
      <c r="R19" s="101">
        <f t="shared" si="8"/>
        <v>0</v>
      </c>
      <c r="S19" s="101">
        <f t="shared" si="9"/>
        <v>31700</v>
      </c>
      <c r="T19" s="101">
        <f t="shared" si="10"/>
        <v>0</v>
      </c>
      <c r="U19" s="101">
        <f t="shared" si="11"/>
        <v>0</v>
      </c>
      <c r="V19" s="101">
        <f t="shared" si="12"/>
        <v>0</v>
      </c>
      <c r="W19" s="101">
        <f t="shared" si="13"/>
        <v>0</v>
      </c>
      <c r="X19" s="103">
        <f t="shared" si="14"/>
        <v>31700</v>
      </c>
      <c r="Z19" s="47"/>
    </row>
    <row r="20" spans="1:26">
      <c r="A20" s="145" t="s">
        <v>278</v>
      </c>
      <c r="B20" s="106">
        <v>40248</v>
      </c>
      <c r="C20" s="107">
        <v>7</v>
      </c>
      <c r="D20" s="98"/>
      <c r="E20" s="101"/>
      <c r="F20" s="102"/>
      <c r="G20" s="98">
        <v>83</v>
      </c>
      <c r="H20" s="101">
        <f>1500+1500</f>
        <v>3000</v>
      </c>
      <c r="I20" s="101"/>
      <c r="J20" s="103">
        <f t="shared" si="0"/>
        <v>3000</v>
      </c>
      <c r="K20" s="101">
        <f t="shared" si="1"/>
        <v>52960</v>
      </c>
      <c r="L20" s="101">
        <f t="shared" si="2"/>
        <v>0</v>
      </c>
      <c r="M20" s="101">
        <f t="shared" si="3"/>
        <v>0</v>
      </c>
      <c r="N20" s="101">
        <f t="shared" si="4"/>
        <v>0</v>
      </c>
      <c r="O20" s="101">
        <f t="shared" si="5"/>
        <v>0</v>
      </c>
      <c r="P20" s="101">
        <f t="shared" si="6"/>
        <v>0</v>
      </c>
      <c r="Q20" s="101">
        <f t="shared" si="7"/>
        <v>0</v>
      </c>
      <c r="R20" s="101">
        <f t="shared" si="8"/>
        <v>3000</v>
      </c>
      <c r="S20" s="101">
        <f t="shared" si="9"/>
        <v>0</v>
      </c>
      <c r="T20" s="101">
        <f t="shared" si="10"/>
        <v>0</v>
      </c>
      <c r="U20" s="101">
        <f t="shared" si="11"/>
        <v>0</v>
      </c>
      <c r="V20" s="101">
        <f t="shared" si="12"/>
        <v>0</v>
      </c>
      <c r="W20" s="101">
        <f t="shared" si="13"/>
        <v>0</v>
      </c>
      <c r="X20" s="103">
        <f t="shared" si="14"/>
        <v>3000</v>
      </c>
      <c r="Z20" s="47"/>
    </row>
    <row r="21" spans="1:26">
      <c r="A21" s="145" t="s">
        <v>285</v>
      </c>
      <c r="B21" s="106">
        <v>40248</v>
      </c>
      <c r="C21" s="107">
        <v>2</v>
      </c>
      <c r="D21" s="98"/>
      <c r="E21" s="101"/>
      <c r="F21" s="102"/>
      <c r="G21" s="98">
        <v>83</v>
      </c>
      <c r="H21" s="101">
        <v>10000</v>
      </c>
      <c r="I21" s="101"/>
      <c r="J21" s="103">
        <f t="shared" si="0"/>
        <v>10000</v>
      </c>
      <c r="K21" s="101">
        <f t="shared" si="1"/>
        <v>62960</v>
      </c>
      <c r="L21" s="101">
        <f t="shared" si="2"/>
        <v>0</v>
      </c>
      <c r="M21" s="101">
        <f t="shared" si="3"/>
        <v>10000</v>
      </c>
      <c r="N21" s="101">
        <f t="shared" si="4"/>
        <v>0</v>
      </c>
      <c r="O21" s="101">
        <f t="shared" si="5"/>
        <v>0</v>
      </c>
      <c r="P21" s="101">
        <f t="shared" si="6"/>
        <v>0</v>
      </c>
      <c r="Q21" s="101">
        <f t="shared" si="7"/>
        <v>0</v>
      </c>
      <c r="R21" s="101">
        <f t="shared" si="8"/>
        <v>0</v>
      </c>
      <c r="S21" s="101">
        <f t="shared" si="9"/>
        <v>0</v>
      </c>
      <c r="T21" s="101">
        <f t="shared" si="10"/>
        <v>0</v>
      </c>
      <c r="U21" s="101">
        <f t="shared" si="11"/>
        <v>0</v>
      </c>
      <c r="V21" s="101">
        <f t="shared" si="12"/>
        <v>0</v>
      </c>
      <c r="W21" s="101">
        <f t="shared" si="13"/>
        <v>0</v>
      </c>
      <c r="X21" s="103">
        <f t="shared" si="14"/>
        <v>10000</v>
      </c>
      <c r="Z21" s="47"/>
    </row>
    <row r="22" spans="1:26">
      <c r="A22" s="146" t="s">
        <v>280</v>
      </c>
      <c r="B22" s="106">
        <v>40250</v>
      </c>
      <c r="C22" s="100">
        <v>2</v>
      </c>
      <c r="D22" s="98"/>
      <c r="E22" s="101"/>
      <c r="F22" s="102"/>
      <c r="G22" s="98">
        <v>83</v>
      </c>
      <c r="H22" s="101">
        <f>400*21+6*400</f>
        <v>10800</v>
      </c>
      <c r="I22" s="101"/>
      <c r="J22" s="103">
        <f t="shared" si="0"/>
        <v>10800</v>
      </c>
      <c r="K22" s="101">
        <f t="shared" si="1"/>
        <v>73760</v>
      </c>
      <c r="L22" s="101">
        <f t="shared" si="2"/>
        <v>0</v>
      </c>
      <c r="M22" s="101">
        <f t="shared" si="3"/>
        <v>10800</v>
      </c>
      <c r="N22" s="101">
        <f t="shared" si="4"/>
        <v>0</v>
      </c>
      <c r="O22" s="101">
        <f t="shared" si="5"/>
        <v>0</v>
      </c>
      <c r="P22" s="101">
        <f t="shared" si="6"/>
        <v>0</v>
      </c>
      <c r="Q22" s="101">
        <f t="shared" si="7"/>
        <v>0</v>
      </c>
      <c r="R22" s="101">
        <f t="shared" si="8"/>
        <v>0</v>
      </c>
      <c r="S22" s="101">
        <f t="shared" si="9"/>
        <v>0</v>
      </c>
      <c r="T22" s="101">
        <f t="shared" si="10"/>
        <v>0</v>
      </c>
      <c r="U22" s="101">
        <f t="shared" si="11"/>
        <v>0</v>
      </c>
      <c r="V22" s="101">
        <f t="shared" si="12"/>
        <v>0</v>
      </c>
      <c r="W22" s="101">
        <f t="shared" si="13"/>
        <v>0</v>
      </c>
      <c r="X22" s="103">
        <f t="shared" si="14"/>
        <v>10800</v>
      </c>
      <c r="Z22" s="47"/>
    </row>
    <row r="23" spans="1:26">
      <c r="A23" s="98" t="s">
        <v>333</v>
      </c>
      <c r="B23" s="106">
        <v>40252</v>
      </c>
      <c r="C23" s="100">
        <v>8</v>
      </c>
      <c r="D23" s="98">
        <v>98</v>
      </c>
      <c r="E23" s="101">
        <v>100</v>
      </c>
      <c r="F23" s="102"/>
      <c r="G23" s="98"/>
      <c r="H23" s="101"/>
      <c r="I23" s="101"/>
      <c r="J23" s="103">
        <f t="shared" si="0"/>
        <v>100</v>
      </c>
      <c r="K23" s="101">
        <f t="shared" si="1"/>
        <v>73860</v>
      </c>
      <c r="L23" s="101">
        <f t="shared" si="2"/>
        <v>0</v>
      </c>
      <c r="M23" s="101">
        <f t="shared" si="3"/>
        <v>0</v>
      </c>
      <c r="N23" s="101">
        <f t="shared" si="4"/>
        <v>0</v>
      </c>
      <c r="O23" s="101">
        <f t="shared" si="5"/>
        <v>0</v>
      </c>
      <c r="P23" s="101">
        <f t="shared" si="6"/>
        <v>0</v>
      </c>
      <c r="Q23" s="101">
        <f t="shared" si="7"/>
        <v>0</v>
      </c>
      <c r="R23" s="101">
        <f t="shared" si="8"/>
        <v>0</v>
      </c>
      <c r="S23" s="101">
        <f t="shared" si="9"/>
        <v>100</v>
      </c>
      <c r="T23" s="101">
        <f t="shared" si="10"/>
        <v>0</v>
      </c>
      <c r="U23" s="101">
        <f t="shared" si="11"/>
        <v>0</v>
      </c>
      <c r="V23" s="101">
        <f t="shared" si="12"/>
        <v>0</v>
      </c>
      <c r="W23" s="101">
        <f t="shared" si="13"/>
        <v>0</v>
      </c>
      <c r="X23" s="103">
        <f t="shared" si="14"/>
        <v>100</v>
      </c>
    </row>
    <row r="24" spans="1:26">
      <c r="A24" s="98" t="s">
        <v>355</v>
      </c>
      <c r="B24" s="99">
        <v>40252</v>
      </c>
      <c r="C24" s="100">
        <v>8</v>
      </c>
      <c r="D24" s="98">
        <v>115</v>
      </c>
      <c r="E24" s="101">
        <v>5800</v>
      </c>
      <c r="F24" s="102"/>
      <c r="G24" s="98"/>
      <c r="H24" s="101"/>
      <c r="I24" s="101"/>
      <c r="J24" s="103">
        <f t="shared" si="0"/>
        <v>5800</v>
      </c>
      <c r="K24" s="101">
        <f t="shared" si="1"/>
        <v>79660</v>
      </c>
      <c r="L24" s="101">
        <f t="shared" si="2"/>
        <v>0</v>
      </c>
      <c r="M24" s="101">
        <f t="shared" si="3"/>
        <v>0</v>
      </c>
      <c r="N24" s="101">
        <f t="shared" si="4"/>
        <v>0</v>
      </c>
      <c r="O24" s="101">
        <f t="shared" si="5"/>
        <v>0</v>
      </c>
      <c r="P24" s="101">
        <f t="shared" si="6"/>
        <v>0</v>
      </c>
      <c r="Q24" s="101">
        <f t="shared" si="7"/>
        <v>0</v>
      </c>
      <c r="R24" s="101">
        <f t="shared" si="8"/>
        <v>0</v>
      </c>
      <c r="S24" s="101">
        <f t="shared" si="9"/>
        <v>5800</v>
      </c>
      <c r="T24" s="101">
        <f t="shared" si="10"/>
        <v>0</v>
      </c>
      <c r="U24" s="101">
        <f t="shared" si="11"/>
        <v>0</v>
      </c>
      <c r="V24" s="101">
        <f t="shared" si="12"/>
        <v>0</v>
      </c>
      <c r="W24" s="101">
        <f t="shared" si="13"/>
        <v>0</v>
      </c>
      <c r="X24" s="103">
        <f t="shared" si="14"/>
        <v>5800</v>
      </c>
    </row>
    <row r="25" spans="1:26">
      <c r="A25" s="98" t="s">
        <v>356</v>
      </c>
      <c r="B25" s="99">
        <v>40252</v>
      </c>
      <c r="C25" s="100">
        <v>2</v>
      </c>
      <c r="D25" s="98">
        <v>126</v>
      </c>
      <c r="E25" s="101">
        <v>350</v>
      </c>
      <c r="F25" s="102"/>
      <c r="G25" s="102"/>
      <c r="H25" s="101"/>
      <c r="I25" s="103"/>
      <c r="J25" s="103">
        <f t="shared" si="0"/>
        <v>350</v>
      </c>
      <c r="K25" s="101">
        <f t="shared" si="1"/>
        <v>80010</v>
      </c>
      <c r="L25" s="101">
        <f t="shared" si="2"/>
        <v>0</v>
      </c>
      <c r="M25" s="101">
        <f t="shared" si="3"/>
        <v>350</v>
      </c>
      <c r="N25" s="101">
        <f t="shared" si="4"/>
        <v>0</v>
      </c>
      <c r="O25" s="101">
        <f t="shared" si="5"/>
        <v>0</v>
      </c>
      <c r="P25" s="101">
        <f t="shared" si="6"/>
        <v>0</v>
      </c>
      <c r="Q25" s="101">
        <f t="shared" si="7"/>
        <v>0</v>
      </c>
      <c r="R25" s="101">
        <f t="shared" si="8"/>
        <v>0</v>
      </c>
      <c r="S25" s="101">
        <f t="shared" si="9"/>
        <v>0</v>
      </c>
      <c r="T25" s="101">
        <f t="shared" si="10"/>
        <v>0</v>
      </c>
      <c r="U25" s="101">
        <f t="shared" si="11"/>
        <v>0</v>
      </c>
      <c r="V25" s="101">
        <f t="shared" si="12"/>
        <v>0</v>
      </c>
      <c r="W25" s="101">
        <f t="shared" si="13"/>
        <v>0</v>
      </c>
      <c r="X25" s="103">
        <f t="shared" si="14"/>
        <v>350</v>
      </c>
    </row>
    <row r="26" spans="1:26">
      <c r="A26" s="98" t="s">
        <v>357</v>
      </c>
      <c r="B26" s="99">
        <v>40253</v>
      </c>
      <c r="C26" s="100">
        <v>8</v>
      </c>
      <c r="D26" s="98">
        <v>105</v>
      </c>
      <c r="E26" s="101">
        <v>200</v>
      </c>
      <c r="F26" s="102"/>
      <c r="G26" s="98"/>
      <c r="H26" s="101"/>
      <c r="I26" s="101"/>
      <c r="J26" s="103">
        <f t="shared" si="0"/>
        <v>200</v>
      </c>
      <c r="K26" s="101">
        <f t="shared" si="1"/>
        <v>80210</v>
      </c>
      <c r="L26" s="101">
        <f t="shared" si="2"/>
        <v>0</v>
      </c>
      <c r="M26" s="101">
        <f t="shared" si="3"/>
        <v>0</v>
      </c>
      <c r="N26" s="101">
        <f t="shared" si="4"/>
        <v>0</v>
      </c>
      <c r="O26" s="101">
        <f t="shared" si="5"/>
        <v>0</v>
      </c>
      <c r="P26" s="101">
        <f t="shared" si="6"/>
        <v>0</v>
      </c>
      <c r="Q26" s="101">
        <f t="shared" si="7"/>
        <v>0</v>
      </c>
      <c r="R26" s="101">
        <f t="shared" si="8"/>
        <v>0</v>
      </c>
      <c r="S26" s="101">
        <f t="shared" si="9"/>
        <v>200</v>
      </c>
      <c r="T26" s="101">
        <f t="shared" si="10"/>
        <v>0</v>
      </c>
      <c r="U26" s="101">
        <f t="shared" si="11"/>
        <v>0</v>
      </c>
      <c r="V26" s="101">
        <f t="shared" si="12"/>
        <v>0</v>
      </c>
      <c r="W26" s="101">
        <f t="shared" si="13"/>
        <v>0</v>
      </c>
      <c r="X26" s="103">
        <f t="shared" si="14"/>
        <v>200</v>
      </c>
    </row>
    <row r="27" spans="1:26">
      <c r="A27" s="98" t="s">
        <v>358</v>
      </c>
      <c r="B27" s="106">
        <v>40253</v>
      </c>
      <c r="C27" s="100">
        <v>8</v>
      </c>
      <c r="D27" s="98">
        <v>106</v>
      </c>
      <c r="E27" s="101">
        <v>330</v>
      </c>
      <c r="F27" s="102"/>
      <c r="G27" s="102"/>
      <c r="H27" s="101"/>
      <c r="I27" s="103"/>
      <c r="J27" s="103">
        <f t="shared" si="0"/>
        <v>330</v>
      </c>
      <c r="K27" s="101">
        <f t="shared" si="1"/>
        <v>80540</v>
      </c>
      <c r="L27" s="101">
        <f t="shared" si="2"/>
        <v>0</v>
      </c>
      <c r="M27" s="101">
        <f t="shared" si="3"/>
        <v>0</v>
      </c>
      <c r="N27" s="101">
        <f t="shared" si="4"/>
        <v>0</v>
      </c>
      <c r="O27" s="101">
        <f t="shared" si="5"/>
        <v>0</v>
      </c>
      <c r="P27" s="101">
        <f t="shared" si="6"/>
        <v>0</v>
      </c>
      <c r="Q27" s="101">
        <f t="shared" si="7"/>
        <v>0</v>
      </c>
      <c r="R27" s="101">
        <f t="shared" si="8"/>
        <v>0</v>
      </c>
      <c r="S27" s="101">
        <f t="shared" si="9"/>
        <v>330</v>
      </c>
      <c r="T27" s="101">
        <f t="shared" si="10"/>
        <v>0</v>
      </c>
      <c r="U27" s="101">
        <f t="shared" si="11"/>
        <v>0</v>
      </c>
      <c r="V27" s="101">
        <f t="shared" si="12"/>
        <v>0</v>
      </c>
      <c r="W27" s="101">
        <f t="shared" si="13"/>
        <v>0</v>
      </c>
      <c r="X27" s="103">
        <f t="shared" si="14"/>
        <v>330</v>
      </c>
    </row>
    <row r="28" spans="1:26">
      <c r="A28" s="98" t="s">
        <v>359</v>
      </c>
      <c r="B28" s="106">
        <v>40253</v>
      </c>
      <c r="C28" s="100">
        <v>8</v>
      </c>
      <c r="D28" s="98">
        <v>107</v>
      </c>
      <c r="E28" s="101">
        <v>1200</v>
      </c>
      <c r="F28" s="102"/>
      <c r="G28" s="102"/>
      <c r="H28" s="101"/>
      <c r="I28" s="103"/>
      <c r="J28" s="103">
        <f t="shared" si="0"/>
        <v>1200</v>
      </c>
      <c r="K28" s="101">
        <f t="shared" si="1"/>
        <v>81740</v>
      </c>
      <c r="L28" s="101">
        <f t="shared" si="2"/>
        <v>0</v>
      </c>
      <c r="M28" s="101">
        <f t="shared" si="3"/>
        <v>0</v>
      </c>
      <c r="N28" s="101">
        <f t="shared" si="4"/>
        <v>0</v>
      </c>
      <c r="O28" s="101">
        <f t="shared" si="5"/>
        <v>0</v>
      </c>
      <c r="P28" s="101">
        <f t="shared" si="6"/>
        <v>0</v>
      </c>
      <c r="Q28" s="101">
        <f t="shared" si="7"/>
        <v>0</v>
      </c>
      <c r="R28" s="101">
        <f t="shared" si="8"/>
        <v>0</v>
      </c>
      <c r="S28" s="101">
        <f t="shared" si="9"/>
        <v>1200</v>
      </c>
      <c r="T28" s="101">
        <f t="shared" si="10"/>
        <v>0</v>
      </c>
      <c r="U28" s="101">
        <f t="shared" si="11"/>
        <v>0</v>
      </c>
      <c r="V28" s="101">
        <f t="shared" si="12"/>
        <v>0</v>
      </c>
      <c r="W28" s="101">
        <f t="shared" si="13"/>
        <v>0</v>
      </c>
      <c r="X28" s="103">
        <f t="shared" si="14"/>
        <v>1200</v>
      </c>
    </row>
    <row r="29" spans="1:26">
      <c r="A29" s="98" t="s">
        <v>354</v>
      </c>
      <c r="B29" s="106">
        <v>40253</v>
      </c>
      <c r="C29" s="100">
        <v>3</v>
      </c>
      <c r="D29" s="98">
        <v>108</v>
      </c>
      <c r="E29" s="101">
        <v>600</v>
      </c>
      <c r="F29" s="102"/>
      <c r="G29" s="102"/>
      <c r="H29" s="101"/>
      <c r="I29" s="103"/>
      <c r="J29" s="103">
        <f t="shared" si="0"/>
        <v>600</v>
      </c>
      <c r="K29" s="101">
        <f t="shared" si="1"/>
        <v>82340</v>
      </c>
      <c r="L29" s="101">
        <f t="shared" si="2"/>
        <v>0</v>
      </c>
      <c r="M29" s="101">
        <f t="shared" si="3"/>
        <v>0</v>
      </c>
      <c r="N29" s="101">
        <f t="shared" si="4"/>
        <v>600</v>
      </c>
      <c r="O29" s="101">
        <f t="shared" si="5"/>
        <v>0</v>
      </c>
      <c r="P29" s="101">
        <f t="shared" si="6"/>
        <v>0</v>
      </c>
      <c r="Q29" s="101">
        <f t="shared" si="7"/>
        <v>0</v>
      </c>
      <c r="R29" s="101">
        <f t="shared" si="8"/>
        <v>0</v>
      </c>
      <c r="S29" s="101">
        <f t="shared" si="9"/>
        <v>0</v>
      </c>
      <c r="T29" s="101">
        <f t="shared" si="10"/>
        <v>0</v>
      </c>
      <c r="U29" s="101">
        <f t="shared" si="11"/>
        <v>0</v>
      </c>
      <c r="V29" s="101">
        <f t="shared" si="12"/>
        <v>0</v>
      </c>
      <c r="W29" s="101">
        <f t="shared" si="13"/>
        <v>0</v>
      </c>
      <c r="X29" s="103">
        <f t="shared" si="14"/>
        <v>600</v>
      </c>
    </row>
    <row r="30" spans="1:26">
      <c r="A30" s="98" t="s">
        <v>357</v>
      </c>
      <c r="B30" s="106">
        <v>40253</v>
      </c>
      <c r="C30" s="100">
        <v>8</v>
      </c>
      <c r="D30" s="98">
        <v>114</v>
      </c>
      <c r="E30" s="101">
        <v>200</v>
      </c>
      <c r="F30" s="102"/>
      <c r="G30" s="102"/>
      <c r="H30" s="101"/>
      <c r="I30" s="103"/>
      <c r="J30" s="103">
        <f t="shared" si="0"/>
        <v>200</v>
      </c>
      <c r="K30" s="101">
        <f t="shared" si="1"/>
        <v>82540</v>
      </c>
      <c r="L30" s="101">
        <f t="shared" si="2"/>
        <v>0</v>
      </c>
      <c r="M30" s="101">
        <f t="shared" si="3"/>
        <v>0</v>
      </c>
      <c r="N30" s="101">
        <f t="shared" si="4"/>
        <v>0</v>
      </c>
      <c r="O30" s="101">
        <f t="shared" si="5"/>
        <v>0</v>
      </c>
      <c r="P30" s="101">
        <f t="shared" si="6"/>
        <v>0</v>
      </c>
      <c r="Q30" s="101">
        <f t="shared" si="7"/>
        <v>0</v>
      </c>
      <c r="R30" s="101">
        <f t="shared" si="8"/>
        <v>0</v>
      </c>
      <c r="S30" s="101">
        <f t="shared" si="9"/>
        <v>200</v>
      </c>
      <c r="T30" s="101">
        <f t="shared" si="10"/>
        <v>0</v>
      </c>
      <c r="U30" s="101">
        <f t="shared" si="11"/>
        <v>0</v>
      </c>
      <c r="V30" s="101">
        <f t="shared" si="12"/>
        <v>0</v>
      </c>
      <c r="W30" s="101">
        <f t="shared" si="13"/>
        <v>0</v>
      </c>
      <c r="X30" s="103">
        <f t="shared" si="14"/>
        <v>200</v>
      </c>
    </row>
    <row r="31" spans="1:26">
      <c r="A31" s="98" t="s">
        <v>353</v>
      </c>
      <c r="B31" s="106">
        <v>40253</v>
      </c>
      <c r="C31" s="100">
        <v>8</v>
      </c>
      <c r="D31" s="98">
        <v>121</v>
      </c>
      <c r="E31" s="101">
        <v>100</v>
      </c>
      <c r="F31" s="102"/>
      <c r="G31" s="98"/>
      <c r="H31" s="101"/>
      <c r="I31" s="101"/>
      <c r="J31" s="103">
        <f t="shared" si="0"/>
        <v>100</v>
      </c>
      <c r="K31" s="101">
        <f t="shared" si="1"/>
        <v>82640</v>
      </c>
      <c r="L31" s="101">
        <f t="shared" si="2"/>
        <v>0</v>
      </c>
      <c r="M31" s="101">
        <f t="shared" si="3"/>
        <v>0</v>
      </c>
      <c r="N31" s="101">
        <f t="shared" si="4"/>
        <v>0</v>
      </c>
      <c r="O31" s="101">
        <f t="shared" si="5"/>
        <v>0</v>
      </c>
      <c r="P31" s="101">
        <f t="shared" si="6"/>
        <v>0</v>
      </c>
      <c r="Q31" s="101">
        <f t="shared" si="7"/>
        <v>0</v>
      </c>
      <c r="R31" s="101">
        <f t="shared" si="8"/>
        <v>0</v>
      </c>
      <c r="S31" s="101">
        <f t="shared" si="9"/>
        <v>100</v>
      </c>
      <c r="T31" s="101">
        <f t="shared" si="10"/>
        <v>0</v>
      </c>
      <c r="U31" s="101">
        <f t="shared" si="11"/>
        <v>0</v>
      </c>
      <c r="V31" s="101">
        <f t="shared" si="12"/>
        <v>0</v>
      </c>
      <c r="W31" s="101">
        <f t="shared" si="13"/>
        <v>0</v>
      </c>
      <c r="X31" s="103">
        <f t="shared" si="14"/>
        <v>100</v>
      </c>
    </row>
    <row r="32" spans="1:26">
      <c r="A32" s="147" t="s">
        <v>289</v>
      </c>
      <c r="B32" s="106">
        <v>40253</v>
      </c>
      <c r="C32" s="100">
        <v>8</v>
      </c>
      <c r="D32" s="98"/>
      <c r="E32" s="101"/>
      <c r="F32" s="102"/>
      <c r="G32" s="98"/>
      <c r="H32" s="101"/>
      <c r="I32" s="101"/>
      <c r="J32" s="103">
        <f t="shared" si="0"/>
        <v>0</v>
      </c>
      <c r="K32" s="101">
        <f t="shared" si="1"/>
        <v>82640</v>
      </c>
      <c r="L32" s="101">
        <f t="shared" si="2"/>
        <v>0</v>
      </c>
      <c r="M32" s="101">
        <f t="shared" si="3"/>
        <v>0</v>
      </c>
      <c r="N32" s="101">
        <f t="shared" si="4"/>
        <v>0</v>
      </c>
      <c r="O32" s="101">
        <f t="shared" si="5"/>
        <v>0</v>
      </c>
      <c r="P32" s="101">
        <f t="shared" si="6"/>
        <v>0</v>
      </c>
      <c r="Q32" s="101">
        <f t="shared" si="7"/>
        <v>0</v>
      </c>
      <c r="R32" s="101">
        <f t="shared" si="8"/>
        <v>0</v>
      </c>
      <c r="S32" s="101">
        <f t="shared" si="9"/>
        <v>0</v>
      </c>
      <c r="T32" s="101">
        <f t="shared" si="10"/>
        <v>0</v>
      </c>
      <c r="U32" s="101">
        <f t="shared" si="11"/>
        <v>0</v>
      </c>
      <c r="V32" s="101">
        <f t="shared" si="12"/>
        <v>0</v>
      </c>
      <c r="W32" s="101">
        <f t="shared" si="13"/>
        <v>0</v>
      </c>
      <c r="X32" s="103">
        <f t="shared" si="14"/>
        <v>0</v>
      </c>
      <c r="Z32" s="47"/>
    </row>
    <row r="33" spans="1:26">
      <c r="A33" s="147" t="s">
        <v>289</v>
      </c>
      <c r="B33" s="106">
        <v>40253</v>
      </c>
      <c r="C33" s="100"/>
      <c r="D33" s="98"/>
      <c r="E33" s="101"/>
      <c r="F33" s="102"/>
      <c r="G33" s="98"/>
      <c r="H33" s="101">
        <v>21930</v>
      </c>
      <c r="I33" s="101">
        <v>-21930</v>
      </c>
      <c r="J33" s="103">
        <f t="shared" si="0"/>
        <v>0</v>
      </c>
      <c r="K33" s="101">
        <f t="shared" si="1"/>
        <v>82640</v>
      </c>
      <c r="L33" s="101">
        <f t="shared" si="2"/>
        <v>0</v>
      </c>
      <c r="M33" s="101">
        <f t="shared" si="3"/>
        <v>0</v>
      </c>
      <c r="N33" s="101">
        <f t="shared" si="4"/>
        <v>0</v>
      </c>
      <c r="O33" s="101">
        <f t="shared" si="5"/>
        <v>0</v>
      </c>
      <c r="P33" s="101">
        <f t="shared" si="6"/>
        <v>0</v>
      </c>
      <c r="Q33" s="101">
        <f t="shared" si="7"/>
        <v>0</v>
      </c>
      <c r="R33" s="101">
        <f t="shared" si="8"/>
        <v>0</v>
      </c>
      <c r="S33" s="101">
        <f t="shared" si="9"/>
        <v>0</v>
      </c>
      <c r="T33" s="101">
        <f t="shared" si="10"/>
        <v>0</v>
      </c>
      <c r="U33" s="101">
        <f t="shared" si="11"/>
        <v>0</v>
      </c>
      <c r="V33" s="101">
        <f t="shared" si="12"/>
        <v>0</v>
      </c>
      <c r="W33" s="101">
        <f t="shared" si="13"/>
        <v>0</v>
      </c>
      <c r="X33" s="103">
        <f t="shared" si="14"/>
        <v>0</v>
      </c>
      <c r="Z33" s="47"/>
    </row>
    <row r="34" spans="1:26">
      <c r="A34" s="98" t="s">
        <v>360</v>
      </c>
      <c r="B34" s="106">
        <v>40254</v>
      </c>
      <c r="C34" s="100">
        <v>8</v>
      </c>
      <c r="D34" s="98">
        <v>122</v>
      </c>
      <c r="E34" s="101">
        <v>515</v>
      </c>
      <c r="F34" s="102"/>
      <c r="G34" s="98"/>
      <c r="H34" s="101"/>
      <c r="I34" s="101"/>
      <c r="J34" s="103">
        <f t="shared" si="0"/>
        <v>515</v>
      </c>
      <c r="K34" s="101">
        <f t="shared" si="1"/>
        <v>83155</v>
      </c>
      <c r="L34" s="101">
        <f t="shared" si="2"/>
        <v>0</v>
      </c>
      <c r="M34" s="101">
        <f t="shared" si="3"/>
        <v>0</v>
      </c>
      <c r="N34" s="101">
        <f t="shared" si="4"/>
        <v>0</v>
      </c>
      <c r="O34" s="101">
        <f t="shared" si="5"/>
        <v>0</v>
      </c>
      <c r="P34" s="101">
        <f t="shared" si="6"/>
        <v>0</v>
      </c>
      <c r="Q34" s="101">
        <f t="shared" si="7"/>
        <v>0</v>
      </c>
      <c r="R34" s="101">
        <f t="shared" si="8"/>
        <v>0</v>
      </c>
      <c r="S34" s="101">
        <f t="shared" si="9"/>
        <v>515</v>
      </c>
      <c r="T34" s="101">
        <f t="shared" si="10"/>
        <v>0</v>
      </c>
      <c r="U34" s="101">
        <f t="shared" si="11"/>
        <v>0</v>
      </c>
      <c r="V34" s="101">
        <f t="shared" si="12"/>
        <v>0</v>
      </c>
      <c r="W34" s="101">
        <f t="shared" si="13"/>
        <v>0</v>
      </c>
      <c r="X34" s="103">
        <f t="shared" si="14"/>
        <v>515</v>
      </c>
    </row>
    <row r="35" spans="1:26">
      <c r="A35" s="98" t="s">
        <v>333</v>
      </c>
      <c r="B35" s="106">
        <v>40255</v>
      </c>
      <c r="C35" s="100">
        <v>8</v>
      </c>
      <c r="D35" s="98">
        <v>123</v>
      </c>
      <c r="E35" s="101">
        <v>100</v>
      </c>
      <c r="F35" s="102"/>
      <c r="G35" s="98"/>
      <c r="H35" s="101"/>
      <c r="I35" s="101"/>
      <c r="J35" s="103">
        <f t="shared" si="0"/>
        <v>100</v>
      </c>
      <c r="K35" s="101">
        <f t="shared" si="1"/>
        <v>83255</v>
      </c>
      <c r="L35" s="101">
        <f t="shared" si="2"/>
        <v>0</v>
      </c>
      <c r="M35" s="101">
        <f t="shared" si="3"/>
        <v>0</v>
      </c>
      <c r="N35" s="101">
        <f t="shared" si="4"/>
        <v>0</v>
      </c>
      <c r="O35" s="101">
        <f t="shared" si="5"/>
        <v>0</v>
      </c>
      <c r="P35" s="101">
        <f t="shared" si="6"/>
        <v>0</v>
      </c>
      <c r="Q35" s="101">
        <f t="shared" si="7"/>
        <v>0</v>
      </c>
      <c r="R35" s="101">
        <f t="shared" si="8"/>
        <v>0</v>
      </c>
      <c r="S35" s="101">
        <f t="shared" si="9"/>
        <v>100</v>
      </c>
      <c r="T35" s="101">
        <f t="shared" si="10"/>
        <v>0</v>
      </c>
      <c r="U35" s="101">
        <f t="shared" si="11"/>
        <v>0</v>
      </c>
      <c r="V35" s="101">
        <f t="shared" si="12"/>
        <v>0</v>
      </c>
      <c r="W35" s="101">
        <f t="shared" si="13"/>
        <v>0</v>
      </c>
      <c r="X35" s="103">
        <f t="shared" si="14"/>
        <v>100</v>
      </c>
    </row>
    <row r="36" spans="1:26">
      <c r="A36" s="98" t="s">
        <v>361</v>
      </c>
      <c r="B36" s="106">
        <v>40256</v>
      </c>
      <c r="C36" s="100">
        <v>8</v>
      </c>
      <c r="D36" s="98">
        <v>124</v>
      </c>
      <c r="E36" s="101">
        <v>500</v>
      </c>
      <c r="F36" s="102"/>
      <c r="G36" s="102"/>
      <c r="H36" s="101"/>
      <c r="I36" s="103"/>
      <c r="J36" s="103">
        <f t="shared" si="0"/>
        <v>500</v>
      </c>
      <c r="K36" s="101">
        <f t="shared" si="1"/>
        <v>83755</v>
      </c>
      <c r="L36" s="101">
        <f t="shared" si="2"/>
        <v>0</v>
      </c>
      <c r="M36" s="101">
        <f t="shared" si="3"/>
        <v>0</v>
      </c>
      <c r="N36" s="101">
        <f t="shared" si="4"/>
        <v>0</v>
      </c>
      <c r="O36" s="101">
        <f t="shared" si="5"/>
        <v>0</v>
      </c>
      <c r="P36" s="101">
        <f t="shared" si="6"/>
        <v>0</v>
      </c>
      <c r="Q36" s="101">
        <f t="shared" si="7"/>
        <v>0</v>
      </c>
      <c r="R36" s="101">
        <f t="shared" si="8"/>
        <v>0</v>
      </c>
      <c r="S36" s="101">
        <f t="shared" si="9"/>
        <v>500</v>
      </c>
      <c r="T36" s="101">
        <f t="shared" si="10"/>
        <v>0</v>
      </c>
      <c r="U36" s="101">
        <f t="shared" si="11"/>
        <v>0</v>
      </c>
      <c r="V36" s="101">
        <f t="shared" si="12"/>
        <v>0</v>
      </c>
      <c r="W36" s="101">
        <f t="shared" si="13"/>
        <v>0</v>
      </c>
      <c r="X36" s="103">
        <f t="shared" si="14"/>
        <v>500</v>
      </c>
    </row>
    <row r="37" spans="1:26">
      <c r="A37" s="98" t="s">
        <v>367</v>
      </c>
      <c r="B37" s="106">
        <v>40257</v>
      </c>
      <c r="C37" s="100">
        <v>2</v>
      </c>
      <c r="D37" s="98"/>
      <c r="E37" s="101"/>
      <c r="F37" s="102"/>
      <c r="G37" s="98">
        <v>84</v>
      </c>
      <c r="H37" s="101">
        <f>4800+3200</f>
        <v>8000</v>
      </c>
      <c r="I37" s="101"/>
      <c r="J37" s="103">
        <f t="shared" si="0"/>
        <v>8000</v>
      </c>
      <c r="K37" s="101">
        <f t="shared" si="1"/>
        <v>91755</v>
      </c>
      <c r="L37" s="101">
        <f t="shared" si="2"/>
        <v>0</v>
      </c>
      <c r="M37" s="101">
        <f t="shared" si="3"/>
        <v>8000</v>
      </c>
      <c r="N37" s="101">
        <f t="shared" si="4"/>
        <v>0</v>
      </c>
      <c r="O37" s="101">
        <f t="shared" si="5"/>
        <v>0</v>
      </c>
      <c r="P37" s="101">
        <f t="shared" si="6"/>
        <v>0</v>
      </c>
      <c r="Q37" s="101">
        <f t="shared" si="7"/>
        <v>0</v>
      </c>
      <c r="R37" s="101">
        <f t="shared" si="8"/>
        <v>0</v>
      </c>
      <c r="S37" s="101">
        <f t="shared" si="9"/>
        <v>0</v>
      </c>
      <c r="T37" s="101">
        <f t="shared" si="10"/>
        <v>0</v>
      </c>
      <c r="U37" s="101">
        <f t="shared" si="11"/>
        <v>0</v>
      </c>
      <c r="V37" s="101">
        <f t="shared" si="12"/>
        <v>0</v>
      </c>
      <c r="W37" s="101">
        <f t="shared" si="13"/>
        <v>0</v>
      </c>
      <c r="X37" s="103">
        <f t="shared" si="14"/>
        <v>8000</v>
      </c>
    </row>
    <row r="38" spans="1:26">
      <c r="A38" s="98" t="s">
        <v>368</v>
      </c>
      <c r="B38" s="106">
        <v>40257</v>
      </c>
      <c r="C38" s="100">
        <v>2</v>
      </c>
      <c r="D38" s="98"/>
      <c r="E38" s="101"/>
      <c r="F38" s="102"/>
      <c r="G38" s="98">
        <v>84</v>
      </c>
      <c r="H38" s="101">
        <f>12500+9000</f>
        <v>21500</v>
      </c>
      <c r="I38" s="101"/>
      <c r="J38" s="103">
        <f t="shared" si="0"/>
        <v>21500</v>
      </c>
      <c r="K38" s="101">
        <f t="shared" ref="K38:K69" si="15">K37+J38</f>
        <v>113255</v>
      </c>
      <c r="L38" s="101">
        <f t="shared" si="2"/>
        <v>0</v>
      </c>
      <c r="M38" s="101">
        <f t="shared" si="3"/>
        <v>21500</v>
      </c>
      <c r="N38" s="101">
        <f t="shared" si="4"/>
        <v>0</v>
      </c>
      <c r="O38" s="101">
        <f t="shared" si="5"/>
        <v>0</v>
      </c>
      <c r="P38" s="101">
        <f t="shared" si="6"/>
        <v>0</v>
      </c>
      <c r="Q38" s="101">
        <f t="shared" si="7"/>
        <v>0</v>
      </c>
      <c r="R38" s="101">
        <f t="shared" si="8"/>
        <v>0</v>
      </c>
      <c r="S38" s="101">
        <f t="shared" si="9"/>
        <v>0</v>
      </c>
      <c r="T38" s="101">
        <f t="shared" si="10"/>
        <v>0</v>
      </c>
      <c r="U38" s="101">
        <f t="shared" si="11"/>
        <v>0</v>
      </c>
      <c r="V38" s="101">
        <f t="shared" si="12"/>
        <v>0</v>
      </c>
      <c r="W38" s="101">
        <f t="shared" si="13"/>
        <v>0</v>
      </c>
      <c r="X38" s="103">
        <f t="shared" si="14"/>
        <v>21500</v>
      </c>
    </row>
    <row r="39" spans="1:26">
      <c r="A39" s="98" t="s">
        <v>362</v>
      </c>
      <c r="B39" s="106">
        <v>40257</v>
      </c>
      <c r="C39" s="100">
        <v>8</v>
      </c>
      <c r="D39" s="98">
        <v>125</v>
      </c>
      <c r="E39" s="101">
        <v>500</v>
      </c>
      <c r="F39" s="102"/>
      <c r="G39" s="102"/>
      <c r="H39" s="101"/>
      <c r="I39" s="103"/>
      <c r="J39" s="103">
        <f t="shared" si="0"/>
        <v>500</v>
      </c>
      <c r="K39" s="101">
        <f t="shared" si="15"/>
        <v>113755</v>
      </c>
      <c r="L39" s="101">
        <f t="shared" si="2"/>
        <v>0</v>
      </c>
      <c r="M39" s="101">
        <f t="shared" si="3"/>
        <v>0</v>
      </c>
      <c r="N39" s="101">
        <f t="shared" si="4"/>
        <v>0</v>
      </c>
      <c r="O39" s="101">
        <f t="shared" si="5"/>
        <v>0</v>
      </c>
      <c r="P39" s="101">
        <f t="shared" si="6"/>
        <v>0</v>
      </c>
      <c r="Q39" s="101">
        <f t="shared" si="7"/>
        <v>0</v>
      </c>
      <c r="R39" s="101">
        <f t="shared" si="8"/>
        <v>0</v>
      </c>
      <c r="S39" s="101">
        <f t="shared" si="9"/>
        <v>500</v>
      </c>
      <c r="T39" s="101">
        <f t="shared" si="10"/>
        <v>0</v>
      </c>
      <c r="U39" s="101">
        <f t="shared" si="11"/>
        <v>0</v>
      </c>
      <c r="V39" s="101">
        <f t="shared" si="12"/>
        <v>0</v>
      </c>
      <c r="W39" s="101">
        <f t="shared" si="13"/>
        <v>0</v>
      </c>
      <c r="X39" s="103">
        <f t="shared" si="14"/>
        <v>500</v>
      </c>
    </row>
    <row r="40" spans="1:26">
      <c r="A40" s="98" t="s">
        <v>333</v>
      </c>
      <c r="B40" s="106">
        <v>40260</v>
      </c>
      <c r="C40" s="100">
        <v>8</v>
      </c>
      <c r="D40" s="98">
        <v>109</v>
      </c>
      <c r="E40" s="101">
        <v>400</v>
      </c>
      <c r="F40" s="102"/>
      <c r="G40" s="98"/>
      <c r="H40" s="101"/>
      <c r="I40" s="101"/>
      <c r="J40" s="103">
        <f t="shared" si="0"/>
        <v>400</v>
      </c>
      <c r="K40" s="101">
        <f t="shared" si="15"/>
        <v>114155</v>
      </c>
      <c r="L40" s="101">
        <f t="shared" si="2"/>
        <v>0</v>
      </c>
      <c r="M40" s="101">
        <f t="shared" si="3"/>
        <v>0</v>
      </c>
      <c r="N40" s="101">
        <f t="shared" si="4"/>
        <v>0</v>
      </c>
      <c r="O40" s="101">
        <f t="shared" si="5"/>
        <v>0</v>
      </c>
      <c r="P40" s="101">
        <f t="shared" si="6"/>
        <v>0</v>
      </c>
      <c r="Q40" s="101">
        <f t="shared" si="7"/>
        <v>0</v>
      </c>
      <c r="R40" s="101">
        <f t="shared" si="8"/>
        <v>0</v>
      </c>
      <c r="S40" s="101">
        <f t="shared" si="9"/>
        <v>400</v>
      </c>
      <c r="T40" s="101">
        <f t="shared" si="10"/>
        <v>0</v>
      </c>
      <c r="U40" s="101">
        <f t="shared" si="11"/>
        <v>0</v>
      </c>
      <c r="V40" s="101">
        <f t="shared" si="12"/>
        <v>0</v>
      </c>
      <c r="W40" s="101">
        <f t="shared" si="13"/>
        <v>0</v>
      </c>
      <c r="X40" s="103">
        <f t="shared" si="14"/>
        <v>400</v>
      </c>
    </row>
    <row r="41" spans="1:26">
      <c r="A41" s="98" t="s">
        <v>363</v>
      </c>
      <c r="B41" s="106">
        <v>40260</v>
      </c>
      <c r="C41" s="100">
        <v>8</v>
      </c>
      <c r="D41" s="98">
        <v>110</v>
      </c>
      <c r="E41" s="101">
        <v>2500</v>
      </c>
      <c r="F41" s="102"/>
      <c r="G41" s="102"/>
      <c r="H41" s="101"/>
      <c r="I41" s="103"/>
      <c r="J41" s="103">
        <f t="shared" si="0"/>
        <v>2500</v>
      </c>
      <c r="K41" s="101">
        <f t="shared" si="15"/>
        <v>116655</v>
      </c>
      <c r="L41" s="101">
        <f t="shared" si="2"/>
        <v>0</v>
      </c>
      <c r="M41" s="101">
        <f t="shared" si="3"/>
        <v>0</v>
      </c>
      <c r="N41" s="101">
        <f t="shared" si="4"/>
        <v>0</v>
      </c>
      <c r="O41" s="101">
        <f t="shared" si="5"/>
        <v>0</v>
      </c>
      <c r="P41" s="101">
        <f t="shared" si="6"/>
        <v>0</v>
      </c>
      <c r="Q41" s="101">
        <f t="shared" si="7"/>
        <v>0</v>
      </c>
      <c r="R41" s="101">
        <f t="shared" si="8"/>
        <v>0</v>
      </c>
      <c r="S41" s="101">
        <f t="shared" si="9"/>
        <v>2500</v>
      </c>
      <c r="T41" s="101">
        <f t="shared" si="10"/>
        <v>0</v>
      </c>
      <c r="U41" s="101">
        <f t="shared" si="11"/>
        <v>0</v>
      </c>
      <c r="V41" s="101">
        <f t="shared" si="12"/>
        <v>0</v>
      </c>
      <c r="W41" s="101">
        <f t="shared" si="13"/>
        <v>0</v>
      </c>
      <c r="X41" s="103">
        <f t="shared" si="14"/>
        <v>2500</v>
      </c>
    </row>
    <row r="42" spans="1:26">
      <c r="A42" s="98" t="s">
        <v>354</v>
      </c>
      <c r="B42" s="106">
        <v>40260</v>
      </c>
      <c r="C42" s="100">
        <v>8</v>
      </c>
      <c r="D42" s="98">
        <v>111</v>
      </c>
      <c r="E42" s="101">
        <v>600</v>
      </c>
      <c r="F42" s="102"/>
      <c r="G42" s="102"/>
      <c r="H42" s="101"/>
      <c r="I42" s="103"/>
      <c r="J42" s="103">
        <f t="shared" si="0"/>
        <v>600</v>
      </c>
      <c r="K42" s="101">
        <f t="shared" si="15"/>
        <v>117255</v>
      </c>
      <c r="L42" s="101">
        <f t="shared" si="2"/>
        <v>0</v>
      </c>
      <c r="M42" s="101">
        <f t="shared" si="3"/>
        <v>0</v>
      </c>
      <c r="N42" s="101">
        <f t="shared" si="4"/>
        <v>0</v>
      </c>
      <c r="O42" s="101">
        <f t="shared" si="5"/>
        <v>0</v>
      </c>
      <c r="P42" s="101">
        <f t="shared" si="6"/>
        <v>0</v>
      </c>
      <c r="Q42" s="101">
        <f t="shared" si="7"/>
        <v>0</v>
      </c>
      <c r="R42" s="101">
        <f t="shared" si="8"/>
        <v>0</v>
      </c>
      <c r="S42" s="101">
        <f t="shared" si="9"/>
        <v>600</v>
      </c>
      <c r="T42" s="101">
        <f t="shared" si="10"/>
        <v>0</v>
      </c>
      <c r="U42" s="101">
        <f t="shared" si="11"/>
        <v>0</v>
      </c>
      <c r="V42" s="101">
        <f t="shared" si="12"/>
        <v>0</v>
      </c>
      <c r="W42" s="101">
        <f t="shared" si="13"/>
        <v>0</v>
      </c>
      <c r="X42" s="103">
        <f t="shared" si="14"/>
        <v>600</v>
      </c>
    </row>
    <row r="43" spans="1:26">
      <c r="A43" s="98" t="s">
        <v>364</v>
      </c>
      <c r="B43" s="106">
        <v>40260</v>
      </c>
      <c r="C43" s="100">
        <v>8</v>
      </c>
      <c r="D43" s="98">
        <v>118</v>
      </c>
      <c r="E43" s="101">
        <v>2000</v>
      </c>
      <c r="F43" s="102"/>
      <c r="G43" s="102"/>
      <c r="H43" s="101"/>
      <c r="I43" s="103"/>
      <c r="J43" s="103">
        <f t="shared" si="0"/>
        <v>2000</v>
      </c>
      <c r="K43" s="101">
        <f t="shared" si="15"/>
        <v>119255</v>
      </c>
      <c r="L43" s="101">
        <f t="shared" si="2"/>
        <v>0</v>
      </c>
      <c r="M43" s="101">
        <f t="shared" si="3"/>
        <v>0</v>
      </c>
      <c r="N43" s="101">
        <f t="shared" si="4"/>
        <v>0</v>
      </c>
      <c r="O43" s="101">
        <f t="shared" si="5"/>
        <v>0</v>
      </c>
      <c r="P43" s="101">
        <f t="shared" si="6"/>
        <v>0</v>
      </c>
      <c r="Q43" s="101">
        <f t="shared" si="7"/>
        <v>0</v>
      </c>
      <c r="R43" s="101">
        <f t="shared" si="8"/>
        <v>0</v>
      </c>
      <c r="S43" s="101">
        <f t="shared" si="9"/>
        <v>2000</v>
      </c>
      <c r="T43" s="101">
        <f t="shared" si="10"/>
        <v>0</v>
      </c>
      <c r="U43" s="101">
        <f t="shared" si="11"/>
        <v>0</v>
      </c>
      <c r="V43" s="101">
        <f t="shared" si="12"/>
        <v>0</v>
      </c>
      <c r="W43" s="101">
        <f t="shared" si="13"/>
        <v>0</v>
      </c>
      <c r="X43" s="103">
        <f t="shared" si="14"/>
        <v>2000</v>
      </c>
    </row>
    <row r="44" spans="1:26">
      <c r="A44" s="147" t="s">
        <v>289</v>
      </c>
      <c r="B44" s="106">
        <v>40262</v>
      </c>
      <c r="C44" s="100"/>
      <c r="D44" s="98"/>
      <c r="E44" s="101">
        <f>-20000</f>
        <v>-20000</v>
      </c>
      <c r="F44" s="102"/>
      <c r="G44" s="98">
        <v>84</v>
      </c>
      <c r="H44" s="101">
        <f>-29500</f>
        <v>-29500</v>
      </c>
      <c r="I44" s="101">
        <v>49500</v>
      </c>
      <c r="J44" s="103">
        <f t="shared" si="0"/>
        <v>0</v>
      </c>
      <c r="K44" s="101">
        <f t="shared" si="15"/>
        <v>119255</v>
      </c>
      <c r="L44" s="101">
        <f t="shared" si="2"/>
        <v>0</v>
      </c>
      <c r="M44" s="101">
        <f t="shared" si="3"/>
        <v>0</v>
      </c>
      <c r="N44" s="101">
        <f t="shared" si="4"/>
        <v>0</v>
      </c>
      <c r="O44" s="101">
        <f t="shared" si="5"/>
        <v>0</v>
      </c>
      <c r="P44" s="101">
        <f t="shared" si="6"/>
        <v>0</v>
      </c>
      <c r="Q44" s="101">
        <f t="shared" si="7"/>
        <v>0</v>
      </c>
      <c r="R44" s="101">
        <f t="shared" si="8"/>
        <v>0</v>
      </c>
      <c r="S44" s="101">
        <f t="shared" si="9"/>
        <v>0</v>
      </c>
      <c r="T44" s="101">
        <f t="shared" si="10"/>
        <v>0</v>
      </c>
      <c r="U44" s="101">
        <f t="shared" si="11"/>
        <v>0</v>
      </c>
      <c r="V44" s="101">
        <f t="shared" si="12"/>
        <v>0</v>
      </c>
      <c r="W44" s="101">
        <f t="shared" si="13"/>
        <v>0</v>
      </c>
      <c r="X44" s="103">
        <f t="shared" si="14"/>
        <v>0</v>
      </c>
      <c r="Z44" s="47"/>
    </row>
    <row r="45" spans="1:26">
      <c r="A45" s="146" t="s">
        <v>279</v>
      </c>
      <c r="B45" s="106">
        <v>40263</v>
      </c>
      <c r="C45" s="100">
        <v>2</v>
      </c>
      <c r="D45" s="98"/>
      <c r="E45" s="101"/>
      <c r="F45" s="102"/>
      <c r="G45" s="98">
        <v>83</v>
      </c>
      <c r="H45" s="101">
        <f>1500</f>
        <v>1500</v>
      </c>
      <c r="I45" s="101"/>
      <c r="J45" s="103">
        <f t="shared" si="0"/>
        <v>1500</v>
      </c>
      <c r="K45" s="101">
        <f t="shared" si="15"/>
        <v>120755</v>
      </c>
      <c r="L45" s="101">
        <f t="shared" si="2"/>
        <v>0</v>
      </c>
      <c r="M45" s="101">
        <f t="shared" si="3"/>
        <v>1500</v>
      </c>
      <c r="N45" s="101">
        <f t="shared" si="4"/>
        <v>0</v>
      </c>
      <c r="O45" s="101">
        <f t="shared" si="5"/>
        <v>0</v>
      </c>
      <c r="P45" s="101">
        <f t="shared" si="6"/>
        <v>0</v>
      </c>
      <c r="Q45" s="101">
        <f t="shared" si="7"/>
        <v>0</v>
      </c>
      <c r="R45" s="101">
        <f t="shared" si="8"/>
        <v>0</v>
      </c>
      <c r="S45" s="101">
        <f t="shared" si="9"/>
        <v>0</v>
      </c>
      <c r="T45" s="101">
        <f t="shared" si="10"/>
        <v>0</v>
      </c>
      <c r="U45" s="101">
        <f t="shared" si="11"/>
        <v>0</v>
      </c>
      <c r="V45" s="101">
        <f t="shared" si="12"/>
        <v>0</v>
      </c>
      <c r="W45" s="101">
        <f t="shared" si="13"/>
        <v>0</v>
      </c>
      <c r="X45" s="103">
        <f t="shared" si="14"/>
        <v>1500</v>
      </c>
      <c r="Z45" s="47"/>
    </row>
    <row r="46" spans="1:26">
      <c r="A46" s="146" t="s">
        <v>283</v>
      </c>
      <c r="B46" s="106">
        <v>40263</v>
      </c>
      <c r="C46" s="100">
        <v>2</v>
      </c>
      <c r="D46" s="98"/>
      <c r="E46" s="101"/>
      <c r="F46" s="102"/>
      <c r="G46" s="98">
        <v>83</v>
      </c>
      <c r="H46" s="101">
        <f>3500</f>
        <v>3500</v>
      </c>
      <c r="I46" s="101"/>
      <c r="J46" s="103">
        <f t="shared" si="0"/>
        <v>3500</v>
      </c>
      <c r="K46" s="101">
        <f t="shared" si="15"/>
        <v>124255</v>
      </c>
      <c r="L46" s="101">
        <f t="shared" si="2"/>
        <v>0</v>
      </c>
      <c r="M46" s="101">
        <f t="shared" si="3"/>
        <v>3500</v>
      </c>
      <c r="N46" s="101">
        <f t="shared" si="4"/>
        <v>0</v>
      </c>
      <c r="O46" s="101">
        <f t="shared" si="5"/>
        <v>0</v>
      </c>
      <c r="P46" s="101">
        <f t="shared" si="6"/>
        <v>0</v>
      </c>
      <c r="Q46" s="101">
        <f t="shared" si="7"/>
        <v>0</v>
      </c>
      <c r="R46" s="101">
        <f t="shared" si="8"/>
        <v>0</v>
      </c>
      <c r="S46" s="101">
        <f t="shared" si="9"/>
        <v>0</v>
      </c>
      <c r="T46" s="101">
        <f t="shared" si="10"/>
        <v>0</v>
      </c>
      <c r="U46" s="101">
        <f t="shared" si="11"/>
        <v>0</v>
      </c>
      <c r="V46" s="101">
        <f t="shared" si="12"/>
        <v>0</v>
      </c>
      <c r="W46" s="101">
        <f t="shared" si="13"/>
        <v>0</v>
      </c>
      <c r="X46" s="103">
        <f t="shared" si="14"/>
        <v>3500</v>
      </c>
      <c r="Z46" s="47"/>
    </row>
    <row r="47" spans="1:26">
      <c r="A47" s="98" t="s">
        <v>365</v>
      </c>
      <c r="B47" s="106">
        <v>40266</v>
      </c>
      <c r="C47" s="100">
        <v>8</v>
      </c>
      <c r="D47" s="98">
        <v>135</v>
      </c>
      <c r="E47" s="101">
        <v>120</v>
      </c>
      <c r="F47" s="102"/>
      <c r="G47" s="102"/>
      <c r="H47" s="101"/>
      <c r="I47" s="103"/>
      <c r="J47" s="103">
        <f t="shared" si="0"/>
        <v>120</v>
      </c>
      <c r="K47" s="101">
        <f t="shared" si="15"/>
        <v>124375</v>
      </c>
      <c r="L47" s="101">
        <f t="shared" si="2"/>
        <v>0</v>
      </c>
      <c r="M47" s="101">
        <f t="shared" si="3"/>
        <v>0</v>
      </c>
      <c r="N47" s="101">
        <f t="shared" si="4"/>
        <v>0</v>
      </c>
      <c r="O47" s="101">
        <f t="shared" si="5"/>
        <v>0</v>
      </c>
      <c r="P47" s="101">
        <f t="shared" si="6"/>
        <v>0</v>
      </c>
      <c r="Q47" s="101">
        <f t="shared" si="7"/>
        <v>0</v>
      </c>
      <c r="R47" s="101">
        <f t="shared" si="8"/>
        <v>0</v>
      </c>
      <c r="S47" s="101">
        <f t="shared" si="9"/>
        <v>120</v>
      </c>
      <c r="T47" s="101">
        <f t="shared" si="10"/>
        <v>0</v>
      </c>
      <c r="U47" s="101">
        <f t="shared" si="11"/>
        <v>0</v>
      </c>
      <c r="V47" s="101">
        <f t="shared" si="12"/>
        <v>0</v>
      </c>
      <c r="W47" s="101">
        <f t="shared" si="13"/>
        <v>0</v>
      </c>
      <c r="X47" s="103">
        <f t="shared" si="14"/>
        <v>120</v>
      </c>
    </row>
    <row r="48" spans="1:26">
      <c r="A48" s="147" t="s">
        <v>61</v>
      </c>
      <c r="B48" s="106">
        <v>40268</v>
      </c>
      <c r="C48" s="100">
        <v>8.1</v>
      </c>
      <c r="D48" s="98"/>
      <c r="E48" s="101"/>
      <c r="F48" s="102"/>
      <c r="G48" s="98"/>
      <c r="H48" s="101"/>
      <c r="I48" s="101">
        <f>50*7+25</f>
        <v>375</v>
      </c>
      <c r="J48" s="103">
        <f t="shared" si="0"/>
        <v>375</v>
      </c>
      <c r="K48" s="101">
        <f t="shared" si="15"/>
        <v>124750</v>
      </c>
      <c r="L48" s="101">
        <f t="shared" si="2"/>
        <v>0</v>
      </c>
      <c r="M48" s="101">
        <f t="shared" si="3"/>
        <v>0</v>
      </c>
      <c r="N48" s="101">
        <f t="shared" si="4"/>
        <v>0</v>
      </c>
      <c r="O48" s="101">
        <f t="shared" si="5"/>
        <v>0</v>
      </c>
      <c r="P48" s="101">
        <f t="shared" si="6"/>
        <v>0</v>
      </c>
      <c r="Q48" s="101">
        <f t="shared" si="7"/>
        <v>0</v>
      </c>
      <c r="R48" s="101">
        <f t="shared" si="8"/>
        <v>0</v>
      </c>
      <c r="S48" s="101">
        <f t="shared" si="9"/>
        <v>0</v>
      </c>
      <c r="T48" s="101">
        <f t="shared" si="10"/>
        <v>375</v>
      </c>
      <c r="U48" s="101">
        <f t="shared" si="11"/>
        <v>0</v>
      </c>
      <c r="V48" s="101">
        <f t="shared" si="12"/>
        <v>0</v>
      </c>
      <c r="W48" s="101">
        <f t="shared" si="13"/>
        <v>0</v>
      </c>
      <c r="X48" s="103">
        <f t="shared" si="14"/>
        <v>375</v>
      </c>
      <c r="Z48" s="47"/>
    </row>
    <row r="49" spans="1:26">
      <c r="A49" s="146" t="s">
        <v>287</v>
      </c>
      <c r="B49" s="106">
        <v>40269</v>
      </c>
      <c r="C49" s="100">
        <v>1</v>
      </c>
      <c r="D49" s="98"/>
      <c r="E49" s="101"/>
      <c r="F49" s="102"/>
      <c r="G49" s="98">
        <v>85</v>
      </c>
      <c r="H49" s="101"/>
      <c r="I49" s="101">
        <v>200000</v>
      </c>
      <c r="J49" s="103">
        <f t="shared" si="0"/>
        <v>200000</v>
      </c>
      <c r="K49" s="101">
        <f t="shared" si="15"/>
        <v>324750</v>
      </c>
      <c r="L49" s="101">
        <f t="shared" si="2"/>
        <v>200000</v>
      </c>
      <c r="M49" s="101">
        <f t="shared" si="3"/>
        <v>0</v>
      </c>
      <c r="N49" s="101">
        <f t="shared" si="4"/>
        <v>0</v>
      </c>
      <c r="O49" s="101">
        <f t="shared" si="5"/>
        <v>0</v>
      </c>
      <c r="P49" s="101">
        <f t="shared" si="6"/>
        <v>0</v>
      </c>
      <c r="Q49" s="101">
        <f t="shared" si="7"/>
        <v>0</v>
      </c>
      <c r="R49" s="101">
        <f t="shared" si="8"/>
        <v>0</v>
      </c>
      <c r="S49" s="101">
        <f t="shared" si="9"/>
        <v>0</v>
      </c>
      <c r="T49" s="101">
        <f t="shared" si="10"/>
        <v>0</v>
      </c>
      <c r="U49" s="101">
        <f t="shared" si="11"/>
        <v>0</v>
      </c>
      <c r="V49" s="101">
        <f t="shared" si="12"/>
        <v>0</v>
      </c>
      <c r="W49" s="101">
        <f t="shared" si="13"/>
        <v>0</v>
      </c>
      <c r="X49" s="103">
        <f t="shared" si="14"/>
        <v>200000</v>
      </c>
      <c r="Z49" s="47"/>
    </row>
    <row r="50" spans="1:26">
      <c r="A50" s="146" t="s">
        <v>277</v>
      </c>
      <c r="B50" s="106">
        <v>40271</v>
      </c>
      <c r="C50" s="100"/>
      <c r="D50" s="98"/>
      <c r="E50" s="101"/>
      <c r="F50" s="102"/>
      <c r="G50" s="98"/>
      <c r="H50" s="101"/>
      <c r="I50" s="101">
        <v>-7030</v>
      </c>
      <c r="J50" s="103">
        <f t="shared" si="0"/>
        <v>-7030</v>
      </c>
      <c r="K50" s="101">
        <f t="shared" si="15"/>
        <v>317720</v>
      </c>
      <c r="L50" s="101">
        <f t="shared" si="2"/>
        <v>0</v>
      </c>
      <c r="M50" s="101">
        <f t="shared" si="3"/>
        <v>0</v>
      </c>
      <c r="N50" s="101">
        <f t="shared" si="4"/>
        <v>0</v>
      </c>
      <c r="O50" s="101">
        <f t="shared" si="5"/>
        <v>0</v>
      </c>
      <c r="P50" s="101">
        <f t="shared" si="6"/>
        <v>0</v>
      </c>
      <c r="Q50" s="101">
        <f t="shared" si="7"/>
        <v>0</v>
      </c>
      <c r="R50" s="101">
        <f t="shared" si="8"/>
        <v>0</v>
      </c>
      <c r="S50" s="101">
        <f t="shared" si="9"/>
        <v>0</v>
      </c>
      <c r="T50" s="101">
        <f t="shared" si="10"/>
        <v>0</v>
      </c>
      <c r="U50" s="101">
        <f t="shared" si="11"/>
        <v>0</v>
      </c>
      <c r="V50" s="101">
        <f t="shared" si="12"/>
        <v>0</v>
      </c>
      <c r="W50" s="101">
        <f t="shared" si="13"/>
        <v>0</v>
      </c>
      <c r="X50" s="103">
        <f t="shared" si="14"/>
        <v>0</v>
      </c>
      <c r="Z50" s="47"/>
    </row>
    <row r="51" spans="1:26">
      <c r="A51" s="98" t="s">
        <v>333</v>
      </c>
      <c r="B51" s="106">
        <v>40272</v>
      </c>
      <c r="C51" s="100">
        <v>8</v>
      </c>
      <c r="D51" s="98">
        <v>116</v>
      </c>
      <c r="E51" s="101">
        <v>2640</v>
      </c>
      <c r="F51" s="102"/>
      <c r="G51" s="98"/>
      <c r="H51" s="101"/>
      <c r="I51" s="101"/>
      <c r="J51" s="103">
        <f t="shared" si="0"/>
        <v>2640</v>
      </c>
      <c r="K51" s="101">
        <f t="shared" si="15"/>
        <v>320360</v>
      </c>
      <c r="L51" s="101">
        <f t="shared" si="2"/>
        <v>0</v>
      </c>
      <c r="M51" s="101">
        <f t="shared" si="3"/>
        <v>0</v>
      </c>
      <c r="N51" s="101">
        <f t="shared" si="4"/>
        <v>0</v>
      </c>
      <c r="O51" s="101">
        <f t="shared" si="5"/>
        <v>0</v>
      </c>
      <c r="P51" s="101">
        <f t="shared" si="6"/>
        <v>0</v>
      </c>
      <c r="Q51" s="101">
        <f t="shared" si="7"/>
        <v>0</v>
      </c>
      <c r="R51" s="101">
        <f t="shared" si="8"/>
        <v>0</v>
      </c>
      <c r="S51" s="101">
        <f t="shared" si="9"/>
        <v>2640</v>
      </c>
      <c r="T51" s="101">
        <f t="shared" si="10"/>
        <v>0</v>
      </c>
      <c r="U51" s="101">
        <f t="shared" si="11"/>
        <v>0</v>
      </c>
      <c r="V51" s="101">
        <f t="shared" si="12"/>
        <v>0</v>
      </c>
      <c r="W51" s="101">
        <f t="shared" si="13"/>
        <v>0</v>
      </c>
      <c r="X51" s="103">
        <f t="shared" si="14"/>
        <v>2640</v>
      </c>
    </row>
    <row r="52" spans="1:26">
      <c r="A52" s="98" t="s">
        <v>363</v>
      </c>
      <c r="B52" s="106">
        <v>40274</v>
      </c>
      <c r="C52" s="100">
        <v>8</v>
      </c>
      <c r="D52" s="98">
        <v>117</v>
      </c>
      <c r="E52" s="101">
        <v>2500</v>
      </c>
      <c r="F52" s="102"/>
      <c r="G52" s="98"/>
      <c r="H52" s="101"/>
      <c r="I52" s="101"/>
      <c r="J52" s="103">
        <f t="shared" si="0"/>
        <v>2500</v>
      </c>
      <c r="K52" s="101">
        <f t="shared" si="15"/>
        <v>322860</v>
      </c>
      <c r="L52" s="101">
        <f t="shared" si="2"/>
        <v>0</v>
      </c>
      <c r="M52" s="101">
        <f t="shared" si="3"/>
        <v>0</v>
      </c>
      <c r="N52" s="101">
        <f t="shared" si="4"/>
        <v>0</v>
      </c>
      <c r="O52" s="101">
        <f t="shared" si="5"/>
        <v>0</v>
      </c>
      <c r="P52" s="101">
        <f t="shared" si="6"/>
        <v>0</v>
      </c>
      <c r="Q52" s="101">
        <f t="shared" si="7"/>
        <v>0</v>
      </c>
      <c r="R52" s="101">
        <f t="shared" si="8"/>
        <v>0</v>
      </c>
      <c r="S52" s="101">
        <f t="shared" si="9"/>
        <v>2500</v>
      </c>
      <c r="T52" s="101">
        <f t="shared" si="10"/>
        <v>0</v>
      </c>
      <c r="U52" s="101">
        <f t="shared" si="11"/>
        <v>0</v>
      </c>
      <c r="V52" s="101">
        <f t="shared" si="12"/>
        <v>0</v>
      </c>
      <c r="W52" s="101">
        <f t="shared" si="13"/>
        <v>0</v>
      </c>
      <c r="X52" s="103">
        <f t="shared" si="14"/>
        <v>2500</v>
      </c>
    </row>
    <row r="53" spans="1:26">
      <c r="A53" s="147" t="s">
        <v>300</v>
      </c>
      <c r="B53" s="106">
        <v>40275</v>
      </c>
      <c r="C53" s="100">
        <v>8</v>
      </c>
      <c r="D53" s="98"/>
      <c r="E53" s="101"/>
      <c r="F53" s="102"/>
      <c r="G53" s="98">
        <v>53</v>
      </c>
      <c r="H53" s="101"/>
      <c r="I53" s="101">
        <v>0</v>
      </c>
      <c r="J53" s="103">
        <f t="shared" si="0"/>
        <v>0</v>
      </c>
      <c r="K53" s="101">
        <f t="shared" si="15"/>
        <v>322860</v>
      </c>
      <c r="L53" s="101">
        <f t="shared" si="2"/>
        <v>0</v>
      </c>
      <c r="M53" s="101">
        <f t="shared" si="3"/>
        <v>0</v>
      </c>
      <c r="N53" s="101">
        <f t="shared" si="4"/>
        <v>0</v>
      </c>
      <c r="O53" s="101">
        <f t="shared" si="5"/>
        <v>0</v>
      </c>
      <c r="P53" s="101">
        <f t="shared" si="6"/>
        <v>0</v>
      </c>
      <c r="Q53" s="101">
        <f t="shared" si="7"/>
        <v>0</v>
      </c>
      <c r="R53" s="101">
        <f t="shared" si="8"/>
        <v>0</v>
      </c>
      <c r="S53" s="101">
        <f t="shared" si="9"/>
        <v>0</v>
      </c>
      <c r="T53" s="101">
        <f t="shared" si="10"/>
        <v>0</v>
      </c>
      <c r="U53" s="101">
        <f t="shared" si="11"/>
        <v>0</v>
      </c>
      <c r="V53" s="101">
        <f t="shared" si="12"/>
        <v>0</v>
      </c>
      <c r="W53" s="101">
        <f t="shared" si="13"/>
        <v>0</v>
      </c>
      <c r="X53" s="103">
        <f t="shared" si="14"/>
        <v>0</v>
      </c>
      <c r="Z53" s="47"/>
    </row>
    <row r="54" spans="1:26">
      <c r="A54" s="147" t="s">
        <v>291</v>
      </c>
      <c r="B54" s="106">
        <v>40275</v>
      </c>
      <c r="C54" s="100">
        <v>8</v>
      </c>
      <c r="D54" s="98"/>
      <c r="E54" s="101"/>
      <c r="F54" s="102"/>
      <c r="G54" s="98">
        <v>55</v>
      </c>
      <c r="H54" s="101"/>
      <c r="I54" s="101">
        <v>0</v>
      </c>
      <c r="J54" s="103">
        <f t="shared" si="0"/>
        <v>0</v>
      </c>
      <c r="K54" s="101">
        <f t="shared" si="15"/>
        <v>322860</v>
      </c>
      <c r="L54" s="101">
        <f t="shared" si="2"/>
        <v>0</v>
      </c>
      <c r="M54" s="101">
        <f t="shared" si="3"/>
        <v>0</v>
      </c>
      <c r="N54" s="101">
        <f t="shared" si="4"/>
        <v>0</v>
      </c>
      <c r="O54" s="101">
        <f t="shared" si="5"/>
        <v>0</v>
      </c>
      <c r="P54" s="101">
        <f t="shared" si="6"/>
        <v>0</v>
      </c>
      <c r="Q54" s="101">
        <f t="shared" si="7"/>
        <v>0</v>
      </c>
      <c r="R54" s="101">
        <f t="shared" si="8"/>
        <v>0</v>
      </c>
      <c r="S54" s="101">
        <f t="shared" si="9"/>
        <v>0</v>
      </c>
      <c r="T54" s="101">
        <f t="shared" si="10"/>
        <v>0</v>
      </c>
      <c r="U54" s="101">
        <f t="shared" si="11"/>
        <v>0</v>
      </c>
      <c r="V54" s="101">
        <f t="shared" si="12"/>
        <v>0</v>
      </c>
      <c r="W54" s="101">
        <f t="shared" si="13"/>
        <v>0</v>
      </c>
      <c r="X54" s="103">
        <f t="shared" si="14"/>
        <v>0</v>
      </c>
      <c r="Z54" s="47"/>
    </row>
    <row r="55" spans="1:26">
      <c r="A55" s="147" t="s">
        <v>300</v>
      </c>
      <c r="B55" s="106">
        <v>40275</v>
      </c>
      <c r="C55" s="100">
        <v>8</v>
      </c>
      <c r="D55" s="98"/>
      <c r="E55" s="101"/>
      <c r="F55" s="102"/>
      <c r="G55" s="98">
        <v>57</v>
      </c>
      <c r="H55" s="101"/>
      <c r="I55" s="101">
        <v>0</v>
      </c>
      <c r="J55" s="103">
        <f t="shared" si="0"/>
        <v>0</v>
      </c>
      <c r="K55" s="101">
        <f t="shared" si="15"/>
        <v>322860</v>
      </c>
      <c r="L55" s="101">
        <f t="shared" si="2"/>
        <v>0</v>
      </c>
      <c r="M55" s="101">
        <f t="shared" si="3"/>
        <v>0</v>
      </c>
      <c r="N55" s="101">
        <f t="shared" si="4"/>
        <v>0</v>
      </c>
      <c r="O55" s="101">
        <f t="shared" si="5"/>
        <v>0</v>
      </c>
      <c r="P55" s="101">
        <f t="shared" si="6"/>
        <v>0</v>
      </c>
      <c r="Q55" s="101">
        <f t="shared" si="7"/>
        <v>0</v>
      </c>
      <c r="R55" s="101">
        <f t="shared" si="8"/>
        <v>0</v>
      </c>
      <c r="S55" s="101">
        <f t="shared" si="9"/>
        <v>0</v>
      </c>
      <c r="T55" s="101">
        <f t="shared" si="10"/>
        <v>0</v>
      </c>
      <c r="U55" s="101">
        <f t="shared" si="11"/>
        <v>0</v>
      </c>
      <c r="V55" s="101">
        <f t="shared" si="12"/>
        <v>0</v>
      </c>
      <c r="W55" s="101">
        <f t="shared" si="13"/>
        <v>0</v>
      </c>
      <c r="X55" s="103">
        <f t="shared" si="14"/>
        <v>0</v>
      </c>
      <c r="Z55" s="47"/>
    </row>
    <row r="56" spans="1:26">
      <c r="A56" s="147" t="s">
        <v>291</v>
      </c>
      <c r="B56" s="99">
        <v>40275</v>
      </c>
      <c r="C56" s="100">
        <v>8</v>
      </c>
      <c r="D56" s="98"/>
      <c r="E56" s="101"/>
      <c r="F56" s="102"/>
      <c r="G56" s="98">
        <v>59</v>
      </c>
      <c r="H56" s="101"/>
      <c r="I56" s="101">
        <v>0</v>
      </c>
      <c r="J56" s="103">
        <f t="shared" si="0"/>
        <v>0</v>
      </c>
      <c r="K56" s="101">
        <f t="shared" si="15"/>
        <v>322860</v>
      </c>
      <c r="L56" s="101">
        <f t="shared" si="2"/>
        <v>0</v>
      </c>
      <c r="M56" s="101">
        <f t="shared" si="3"/>
        <v>0</v>
      </c>
      <c r="N56" s="101">
        <f t="shared" si="4"/>
        <v>0</v>
      </c>
      <c r="O56" s="101">
        <f t="shared" si="5"/>
        <v>0</v>
      </c>
      <c r="P56" s="101">
        <f t="shared" si="6"/>
        <v>0</v>
      </c>
      <c r="Q56" s="101">
        <f t="shared" si="7"/>
        <v>0</v>
      </c>
      <c r="R56" s="101">
        <f t="shared" si="8"/>
        <v>0</v>
      </c>
      <c r="S56" s="101">
        <f t="shared" si="9"/>
        <v>0</v>
      </c>
      <c r="T56" s="101">
        <f t="shared" si="10"/>
        <v>0</v>
      </c>
      <c r="U56" s="101">
        <f t="shared" si="11"/>
        <v>0</v>
      </c>
      <c r="V56" s="101">
        <f t="shared" si="12"/>
        <v>0</v>
      </c>
      <c r="W56" s="101">
        <f t="shared" si="13"/>
        <v>0</v>
      </c>
      <c r="X56" s="103">
        <f t="shared" si="14"/>
        <v>0</v>
      </c>
      <c r="Z56" s="47"/>
    </row>
    <row r="57" spans="1:26" ht="15" customHeight="1">
      <c r="A57" s="147" t="s">
        <v>300</v>
      </c>
      <c r="B57" s="99">
        <v>40275</v>
      </c>
      <c r="C57" s="100">
        <v>8</v>
      </c>
      <c r="D57" s="98"/>
      <c r="E57" s="101"/>
      <c r="F57" s="102"/>
      <c r="G57" s="98">
        <v>68</v>
      </c>
      <c r="H57" s="101"/>
      <c r="I57" s="101">
        <v>0</v>
      </c>
      <c r="J57" s="103">
        <f t="shared" si="0"/>
        <v>0</v>
      </c>
      <c r="K57" s="101">
        <f t="shared" si="15"/>
        <v>322860</v>
      </c>
      <c r="L57" s="101">
        <f t="shared" si="2"/>
        <v>0</v>
      </c>
      <c r="M57" s="101">
        <f t="shared" si="3"/>
        <v>0</v>
      </c>
      <c r="N57" s="101">
        <f t="shared" si="4"/>
        <v>0</v>
      </c>
      <c r="O57" s="101">
        <f t="shared" si="5"/>
        <v>0</v>
      </c>
      <c r="P57" s="101">
        <f t="shared" si="6"/>
        <v>0</v>
      </c>
      <c r="Q57" s="101">
        <f t="shared" si="7"/>
        <v>0</v>
      </c>
      <c r="R57" s="101">
        <f t="shared" si="8"/>
        <v>0</v>
      </c>
      <c r="S57" s="101">
        <f t="shared" si="9"/>
        <v>0</v>
      </c>
      <c r="T57" s="101">
        <f t="shared" si="10"/>
        <v>0</v>
      </c>
      <c r="U57" s="101">
        <f t="shared" si="11"/>
        <v>0</v>
      </c>
      <c r="V57" s="101">
        <f t="shared" si="12"/>
        <v>0</v>
      </c>
      <c r="W57" s="101">
        <f t="shared" si="13"/>
        <v>0</v>
      </c>
      <c r="X57" s="103">
        <f t="shared" si="14"/>
        <v>0</v>
      </c>
      <c r="Z57" s="47"/>
    </row>
    <row r="58" spans="1:26">
      <c r="A58" s="147" t="s">
        <v>291</v>
      </c>
      <c r="B58" s="99">
        <v>40275</v>
      </c>
      <c r="C58" s="100">
        <v>8</v>
      </c>
      <c r="D58" s="98"/>
      <c r="E58" s="101"/>
      <c r="F58" s="102"/>
      <c r="G58" s="98">
        <v>70</v>
      </c>
      <c r="H58" s="101"/>
      <c r="I58" s="101">
        <v>0</v>
      </c>
      <c r="J58" s="103">
        <f t="shared" si="0"/>
        <v>0</v>
      </c>
      <c r="K58" s="101">
        <f t="shared" si="15"/>
        <v>322860</v>
      </c>
      <c r="L58" s="101">
        <f t="shared" si="2"/>
        <v>0</v>
      </c>
      <c r="M58" s="101">
        <f t="shared" si="3"/>
        <v>0</v>
      </c>
      <c r="N58" s="101">
        <f t="shared" si="4"/>
        <v>0</v>
      </c>
      <c r="O58" s="101">
        <f t="shared" si="5"/>
        <v>0</v>
      </c>
      <c r="P58" s="101">
        <f t="shared" si="6"/>
        <v>0</v>
      </c>
      <c r="Q58" s="101">
        <f t="shared" si="7"/>
        <v>0</v>
      </c>
      <c r="R58" s="101">
        <f t="shared" si="8"/>
        <v>0</v>
      </c>
      <c r="S58" s="101">
        <f t="shared" si="9"/>
        <v>0</v>
      </c>
      <c r="T58" s="101">
        <f t="shared" si="10"/>
        <v>0</v>
      </c>
      <c r="U58" s="101">
        <f t="shared" si="11"/>
        <v>0</v>
      </c>
      <c r="V58" s="101">
        <f t="shared" si="12"/>
        <v>0</v>
      </c>
      <c r="W58" s="101">
        <f t="shared" si="13"/>
        <v>0</v>
      </c>
      <c r="X58" s="103">
        <f t="shared" si="14"/>
        <v>0</v>
      </c>
      <c r="Z58" s="47"/>
    </row>
    <row r="59" spans="1:26">
      <c r="A59" s="147" t="s">
        <v>291</v>
      </c>
      <c r="B59" s="99">
        <v>40275</v>
      </c>
      <c r="C59" s="100">
        <v>8</v>
      </c>
      <c r="D59" s="98"/>
      <c r="E59" s="101"/>
      <c r="F59" s="102"/>
      <c r="G59" s="98">
        <v>80</v>
      </c>
      <c r="H59" s="101"/>
      <c r="I59" s="101">
        <v>0</v>
      </c>
      <c r="J59" s="103">
        <f t="shared" si="0"/>
        <v>0</v>
      </c>
      <c r="K59" s="101">
        <f t="shared" si="15"/>
        <v>322860</v>
      </c>
      <c r="L59" s="101">
        <f t="shared" si="2"/>
        <v>0</v>
      </c>
      <c r="M59" s="101">
        <f t="shared" si="3"/>
        <v>0</v>
      </c>
      <c r="N59" s="101">
        <f t="shared" si="4"/>
        <v>0</v>
      </c>
      <c r="O59" s="101">
        <f t="shared" si="5"/>
        <v>0</v>
      </c>
      <c r="P59" s="101">
        <f t="shared" si="6"/>
        <v>0</v>
      </c>
      <c r="Q59" s="101">
        <f t="shared" si="7"/>
        <v>0</v>
      </c>
      <c r="R59" s="101">
        <f t="shared" si="8"/>
        <v>0</v>
      </c>
      <c r="S59" s="101">
        <f t="shared" si="9"/>
        <v>0</v>
      </c>
      <c r="T59" s="101">
        <f t="shared" si="10"/>
        <v>0</v>
      </c>
      <c r="U59" s="101">
        <f t="shared" si="11"/>
        <v>0</v>
      </c>
      <c r="V59" s="101">
        <f t="shared" si="12"/>
        <v>0</v>
      </c>
      <c r="W59" s="101">
        <f t="shared" si="13"/>
        <v>0</v>
      </c>
      <c r="X59" s="103">
        <f t="shared" si="14"/>
        <v>0</v>
      </c>
      <c r="Z59" s="47"/>
    </row>
    <row r="60" spans="1:26">
      <c r="A60" s="147" t="s">
        <v>290</v>
      </c>
      <c r="B60" s="99">
        <v>40275</v>
      </c>
      <c r="C60" s="100">
        <v>8</v>
      </c>
      <c r="D60" s="98"/>
      <c r="E60" s="101"/>
      <c r="F60" s="102"/>
      <c r="G60" s="98">
        <v>82</v>
      </c>
      <c r="H60" s="101"/>
      <c r="I60" s="101">
        <v>0</v>
      </c>
      <c r="J60" s="103">
        <f t="shared" si="0"/>
        <v>0</v>
      </c>
      <c r="K60" s="101">
        <f t="shared" si="15"/>
        <v>322860</v>
      </c>
      <c r="L60" s="101">
        <f t="shared" si="2"/>
        <v>0</v>
      </c>
      <c r="M60" s="101">
        <f t="shared" si="3"/>
        <v>0</v>
      </c>
      <c r="N60" s="101">
        <f t="shared" si="4"/>
        <v>0</v>
      </c>
      <c r="O60" s="101">
        <f t="shared" si="5"/>
        <v>0</v>
      </c>
      <c r="P60" s="101">
        <f t="shared" si="6"/>
        <v>0</v>
      </c>
      <c r="Q60" s="101">
        <f t="shared" si="7"/>
        <v>0</v>
      </c>
      <c r="R60" s="101">
        <f t="shared" si="8"/>
        <v>0</v>
      </c>
      <c r="S60" s="101">
        <f t="shared" si="9"/>
        <v>0</v>
      </c>
      <c r="T60" s="101">
        <f t="shared" si="10"/>
        <v>0</v>
      </c>
      <c r="U60" s="101">
        <f t="shared" si="11"/>
        <v>0</v>
      </c>
      <c r="V60" s="101">
        <f t="shared" si="12"/>
        <v>0</v>
      </c>
      <c r="W60" s="101">
        <f t="shared" si="13"/>
        <v>0</v>
      </c>
      <c r="X60" s="103">
        <f t="shared" si="14"/>
        <v>0</v>
      </c>
      <c r="Z60" s="47"/>
    </row>
    <row r="61" spans="1:26">
      <c r="A61" s="98" t="s">
        <v>370</v>
      </c>
      <c r="B61" s="99">
        <v>40275</v>
      </c>
      <c r="C61" s="100"/>
      <c r="D61" s="98"/>
      <c r="E61" s="101">
        <v>-10100</v>
      </c>
      <c r="F61" s="102">
        <v>86</v>
      </c>
      <c r="G61" s="98">
        <v>86</v>
      </c>
      <c r="H61" s="101"/>
      <c r="I61" s="101">
        <v>10100</v>
      </c>
      <c r="J61" s="103">
        <f t="shared" si="0"/>
        <v>0</v>
      </c>
      <c r="K61" s="101">
        <f t="shared" si="15"/>
        <v>322860</v>
      </c>
      <c r="L61" s="101">
        <f t="shared" si="2"/>
        <v>0</v>
      </c>
      <c r="M61" s="101">
        <f t="shared" si="3"/>
        <v>0</v>
      </c>
      <c r="N61" s="101">
        <f t="shared" si="4"/>
        <v>0</v>
      </c>
      <c r="O61" s="101">
        <f t="shared" si="5"/>
        <v>0</v>
      </c>
      <c r="P61" s="101">
        <f t="shared" si="6"/>
        <v>0</v>
      </c>
      <c r="Q61" s="101">
        <f t="shared" si="7"/>
        <v>0</v>
      </c>
      <c r="R61" s="101">
        <f t="shared" si="8"/>
        <v>0</v>
      </c>
      <c r="S61" s="101">
        <f t="shared" si="9"/>
        <v>0</v>
      </c>
      <c r="T61" s="101">
        <f t="shared" si="10"/>
        <v>0</v>
      </c>
      <c r="U61" s="101">
        <f t="shared" si="11"/>
        <v>0</v>
      </c>
      <c r="V61" s="101">
        <f t="shared" si="12"/>
        <v>0</v>
      </c>
      <c r="W61" s="101">
        <f t="shared" si="13"/>
        <v>0</v>
      </c>
      <c r="X61" s="103">
        <f t="shared" si="14"/>
        <v>0</v>
      </c>
    </row>
    <row r="62" spans="1:26">
      <c r="A62" s="146" t="s">
        <v>289</v>
      </c>
      <c r="B62" s="99">
        <v>40275</v>
      </c>
      <c r="C62" s="100">
        <v>8</v>
      </c>
      <c r="D62" s="98"/>
      <c r="E62" s="101"/>
      <c r="F62" s="102"/>
      <c r="G62" s="98">
        <v>87</v>
      </c>
      <c r="H62" s="101"/>
      <c r="I62" s="101">
        <v>26153</v>
      </c>
      <c r="J62" s="103">
        <f t="shared" si="0"/>
        <v>26153</v>
      </c>
      <c r="K62" s="101">
        <f t="shared" si="15"/>
        <v>349013</v>
      </c>
      <c r="L62" s="101">
        <f t="shared" si="2"/>
        <v>0</v>
      </c>
      <c r="M62" s="101">
        <f t="shared" si="3"/>
        <v>0</v>
      </c>
      <c r="N62" s="101">
        <f t="shared" si="4"/>
        <v>0</v>
      </c>
      <c r="O62" s="101">
        <f t="shared" si="5"/>
        <v>0</v>
      </c>
      <c r="P62" s="101">
        <f t="shared" si="6"/>
        <v>0</v>
      </c>
      <c r="Q62" s="101">
        <f t="shared" si="7"/>
        <v>0</v>
      </c>
      <c r="R62" s="101">
        <f t="shared" si="8"/>
        <v>0</v>
      </c>
      <c r="S62" s="101">
        <f t="shared" si="9"/>
        <v>26153</v>
      </c>
      <c r="T62" s="101">
        <f t="shared" si="10"/>
        <v>0</v>
      </c>
      <c r="U62" s="101">
        <f t="shared" si="11"/>
        <v>0</v>
      </c>
      <c r="V62" s="101">
        <f t="shared" si="12"/>
        <v>0</v>
      </c>
      <c r="W62" s="101">
        <f t="shared" si="13"/>
        <v>0</v>
      </c>
      <c r="X62" s="103">
        <f t="shared" si="14"/>
        <v>26153</v>
      </c>
      <c r="Z62" s="47"/>
    </row>
    <row r="63" spans="1:26">
      <c r="A63" s="146" t="s">
        <v>290</v>
      </c>
      <c r="B63" s="99">
        <v>40275</v>
      </c>
      <c r="C63" s="100">
        <v>8</v>
      </c>
      <c r="D63" s="98"/>
      <c r="E63" s="101"/>
      <c r="F63" s="102"/>
      <c r="G63" s="98">
        <v>88</v>
      </c>
      <c r="H63" s="101"/>
      <c r="I63" s="101">
        <v>2000</v>
      </c>
      <c r="J63" s="103">
        <f t="shared" si="0"/>
        <v>2000</v>
      </c>
      <c r="K63" s="101">
        <f t="shared" si="15"/>
        <v>351013</v>
      </c>
      <c r="L63" s="101">
        <f t="shared" si="2"/>
        <v>0</v>
      </c>
      <c r="M63" s="101">
        <f t="shared" si="3"/>
        <v>0</v>
      </c>
      <c r="N63" s="101">
        <f t="shared" si="4"/>
        <v>0</v>
      </c>
      <c r="O63" s="101">
        <f t="shared" si="5"/>
        <v>0</v>
      </c>
      <c r="P63" s="101">
        <f t="shared" si="6"/>
        <v>0</v>
      </c>
      <c r="Q63" s="101">
        <f t="shared" si="7"/>
        <v>0</v>
      </c>
      <c r="R63" s="101">
        <f t="shared" si="8"/>
        <v>0</v>
      </c>
      <c r="S63" s="101">
        <f t="shared" si="9"/>
        <v>2000</v>
      </c>
      <c r="T63" s="101">
        <f t="shared" si="10"/>
        <v>0</v>
      </c>
      <c r="U63" s="101">
        <f t="shared" si="11"/>
        <v>0</v>
      </c>
      <c r="V63" s="101">
        <f t="shared" si="12"/>
        <v>0</v>
      </c>
      <c r="W63" s="101">
        <f t="shared" si="13"/>
        <v>0</v>
      </c>
      <c r="X63" s="103">
        <f t="shared" si="14"/>
        <v>2000</v>
      </c>
      <c r="Z63" s="47"/>
    </row>
    <row r="64" spans="1:26">
      <c r="A64" s="146" t="s">
        <v>291</v>
      </c>
      <c r="B64" s="99">
        <v>40275</v>
      </c>
      <c r="C64" s="100">
        <v>8</v>
      </c>
      <c r="D64" s="98"/>
      <c r="E64" s="101"/>
      <c r="F64" s="102"/>
      <c r="G64" s="98">
        <v>89</v>
      </c>
      <c r="H64" s="101"/>
      <c r="I64" s="101">
        <v>0</v>
      </c>
      <c r="J64" s="103">
        <f t="shared" si="0"/>
        <v>0</v>
      </c>
      <c r="K64" s="101">
        <f t="shared" si="15"/>
        <v>351013</v>
      </c>
      <c r="L64" s="101">
        <f t="shared" si="2"/>
        <v>0</v>
      </c>
      <c r="M64" s="101">
        <f t="shared" si="3"/>
        <v>0</v>
      </c>
      <c r="N64" s="101">
        <f t="shared" si="4"/>
        <v>0</v>
      </c>
      <c r="O64" s="101">
        <f t="shared" si="5"/>
        <v>0</v>
      </c>
      <c r="P64" s="101">
        <f t="shared" si="6"/>
        <v>0</v>
      </c>
      <c r="Q64" s="101">
        <f t="shared" si="7"/>
        <v>0</v>
      </c>
      <c r="R64" s="101">
        <f t="shared" si="8"/>
        <v>0</v>
      </c>
      <c r="S64" s="101">
        <f t="shared" si="9"/>
        <v>0</v>
      </c>
      <c r="T64" s="101">
        <f t="shared" si="10"/>
        <v>0</v>
      </c>
      <c r="U64" s="101">
        <f t="shared" si="11"/>
        <v>0</v>
      </c>
      <c r="V64" s="101">
        <f t="shared" si="12"/>
        <v>0</v>
      </c>
      <c r="W64" s="101">
        <f t="shared" si="13"/>
        <v>0</v>
      </c>
      <c r="X64" s="103">
        <f t="shared" si="14"/>
        <v>0</v>
      </c>
      <c r="Z64" s="47"/>
    </row>
    <row r="65" spans="1:26">
      <c r="A65" s="146" t="s">
        <v>289</v>
      </c>
      <c r="B65" s="99">
        <v>40275</v>
      </c>
      <c r="C65" s="100">
        <v>8</v>
      </c>
      <c r="D65" s="98"/>
      <c r="E65" s="101"/>
      <c r="F65" s="102"/>
      <c r="G65" s="98">
        <v>90</v>
      </c>
      <c r="H65" s="101"/>
      <c r="I65" s="101">
        <v>6000</v>
      </c>
      <c r="J65" s="103">
        <f t="shared" si="0"/>
        <v>6000</v>
      </c>
      <c r="K65" s="101">
        <f t="shared" si="15"/>
        <v>357013</v>
      </c>
      <c r="L65" s="101">
        <f t="shared" si="2"/>
        <v>0</v>
      </c>
      <c r="M65" s="101">
        <f t="shared" si="3"/>
        <v>0</v>
      </c>
      <c r="N65" s="101">
        <f t="shared" si="4"/>
        <v>0</v>
      </c>
      <c r="O65" s="101">
        <f t="shared" si="5"/>
        <v>0</v>
      </c>
      <c r="P65" s="101">
        <f t="shared" si="6"/>
        <v>0</v>
      </c>
      <c r="Q65" s="101">
        <f t="shared" si="7"/>
        <v>0</v>
      </c>
      <c r="R65" s="101">
        <f t="shared" si="8"/>
        <v>0</v>
      </c>
      <c r="S65" s="101">
        <f t="shared" si="9"/>
        <v>6000</v>
      </c>
      <c r="T65" s="101">
        <f t="shared" si="10"/>
        <v>0</v>
      </c>
      <c r="U65" s="101">
        <f t="shared" si="11"/>
        <v>0</v>
      </c>
      <c r="V65" s="101">
        <f t="shared" si="12"/>
        <v>0</v>
      </c>
      <c r="W65" s="101">
        <f t="shared" si="13"/>
        <v>0</v>
      </c>
      <c r="X65" s="103">
        <f t="shared" si="14"/>
        <v>6000</v>
      </c>
      <c r="Z65" s="47"/>
    </row>
    <row r="66" spans="1:26">
      <c r="A66" s="98" t="s">
        <v>293</v>
      </c>
      <c r="B66" s="99">
        <v>40275</v>
      </c>
      <c r="C66" s="100">
        <v>8</v>
      </c>
      <c r="D66" s="98"/>
      <c r="E66" s="101"/>
      <c r="F66" s="102"/>
      <c r="G66" s="98">
        <v>92</v>
      </c>
      <c r="H66" s="101"/>
      <c r="I66" s="101">
        <v>3000</v>
      </c>
      <c r="J66" s="103">
        <f t="shared" si="0"/>
        <v>3000</v>
      </c>
      <c r="K66" s="101">
        <f t="shared" si="15"/>
        <v>360013</v>
      </c>
      <c r="L66" s="101">
        <f t="shared" si="2"/>
        <v>0</v>
      </c>
      <c r="M66" s="101">
        <f t="shared" si="3"/>
        <v>0</v>
      </c>
      <c r="N66" s="101">
        <f t="shared" si="4"/>
        <v>0</v>
      </c>
      <c r="O66" s="101">
        <f t="shared" si="5"/>
        <v>0</v>
      </c>
      <c r="P66" s="101">
        <f t="shared" si="6"/>
        <v>0</v>
      </c>
      <c r="Q66" s="101">
        <f t="shared" si="7"/>
        <v>0</v>
      </c>
      <c r="R66" s="101">
        <f t="shared" si="8"/>
        <v>0</v>
      </c>
      <c r="S66" s="101">
        <f t="shared" si="9"/>
        <v>3000</v>
      </c>
      <c r="T66" s="101">
        <f t="shared" si="10"/>
        <v>0</v>
      </c>
      <c r="U66" s="101">
        <f t="shared" si="11"/>
        <v>0</v>
      </c>
      <c r="V66" s="101">
        <f t="shared" si="12"/>
        <v>0</v>
      </c>
      <c r="W66" s="101">
        <f t="shared" si="13"/>
        <v>0</v>
      </c>
      <c r="X66" s="103">
        <f t="shared" si="14"/>
        <v>3000</v>
      </c>
      <c r="Z66" s="47"/>
    </row>
    <row r="67" spans="1:26">
      <c r="A67" s="98" t="s">
        <v>294</v>
      </c>
      <c r="B67" s="99">
        <v>40275</v>
      </c>
      <c r="C67" s="100">
        <v>3</v>
      </c>
      <c r="D67" s="98"/>
      <c r="E67" s="101"/>
      <c r="F67" s="102"/>
      <c r="G67" s="98">
        <v>93</v>
      </c>
      <c r="H67" s="101"/>
      <c r="I67" s="101">
        <v>44000</v>
      </c>
      <c r="J67" s="103">
        <f t="shared" si="0"/>
        <v>44000</v>
      </c>
      <c r="K67" s="101">
        <f t="shared" si="15"/>
        <v>404013</v>
      </c>
      <c r="L67" s="101">
        <f t="shared" si="2"/>
        <v>0</v>
      </c>
      <c r="M67" s="101">
        <f t="shared" si="3"/>
        <v>0</v>
      </c>
      <c r="N67" s="101">
        <f t="shared" si="4"/>
        <v>44000</v>
      </c>
      <c r="O67" s="101">
        <f t="shared" si="5"/>
        <v>0</v>
      </c>
      <c r="P67" s="101">
        <f t="shared" si="6"/>
        <v>0</v>
      </c>
      <c r="Q67" s="101">
        <f t="shared" si="7"/>
        <v>0</v>
      </c>
      <c r="R67" s="101">
        <f t="shared" si="8"/>
        <v>0</v>
      </c>
      <c r="S67" s="101">
        <f t="shared" si="9"/>
        <v>0</v>
      </c>
      <c r="T67" s="101">
        <f t="shared" si="10"/>
        <v>0</v>
      </c>
      <c r="U67" s="101">
        <f t="shared" si="11"/>
        <v>0</v>
      </c>
      <c r="V67" s="101">
        <f t="shared" si="12"/>
        <v>0</v>
      </c>
      <c r="W67" s="101">
        <f t="shared" si="13"/>
        <v>0</v>
      </c>
      <c r="X67" s="103">
        <f t="shared" si="14"/>
        <v>44000</v>
      </c>
      <c r="Z67" s="47"/>
    </row>
    <row r="68" spans="1:26">
      <c r="A68" s="147" t="s">
        <v>289</v>
      </c>
      <c r="B68" s="99">
        <v>40275</v>
      </c>
      <c r="C68" s="100">
        <v>3</v>
      </c>
      <c r="D68" s="98"/>
      <c r="E68" s="101"/>
      <c r="F68" s="102"/>
      <c r="G68" s="98">
        <v>94</v>
      </c>
      <c r="H68" s="101">
        <f>-30000+200*15*10</f>
        <v>0</v>
      </c>
      <c r="I68" s="101">
        <v>30000</v>
      </c>
      <c r="J68" s="103">
        <f t="shared" si="0"/>
        <v>30000</v>
      </c>
      <c r="K68" s="101">
        <f t="shared" si="15"/>
        <v>434013</v>
      </c>
      <c r="L68" s="101">
        <f t="shared" si="2"/>
        <v>0</v>
      </c>
      <c r="M68" s="101">
        <f t="shared" si="3"/>
        <v>0</v>
      </c>
      <c r="N68" s="101">
        <f t="shared" si="4"/>
        <v>30000</v>
      </c>
      <c r="O68" s="101">
        <f t="shared" si="5"/>
        <v>0</v>
      </c>
      <c r="P68" s="101">
        <f t="shared" si="6"/>
        <v>0</v>
      </c>
      <c r="Q68" s="101">
        <f t="shared" si="7"/>
        <v>0</v>
      </c>
      <c r="R68" s="101">
        <f t="shared" si="8"/>
        <v>0</v>
      </c>
      <c r="S68" s="101">
        <f t="shared" si="9"/>
        <v>0</v>
      </c>
      <c r="T68" s="101">
        <f t="shared" si="10"/>
        <v>0</v>
      </c>
      <c r="U68" s="101">
        <f t="shared" si="11"/>
        <v>0</v>
      </c>
      <c r="V68" s="101">
        <f t="shared" si="12"/>
        <v>0</v>
      </c>
      <c r="W68" s="101">
        <f t="shared" si="13"/>
        <v>0</v>
      </c>
      <c r="X68" s="103">
        <f t="shared" si="14"/>
        <v>30000</v>
      </c>
      <c r="Z68" s="47"/>
    </row>
    <row r="69" spans="1:26">
      <c r="A69" s="98" t="s">
        <v>289</v>
      </c>
      <c r="B69" s="99">
        <v>40275</v>
      </c>
      <c r="C69" s="100">
        <v>2</v>
      </c>
      <c r="D69" s="98"/>
      <c r="E69" s="101"/>
      <c r="F69" s="102"/>
      <c r="G69" s="98">
        <v>95</v>
      </c>
      <c r="H69" s="101">
        <f>-32400+200*8+700*5+800*2+600*2+500+200*19+500*3+600+700*2+800+700*7+800*2+600+500</f>
        <v>-8300</v>
      </c>
      <c r="I69" s="101">
        <v>32400</v>
      </c>
      <c r="J69" s="103">
        <f t="shared" si="0"/>
        <v>24100</v>
      </c>
      <c r="K69" s="101">
        <f t="shared" si="15"/>
        <v>458113</v>
      </c>
      <c r="L69" s="101">
        <f t="shared" si="2"/>
        <v>0</v>
      </c>
      <c r="M69" s="101">
        <f t="shared" si="3"/>
        <v>24100</v>
      </c>
      <c r="N69" s="101">
        <f t="shared" si="4"/>
        <v>0</v>
      </c>
      <c r="O69" s="101">
        <f t="shared" si="5"/>
        <v>0</v>
      </c>
      <c r="P69" s="101">
        <f t="shared" si="6"/>
        <v>0</v>
      </c>
      <c r="Q69" s="101">
        <f t="shared" si="7"/>
        <v>0</v>
      </c>
      <c r="R69" s="101">
        <f t="shared" si="8"/>
        <v>0</v>
      </c>
      <c r="S69" s="101">
        <f t="shared" si="9"/>
        <v>0</v>
      </c>
      <c r="T69" s="101">
        <f t="shared" si="10"/>
        <v>0</v>
      </c>
      <c r="U69" s="101">
        <f t="shared" si="11"/>
        <v>0</v>
      </c>
      <c r="V69" s="101">
        <f t="shared" si="12"/>
        <v>0</v>
      </c>
      <c r="W69" s="101">
        <f t="shared" si="13"/>
        <v>0</v>
      </c>
      <c r="X69" s="103">
        <f t="shared" si="14"/>
        <v>24100</v>
      </c>
      <c r="Z69" s="47"/>
    </row>
    <row r="70" spans="1:26">
      <c r="A70" s="98" t="s">
        <v>289</v>
      </c>
      <c r="B70" s="99">
        <v>40275</v>
      </c>
      <c r="C70" s="100">
        <v>8</v>
      </c>
      <c r="D70" s="98"/>
      <c r="E70" s="101"/>
      <c r="F70" s="102"/>
      <c r="G70" s="98">
        <v>95</v>
      </c>
      <c r="H70" s="101">
        <f>1600*5+1000+1800</f>
        <v>10800</v>
      </c>
      <c r="I70" s="101"/>
      <c r="J70" s="103">
        <f t="shared" ref="J70:J133" si="16">I70+E70+H70</f>
        <v>10800</v>
      </c>
      <c r="K70" s="101">
        <f t="shared" ref="K70:K101" si="17">K69+J70</f>
        <v>468913</v>
      </c>
      <c r="L70" s="101">
        <f t="shared" ref="L70:L133" si="18">IF(C70=1,SUM(E70+I70+H70),(0))</f>
        <v>0</v>
      </c>
      <c r="M70" s="101">
        <f t="shared" ref="M70:M133" si="19">IF(C70=2,SUM(E70+I70+H70),(0))</f>
        <v>0</v>
      </c>
      <c r="N70" s="101">
        <f t="shared" ref="N70:N133" si="20">IF(C70=3,SUM(E70+I70+H70),(0))</f>
        <v>0</v>
      </c>
      <c r="O70" s="101">
        <f t="shared" ref="O70:O133" si="21">IF(C70=4,SUM(E70+I70+H70),(0))</f>
        <v>0</v>
      </c>
      <c r="P70" s="101">
        <f t="shared" ref="P70:P133" si="22">IF(C70=5,SUM(E70+I70+H70),(0))</f>
        <v>0</v>
      </c>
      <c r="Q70" s="101">
        <f t="shared" ref="Q70:Q133" si="23">IF(C70=6,SUM(E70+I70+H70),(0))</f>
        <v>0</v>
      </c>
      <c r="R70" s="101">
        <f t="shared" ref="R70:R133" si="24">IF(C70=7,SUM(E70+I70+H70),(0))</f>
        <v>0</v>
      </c>
      <c r="S70" s="101">
        <f t="shared" ref="S70:S133" si="25">IF(C70=8,SUM(E70+I70+H70),(0))</f>
        <v>10800</v>
      </c>
      <c r="T70" s="101">
        <f t="shared" ref="T70:T133" si="26">IF(C70=8.1,SUM(E70+I70+H70),(0))</f>
        <v>0</v>
      </c>
      <c r="U70" s="101">
        <f t="shared" ref="U70:U133" si="27">IF(C70=9,SUM(E70+I70+H70),(0))</f>
        <v>0</v>
      </c>
      <c r="V70" s="101">
        <f t="shared" ref="V70:V133" si="28">IF(C70=10,SUM(E70+H70+I70),(0))</f>
        <v>0</v>
      </c>
      <c r="W70" s="101">
        <f t="shared" ref="W70:W133" si="29">IF(C70=11,SUM(E70+I70+H70),(0))</f>
        <v>0</v>
      </c>
      <c r="X70" s="103">
        <f t="shared" ref="X70:X133" si="30">SUM(L70:W70)</f>
        <v>10800</v>
      </c>
      <c r="Z70" s="47"/>
    </row>
    <row r="71" spans="1:26">
      <c r="A71" s="98" t="s">
        <v>295</v>
      </c>
      <c r="B71" s="99">
        <v>40276</v>
      </c>
      <c r="C71" s="100">
        <v>4</v>
      </c>
      <c r="D71" s="98"/>
      <c r="E71" s="101"/>
      <c r="F71" s="102"/>
      <c r="G71" s="98">
        <v>96</v>
      </c>
      <c r="H71" s="101"/>
      <c r="I71" s="101">
        <v>10000</v>
      </c>
      <c r="J71" s="103">
        <f t="shared" si="16"/>
        <v>10000</v>
      </c>
      <c r="K71" s="101">
        <f t="shared" si="17"/>
        <v>478913</v>
      </c>
      <c r="L71" s="101">
        <f t="shared" si="18"/>
        <v>0</v>
      </c>
      <c r="M71" s="101">
        <f t="shared" si="19"/>
        <v>0</v>
      </c>
      <c r="N71" s="101">
        <f t="shared" si="20"/>
        <v>0</v>
      </c>
      <c r="O71" s="101">
        <f t="shared" si="21"/>
        <v>10000</v>
      </c>
      <c r="P71" s="101">
        <f t="shared" si="22"/>
        <v>0</v>
      </c>
      <c r="Q71" s="101">
        <f t="shared" si="23"/>
        <v>0</v>
      </c>
      <c r="R71" s="101">
        <f t="shared" si="24"/>
        <v>0</v>
      </c>
      <c r="S71" s="101">
        <f t="shared" si="25"/>
        <v>0</v>
      </c>
      <c r="T71" s="101">
        <f t="shared" si="26"/>
        <v>0</v>
      </c>
      <c r="U71" s="101">
        <f t="shared" si="27"/>
        <v>0</v>
      </c>
      <c r="V71" s="101">
        <f t="shared" si="28"/>
        <v>0</v>
      </c>
      <c r="W71" s="101">
        <f t="shared" si="29"/>
        <v>0</v>
      </c>
      <c r="X71" s="103">
        <f t="shared" si="30"/>
        <v>10000</v>
      </c>
      <c r="Z71" s="47"/>
    </row>
    <row r="72" spans="1:26">
      <c r="A72" s="98" t="s">
        <v>345</v>
      </c>
      <c r="B72" s="99">
        <v>40278</v>
      </c>
      <c r="C72" s="100">
        <v>8</v>
      </c>
      <c r="D72" s="98">
        <v>136</v>
      </c>
      <c r="E72" s="101">
        <v>2300</v>
      </c>
      <c r="F72" s="102"/>
      <c r="G72" s="98"/>
      <c r="H72" s="101"/>
      <c r="I72" s="101"/>
      <c r="J72" s="103">
        <f t="shared" si="16"/>
        <v>2300</v>
      </c>
      <c r="K72" s="101">
        <f t="shared" si="17"/>
        <v>481213</v>
      </c>
      <c r="L72" s="101">
        <f t="shared" si="18"/>
        <v>0</v>
      </c>
      <c r="M72" s="101">
        <f t="shared" si="19"/>
        <v>0</v>
      </c>
      <c r="N72" s="101">
        <f t="shared" si="20"/>
        <v>0</v>
      </c>
      <c r="O72" s="101">
        <f t="shared" si="21"/>
        <v>0</v>
      </c>
      <c r="P72" s="101">
        <f t="shared" si="22"/>
        <v>0</v>
      </c>
      <c r="Q72" s="101">
        <f t="shared" si="23"/>
        <v>0</v>
      </c>
      <c r="R72" s="101">
        <f t="shared" si="24"/>
        <v>0</v>
      </c>
      <c r="S72" s="101">
        <f t="shared" si="25"/>
        <v>2300</v>
      </c>
      <c r="T72" s="101">
        <f t="shared" si="26"/>
        <v>0</v>
      </c>
      <c r="U72" s="101">
        <f t="shared" si="27"/>
        <v>0</v>
      </c>
      <c r="V72" s="101">
        <f t="shared" si="28"/>
        <v>0</v>
      </c>
      <c r="W72" s="101">
        <f t="shared" si="29"/>
        <v>0</v>
      </c>
      <c r="X72" s="103">
        <f t="shared" si="30"/>
        <v>2300</v>
      </c>
    </row>
    <row r="73" spans="1:26">
      <c r="A73" s="147" t="s">
        <v>296</v>
      </c>
      <c r="B73" s="99">
        <v>40280</v>
      </c>
      <c r="C73" s="100">
        <v>4</v>
      </c>
      <c r="D73" s="98"/>
      <c r="E73" s="101"/>
      <c r="F73" s="102"/>
      <c r="G73" s="98">
        <v>97</v>
      </c>
      <c r="H73" s="101"/>
      <c r="I73" s="101">
        <v>193952</v>
      </c>
      <c r="J73" s="103">
        <f t="shared" si="16"/>
        <v>193952</v>
      </c>
      <c r="K73" s="101">
        <f t="shared" si="17"/>
        <v>675165</v>
      </c>
      <c r="L73" s="101">
        <f t="shared" si="18"/>
        <v>0</v>
      </c>
      <c r="M73" s="101">
        <f t="shared" si="19"/>
        <v>0</v>
      </c>
      <c r="N73" s="101">
        <f t="shared" si="20"/>
        <v>0</v>
      </c>
      <c r="O73" s="101">
        <f t="shared" si="21"/>
        <v>193952</v>
      </c>
      <c r="P73" s="101">
        <f t="shared" si="22"/>
        <v>0</v>
      </c>
      <c r="Q73" s="101">
        <f t="shared" si="23"/>
        <v>0</v>
      </c>
      <c r="R73" s="101">
        <f t="shared" si="24"/>
        <v>0</v>
      </c>
      <c r="S73" s="101">
        <f t="shared" si="25"/>
        <v>0</v>
      </c>
      <c r="T73" s="101">
        <f t="shared" si="26"/>
        <v>0</v>
      </c>
      <c r="U73" s="101">
        <f t="shared" si="27"/>
        <v>0</v>
      </c>
      <c r="V73" s="101">
        <f t="shared" si="28"/>
        <v>0</v>
      </c>
      <c r="W73" s="101">
        <f t="shared" si="29"/>
        <v>0</v>
      </c>
      <c r="X73" s="103">
        <f t="shared" si="30"/>
        <v>193952</v>
      </c>
      <c r="Z73" s="47"/>
    </row>
    <row r="74" spans="1:26">
      <c r="A74" s="98" t="s">
        <v>366</v>
      </c>
      <c r="B74" s="99">
        <v>40280</v>
      </c>
      <c r="C74" s="100">
        <v>4</v>
      </c>
      <c r="D74" s="98"/>
      <c r="E74" s="101"/>
      <c r="F74" s="102">
        <v>98</v>
      </c>
      <c r="G74" s="102">
        <v>98</v>
      </c>
      <c r="H74" s="101"/>
      <c r="I74" s="101">
        <v>10208</v>
      </c>
      <c r="J74" s="103">
        <f t="shared" si="16"/>
        <v>10208</v>
      </c>
      <c r="K74" s="101">
        <f t="shared" si="17"/>
        <v>685373</v>
      </c>
      <c r="L74" s="101">
        <f t="shared" si="18"/>
        <v>0</v>
      </c>
      <c r="M74" s="101">
        <f t="shared" si="19"/>
        <v>0</v>
      </c>
      <c r="N74" s="101">
        <f t="shared" si="20"/>
        <v>0</v>
      </c>
      <c r="O74" s="101">
        <f t="shared" si="21"/>
        <v>10208</v>
      </c>
      <c r="P74" s="101">
        <f t="shared" si="22"/>
        <v>0</v>
      </c>
      <c r="Q74" s="101">
        <f t="shared" si="23"/>
        <v>0</v>
      </c>
      <c r="R74" s="101">
        <f t="shared" si="24"/>
        <v>0</v>
      </c>
      <c r="S74" s="101">
        <f t="shared" si="25"/>
        <v>0</v>
      </c>
      <c r="T74" s="101">
        <f t="shared" si="26"/>
        <v>0</v>
      </c>
      <c r="U74" s="101">
        <f t="shared" si="27"/>
        <v>0</v>
      </c>
      <c r="V74" s="101">
        <f t="shared" si="28"/>
        <v>0</v>
      </c>
      <c r="W74" s="101">
        <f t="shared" si="29"/>
        <v>0</v>
      </c>
      <c r="X74" s="103">
        <f t="shared" si="30"/>
        <v>10208</v>
      </c>
    </row>
    <row r="75" spans="1:26">
      <c r="A75" s="146" t="s">
        <v>277</v>
      </c>
      <c r="B75" s="99">
        <v>40280</v>
      </c>
      <c r="C75" s="100"/>
      <c r="D75" s="98"/>
      <c r="E75" s="101"/>
      <c r="F75" s="102"/>
      <c r="G75" s="98"/>
      <c r="H75" s="101">
        <v>7998</v>
      </c>
      <c r="I75" s="101">
        <v>-7998</v>
      </c>
      <c r="J75" s="103">
        <f t="shared" si="16"/>
        <v>0</v>
      </c>
      <c r="K75" s="101">
        <f t="shared" si="17"/>
        <v>685373</v>
      </c>
      <c r="L75" s="101">
        <f t="shared" si="18"/>
        <v>0</v>
      </c>
      <c r="M75" s="101">
        <f t="shared" si="19"/>
        <v>0</v>
      </c>
      <c r="N75" s="101">
        <f t="shared" si="20"/>
        <v>0</v>
      </c>
      <c r="O75" s="101">
        <f t="shared" si="21"/>
        <v>0</v>
      </c>
      <c r="P75" s="101">
        <f t="shared" si="22"/>
        <v>0</v>
      </c>
      <c r="Q75" s="101">
        <f t="shared" si="23"/>
        <v>0</v>
      </c>
      <c r="R75" s="101">
        <f t="shared" si="24"/>
        <v>0</v>
      </c>
      <c r="S75" s="101">
        <f t="shared" si="25"/>
        <v>0</v>
      </c>
      <c r="T75" s="101">
        <f t="shared" si="26"/>
        <v>0</v>
      </c>
      <c r="U75" s="101">
        <f t="shared" si="27"/>
        <v>0</v>
      </c>
      <c r="V75" s="101">
        <f t="shared" si="28"/>
        <v>0</v>
      </c>
      <c r="W75" s="101">
        <f t="shared" si="29"/>
        <v>0</v>
      </c>
      <c r="X75" s="103">
        <f t="shared" si="30"/>
        <v>0</v>
      </c>
      <c r="Z75" s="47"/>
    </row>
    <row r="76" spans="1:26">
      <c r="A76" s="147" t="s">
        <v>289</v>
      </c>
      <c r="B76" s="99">
        <v>40282</v>
      </c>
      <c r="C76" s="100"/>
      <c r="D76" s="98"/>
      <c r="E76" s="101"/>
      <c r="F76" s="102"/>
      <c r="G76" s="98"/>
      <c r="H76" s="101"/>
      <c r="I76" s="101"/>
      <c r="J76" s="103">
        <f t="shared" si="16"/>
        <v>0</v>
      </c>
      <c r="K76" s="101">
        <f t="shared" si="17"/>
        <v>685373</v>
      </c>
      <c r="L76" s="101">
        <f t="shared" si="18"/>
        <v>0</v>
      </c>
      <c r="M76" s="101">
        <f t="shared" si="19"/>
        <v>0</v>
      </c>
      <c r="N76" s="101">
        <f t="shared" si="20"/>
        <v>0</v>
      </c>
      <c r="O76" s="101">
        <f t="shared" si="21"/>
        <v>0</v>
      </c>
      <c r="P76" s="101">
        <f t="shared" si="22"/>
        <v>0</v>
      </c>
      <c r="Q76" s="101">
        <f t="shared" si="23"/>
        <v>0</v>
      </c>
      <c r="R76" s="101">
        <f t="shared" si="24"/>
        <v>0</v>
      </c>
      <c r="S76" s="101">
        <f t="shared" si="25"/>
        <v>0</v>
      </c>
      <c r="T76" s="101">
        <f t="shared" si="26"/>
        <v>0</v>
      </c>
      <c r="U76" s="101">
        <f t="shared" si="27"/>
        <v>0</v>
      </c>
      <c r="V76" s="101">
        <f t="shared" si="28"/>
        <v>0</v>
      </c>
      <c r="W76" s="101">
        <f t="shared" si="29"/>
        <v>0</v>
      </c>
      <c r="X76" s="103">
        <f t="shared" si="30"/>
        <v>0</v>
      </c>
      <c r="Z76" s="47"/>
    </row>
    <row r="77" spans="1:26">
      <c r="A77" s="147" t="s">
        <v>276</v>
      </c>
      <c r="B77" s="99">
        <v>40291</v>
      </c>
      <c r="C77" s="100">
        <v>11</v>
      </c>
      <c r="D77" s="98"/>
      <c r="E77" s="101"/>
      <c r="F77" s="102"/>
      <c r="G77" s="98"/>
      <c r="H77" s="101"/>
      <c r="I77" s="101">
        <f>-9868127</f>
        <v>-9868127</v>
      </c>
      <c r="J77" s="103">
        <f t="shared" si="16"/>
        <v>-9868127</v>
      </c>
      <c r="K77" s="101">
        <f t="shared" si="17"/>
        <v>-9182754</v>
      </c>
      <c r="L77" s="101">
        <f t="shared" si="18"/>
        <v>0</v>
      </c>
      <c r="M77" s="101">
        <f t="shared" si="19"/>
        <v>0</v>
      </c>
      <c r="N77" s="101">
        <f t="shared" si="20"/>
        <v>0</v>
      </c>
      <c r="O77" s="101">
        <f t="shared" si="21"/>
        <v>0</v>
      </c>
      <c r="P77" s="101">
        <f t="shared" si="22"/>
        <v>0</v>
      </c>
      <c r="Q77" s="101">
        <f t="shared" si="23"/>
        <v>0</v>
      </c>
      <c r="R77" s="101">
        <f t="shared" si="24"/>
        <v>0</v>
      </c>
      <c r="S77" s="101">
        <f t="shared" si="25"/>
        <v>0</v>
      </c>
      <c r="T77" s="101">
        <f t="shared" si="26"/>
        <v>0</v>
      </c>
      <c r="U77" s="101">
        <f t="shared" si="27"/>
        <v>0</v>
      </c>
      <c r="V77" s="101">
        <f t="shared" si="28"/>
        <v>0</v>
      </c>
      <c r="W77" s="101">
        <f t="shared" si="29"/>
        <v>-9868127</v>
      </c>
      <c r="X77" s="103">
        <f t="shared" si="30"/>
        <v>-9868127</v>
      </c>
      <c r="Z77" s="47"/>
    </row>
    <row r="78" spans="1:26">
      <c r="A78" s="98" t="s">
        <v>340</v>
      </c>
      <c r="B78" s="99">
        <v>40294</v>
      </c>
      <c r="C78" s="100">
        <v>8</v>
      </c>
      <c r="D78" s="98">
        <v>127</v>
      </c>
      <c r="E78" s="101">
        <v>900</v>
      </c>
      <c r="F78" s="102"/>
      <c r="G78" s="102"/>
      <c r="H78" s="101"/>
      <c r="I78" s="103"/>
      <c r="J78" s="103">
        <f t="shared" si="16"/>
        <v>900</v>
      </c>
      <c r="K78" s="101">
        <f t="shared" si="17"/>
        <v>-9181854</v>
      </c>
      <c r="L78" s="101">
        <f t="shared" si="18"/>
        <v>0</v>
      </c>
      <c r="M78" s="101">
        <f t="shared" si="19"/>
        <v>0</v>
      </c>
      <c r="N78" s="101">
        <f t="shared" si="20"/>
        <v>0</v>
      </c>
      <c r="O78" s="101">
        <f t="shared" si="21"/>
        <v>0</v>
      </c>
      <c r="P78" s="101">
        <f t="shared" si="22"/>
        <v>0</v>
      </c>
      <c r="Q78" s="101">
        <f t="shared" si="23"/>
        <v>0</v>
      </c>
      <c r="R78" s="101">
        <f t="shared" si="24"/>
        <v>0</v>
      </c>
      <c r="S78" s="101">
        <f t="shared" si="25"/>
        <v>900</v>
      </c>
      <c r="T78" s="101">
        <f t="shared" si="26"/>
        <v>0</v>
      </c>
      <c r="U78" s="101">
        <f t="shared" si="27"/>
        <v>0</v>
      </c>
      <c r="V78" s="101">
        <f t="shared" si="28"/>
        <v>0</v>
      </c>
      <c r="W78" s="101">
        <f t="shared" si="29"/>
        <v>0</v>
      </c>
      <c r="X78" s="103">
        <f t="shared" si="30"/>
        <v>900</v>
      </c>
    </row>
    <row r="79" spans="1:26">
      <c r="A79" s="98" t="s">
        <v>341</v>
      </c>
      <c r="B79" s="99">
        <v>40294</v>
      </c>
      <c r="C79" s="100">
        <v>8</v>
      </c>
      <c r="D79" s="98">
        <v>128</v>
      </c>
      <c r="E79" s="101">
        <v>3400</v>
      </c>
      <c r="F79" s="102"/>
      <c r="G79" s="98"/>
      <c r="H79" s="101"/>
      <c r="I79" s="101"/>
      <c r="J79" s="103">
        <f t="shared" si="16"/>
        <v>3400</v>
      </c>
      <c r="K79" s="101">
        <f t="shared" si="17"/>
        <v>-9178454</v>
      </c>
      <c r="L79" s="101">
        <f t="shared" si="18"/>
        <v>0</v>
      </c>
      <c r="M79" s="101">
        <f t="shared" si="19"/>
        <v>0</v>
      </c>
      <c r="N79" s="101">
        <f t="shared" si="20"/>
        <v>0</v>
      </c>
      <c r="O79" s="101">
        <f t="shared" si="21"/>
        <v>0</v>
      </c>
      <c r="P79" s="101">
        <f t="shared" si="22"/>
        <v>0</v>
      </c>
      <c r="Q79" s="101">
        <f t="shared" si="23"/>
        <v>0</v>
      </c>
      <c r="R79" s="101">
        <f t="shared" si="24"/>
        <v>0</v>
      </c>
      <c r="S79" s="101">
        <f t="shared" si="25"/>
        <v>3400</v>
      </c>
      <c r="T79" s="101">
        <f t="shared" si="26"/>
        <v>0</v>
      </c>
      <c r="U79" s="101">
        <f t="shared" si="27"/>
        <v>0</v>
      </c>
      <c r="V79" s="101">
        <f t="shared" si="28"/>
        <v>0</v>
      </c>
      <c r="W79" s="101">
        <f t="shared" si="29"/>
        <v>0</v>
      </c>
      <c r="X79" s="103">
        <f t="shared" si="30"/>
        <v>3400</v>
      </c>
    </row>
    <row r="80" spans="1:26">
      <c r="A80" s="98" t="s">
        <v>342</v>
      </c>
      <c r="B80" s="99">
        <v>40294</v>
      </c>
      <c r="C80" s="100">
        <v>8</v>
      </c>
      <c r="D80" s="98">
        <v>129</v>
      </c>
      <c r="E80" s="101">
        <v>1000</v>
      </c>
      <c r="F80" s="102"/>
      <c r="G80" s="98"/>
      <c r="H80" s="101"/>
      <c r="I80" s="101"/>
      <c r="J80" s="103">
        <f t="shared" si="16"/>
        <v>1000</v>
      </c>
      <c r="K80" s="101">
        <f t="shared" si="17"/>
        <v>-9177454</v>
      </c>
      <c r="L80" s="101">
        <f t="shared" si="18"/>
        <v>0</v>
      </c>
      <c r="M80" s="101">
        <f t="shared" si="19"/>
        <v>0</v>
      </c>
      <c r="N80" s="101">
        <f t="shared" si="20"/>
        <v>0</v>
      </c>
      <c r="O80" s="101">
        <f t="shared" si="21"/>
        <v>0</v>
      </c>
      <c r="P80" s="101">
        <f t="shared" si="22"/>
        <v>0</v>
      </c>
      <c r="Q80" s="101">
        <f t="shared" si="23"/>
        <v>0</v>
      </c>
      <c r="R80" s="101">
        <f t="shared" si="24"/>
        <v>0</v>
      </c>
      <c r="S80" s="101">
        <f t="shared" si="25"/>
        <v>1000</v>
      </c>
      <c r="T80" s="101">
        <f t="shared" si="26"/>
        <v>0</v>
      </c>
      <c r="U80" s="101">
        <f t="shared" si="27"/>
        <v>0</v>
      </c>
      <c r="V80" s="101">
        <f t="shared" si="28"/>
        <v>0</v>
      </c>
      <c r="W80" s="101">
        <f t="shared" si="29"/>
        <v>0</v>
      </c>
      <c r="X80" s="103">
        <f t="shared" si="30"/>
        <v>1000</v>
      </c>
    </row>
    <row r="81" spans="1:26">
      <c r="A81" s="98" t="s">
        <v>343</v>
      </c>
      <c r="B81" s="99">
        <v>40294</v>
      </c>
      <c r="C81" s="100">
        <v>8</v>
      </c>
      <c r="D81" s="98">
        <v>130</v>
      </c>
      <c r="E81" s="101">
        <v>4900</v>
      </c>
      <c r="F81" s="102"/>
      <c r="G81" s="98"/>
      <c r="H81" s="101"/>
      <c r="I81" s="101"/>
      <c r="J81" s="103">
        <f t="shared" si="16"/>
        <v>4900</v>
      </c>
      <c r="K81" s="101">
        <f t="shared" si="17"/>
        <v>-9172554</v>
      </c>
      <c r="L81" s="101">
        <f t="shared" si="18"/>
        <v>0</v>
      </c>
      <c r="M81" s="101">
        <f t="shared" si="19"/>
        <v>0</v>
      </c>
      <c r="N81" s="101">
        <f t="shared" si="20"/>
        <v>0</v>
      </c>
      <c r="O81" s="101">
        <f t="shared" si="21"/>
        <v>0</v>
      </c>
      <c r="P81" s="101">
        <f t="shared" si="22"/>
        <v>0</v>
      </c>
      <c r="Q81" s="101">
        <f t="shared" si="23"/>
        <v>0</v>
      </c>
      <c r="R81" s="101">
        <f t="shared" si="24"/>
        <v>0</v>
      </c>
      <c r="S81" s="101">
        <f t="shared" si="25"/>
        <v>4900</v>
      </c>
      <c r="T81" s="101">
        <f t="shared" si="26"/>
        <v>0</v>
      </c>
      <c r="U81" s="101">
        <f t="shared" si="27"/>
        <v>0</v>
      </c>
      <c r="V81" s="101">
        <f t="shared" si="28"/>
        <v>0</v>
      </c>
      <c r="W81" s="101">
        <f t="shared" si="29"/>
        <v>0</v>
      </c>
      <c r="X81" s="103">
        <f t="shared" si="30"/>
        <v>4900</v>
      </c>
    </row>
    <row r="82" spans="1:26">
      <c r="A82" s="98" t="s">
        <v>344</v>
      </c>
      <c r="B82" s="99">
        <v>40294</v>
      </c>
      <c r="C82" s="100">
        <v>8</v>
      </c>
      <c r="D82" s="98">
        <v>131</v>
      </c>
      <c r="E82" s="101">
        <v>1000</v>
      </c>
      <c r="F82" s="102"/>
      <c r="G82" s="102"/>
      <c r="H82" s="101"/>
      <c r="I82" s="103"/>
      <c r="J82" s="103">
        <f t="shared" si="16"/>
        <v>1000</v>
      </c>
      <c r="K82" s="101">
        <f t="shared" si="17"/>
        <v>-9171554</v>
      </c>
      <c r="L82" s="101">
        <f t="shared" si="18"/>
        <v>0</v>
      </c>
      <c r="M82" s="101">
        <f t="shared" si="19"/>
        <v>0</v>
      </c>
      <c r="N82" s="101">
        <f t="shared" si="20"/>
        <v>0</v>
      </c>
      <c r="O82" s="101">
        <f t="shared" si="21"/>
        <v>0</v>
      </c>
      <c r="P82" s="101">
        <f t="shared" si="22"/>
        <v>0</v>
      </c>
      <c r="Q82" s="101">
        <f t="shared" si="23"/>
        <v>0</v>
      </c>
      <c r="R82" s="101">
        <f t="shared" si="24"/>
        <v>0</v>
      </c>
      <c r="S82" s="101">
        <f t="shared" si="25"/>
        <v>1000</v>
      </c>
      <c r="T82" s="101">
        <f t="shared" si="26"/>
        <v>0</v>
      </c>
      <c r="U82" s="101">
        <f t="shared" si="27"/>
        <v>0</v>
      </c>
      <c r="V82" s="101">
        <f t="shared" si="28"/>
        <v>0</v>
      </c>
      <c r="W82" s="101">
        <f t="shared" si="29"/>
        <v>0</v>
      </c>
      <c r="X82" s="103">
        <f t="shared" si="30"/>
        <v>1000</v>
      </c>
    </row>
    <row r="83" spans="1:26">
      <c r="A83" s="146" t="s">
        <v>61</v>
      </c>
      <c r="B83" s="99">
        <v>40298</v>
      </c>
      <c r="C83" s="100">
        <v>8.1</v>
      </c>
      <c r="D83" s="98"/>
      <c r="E83" s="101"/>
      <c r="F83" s="102"/>
      <c r="G83" s="98"/>
      <c r="H83" s="101"/>
      <c r="I83" s="101">
        <f>50*6+25*4</f>
        <v>400</v>
      </c>
      <c r="J83" s="103">
        <f t="shared" si="16"/>
        <v>400</v>
      </c>
      <c r="K83" s="101">
        <f t="shared" si="17"/>
        <v>-9171154</v>
      </c>
      <c r="L83" s="101">
        <f t="shared" si="18"/>
        <v>0</v>
      </c>
      <c r="M83" s="101">
        <f t="shared" si="19"/>
        <v>0</v>
      </c>
      <c r="N83" s="101">
        <f t="shared" si="20"/>
        <v>0</v>
      </c>
      <c r="O83" s="101">
        <f t="shared" si="21"/>
        <v>0</v>
      </c>
      <c r="P83" s="101">
        <f t="shared" si="22"/>
        <v>0</v>
      </c>
      <c r="Q83" s="101">
        <f t="shared" si="23"/>
        <v>0</v>
      </c>
      <c r="R83" s="101">
        <f t="shared" si="24"/>
        <v>0</v>
      </c>
      <c r="S83" s="101">
        <f t="shared" si="25"/>
        <v>0</v>
      </c>
      <c r="T83" s="101">
        <f t="shared" si="26"/>
        <v>400</v>
      </c>
      <c r="U83" s="101">
        <f t="shared" si="27"/>
        <v>0</v>
      </c>
      <c r="V83" s="101">
        <f t="shared" si="28"/>
        <v>0</v>
      </c>
      <c r="W83" s="101">
        <f t="shared" si="29"/>
        <v>0</v>
      </c>
      <c r="X83" s="103">
        <f t="shared" si="30"/>
        <v>400</v>
      </c>
      <c r="Z83" s="47"/>
    </row>
    <row r="84" spans="1:26">
      <c r="A84" s="98" t="s">
        <v>371</v>
      </c>
      <c r="B84" s="99">
        <v>40298</v>
      </c>
      <c r="C84" s="100">
        <v>8</v>
      </c>
      <c r="D84" s="98"/>
      <c r="E84" s="101"/>
      <c r="F84" s="102"/>
      <c r="G84" s="98"/>
      <c r="H84" s="101"/>
      <c r="I84" s="101">
        <v>-216518</v>
      </c>
      <c r="J84" s="103">
        <f t="shared" si="16"/>
        <v>-216518</v>
      </c>
      <c r="K84" s="101">
        <f t="shared" si="17"/>
        <v>-9387672</v>
      </c>
      <c r="L84" s="101">
        <f t="shared" si="18"/>
        <v>0</v>
      </c>
      <c r="M84" s="101">
        <f t="shared" si="19"/>
        <v>0</v>
      </c>
      <c r="N84" s="101">
        <f t="shared" si="20"/>
        <v>0</v>
      </c>
      <c r="O84" s="101">
        <f t="shared" si="21"/>
        <v>0</v>
      </c>
      <c r="P84" s="101">
        <f t="shared" si="22"/>
        <v>0</v>
      </c>
      <c r="Q84" s="101">
        <f t="shared" si="23"/>
        <v>0</v>
      </c>
      <c r="R84" s="101">
        <f t="shared" si="24"/>
        <v>0</v>
      </c>
      <c r="S84" s="101">
        <f t="shared" si="25"/>
        <v>-216518</v>
      </c>
      <c r="T84" s="101">
        <f t="shared" si="26"/>
        <v>0</v>
      </c>
      <c r="U84" s="101">
        <f t="shared" si="27"/>
        <v>0</v>
      </c>
      <c r="V84" s="101">
        <f t="shared" si="28"/>
        <v>0</v>
      </c>
      <c r="W84" s="101">
        <f t="shared" si="29"/>
        <v>0</v>
      </c>
      <c r="X84" s="103">
        <f t="shared" si="30"/>
        <v>-216518</v>
      </c>
    </row>
    <row r="85" spans="1:26">
      <c r="A85" s="147" t="s">
        <v>289</v>
      </c>
      <c r="B85" s="99">
        <v>40301</v>
      </c>
      <c r="C85" s="100">
        <v>2</v>
      </c>
      <c r="D85" s="98"/>
      <c r="E85" s="101"/>
      <c r="F85" s="102"/>
      <c r="G85" s="98">
        <v>99</v>
      </c>
      <c r="H85" s="101">
        <f>-15000+8000+4000+1600+1400</f>
        <v>0</v>
      </c>
      <c r="I85" s="101">
        <v>15000</v>
      </c>
      <c r="J85" s="103">
        <f t="shared" si="16"/>
        <v>15000</v>
      </c>
      <c r="K85" s="101">
        <f t="shared" si="17"/>
        <v>-9372672</v>
      </c>
      <c r="L85" s="101">
        <f t="shared" si="18"/>
        <v>0</v>
      </c>
      <c r="M85" s="101">
        <f t="shared" si="19"/>
        <v>15000</v>
      </c>
      <c r="N85" s="101">
        <f t="shared" si="20"/>
        <v>0</v>
      </c>
      <c r="O85" s="101">
        <f t="shared" si="21"/>
        <v>0</v>
      </c>
      <c r="P85" s="101">
        <f t="shared" si="22"/>
        <v>0</v>
      </c>
      <c r="Q85" s="101">
        <f t="shared" si="23"/>
        <v>0</v>
      </c>
      <c r="R85" s="101">
        <f t="shared" si="24"/>
        <v>0</v>
      </c>
      <c r="S85" s="101">
        <f t="shared" si="25"/>
        <v>0</v>
      </c>
      <c r="T85" s="101">
        <f t="shared" si="26"/>
        <v>0</v>
      </c>
      <c r="U85" s="101">
        <f t="shared" si="27"/>
        <v>0</v>
      </c>
      <c r="V85" s="101">
        <f t="shared" si="28"/>
        <v>0</v>
      </c>
      <c r="W85" s="101">
        <f t="shared" si="29"/>
        <v>0</v>
      </c>
      <c r="X85" s="103">
        <f t="shared" si="30"/>
        <v>15000</v>
      </c>
      <c r="Z85" s="47"/>
    </row>
    <row r="86" spans="1:26">
      <c r="A86" s="147" t="s">
        <v>289</v>
      </c>
      <c r="B86" s="99">
        <v>40301</v>
      </c>
      <c r="C86" s="100">
        <v>8</v>
      </c>
      <c r="D86" s="98"/>
      <c r="E86" s="101">
        <f>-9785</f>
        <v>-9785</v>
      </c>
      <c r="F86" s="102"/>
      <c r="G86" s="98">
        <v>100</v>
      </c>
      <c r="H86" s="101"/>
      <c r="I86" s="101">
        <v>9785</v>
      </c>
      <c r="J86" s="103">
        <f t="shared" si="16"/>
        <v>0</v>
      </c>
      <c r="K86" s="101">
        <f t="shared" si="17"/>
        <v>-9372672</v>
      </c>
      <c r="L86" s="101">
        <f t="shared" si="18"/>
        <v>0</v>
      </c>
      <c r="M86" s="101">
        <f t="shared" si="19"/>
        <v>0</v>
      </c>
      <c r="N86" s="101">
        <f t="shared" si="20"/>
        <v>0</v>
      </c>
      <c r="O86" s="101">
        <f t="shared" si="21"/>
        <v>0</v>
      </c>
      <c r="P86" s="101">
        <f t="shared" si="22"/>
        <v>0</v>
      </c>
      <c r="Q86" s="101">
        <f t="shared" si="23"/>
        <v>0</v>
      </c>
      <c r="R86" s="101">
        <f t="shared" si="24"/>
        <v>0</v>
      </c>
      <c r="S86" s="101">
        <f t="shared" si="25"/>
        <v>0</v>
      </c>
      <c r="T86" s="101">
        <f t="shared" si="26"/>
        <v>0</v>
      </c>
      <c r="U86" s="101">
        <f t="shared" si="27"/>
        <v>0</v>
      </c>
      <c r="V86" s="101">
        <f t="shared" si="28"/>
        <v>0</v>
      </c>
      <c r="W86" s="101">
        <f t="shared" si="29"/>
        <v>0</v>
      </c>
      <c r="X86" s="103">
        <f t="shared" si="30"/>
        <v>0</v>
      </c>
      <c r="Z86" s="47"/>
    </row>
    <row r="87" spans="1:26">
      <c r="A87" s="147" t="s">
        <v>289</v>
      </c>
      <c r="B87" s="99">
        <v>40301</v>
      </c>
      <c r="C87" s="100">
        <v>2</v>
      </c>
      <c r="D87" s="98"/>
      <c r="E87" s="101"/>
      <c r="F87" s="102"/>
      <c r="G87" s="98">
        <v>100</v>
      </c>
      <c r="H87" s="101"/>
      <c r="I87" s="101"/>
      <c r="J87" s="103">
        <f t="shared" si="16"/>
        <v>0</v>
      </c>
      <c r="K87" s="101">
        <f t="shared" si="17"/>
        <v>-9372672</v>
      </c>
      <c r="L87" s="101">
        <f t="shared" si="18"/>
        <v>0</v>
      </c>
      <c r="M87" s="101">
        <f t="shared" si="19"/>
        <v>0</v>
      </c>
      <c r="N87" s="101">
        <f t="shared" si="20"/>
        <v>0</v>
      </c>
      <c r="O87" s="101">
        <f t="shared" si="21"/>
        <v>0</v>
      </c>
      <c r="P87" s="101">
        <f t="shared" si="22"/>
        <v>0</v>
      </c>
      <c r="Q87" s="101">
        <f t="shared" si="23"/>
        <v>0</v>
      </c>
      <c r="R87" s="101">
        <f t="shared" si="24"/>
        <v>0</v>
      </c>
      <c r="S87" s="101">
        <f t="shared" si="25"/>
        <v>0</v>
      </c>
      <c r="T87" s="101">
        <f t="shared" si="26"/>
        <v>0</v>
      </c>
      <c r="U87" s="101">
        <f t="shared" si="27"/>
        <v>0</v>
      </c>
      <c r="V87" s="101">
        <f t="shared" si="28"/>
        <v>0</v>
      </c>
      <c r="W87" s="101">
        <f t="shared" si="29"/>
        <v>0</v>
      </c>
      <c r="X87" s="103">
        <f t="shared" si="30"/>
        <v>0</v>
      </c>
      <c r="Z87" s="47"/>
    </row>
    <row r="88" spans="1:26">
      <c r="A88" s="147" t="s">
        <v>289</v>
      </c>
      <c r="B88" s="99">
        <v>40309</v>
      </c>
      <c r="C88" s="100">
        <v>8</v>
      </c>
      <c r="D88" s="98"/>
      <c r="E88" s="101"/>
      <c r="F88" s="102"/>
      <c r="G88" s="98">
        <v>101</v>
      </c>
      <c r="H88" s="101"/>
      <c r="I88" s="101">
        <v>3000</v>
      </c>
      <c r="J88" s="103">
        <f t="shared" si="16"/>
        <v>3000</v>
      </c>
      <c r="K88" s="101">
        <f t="shared" si="17"/>
        <v>-9369672</v>
      </c>
      <c r="L88" s="101">
        <f t="shared" si="18"/>
        <v>0</v>
      </c>
      <c r="M88" s="101">
        <f t="shared" si="19"/>
        <v>0</v>
      </c>
      <c r="N88" s="101">
        <f t="shared" si="20"/>
        <v>0</v>
      </c>
      <c r="O88" s="101">
        <f t="shared" si="21"/>
        <v>0</v>
      </c>
      <c r="P88" s="101">
        <f t="shared" si="22"/>
        <v>0</v>
      </c>
      <c r="Q88" s="101">
        <f t="shared" si="23"/>
        <v>0</v>
      </c>
      <c r="R88" s="101">
        <f t="shared" si="24"/>
        <v>0</v>
      </c>
      <c r="S88" s="101">
        <f t="shared" si="25"/>
        <v>3000</v>
      </c>
      <c r="T88" s="101">
        <f t="shared" si="26"/>
        <v>0</v>
      </c>
      <c r="U88" s="101">
        <f t="shared" si="27"/>
        <v>0</v>
      </c>
      <c r="V88" s="101">
        <f t="shared" si="28"/>
        <v>0</v>
      </c>
      <c r="W88" s="101">
        <f t="shared" si="29"/>
        <v>0</v>
      </c>
      <c r="X88" s="103">
        <f t="shared" si="30"/>
        <v>3000</v>
      </c>
      <c r="Z88" s="47"/>
    </row>
    <row r="89" spans="1:26">
      <c r="A89" s="147" t="s">
        <v>297</v>
      </c>
      <c r="B89" s="99">
        <v>40309</v>
      </c>
      <c r="C89" s="100">
        <v>8</v>
      </c>
      <c r="D89" s="98"/>
      <c r="E89" s="101"/>
      <c r="F89" s="102"/>
      <c r="G89" s="98">
        <v>102</v>
      </c>
      <c r="H89" s="101"/>
      <c r="I89" s="101">
        <v>18500</v>
      </c>
      <c r="J89" s="103">
        <f t="shared" si="16"/>
        <v>18500</v>
      </c>
      <c r="K89" s="101">
        <f t="shared" si="17"/>
        <v>-9351172</v>
      </c>
      <c r="L89" s="101">
        <f t="shared" si="18"/>
        <v>0</v>
      </c>
      <c r="M89" s="101">
        <f t="shared" si="19"/>
        <v>0</v>
      </c>
      <c r="N89" s="101">
        <f t="shared" si="20"/>
        <v>0</v>
      </c>
      <c r="O89" s="101">
        <f t="shared" si="21"/>
        <v>0</v>
      </c>
      <c r="P89" s="101">
        <f t="shared" si="22"/>
        <v>0</v>
      </c>
      <c r="Q89" s="101">
        <f t="shared" si="23"/>
        <v>0</v>
      </c>
      <c r="R89" s="101">
        <f t="shared" si="24"/>
        <v>0</v>
      </c>
      <c r="S89" s="101">
        <f t="shared" si="25"/>
        <v>18500</v>
      </c>
      <c r="T89" s="101">
        <f t="shared" si="26"/>
        <v>0</v>
      </c>
      <c r="U89" s="101">
        <f t="shared" si="27"/>
        <v>0</v>
      </c>
      <c r="V89" s="101">
        <f t="shared" si="28"/>
        <v>0</v>
      </c>
      <c r="W89" s="101">
        <f t="shared" si="29"/>
        <v>0</v>
      </c>
      <c r="X89" s="103">
        <f t="shared" si="30"/>
        <v>18500</v>
      </c>
      <c r="Z89" s="47"/>
    </row>
    <row r="90" spans="1:26">
      <c r="A90" s="147" t="s">
        <v>298</v>
      </c>
      <c r="B90" s="99">
        <v>40309</v>
      </c>
      <c r="C90" s="100">
        <v>2</v>
      </c>
      <c r="D90" s="98"/>
      <c r="E90" s="101"/>
      <c r="F90" s="102"/>
      <c r="G90" s="98">
        <v>103</v>
      </c>
      <c r="H90" s="101"/>
      <c r="I90" s="101">
        <v>41378</v>
      </c>
      <c r="J90" s="103">
        <f t="shared" si="16"/>
        <v>41378</v>
      </c>
      <c r="K90" s="101">
        <f t="shared" si="17"/>
        <v>-9309794</v>
      </c>
      <c r="L90" s="101">
        <f t="shared" si="18"/>
        <v>0</v>
      </c>
      <c r="M90" s="101">
        <f t="shared" si="19"/>
        <v>41378</v>
      </c>
      <c r="N90" s="101">
        <f t="shared" si="20"/>
        <v>0</v>
      </c>
      <c r="O90" s="101">
        <f t="shared" si="21"/>
        <v>0</v>
      </c>
      <c r="P90" s="101">
        <f t="shared" si="22"/>
        <v>0</v>
      </c>
      <c r="Q90" s="101">
        <f t="shared" si="23"/>
        <v>0</v>
      </c>
      <c r="R90" s="101">
        <f t="shared" si="24"/>
        <v>0</v>
      </c>
      <c r="S90" s="101">
        <f t="shared" si="25"/>
        <v>0</v>
      </c>
      <c r="T90" s="101">
        <f t="shared" si="26"/>
        <v>0</v>
      </c>
      <c r="U90" s="101">
        <f t="shared" si="27"/>
        <v>0</v>
      </c>
      <c r="V90" s="101">
        <f t="shared" si="28"/>
        <v>0</v>
      </c>
      <c r="W90" s="101">
        <f t="shared" si="29"/>
        <v>0</v>
      </c>
      <c r="X90" s="103">
        <f t="shared" si="30"/>
        <v>41378</v>
      </c>
      <c r="Z90" s="47"/>
    </row>
    <row r="91" spans="1:26">
      <c r="A91" s="147" t="s">
        <v>299</v>
      </c>
      <c r="B91" s="99">
        <v>40309</v>
      </c>
      <c r="C91" s="100">
        <v>8</v>
      </c>
      <c r="D91" s="98"/>
      <c r="E91" s="101"/>
      <c r="F91" s="102"/>
      <c r="G91" s="98">
        <v>104</v>
      </c>
      <c r="H91" s="101"/>
      <c r="I91" s="101">
        <v>20500</v>
      </c>
      <c r="J91" s="103">
        <f t="shared" si="16"/>
        <v>20500</v>
      </c>
      <c r="K91" s="101">
        <f t="shared" si="17"/>
        <v>-9289294</v>
      </c>
      <c r="L91" s="101">
        <f t="shared" si="18"/>
        <v>0</v>
      </c>
      <c r="M91" s="101">
        <f t="shared" si="19"/>
        <v>0</v>
      </c>
      <c r="N91" s="101">
        <f t="shared" si="20"/>
        <v>0</v>
      </c>
      <c r="O91" s="101">
        <f t="shared" si="21"/>
        <v>0</v>
      </c>
      <c r="P91" s="101">
        <f t="shared" si="22"/>
        <v>0</v>
      </c>
      <c r="Q91" s="101">
        <f t="shared" si="23"/>
        <v>0</v>
      </c>
      <c r="R91" s="101">
        <f t="shared" si="24"/>
        <v>0</v>
      </c>
      <c r="S91" s="101">
        <f t="shared" si="25"/>
        <v>20500</v>
      </c>
      <c r="T91" s="101">
        <f t="shared" si="26"/>
        <v>0</v>
      </c>
      <c r="U91" s="101">
        <f t="shared" si="27"/>
        <v>0</v>
      </c>
      <c r="V91" s="101">
        <f t="shared" si="28"/>
        <v>0</v>
      </c>
      <c r="W91" s="101">
        <f t="shared" si="29"/>
        <v>0</v>
      </c>
      <c r="X91" s="103">
        <f t="shared" si="30"/>
        <v>20500</v>
      </c>
      <c r="Z91" s="47"/>
    </row>
    <row r="92" spans="1:26">
      <c r="A92" s="147" t="s">
        <v>291</v>
      </c>
      <c r="B92" s="99">
        <v>40309</v>
      </c>
      <c r="C92" s="100">
        <v>8</v>
      </c>
      <c r="D92" s="98"/>
      <c r="E92" s="101"/>
      <c r="F92" s="102"/>
      <c r="G92" s="98">
        <v>105</v>
      </c>
      <c r="H92" s="101"/>
      <c r="I92" s="101">
        <v>0</v>
      </c>
      <c r="J92" s="103">
        <f t="shared" si="16"/>
        <v>0</v>
      </c>
      <c r="K92" s="101">
        <f t="shared" si="17"/>
        <v>-9289294</v>
      </c>
      <c r="L92" s="101">
        <f t="shared" si="18"/>
        <v>0</v>
      </c>
      <c r="M92" s="101">
        <f t="shared" si="19"/>
        <v>0</v>
      </c>
      <c r="N92" s="101">
        <f t="shared" si="20"/>
        <v>0</v>
      </c>
      <c r="O92" s="101">
        <f t="shared" si="21"/>
        <v>0</v>
      </c>
      <c r="P92" s="101">
        <f t="shared" si="22"/>
        <v>0</v>
      </c>
      <c r="Q92" s="101">
        <f t="shared" si="23"/>
        <v>0</v>
      </c>
      <c r="R92" s="101">
        <f t="shared" si="24"/>
        <v>0</v>
      </c>
      <c r="S92" s="101">
        <f t="shared" si="25"/>
        <v>0</v>
      </c>
      <c r="T92" s="101">
        <f t="shared" si="26"/>
        <v>0</v>
      </c>
      <c r="U92" s="101">
        <f t="shared" si="27"/>
        <v>0</v>
      </c>
      <c r="V92" s="101">
        <f t="shared" si="28"/>
        <v>0</v>
      </c>
      <c r="W92" s="101">
        <f t="shared" si="29"/>
        <v>0</v>
      </c>
      <c r="X92" s="103">
        <f t="shared" si="30"/>
        <v>0</v>
      </c>
      <c r="Z92" s="47"/>
    </row>
    <row r="93" spans="1:26">
      <c r="A93" s="98" t="s">
        <v>308</v>
      </c>
      <c r="B93" s="99">
        <v>40309</v>
      </c>
      <c r="C93" s="100">
        <v>1</v>
      </c>
      <c r="D93" s="98"/>
      <c r="E93" s="101">
        <v>-17340</v>
      </c>
      <c r="F93" s="102">
        <v>106</v>
      </c>
      <c r="G93" s="102">
        <v>106</v>
      </c>
      <c r="H93" s="101">
        <f>-46200+4000+2000+4000+8000</f>
        <v>-28200</v>
      </c>
      <c r="I93" s="103">
        <v>63540</v>
      </c>
      <c r="J93" s="103">
        <f t="shared" si="16"/>
        <v>18000</v>
      </c>
      <c r="K93" s="101">
        <f t="shared" si="17"/>
        <v>-9271294</v>
      </c>
      <c r="L93" s="101">
        <f t="shared" si="18"/>
        <v>18000</v>
      </c>
      <c r="M93" s="101">
        <f t="shared" si="19"/>
        <v>0</v>
      </c>
      <c r="N93" s="101">
        <f t="shared" si="20"/>
        <v>0</v>
      </c>
      <c r="O93" s="101">
        <f t="shared" si="21"/>
        <v>0</v>
      </c>
      <c r="P93" s="101">
        <f t="shared" si="22"/>
        <v>0</v>
      </c>
      <c r="Q93" s="101">
        <f t="shared" si="23"/>
        <v>0</v>
      </c>
      <c r="R93" s="101">
        <f t="shared" si="24"/>
        <v>0</v>
      </c>
      <c r="S93" s="101">
        <f t="shared" si="25"/>
        <v>0</v>
      </c>
      <c r="T93" s="101">
        <f t="shared" si="26"/>
        <v>0</v>
      </c>
      <c r="U93" s="101">
        <f t="shared" si="27"/>
        <v>0</v>
      </c>
      <c r="V93" s="101">
        <f t="shared" si="28"/>
        <v>0</v>
      </c>
      <c r="W93" s="101">
        <f t="shared" si="29"/>
        <v>0</v>
      </c>
      <c r="X93" s="103">
        <f t="shared" si="30"/>
        <v>18000</v>
      </c>
      <c r="Z93" s="47"/>
    </row>
    <row r="94" spans="1:26">
      <c r="A94" s="98" t="s">
        <v>308</v>
      </c>
      <c r="B94" s="99">
        <v>40309</v>
      </c>
      <c r="C94" s="100">
        <v>8</v>
      </c>
      <c r="D94" s="98"/>
      <c r="E94" s="101"/>
      <c r="F94" s="102">
        <v>106</v>
      </c>
      <c r="G94" s="102">
        <v>106</v>
      </c>
      <c r="H94" s="101">
        <f>10900+14000+6000+8200</f>
        <v>39100</v>
      </c>
      <c r="I94" s="103"/>
      <c r="J94" s="103">
        <f t="shared" si="16"/>
        <v>39100</v>
      </c>
      <c r="K94" s="101">
        <f t="shared" si="17"/>
        <v>-9232194</v>
      </c>
      <c r="L94" s="101">
        <f t="shared" si="18"/>
        <v>0</v>
      </c>
      <c r="M94" s="101">
        <f t="shared" si="19"/>
        <v>0</v>
      </c>
      <c r="N94" s="101">
        <f t="shared" si="20"/>
        <v>0</v>
      </c>
      <c r="O94" s="101">
        <f t="shared" si="21"/>
        <v>0</v>
      </c>
      <c r="P94" s="101">
        <f t="shared" si="22"/>
        <v>0</v>
      </c>
      <c r="Q94" s="101">
        <f t="shared" si="23"/>
        <v>0</v>
      </c>
      <c r="R94" s="101">
        <f t="shared" si="24"/>
        <v>0</v>
      </c>
      <c r="S94" s="101">
        <f t="shared" si="25"/>
        <v>39100</v>
      </c>
      <c r="T94" s="101">
        <f t="shared" si="26"/>
        <v>0</v>
      </c>
      <c r="U94" s="101">
        <f t="shared" si="27"/>
        <v>0</v>
      </c>
      <c r="V94" s="101">
        <f t="shared" si="28"/>
        <v>0</v>
      </c>
      <c r="W94" s="101">
        <f t="shared" si="29"/>
        <v>0</v>
      </c>
      <c r="X94" s="103">
        <f t="shared" si="30"/>
        <v>39100</v>
      </c>
    </row>
    <row r="95" spans="1:26">
      <c r="A95" s="147" t="s">
        <v>299</v>
      </c>
      <c r="B95" s="99">
        <v>40309</v>
      </c>
      <c r="C95" s="100">
        <v>8</v>
      </c>
      <c r="D95" s="98"/>
      <c r="E95" s="101"/>
      <c r="F95" s="102"/>
      <c r="G95" s="98">
        <v>107</v>
      </c>
      <c r="H95" s="101"/>
      <c r="I95" s="101">
        <v>10800</v>
      </c>
      <c r="J95" s="103">
        <f t="shared" si="16"/>
        <v>10800</v>
      </c>
      <c r="K95" s="101">
        <f t="shared" si="17"/>
        <v>-9221394</v>
      </c>
      <c r="L95" s="101">
        <f t="shared" si="18"/>
        <v>0</v>
      </c>
      <c r="M95" s="101">
        <f t="shared" si="19"/>
        <v>0</v>
      </c>
      <c r="N95" s="101">
        <f t="shared" si="20"/>
        <v>0</v>
      </c>
      <c r="O95" s="101">
        <f t="shared" si="21"/>
        <v>0</v>
      </c>
      <c r="P95" s="101">
        <f t="shared" si="22"/>
        <v>0</v>
      </c>
      <c r="Q95" s="101">
        <f t="shared" si="23"/>
        <v>0</v>
      </c>
      <c r="R95" s="101">
        <f t="shared" si="24"/>
        <v>0</v>
      </c>
      <c r="S95" s="101">
        <f t="shared" si="25"/>
        <v>10800</v>
      </c>
      <c r="T95" s="101">
        <f t="shared" si="26"/>
        <v>0</v>
      </c>
      <c r="U95" s="101">
        <f t="shared" si="27"/>
        <v>0</v>
      </c>
      <c r="V95" s="101">
        <f t="shared" si="28"/>
        <v>0</v>
      </c>
      <c r="W95" s="101">
        <f t="shared" si="29"/>
        <v>0</v>
      </c>
      <c r="X95" s="103">
        <f t="shared" si="30"/>
        <v>10800</v>
      </c>
      <c r="Z95" s="47"/>
    </row>
    <row r="96" spans="1:26">
      <c r="A96" s="98" t="s">
        <v>309</v>
      </c>
      <c r="B96" s="99">
        <v>40309</v>
      </c>
      <c r="C96" s="100">
        <v>8</v>
      </c>
      <c r="D96" s="98"/>
      <c r="E96" s="101"/>
      <c r="F96" s="102">
        <v>107</v>
      </c>
      <c r="G96" s="102">
        <v>107</v>
      </c>
      <c r="H96" s="101"/>
      <c r="I96" s="103"/>
      <c r="J96" s="103">
        <f t="shared" si="16"/>
        <v>0</v>
      </c>
      <c r="K96" s="101">
        <f t="shared" si="17"/>
        <v>-9221394</v>
      </c>
      <c r="L96" s="101">
        <f t="shared" si="18"/>
        <v>0</v>
      </c>
      <c r="M96" s="101">
        <f t="shared" si="19"/>
        <v>0</v>
      </c>
      <c r="N96" s="101">
        <f t="shared" si="20"/>
        <v>0</v>
      </c>
      <c r="O96" s="101">
        <f t="shared" si="21"/>
        <v>0</v>
      </c>
      <c r="P96" s="101">
        <f t="shared" si="22"/>
        <v>0</v>
      </c>
      <c r="Q96" s="101">
        <f t="shared" si="23"/>
        <v>0</v>
      </c>
      <c r="R96" s="101">
        <f t="shared" si="24"/>
        <v>0</v>
      </c>
      <c r="S96" s="101">
        <f t="shared" si="25"/>
        <v>0</v>
      </c>
      <c r="T96" s="101">
        <f t="shared" si="26"/>
        <v>0</v>
      </c>
      <c r="U96" s="101">
        <f t="shared" si="27"/>
        <v>0</v>
      </c>
      <c r="V96" s="101">
        <f t="shared" si="28"/>
        <v>0</v>
      </c>
      <c r="W96" s="101">
        <f t="shared" si="29"/>
        <v>0</v>
      </c>
      <c r="X96" s="103">
        <f t="shared" si="30"/>
        <v>0</v>
      </c>
      <c r="Z96" s="47"/>
    </row>
    <row r="97" spans="1:26">
      <c r="A97" s="147" t="s">
        <v>289</v>
      </c>
      <c r="B97" s="99">
        <v>40309</v>
      </c>
      <c r="C97" s="100">
        <v>8</v>
      </c>
      <c r="D97" s="98"/>
      <c r="E97" s="101"/>
      <c r="F97" s="102"/>
      <c r="G97" s="98">
        <v>108</v>
      </c>
      <c r="H97" s="101"/>
      <c r="I97" s="101">
        <v>28073</v>
      </c>
      <c r="J97" s="103">
        <f t="shared" si="16"/>
        <v>28073</v>
      </c>
      <c r="K97" s="101">
        <f t="shared" si="17"/>
        <v>-9193321</v>
      </c>
      <c r="L97" s="101">
        <f t="shared" si="18"/>
        <v>0</v>
      </c>
      <c r="M97" s="101">
        <f t="shared" si="19"/>
        <v>0</v>
      </c>
      <c r="N97" s="101">
        <f t="shared" si="20"/>
        <v>0</v>
      </c>
      <c r="O97" s="101">
        <f t="shared" si="21"/>
        <v>0</v>
      </c>
      <c r="P97" s="101">
        <f t="shared" si="22"/>
        <v>0</v>
      </c>
      <c r="Q97" s="101">
        <f t="shared" si="23"/>
        <v>0</v>
      </c>
      <c r="R97" s="101">
        <f t="shared" si="24"/>
        <v>0</v>
      </c>
      <c r="S97" s="101">
        <f t="shared" si="25"/>
        <v>28073</v>
      </c>
      <c r="T97" s="101">
        <f t="shared" si="26"/>
        <v>0</v>
      </c>
      <c r="U97" s="101">
        <f t="shared" si="27"/>
        <v>0</v>
      </c>
      <c r="V97" s="101">
        <f t="shared" si="28"/>
        <v>0</v>
      </c>
      <c r="W97" s="101">
        <f t="shared" si="29"/>
        <v>0</v>
      </c>
      <c r="X97" s="103">
        <f t="shared" si="30"/>
        <v>28073</v>
      </c>
      <c r="Z97" s="47"/>
    </row>
    <row r="98" spans="1:26">
      <c r="A98" s="98" t="s">
        <v>332</v>
      </c>
      <c r="B98" s="99">
        <v>40310</v>
      </c>
      <c r="C98" s="100">
        <v>8</v>
      </c>
      <c r="D98" s="98">
        <v>132</v>
      </c>
      <c r="E98" s="101">
        <v>200</v>
      </c>
      <c r="F98" s="102"/>
      <c r="G98" s="102"/>
      <c r="H98" s="101"/>
      <c r="I98" s="103"/>
      <c r="J98" s="103">
        <f t="shared" si="16"/>
        <v>200</v>
      </c>
      <c r="K98" s="101">
        <f t="shared" si="17"/>
        <v>-9193121</v>
      </c>
      <c r="L98" s="101">
        <f t="shared" si="18"/>
        <v>0</v>
      </c>
      <c r="M98" s="101">
        <f t="shared" si="19"/>
        <v>0</v>
      </c>
      <c r="N98" s="101">
        <f t="shared" si="20"/>
        <v>0</v>
      </c>
      <c r="O98" s="101">
        <f t="shared" si="21"/>
        <v>0</v>
      </c>
      <c r="P98" s="101">
        <f t="shared" si="22"/>
        <v>0</v>
      </c>
      <c r="Q98" s="101">
        <f t="shared" si="23"/>
        <v>0</v>
      </c>
      <c r="R98" s="101">
        <f t="shared" si="24"/>
        <v>0</v>
      </c>
      <c r="S98" s="101">
        <f t="shared" si="25"/>
        <v>200</v>
      </c>
      <c r="T98" s="101">
        <f t="shared" si="26"/>
        <v>0</v>
      </c>
      <c r="U98" s="101">
        <f t="shared" si="27"/>
        <v>0</v>
      </c>
      <c r="V98" s="101">
        <f t="shared" si="28"/>
        <v>0</v>
      </c>
      <c r="W98" s="101">
        <f t="shared" si="29"/>
        <v>0</v>
      </c>
      <c r="X98" s="103">
        <f t="shared" si="30"/>
        <v>200</v>
      </c>
    </row>
    <row r="99" spans="1:26">
      <c r="A99" s="98" t="s">
        <v>333</v>
      </c>
      <c r="B99" s="99">
        <v>40310</v>
      </c>
      <c r="C99" s="100">
        <v>8</v>
      </c>
      <c r="D99" s="98">
        <v>133</v>
      </c>
      <c r="E99" s="101">
        <v>3320</v>
      </c>
      <c r="F99" s="102"/>
      <c r="G99" s="102"/>
      <c r="H99" s="101"/>
      <c r="I99" s="103"/>
      <c r="J99" s="103">
        <f t="shared" si="16"/>
        <v>3320</v>
      </c>
      <c r="K99" s="101">
        <f t="shared" si="17"/>
        <v>-9189801</v>
      </c>
      <c r="L99" s="101">
        <f t="shared" si="18"/>
        <v>0</v>
      </c>
      <c r="M99" s="101">
        <f t="shared" si="19"/>
        <v>0</v>
      </c>
      <c r="N99" s="101">
        <f t="shared" si="20"/>
        <v>0</v>
      </c>
      <c r="O99" s="101">
        <f t="shared" si="21"/>
        <v>0</v>
      </c>
      <c r="P99" s="101">
        <f t="shared" si="22"/>
        <v>0</v>
      </c>
      <c r="Q99" s="101">
        <f t="shared" si="23"/>
        <v>0</v>
      </c>
      <c r="R99" s="101">
        <f t="shared" si="24"/>
        <v>0</v>
      </c>
      <c r="S99" s="101">
        <f t="shared" si="25"/>
        <v>3320</v>
      </c>
      <c r="T99" s="101">
        <f t="shared" si="26"/>
        <v>0</v>
      </c>
      <c r="U99" s="101">
        <f t="shared" si="27"/>
        <v>0</v>
      </c>
      <c r="V99" s="101">
        <f t="shared" si="28"/>
        <v>0</v>
      </c>
      <c r="W99" s="101">
        <f t="shared" si="29"/>
        <v>0</v>
      </c>
      <c r="X99" s="103">
        <f t="shared" si="30"/>
        <v>3320</v>
      </c>
    </row>
    <row r="100" spans="1:26">
      <c r="A100" s="98" t="s">
        <v>333</v>
      </c>
      <c r="B100" s="99">
        <v>40310</v>
      </c>
      <c r="C100" s="100">
        <v>8</v>
      </c>
      <c r="D100" s="98">
        <v>134</v>
      </c>
      <c r="E100" s="101">
        <v>200</v>
      </c>
      <c r="F100" s="102"/>
      <c r="G100" s="102"/>
      <c r="H100" s="101"/>
      <c r="I100" s="103"/>
      <c r="J100" s="103">
        <f t="shared" si="16"/>
        <v>200</v>
      </c>
      <c r="K100" s="101">
        <f t="shared" si="17"/>
        <v>-9189601</v>
      </c>
      <c r="L100" s="101">
        <f t="shared" si="18"/>
        <v>0</v>
      </c>
      <c r="M100" s="101">
        <f t="shared" si="19"/>
        <v>0</v>
      </c>
      <c r="N100" s="101">
        <f t="shared" si="20"/>
        <v>0</v>
      </c>
      <c r="O100" s="101">
        <f t="shared" si="21"/>
        <v>0</v>
      </c>
      <c r="P100" s="101">
        <f t="shared" si="22"/>
        <v>0</v>
      </c>
      <c r="Q100" s="101">
        <f t="shared" si="23"/>
        <v>0</v>
      </c>
      <c r="R100" s="101">
        <f t="shared" si="24"/>
        <v>0</v>
      </c>
      <c r="S100" s="101">
        <f t="shared" si="25"/>
        <v>200</v>
      </c>
      <c r="T100" s="101">
        <f t="shared" si="26"/>
        <v>0</v>
      </c>
      <c r="U100" s="101">
        <f t="shared" si="27"/>
        <v>0</v>
      </c>
      <c r="V100" s="101">
        <f t="shared" si="28"/>
        <v>0</v>
      </c>
      <c r="W100" s="101">
        <f t="shared" si="29"/>
        <v>0</v>
      </c>
      <c r="X100" s="103">
        <f t="shared" si="30"/>
        <v>200</v>
      </c>
    </row>
    <row r="101" spans="1:26">
      <c r="A101" s="98" t="s">
        <v>334</v>
      </c>
      <c r="B101" s="99">
        <v>40310</v>
      </c>
      <c r="C101" s="100">
        <v>8</v>
      </c>
      <c r="D101" s="98"/>
      <c r="E101" s="101"/>
      <c r="F101" s="102"/>
      <c r="G101" s="102"/>
      <c r="H101" s="101"/>
      <c r="I101" s="103"/>
      <c r="J101" s="103">
        <f t="shared" si="16"/>
        <v>0</v>
      </c>
      <c r="K101" s="101">
        <f t="shared" si="17"/>
        <v>-9189601</v>
      </c>
      <c r="L101" s="101">
        <f t="shared" si="18"/>
        <v>0</v>
      </c>
      <c r="M101" s="101">
        <f t="shared" si="19"/>
        <v>0</v>
      </c>
      <c r="N101" s="101">
        <f t="shared" si="20"/>
        <v>0</v>
      </c>
      <c r="O101" s="101">
        <f t="shared" si="21"/>
        <v>0</v>
      </c>
      <c r="P101" s="101">
        <f t="shared" si="22"/>
        <v>0</v>
      </c>
      <c r="Q101" s="101">
        <f t="shared" si="23"/>
        <v>0</v>
      </c>
      <c r="R101" s="101">
        <f t="shared" si="24"/>
        <v>0</v>
      </c>
      <c r="S101" s="101">
        <f t="shared" si="25"/>
        <v>0</v>
      </c>
      <c r="T101" s="101">
        <f t="shared" si="26"/>
        <v>0</v>
      </c>
      <c r="U101" s="101">
        <f t="shared" si="27"/>
        <v>0</v>
      </c>
      <c r="V101" s="101">
        <f t="shared" si="28"/>
        <v>0</v>
      </c>
      <c r="W101" s="101">
        <f t="shared" si="29"/>
        <v>0</v>
      </c>
      <c r="X101" s="103">
        <f t="shared" si="30"/>
        <v>0</v>
      </c>
    </row>
    <row r="102" spans="1:26">
      <c r="A102" s="98" t="s">
        <v>335</v>
      </c>
      <c r="B102" s="99">
        <v>40311</v>
      </c>
      <c r="C102" s="100">
        <v>8</v>
      </c>
      <c r="D102" s="98">
        <v>137</v>
      </c>
      <c r="E102" s="101">
        <v>2500</v>
      </c>
      <c r="F102" s="102"/>
      <c r="G102" s="102"/>
      <c r="H102" s="101"/>
      <c r="I102" s="103"/>
      <c r="J102" s="103">
        <f t="shared" si="16"/>
        <v>2500</v>
      </c>
      <c r="K102" s="101">
        <f t="shared" ref="K102:K133" si="31">K101+J102</f>
        <v>-9187101</v>
      </c>
      <c r="L102" s="101">
        <f t="shared" si="18"/>
        <v>0</v>
      </c>
      <c r="M102" s="101">
        <f t="shared" si="19"/>
        <v>0</v>
      </c>
      <c r="N102" s="101">
        <f t="shared" si="20"/>
        <v>0</v>
      </c>
      <c r="O102" s="101">
        <f t="shared" si="21"/>
        <v>0</v>
      </c>
      <c r="P102" s="101">
        <f t="shared" si="22"/>
        <v>0</v>
      </c>
      <c r="Q102" s="101">
        <f t="shared" si="23"/>
        <v>0</v>
      </c>
      <c r="R102" s="101">
        <f t="shared" si="24"/>
        <v>0</v>
      </c>
      <c r="S102" s="101">
        <f t="shared" si="25"/>
        <v>2500</v>
      </c>
      <c r="T102" s="101">
        <f t="shared" si="26"/>
        <v>0</v>
      </c>
      <c r="U102" s="101">
        <f t="shared" si="27"/>
        <v>0</v>
      </c>
      <c r="V102" s="101">
        <f t="shared" si="28"/>
        <v>0</v>
      </c>
      <c r="W102" s="101">
        <f t="shared" si="29"/>
        <v>0</v>
      </c>
      <c r="X102" s="103">
        <f t="shared" si="30"/>
        <v>2500</v>
      </c>
    </row>
    <row r="103" spans="1:26">
      <c r="A103" s="147" t="s">
        <v>289</v>
      </c>
      <c r="B103" s="99">
        <v>40311</v>
      </c>
      <c r="C103" s="100"/>
      <c r="D103" s="98"/>
      <c r="E103" s="101"/>
      <c r="F103" s="102"/>
      <c r="G103" s="98"/>
      <c r="H103" s="101"/>
      <c r="I103" s="101"/>
      <c r="J103" s="103">
        <f t="shared" si="16"/>
        <v>0</v>
      </c>
      <c r="K103" s="101">
        <f t="shared" si="31"/>
        <v>-9187101</v>
      </c>
      <c r="L103" s="101">
        <f t="shared" si="18"/>
        <v>0</v>
      </c>
      <c r="M103" s="101">
        <f t="shared" si="19"/>
        <v>0</v>
      </c>
      <c r="N103" s="101">
        <f t="shared" si="20"/>
        <v>0</v>
      </c>
      <c r="O103" s="101">
        <f t="shared" si="21"/>
        <v>0</v>
      </c>
      <c r="P103" s="101">
        <f t="shared" si="22"/>
        <v>0</v>
      </c>
      <c r="Q103" s="101">
        <f t="shared" si="23"/>
        <v>0</v>
      </c>
      <c r="R103" s="101">
        <f t="shared" si="24"/>
        <v>0</v>
      </c>
      <c r="S103" s="101">
        <f t="shared" si="25"/>
        <v>0</v>
      </c>
      <c r="T103" s="101">
        <f t="shared" si="26"/>
        <v>0</v>
      </c>
      <c r="U103" s="101">
        <f t="shared" si="27"/>
        <v>0</v>
      </c>
      <c r="V103" s="101">
        <f t="shared" si="28"/>
        <v>0</v>
      </c>
      <c r="W103" s="101">
        <f t="shared" si="29"/>
        <v>0</v>
      </c>
      <c r="X103" s="103">
        <f t="shared" si="30"/>
        <v>0</v>
      </c>
      <c r="Z103" s="47"/>
    </row>
    <row r="104" spans="1:26">
      <c r="A104" s="98" t="s">
        <v>336</v>
      </c>
      <c r="B104" s="99">
        <v>40312</v>
      </c>
      <c r="C104" s="100">
        <v>8</v>
      </c>
      <c r="D104" s="98">
        <v>138</v>
      </c>
      <c r="E104" s="101">
        <v>1000</v>
      </c>
      <c r="F104" s="102"/>
      <c r="G104" s="102"/>
      <c r="H104" s="101"/>
      <c r="I104" s="103"/>
      <c r="J104" s="103">
        <f t="shared" si="16"/>
        <v>1000</v>
      </c>
      <c r="K104" s="101">
        <f t="shared" si="31"/>
        <v>-9186101</v>
      </c>
      <c r="L104" s="101">
        <f t="shared" si="18"/>
        <v>0</v>
      </c>
      <c r="M104" s="101">
        <f t="shared" si="19"/>
        <v>0</v>
      </c>
      <c r="N104" s="101">
        <f t="shared" si="20"/>
        <v>0</v>
      </c>
      <c r="O104" s="101">
        <f t="shared" si="21"/>
        <v>0</v>
      </c>
      <c r="P104" s="101">
        <f t="shared" si="22"/>
        <v>0</v>
      </c>
      <c r="Q104" s="101">
        <f t="shared" si="23"/>
        <v>0</v>
      </c>
      <c r="R104" s="101">
        <f t="shared" si="24"/>
        <v>0</v>
      </c>
      <c r="S104" s="101">
        <f t="shared" si="25"/>
        <v>1000</v>
      </c>
      <c r="T104" s="101">
        <f t="shared" si="26"/>
        <v>0</v>
      </c>
      <c r="U104" s="101">
        <f t="shared" si="27"/>
        <v>0</v>
      </c>
      <c r="V104" s="101">
        <f t="shared" si="28"/>
        <v>0</v>
      </c>
      <c r="W104" s="101">
        <f t="shared" si="29"/>
        <v>0</v>
      </c>
      <c r="X104" s="103">
        <f t="shared" si="30"/>
        <v>1000</v>
      </c>
    </row>
    <row r="105" spans="1:26">
      <c r="A105" s="147" t="s">
        <v>61</v>
      </c>
      <c r="B105" s="99">
        <v>40315</v>
      </c>
      <c r="C105" s="100">
        <v>8.1</v>
      </c>
      <c r="D105" s="98"/>
      <c r="E105" s="101"/>
      <c r="F105" s="102"/>
      <c r="G105" s="98"/>
      <c r="H105" s="101"/>
      <c r="I105" s="101"/>
      <c r="J105" s="103">
        <f t="shared" si="16"/>
        <v>0</v>
      </c>
      <c r="K105" s="101">
        <f t="shared" si="31"/>
        <v>-9186101</v>
      </c>
      <c r="L105" s="101">
        <f t="shared" si="18"/>
        <v>0</v>
      </c>
      <c r="M105" s="101">
        <f t="shared" si="19"/>
        <v>0</v>
      </c>
      <c r="N105" s="101">
        <f t="shared" si="20"/>
        <v>0</v>
      </c>
      <c r="O105" s="101">
        <f t="shared" si="21"/>
        <v>0</v>
      </c>
      <c r="P105" s="101">
        <f t="shared" si="22"/>
        <v>0</v>
      </c>
      <c r="Q105" s="101">
        <f t="shared" si="23"/>
        <v>0</v>
      </c>
      <c r="R105" s="101">
        <f t="shared" si="24"/>
        <v>0</v>
      </c>
      <c r="S105" s="101">
        <f t="shared" si="25"/>
        <v>0</v>
      </c>
      <c r="T105" s="101">
        <f t="shared" si="26"/>
        <v>0</v>
      </c>
      <c r="U105" s="101">
        <f t="shared" si="27"/>
        <v>0</v>
      </c>
      <c r="V105" s="101">
        <f t="shared" si="28"/>
        <v>0</v>
      </c>
      <c r="W105" s="101">
        <f t="shared" si="29"/>
        <v>0</v>
      </c>
      <c r="X105" s="103">
        <f t="shared" si="30"/>
        <v>0</v>
      </c>
      <c r="Z105" s="47"/>
    </row>
    <row r="106" spans="1:26">
      <c r="A106" s="98" t="s">
        <v>337</v>
      </c>
      <c r="B106" s="99">
        <v>40316</v>
      </c>
      <c r="C106" s="100">
        <v>8</v>
      </c>
      <c r="D106" s="98">
        <v>139</v>
      </c>
      <c r="E106" s="101">
        <v>3000</v>
      </c>
      <c r="F106" s="102"/>
      <c r="G106" s="102"/>
      <c r="H106" s="101"/>
      <c r="I106" s="103"/>
      <c r="J106" s="103">
        <f t="shared" si="16"/>
        <v>3000</v>
      </c>
      <c r="K106" s="101">
        <f t="shared" si="31"/>
        <v>-9183101</v>
      </c>
      <c r="L106" s="101">
        <f t="shared" si="18"/>
        <v>0</v>
      </c>
      <c r="M106" s="101">
        <f t="shared" si="19"/>
        <v>0</v>
      </c>
      <c r="N106" s="101">
        <f t="shared" si="20"/>
        <v>0</v>
      </c>
      <c r="O106" s="101">
        <f t="shared" si="21"/>
        <v>0</v>
      </c>
      <c r="P106" s="101">
        <f t="shared" si="22"/>
        <v>0</v>
      </c>
      <c r="Q106" s="101">
        <f t="shared" si="23"/>
        <v>0</v>
      </c>
      <c r="R106" s="101">
        <f t="shared" si="24"/>
        <v>0</v>
      </c>
      <c r="S106" s="101">
        <f t="shared" si="25"/>
        <v>3000</v>
      </c>
      <c r="T106" s="101">
        <f t="shared" si="26"/>
        <v>0</v>
      </c>
      <c r="U106" s="101">
        <f t="shared" si="27"/>
        <v>0</v>
      </c>
      <c r="V106" s="101">
        <f t="shared" si="28"/>
        <v>0</v>
      </c>
      <c r="W106" s="101">
        <f t="shared" si="29"/>
        <v>0</v>
      </c>
      <c r="X106" s="103">
        <f t="shared" si="30"/>
        <v>3000</v>
      </c>
    </row>
    <row r="107" spans="1:26">
      <c r="A107" s="98" t="s">
        <v>338</v>
      </c>
      <c r="B107" s="99">
        <v>40325</v>
      </c>
      <c r="C107" s="100">
        <v>8</v>
      </c>
      <c r="D107" s="98">
        <v>140</v>
      </c>
      <c r="E107" s="101">
        <v>400</v>
      </c>
      <c r="F107" s="102"/>
      <c r="G107" s="102"/>
      <c r="H107" s="101"/>
      <c r="I107" s="103"/>
      <c r="J107" s="103">
        <f t="shared" si="16"/>
        <v>400</v>
      </c>
      <c r="K107" s="101">
        <f t="shared" si="31"/>
        <v>-9182701</v>
      </c>
      <c r="L107" s="101">
        <f t="shared" si="18"/>
        <v>0</v>
      </c>
      <c r="M107" s="101">
        <f t="shared" si="19"/>
        <v>0</v>
      </c>
      <c r="N107" s="101">
        <f t="shared" si="20"/>
        <v>0</v>
      </c>
      <c r="O107" s="101">
        <f t="shared" si="21"/>
        <v>0</v>
      </c>
      <c r="P107" s="101">
        <f t="shared" si="22"/>
        <v>0</v>
      </c>
      <c r="Q107" s="101">
        <f t="shared" si="23"/>
        <v>0</v>
      </c>
      <c r="R107" s="101">
        <f t="shared" si="24"/>
        <v>0</v>
      </c>
      <c r="S107" s="101">
        <f t="shared" si="25"/>
        <v>400</v>
      </c>
      <c r="T107" s="101">
        <f t="shared" si="26"/>
        <v>0</v>
      </c>
      <c r="U107" s="101">
        <f t="shared" si="27"/>
        <v>0</v>
      </c>
      <c r="V107" s="101">
        <f t="shared" si="28"/>
        <v>0</v>
      </c>
      <c r="W107" s="101">
        <f t="shared" si="29"/>
        <v>0</v>
      </c>
      <c r="X107" s="103">
        <f t="shared" si="30"/>
        <v>400</v>
      </c>
    </row>
    <row r="108" spans="1:26">
      <c r="A108" s="98" t="s">
        <v>333</v>
      </c>
      <c r="B108" s="99">
        <v>40325</v>
      </c>
      <c r="C108" s="100">
        <v>8</v>
      </c>
      <c r="D108" s="98">
        <v>141</v>
      </c>
      <c r="E108" s="101">
        <v>550</v>
      </c>
      <c r="F108" s="102"/>
      <c r="G108" s="102"/>
      <c r="H108" s="101"/>
      <c r="I108" s="103"/>
      <c r="J108" s="103">
        <f t="shared" si="16"/>
        <v>550</v>
      </c>
      <c r="K108" s="101">
        <f t="shared" si="31"/>
        <v>-9182151</v>
      </c>
      <c r="L108" s="101">
        <f t="shared" si="18"/>
        <v>0</v>
      </c>
      <c r="M108" s="101">
        <f t="shared" si="19"/>
        <v>0</v>
      </c>
      <c r="N108" s="101">
        <f t="shared" si="20"/>
        <v>0</v>
      </c>
      <c r="O108" s="101">
        <f t="shared" si="21"/>
        <v>0</v>
      </c>
      <c r="P108" s="101">
        <f t="shared" si="22"/>
        <v>0</v>
      </c>
      <c r="Q108" s="101">
        <f t="shared" si="23"/>
        <v>0</v>
      </c>
      <c r="R108" s="101">
        <f t="shared" si="24"/>
        <v>0</v>
      </c>
      <c r="S108" s="101">
        <f t="shared" si="25"/>
        <v>550</v>
      </c>
      <c r="T108" s="101">
        <f t="shared" si="26"/>
        <v>0</v>
      </c>
      <c r="U108" s="101">
        <f t="shared" si="27"/>
        <v>0</v>
      </c>
      <c r="V108" s="101">
        <f t="shared" si="28"/>
        <v>0</v>
      </c>
      <c r="W108" s="101">
        <f t="shared" si="29"/>
        <v>0</v>
      </c>
      <c r="X108" s="103">
        <f t="shared" si="30"/>
        <v>550</v>
      </c>
    </row>
    <row r="109" spans="1:26">
      <c r="A109" s="98" t="s">
        <v>339</v>
      </c>
      <c r="B109" s="99">
        <v>40325</v>
      </c>
      <c r="C109" s="100">
        <v>8</v>
      </c>
      <c r="D109" s="98">
        <v>142</v>
      </c>
      <c r="E109" s="101">
        <v>200</v>
      </c>
      <c r="F109" s="102"/>
      <c r="G109" s="102"/>
      <c r="H109" s="101"/>
      <c r="I109" s="103"/>
      <c r="J109" s="103">
        <f t="shared" si="16"/>
        <v>200</v>
      </c>
      <c r="K109" s="101">
        <f t="shared" si="31"/>
        <v>-9181951</v>
      </c>
      <c r="L109" s="101">
        <f t="shared" si="18"/>
        <v>0</v>
      </c>
      <c r="M109" s="101">
        <f t="shared" si="19"/>
        <v>0</v>
      </c>
      <c r="N109" s="101">
        <f t="shared" si="20"/>
        <v>0</v>
      </c>
      <c r="O109" s="101">
        <f t="shared" si="21"/>
        <v>0</v>
      </c>
      <c r="P109" s="101">
        <f t="shared" si="22"/>
        <v>0</v>
      </c>
      <c r="Q109" s="101">
        <f t="shared" si="23"/>
        <v>0</v>
      </c>
      <c r="R109" s="101">
        <f t="shared" si="24"/>
        <v>0</v>
      </c>
      <c r="S109" s="101">
        <f t="shared" si="25"/>
        <v>200</v>
      </c>
      <c r="T109" s="101">
        <f t="shared" si="26"/>
        <v>0</v>
      </c>
      <c r="U109" s="101">
        <f t="shared" si="27"/>
        <v>0</v>
      </c>
      <c r="V109" s="101">
        <f t="shared" si="28"/>
        <v>0</v>
      </c>
      <c r="W109" s="101">
        <f t="shared" si="29"/>
        <v>0</v>
      </c>
      <c r="X109" s="103">
        <f t="shared" si="30"/>
        <v>200</v>
      </c>
    </row>
    <row r="110" spans="1:26">
      <c r="A110" s="98" t="s">
        <v>333</v>
      </c>
      <c r="B110" s="99">
        <v>40328</v>
      </c>
      <c r="C110" s="100">
        <v>8</v>
      </c>
      <c r="D110" s="98">
        <v>143</v>
      </c>
      <c r="E110" s="101">
        <v>200</v>
      </c>
      <c r="F110" s="102"/>
      <c r="G110" s="98"/>
      <c r="H110" s="101"/>
      <c r="I110" s="101"/>
      <c r="J110" s="103">
        <f t="shared" si="16"/>
        <v>200</v>
      </c>
      <c r="K110" s="101">
        <f t="shared" si="31"/>
        <v>-9181751</v>
      </c>
      <c r="L110" s="101">
        <f t="shared" si="18"/>
        <v>0</v>
      </c>
      <c r="M110" s="101">
        <f t="shared" si="19"/>
        <v>0</v>
      </c>
      <c r="N110" s="101">
        <f t="shared" si="20"/>
        <v>0</v>
      </c>
      <c r="O110" s="101">
        <f t="shared" si="21"/>
        <v>0</v>
      </c>
      <c r="P110" s="101">
        <f t="shared" si="22"/>
        <v>0</v>
      </c>
      <c r="Q110" s="101">
        <f t="shared" si="23"/>
        <v>0</v>
      </c>
      <c r="R110" s="101">
        <f t="shared" si="24"/>
        <v>0</v>
      </c>
      <c r="S110" s="101">
        <f t="shared" si="25"/>
        <v>200</v>
      </c>
      <c r="T110" s="101">
        <f t="shared" si="26"/>
        <v>0</v>
      </c>
      <c r="U110" s="101">
        <f t="shared" si="27"/>
        <v>0</v>
      </c>
      <c r="V110" s="101">
        <f t="shared" si="28"/>
        <v>0</v>
      </c>
      <c r="W110" s="101">
        <f t="shared" si="29"/>
        <v>0</v>
      </c>
      <c r="X110" s="103">
        <f t="shared" si="30"/>
        <v>200</v>
      </c>
    </row>
    <row r="111" spans="1:26">
      <c r="A111" s="147" t="s">
        <v>61</v>
      </c>
      <c r="B111" s="99">
        <v>40329</v>
      </c>
      <c r="C111" s="100">
        <v>8.1</v>
      </c>
      <c r="D111" s="98"/>
      <c r="E111" s="101"/>
      <c r="F111" s="102"/>
      <c r="G111" s="98"/>
      <c r="H111" s="101"/>
      <c r="I111" s="101">
        <f>50*6+25*5</f>
        <v>425</v>
      </c>
      <c r="J111" s="103">
        <f t="shared" si="16"/>
        <v>425</v>
      </c>
      <c r="K111" s="101">
        <f t="shared" si="31"/>
        <v>-9181326</v>
      </c>
      <c r="L111" s="101">
        <f t="shared" si="18"/>
        <v>0</v>
      </c>
      <c r="M111" s="101">
        <f t="shared" si="19"/>
        <v>0</v>
      </c>
      <c r="N111" s="101">
        <f t="shared" si="20"/>
        <v>0</v>
      </c>
      <c r="O111" s="101">
        <f t="shared" si="21"/>
        <v>0</v>
      </c>
      <c r="P111" s="101">
        <f t="shared" si="22"/>
        <v>0</v>
      </c>
      <c r="Q111" s="101">
        <f t="shared" si="23"/>
        <v>0</v>
      </c>
      <c r="R111" s="101">
        <f t="shared" si="24"/>
        <v>0</v>
      </c>
      <c r="S111" s="101">
        <f t="shared" si="25"/>
        <v>0</v>
      </c>
      <c r="T111" s="101">
        <f t="shared" si="26"/>
        <v>425</v>
      </c>
      <c r="U111" s="101">
        <f t="shared" si="27"/>
        <v>0</v>
      </c>
      <c r="V111" s="101">
        <f t="shared" si="28"/>
        <v>0</v>
      </c>
      <c r="W111" s="101">
        <f t="shared" si="29"/>
        <v>0</v>
      </c>
      <c r="X111" s="103">
        <f t="shared" si="30"/>
        <v>425</v>
      </c>
      <c r="Z111" s="47"/>
    </row>
    <row r="112" spans="1:26">
      <c r="A112" s="98" t="s">
        <v>310</v>
      </c>
      <c r="B112" s="99">
        <v>40334</v>
      </c>
      <c r="C112" s="100">
        <v>8</v>
      </c>
      <c r="D112" s="98"/>
      <c r="E112" s="101"/>
      <c r="F112" s="102">
        <v>109</v>
      </c>
      <c r="G112" s="102">
        <v>109</v>
      </c>
      <c r="H112" s="101"/>
      <c r="I112" s="103">
        <v>26153</v>
      </c>
      <c r="J112" s="103">
        <f t="shared" si="16"/>
        <v>26153</v>
      </c>
      <c r="K112" s="101">
        <f t="shared" si="31"/>
        <v>-9155173</v>
      </c>
      <c r="L112" s="101">
        <f t="shared" si="18"/>
        <v>0</v>
      </c>
      <c r="M112" s="101">
        <f t="shared" si="19"/>
        <v>0</v>
      </c>
      <c r="N112" s="101">
        <f t="shared" si="20"/>
        <v>0</v>
      </c>
      <c r="O112" s="101">
        <f t="shared" si="21"/>
        <v>0</v>
      </c>
      <c r="P112" s="101">
        <f t="shared" si="22"/>
        <v>0</v>
      </c>
      <c r="Q112" s="101">
        <f t="shared" si="23"/>
        <v>0</v>
      </c>
      <c r="R112" s="101">
        <f t="shared" si="24"/>
        <v>0</v>
      </c>
      <c r="S112" s="101">
        <f t="shared" si="25"/>
        <v>26153</v>
      </c>
      <c r="T112" s="101">
        <f t="shared" si="26"/>
        <v>0</v>
      </c>
      <c r="U112" s="101">
        <f t="shared" si="27"/>
        <v>0</v>
      </c>
      <c r="V112" s="101">
        <f t="shared" si="28"/>
        <v>0</v>
      </c>
      <c r="W112" s="101">
        <f t="shared" si="29"/>
        <v>0</v>
      </c>
      <c r="X112" s="103">
        <f t="shared" si="30"/>
        <v>26153</v>
      </c>
      <c r="Z112" s="47"/>
    </row>
    <row r="113" spans="1:26">
      <c r="A113" s="98" t="s">
        <v>311</v>
      </c>
      <c r="B113" s="99">
        <v>40334</v>
      </c>
      <c r="C113" s="100">
        <v>8</v>
      </c>
      <c r="D113" s="98"/>
      <c r="E113" s="101"/>
      <c r="F113" s="102">
        <v>110</v>
      </c>
      <c r="G113" s="102">
        <v>110</v>
      </c>
      <c r="H113" s="101"/>
      <c r="I113" s="103">
        <v>3000</v>
      </c>
      <c r="J113" s="103">
        <f t="shared" si="16"/>
        <v>3000</v>
      </c>
      <c r="K113" s="101">
        <f t="shared" si="31"/>
        <v>-9152173</v>
      </c>
      <c r="L113" s="101">
        <f t="shared" si="18"/>
        <v>0</v>
      </c>
      <c r="M113" s="101">
        <f t="shared" si="19"/>
        <v>0</v>
      </c>
      <c r="N113" s="101">
        <f t="shared" si="20"/>
        <v>0</v>
      </c>
      <c r="O113" s="101">
        <f t="shared" si="21"/>
        <v>0</v>
      </c>
      <c r="P113" s="101">
        <f t="shared" si="22"/>
        <v>0</v>
      </c>
      <c r="Q113" s="101">
        <f t="shared" si="23"/>
        <v>0</v>
      </c>
      <c r="R113" s="101">
        <f t="shared" si="24"/>
        <v>0</v>
      </c>
      <c r="S113" s="101">
        <f t="shared" si="25"/>
        <v>3000</v>
      </c>
      <c r="T113" s="101">
        <f t="shared" si="26"/>
        <v>0</v>
      </c>
      <c r="U113" s="101">
        <f t="shared" si="27"/>
        <v>0</v>
      </c>
      <c r="V113" s="101">
        <f t="shared" si="28"/>
        <v>0</v>
      </c>
      <c r="W113" s="101">
        <f t="shared" si="29"/>
        <v>0</v>
      </c>
      <c r="X113" s="103">
        <f t="shared" si="30"/>
        <v>3000</v>
      </c>
      <c r="Z113" s="47"/>
    </row>
    <row r="114" spans="1:26">
      <c r="A114" s="98" t="s">
        <v>369</v>
      </c>
      <c r="B114" s="99">
        <v>40334</v>
      </c>
      <c r="C114" s="100">
        <v>8</v>
      </c>
      <c r="D114" s="98"/>
      <c r="E114" s="101">
        <v>-9950</v>
      </c>
      <c r="F114" s="102">
        <v>111</v>
      </c>
      <c r="G114" s="102">
        <v>111</v>
      </c>
      <c r="H114" s="101"/>
      <c r="I114" s="103">
        <v>9950</v>
      </c>
      <c r="J114" s="103">
        <f t="shared" si="16"/>
        <v>0</v>
      </c>
      <c r="K114" s="101">
        <f t="shared" si="31"/>
        <v>-9152173</v>
      </c>
      <c r="L114" s="101">
        <f t="shared" si="18"/>
        <v>0</v>
      </c>
      <c r="M114" s="101">
        <f t="shared" si="19"/>
        <v>0</v>
      </c>
      <c r="N114" s="101">
        <f t="shared" si="20"/>
        <v>0</v>
      </c>
      <c r="O114" s="101">
        <f t="shared" si="21"/>
        <v>0</v>
      </c>
      <c r="P114" s="101">
        <f t="shared" si="22"/>
        <v>0</v>
      </c>
      <c r="Q114" s="101">
        <f t="shared" si="23"/>
        <v>0</v>
      </c>
      <c r="R114" s="101">
        <f t="shared" si="24"/>
        <v>0</v>
      </c>
      <c r="S114" s="101">
        <f t="shared" si="25"/>
        <v>0</v>
      </c>
      <c r="T114" s="101">
        <f t="shared" si="26"/>
        <v>0</v>
      </c>
      <c r="U114" s="101">
        <f t="shared" si="27"/>
        <v>0</v>
      </c>
      <c r="V114" s="101">
        <f t="shared" si="28"/>
        <v>0</v>
      </c>
      <c r="W114" s="101">
        <f t="shared" si="29"/>
        <v>0</v>
      </c>
      <c r="X114" s="103">
        <f t="shared" si="30"/>
        <v>0</v>
      </c>
    </row>
    <row r="115" spans="1:26">
      <c r="A115" s="98" t="s">
        <v>310</v>
      </c>
      <c r="B115" s="99">
        <v>40334</v>
      </c>
      <c r="C115" s="100">
        <v>8</v>
      </c>
      <c r="D115" s="98"/>
      <c r="E115" s="101"/>
      <c r="F115" s="102"/>
      <c r="G115" s="98"/>
      <c r="H115" s="101"/>
      <c r="I115" s="101"/>
      <c r="J115" s="103">
        <f t="shared" si="16"/>
        <v>0</v>
      </c>
      <c r="K115" s="101">
        <f t="shared" si="31"/>
        <v>-9152173</v>
      </c>
      <c r="L115" s="101">
        <f t="shared" si="18"/>
        <v>0</v>
      </c>
      <c r="M115" s="101">
        <f t="shared" si="19"/>
        <v>0</v>
      </c>
      <c r="N115" s="101">
        <f t="shared" si="20"/>
        <v>0</v>
      </c>
      <c r="O115" s="101">
        <f t="shared" si="21"/>
        <v>0</v>
      </c>
      <c r="P115" s="101">
        <f t="shared" si="22"/>
        <v>0</v>
      </c>
      <c r="Q115" s="101">
        <f t="shared" si="23"/>
        <v>0</v>
      </c>
      <c r="R115" s="101">
        <f t="shared" si="24"/>
        <v>0</v>
      </c>
      <c r="S115" s="101">
        <f t="shared" si="25"/>
        <v>0</v>
      </c>
      <c r="T115" s="101">
        <f t="shared" si="26"/>
        <v>0</v>
      </c>
      <c r="U115" s="101">
        <f t="shared" si="27"/>
        <v>0</v>
      </c>
      <c r="V115" s="101">
        <f t="shared" si="28"/>
        <v>0</v>
      </c>
      <c r="W115" s="101">
        <f t="shared" si="29"/>
        <v>0</v>
      </c>
      <c r="X115" s="103">
        <f t="shared" si="30"/>
        <v>0</v>
      </c>
    </row>
    <row r="116" spans="1:26">
      <c r="A116" s="98" t="s">
        <v>311</v>
      </c>
      <c r="B116" s="99">
        <v>40334</v>
      </c>
      <c r="C116" s="100">
        <v>8</v>
      </c>
      <c r="D116" s="98"/>
      <c r="E116" s="101"/>
      <c r="F116" s="102"/>
      <c r="G116" s="98"/>
      <c r="H116" s="101"/>
      <c r="I116" s="101"/>
      <c r="J116" s="103">
        <f t="shared" si="16"/>
        <v>0</v>
      </c>
      <c r="K116" s="101">
        <f t="shared" si="31"/>
        <v>-9152173</v>
      </c>
      <c r="L116" s="101">
        <f t="shared" si="18"/>
        <v>0</v>
      </c>
      <c r="M116" s="101">
        <f t="shared" si="19"/>
        <v>0</v>
      </c>
      <c r="N116" s="101">
        <f t="shared" si="20"/>
        <v>0</v>
      </c>
      <c r="O116" s="101">
        <f t="shared" si="21"/>
        <v>0</v>
      </c>
      <c r="P116" s="101">
        <f t="shared" si="22"/>
        <v>0</v>
      </c>
      <c r="Q116" s="101">
        <f t="shared" si="23"/>
        <v>0</v>
      </c>
      <c r="R116" s="101">
        <f t="shared" si="24"/>
        <v>0</v>
      </c>
      <c r="S116" s="101">
        <f t="shared" si="25"/>
        <v>0</v>
      </c>
      <c r="T116" s="101">
        <f t="shared" si="26"/>
        <v>0</v>
      </c>
      <c r="U116" s="101">
        <f t="shared" si="27"/>
        <v>0</v>
      </c>
      <c r="V116" s="101">
        <f t="shared" si="28"/>
        <v>0</v>
      </c>
      <c r="W116" s="101">
        <f t="shared" si="29"/>
        <v>0</v>
      </c>
      <c r="X116" s="103">
        <f t="shared" si="30"/>
        <v>0</v>
      </c>
    </row>
    <row r="117" spans="1:26">
      <c r="A117" s="98" t="s">
        <v>313</v>
      </c>
      <c r="B117" s="99">
        <v>40338</v>
      </c>
      <c r="C117" s="100">
        <v>1</v>
      </c>
      <c r="D117" s="98"/>
      <c r="E117" s="101"/>
      <c r="F117" s="102">
        <v>113</v>
      </c>
      <c r="G117" s="102">
        <v>113</v>
      </c>
      <c r="H117" s="101"/>
      <c r="I117" s="148">
        <v>10000</v>
      </c>
      <c r="J117" s="103">
        <f t="shared" si="16"/>
        <v>10000</v>
      </c>
      <c r="K117" s="101">
        <f t="shared" si="31"/>
        <v>-9142173</v>
      </c>
      <c r="L117" s="101">
        <f t="shared" si="18"/>
        <v>10000</v>
      </c>
      <c r="M117" s="101">
        <f t="shared" si="19"/>
        <v>0</v>
      </c>
      <c r="N117" s="101">
        <f t="shared" si="20"/>
        <v>0</v>
      </c>
      <c r="O117" s="101">
        <f t="shared" si="21"/>
        <v>0</v>
      </c>
      <c r="P117" s="101">
        <f t="shared" si="22"/>
        <v>0</v>
      </c>
      <c r="Q117" s="101">
        <f t="shared" si="23"/>
        <v>0</v>
      </c>
      <c r="R117" s="101">
        <f t="shared" si="24"/>
        <v>0</v>
      </c>
      <c r="S117" s="101">
        <f t="shared" si="25"/>
        <v>0</v>
      </c>
      <c r="T117" s="101">
        <f t="shared" si="26"/>
        <v>0</v>
      </c>
      <c r="U117" s="101">
        <f t="shared" si="27"/>
        <v>0</v>
      </c>
      <c r="V117" s="101">
        <f t="shared" si="28"/>
        <v>0</v>
      </c>
      <c r="W117" s="101">
        <f t="shared" si="29"/>
        <v>0</v>
      </c>
      <c r="X117" s="103">
        <f t="shared" si="30"/>
        <v>10000</v>
      </c>
      <c r="Z117" s="47"/>
    </row>
    <row r="118" spans="1:26">
      <c r="A118" s="98" t="s">
        <v>314</v>
      </c>
      <c r="B118" s="99">
        <v>40338</v>
      </c>
      <c r="C118" s="100">
        <v>8</v>
      </c>
      <c r="D118" s="98"/>
      <c r="E118" s="101"/>
      <c r="F118" s="102">
        <v>115</v>
      </c>
      <c r="G118" s="102">
        <v>115</v>
      </c>
      <c r="H118" s="101"/>
      <c r="I118" s="148">
        <v>18835</v>
      </c>
      <c r="J118" s="103">
        <f t="shared" si="16"/>
        <v>18835</v>
      </c>
      <c r="K118" s="101">
        <f t="shared" si="31"/>
        <v>-9123338</v>
      </c>
      <c r="L118" s="101">
        <f t="shared" si="18"/>
        <v>0</v>
      </c>
      <c r="M118" s="101">
        <f t="shared" si="19"/>
        <v>0</v>
      </c>
      <c r="N118" s="101">
        <f t="shared" si="20"/>
        <v>0</v>
      </c>
      <c r="O118" s="101">
        <f t="shared" si="21"/>
        <v>0</v>
      </c>
      <c r="P118" s="101">
        <f t="shared" si="22"/>
        <v>0</v>
      </c>
      <c r="Q118" s="101">
        <f t="shared" si="23"/>
        <v>0</v>
      </c>
      <c r="R118" s="101">
        <f t="shared" si="24"/>
        <v>0</v>
      </c>
      <c r="S118" s="101">
        <f t="shared" si="25"/>
        <v>18835</v>
      </c>
      <c r="T118" s="101">
        <f t="shared" si="26"/>
        <v>0</v>
      </c>
      <c r="U118" s="101">
        <f t="shared" si="27"/>
        <v>0</v>
      </c>
      <c r="V118" s="101">
        <f t="shared" si="28"/>
        <v>0</v>
      </c>
      <c r="W118" s="101">
        <f t="shared" si="29"/>
        <v>0</v>
      </c>
      <c r="X118" s="103">
        <f t="shared" si="30"/>
        <v>18835</v>
      </c>
      <c r="Z118" s="47"/>
    </row>
    <row r="119" spans="1:26">
      <c r="A119" s="98" t="s">
        <v>312</v>
      </c>
      <c r="B119" s="99">
        <v>40338</v>
      </c>
      <c r="C119" s="100">
        <v>8</v>
      </c>
      <c r="D119" s="98">
        <v>144</v>
      </c>
      <c r="E119" s="101">
        <v>2100</v>
      </c>
      <c r="F119" s="102"/>
      <c r="G119" s="98"/>
      <c r="H119" s="101"/>
      <c r="I119" s="101"/>
      <c r="J119" s="103">
        <f t="shared" si="16"/>
        <v>2100</v>
      </c>
      <c r="K119" s="101">
        <f t="shared" si="31"/>
        <v>-9121238</v>
      </c>
      <c r="L119" s="101">
        <f t="shared" si="18"/>
        <v>0</v>
      </c>
      <c r="M119" s="101">
        <f t="shared" si="19"/>
        <v>0</v>
      </c>
      <c r="N119" s="101">
        <f t="shared" si="20"/>
        <v>0</v>
      </c>
      <c r="O119" s="101">
        <f t="shared" si="21"/>
        <v>0</v>
      </c>
      <c r="P119" s="101">
        <f t="shared" si="22"/>
        <v>0</v>
      </c>
      <c r="Q119" s="101">
        <f t="shared" si="23"/>
        <v>0</v>
      </c>
      <c r="R119" s="101">
        <f t="shared" si="24"/>
        <v>0</v>
      </c>
      <c r="S119" s="101">
        <f t="shared" si="25"/>
        <v>2100</v>
      </c>
      <c r="T119" s="101">
        <f t="shared" si="26"/>
        <v>0</v>
      </c>
      <c r="U119" s="101">
        <f t="shared" si="27"/>
        <v>0</v>
      </c>
      <c r="V119" s="101">
        <f t="shared" si="28"/>
        <v>0</v>
      </c>
      <c r="W119" s="101">
        <f t="shared" si="29"/>
        <v>0</v>
      </c>
      <c r="X119" s="103">
        <f t="shared" si="30"/>
        <v>2100</v>
      </c>
    </row>
    <row r="120" spans="1:26">
      <c r="A120" s="98" t="s">
        <v>312</v>
      </c>
      <c r="B120" s="99">
        <v>40338</v>
      </c>
      <c r="C120" s="100">
        <v>8</v>
      </c>
      <c r="D120" s="98"/>
      <c r="E120" s="101"/>
      <c r="F120" s="102"/>
      <c r="G120" s="102"/>
      <c r="H120" s="101"/>
      <c r="I120" s="103"/>
      <c r="J120" s="103">
        <f t="shared" si="16"/>
        <v>0</v>
      </c>
      <c r="K120" s="101">
        <f t="shared" si="31"/>
        <v>-9121238</v>
      </c>
      <c r="L120" s="101">
        <f t="shared" si="18"/>
        <v>0</v>
      </c>
      <c r="M120" s="101">
        <f t="shared" si="19"/>
        <v>0</v>
      </c>
      <c r="N120" s="101">
        <f t="shared" si="20"/>
        <v>0</v>
      </c>
      <c r="O120" s="101">
        <f t="shared" si="21"/>
        <v>0</v>
      </c>
      <c r="P120" s="101">
        <f t="shared" si="22"/>
        <v>0</v>
      </c>
      <c r="Q120" s="101">
        <f t="shared" si="23"/>
        <v>0</v>
      </c>
      <c r="R120" s="101">
        <f t="shared" si="24"/>
        <v>0</v>
      </c>
      <c r="S120" s="101">
        <f t="shared" si="25"/>
        <v>0</v>
      </c>
      <c r="T120" s="101">
        <f t="shared" si="26"/>
        <v>0</v>
      </c>
      <c r="U120" s="101">
        <f t="shared" si="27"/>
        <v>0</v>
      </c>
      <c r="V120" s="101">
        <f t="shared" si="28"/>
        <v>0</v>
      </c>
      <c r="W120" s="101">
        <f t="shared" si="29"/>
        <v>0</v>
      </c>
      <c r="X120" s="103">
        <f t="shared" si="30"/>
        <v>0</v>
      </c>
      <c r="Z120" s="47"/>
    </row>
    <row r="121" spans="1:26">
      <c r="A121" s="98" t="s">
        <v>315</v>
      </c>
      <c r="B121" s="99">
        <v>40343</v>
      </c>
      <c r="C121" s="100">
        <v>8</v>
      </c>
      <c r="D121" s="98"/>
      <c r="E121" s="101"/>
      <c r="F121" s="102">
        <v>114</v>
      </c>
      <c r="G121" s="102">
        <v>114</v>
      </c>
      <c r="H121" s="101"/>
      <c r="I121" s="148">
        <v>16000</v>
      </c>
      <c r="J121" s="103">
        <f t="shared" si="16"/>
        <v>16000</v>
      </c>
      <c r="K121" s="101">
        <f t="shared" si="31"/>
        <v>-9105238</v>
      </c>
      <c r="L121" s="101">
        <f t="shared" si="18"/>
        <v>0</v>
      </c>
      <c r="M121" s="101">
        <f t="shared" si="19"/>
        <v>0</v>
      </c>
      <c r="N121" s="101">
        <f t="shared" si="20"/>
        <v>0</v>
      </c>
      <c r="O121" s="101">
        <f t="shared" si="21"/>
        <v>0</v>
      </c>
      <c r="P121" s="101">
        <f t="shared" si="22"/>
        <v>0</v>
      </c>
      <c r="Q121" s="101">
        <f t="shared" si="23"/>
        <v>0</v>
      </c>
      <c r="R121" s="101">
        <f t="shared" si="24"/>
        <v>0</v>
      </c>
      <c r="S121" s="101">
        <f t="shared" si="25"/>
        <v>16000</v>
      </c>
      <c r="T121" s="101">
        <f t="shared" si="26"/>
        <v>0</v>
      </c>
      <c r="U121" s="101">
        <f t="shared" si="27"/>
        <v>0</v>
      </c>
      <c r="V121" s="101">
        <f t="shared" si="28"/>
        <v>0</v>
      </c>
      <c r="W121" s="101">
        <f t="shared" si="29"/>
        <v>0</v>
      </c>
      <c r="X121" s="103">
        <f t="shared" si="30"/>
        <v>16000</v>
      </c>
      <c r="Z121" s="47"/>
    </row>
    <row r="122" spans="1:26">
      <c r="A122" s="98" t="s">
        <v>316</v>
      </c>
      <c r="B122" s="99">
        <v>40343</v>
      </c>
      <c r="C122" s="100">
        <v>1</v>
      </c>
      <c r="D122" s="98"/>
      <c r="E122" s="101"/>
      <c r="F122" s="102">
        <v>116</v>
      </c>
      <c r="G122" s="102">
        <v>116</v>
      </c>
      <c r="H122" s="101"/>
      <c r="I122" s="148">
        <v>250000</v>
      </c>
      <c r="J122" s="103">
        <f t="shared" si="16"/>
        <v>250000</v>
      </c>
      <c r="K122" s="101">
        <f t="shared" si="31"/>
        <v>-8855238</v>
      </c>
      <c r="L122" s="101">
        <f t="shared" si="18"/>
        <v>250000</v>
      </c>
      <c r="M122" s="101">
        <f t="shared" si="19"/>
        <v>0</v>
      </c>
      <c r="N122" s="101">
        <f t="shared" si="20"/>
        <v>0</v>
      </c>
      <c r="O122" s="101">
        <f t="shared" si="21"/>
        <v>0</v>
      </c>
      <c r="P122" s="101">
        <f t="shared" si="22"/>
        <v>0</v>
      </c>
      <c r="Q122" s="101">
        <f t="shared" si="23"/>
        <v>0</v>
      </c>
      <c r="R122" s="101">
        <f t="shared" si="24"/>
        <v>0</v>
      </c>
      <c r="S122" s="101">
        <f t="shared" si="25"/>
        <v>0</v>
      </c>
      <c r="T122" s="101">
        <f t="shared" si="26"/>
        <v>0</v>
      </c>
      <c r="U122" s="101">
        <f t="shared" si="27"/>
        <v>0</v>
      </c>
      <c r="V122" s="101">
        <f t="shared" si="28"/>
        <v>0</v>
      </c>
      <c r="W122" s="101">
        <f t="shared" si="29"/>
        <v>0</v>
      </c>
      <c r="X122" s="103">
        <f t="shared" si="30"/>
        <v>250000</v>
      </c>
      <c r="Z122" s="47"/>
    </row>
    <row r="123" spans="1:26">
      <c r="A123" s="98" t="s">
        <v>317</v>
      </c>
      <c r="B123" s="99">
        <v>40347</v>
      </c>
      <c r="C123" s="100">
        <v>8</v>
      </c>
      <c r="D123" s="98"/>
      <c r="E123" s="101"/>
      <c r="F123" s="102">
        <v>118</v>
      </c>
      <c r="G123" s="102">
        <v>118</v>
      </c>
      <c r="H123" s="101"/>
      <c r="I123" s="101">
        <v>25553</v>
      </c>
      <c r="J123" s="103">
        <f t="shared" si="16"/>
        <v>25553</v>
      </c>
      <c r="K123" s="101">
        <f t="shared" si="31"/>
        <v>-8829685</v>
      </c>
      <c r="L123" s="101">
        <f t="shared" si="18"/>
        <v>0</v>
      </c>
      <c r="M123" s="101">
        <f t="shared" si="19"/>
        <v>0</v>
      </c>
      <c r="N123" s="101">
        <f t="shared" si="20"/>
        <v>0</v>
      </c>
      <c r="O123" s="101">
        <f t="shared" si="21"/>
        <v>0</v>
      </c>
      <c r="P123" s="101">
        <f t="shared" si="22"/>
        <v>0</v>
      </c>
      <c r="Q123" s="101">
        <f t="shared" si="23"/>
        <v>0</v>
      </c>
      <c r="R123" s="101">
        <f t="shared" si="24"/>
        <v>0</v>
      </c>
      <c r="S123" s="101">
        <f t="shared" si="25"/>
        <v>25553</v>
      </c>
      <c r="T123" s="101">
        <f t="shared" si="26"/>
        <v>0</v>
      </c>
      <c r="U123" s="101">
        <f t="shared" si="27"/>
        <v>0</v>
      </c>
      <c r="V123" s="101">
        <f t="shared" si="28"/>
        <v>0</v>
      </c>
      <c r="W123" s="101">
        <f t="shared" si="29"/>
        <v>0</v>
      </c>
      <c r="X123" s="103">
        <f t="shared" si="30"/>
        <v>25553</v>
      </c>
      <c r="Z123" s="47"/>
    </row>
    <row r="124" spans="1:26">
      <c r="A124" s="98" t="s">
        <v>318</v>
      </c>
      <c r="B124" s="99">
        <v>40347</v>
      </c>
      <c r="C124" s="100">
        <v>8</v>
      </c>
      <c r="D124" s="98"/>
      <c r="E124" s="101"/>
      <c r="F124" s="102">
        <v>119</v>
      </c>
      <c r="G124" s="102">
        <v>119</v>
      </c>
      <c r="H124" s="101"/>
      <c r="I124" s="101">
        <v>1800</v>
      </c>
      <c r="J124" s="103">
        <f t="shared" si="16"/>
        <v>1800</v>
      </c>
      <c r="K124" s="101">
        <f t="shared" si="31"/>
        <v>-8827885</v>
      </c>
      <c r="L124" s="101">
        <f t="shared" si="18"/>
        <v>0</v>
      </c>
      <c r="M124" s="101">
        <f t="shared" si="19"/>
        <v>0</v>
      </c>
      <c r="N124" s="101">
        <f t="shared" si="20"/>
        <v>0</v>
      </c>
      <c r="O124" s="101">
        <f t="shared" si="21"/>
        <v>0</v>
      </c>
      <c r="P124" s="101">
        <f t="shared" si="22"/>
        <v>0</v>
      </c>
      <c r="Q124" s="101">
        <f t="shared" si="23"/>
        <v>0</v>
      </c>
      <c r="R124" s="101">
        <f t="shared" si="24"/>
        <v>0</v>
      </c>
      <c r="S124" s="101">
        <f t="shared" si="25"/>
        <v>1800</v>
      </c>
      <c r="T124" s="101">
        <f t="shared" si="26"/>
        <v>0</v>
      </c>
      <c r="U124" s="101">
        <f t="shared" si="27"/>
        <v>0</v>
      </c>
      <c r="V124" s="101">
        <f t="shared" si="28"/>
        <v>0</v>
      </c>
      <c r="W124" s="101">
        <f t="shared" si="29"/>
        <v>0</v>
      </c>
      <c r="X124" s="103">
        <f t="shared" si="30"/>
        <v>1800</v>
      </c>
      <c r="Z124" s="47"/>
    </row>
    <row r="125" spans="1:26">
      <c r="A125" s="98" t="s">
        <v>319</v>
      </c>
      <c r="B125" s="99">
        <v>40347</v>
      </c>
      <c r="C125" s="100">
        <v>8</v>
      </c>
      <c r="D125" s="98"/>
      <c r="E125" s="101"/>
      <c r="F125" s="102">
        <v>120</v>
      </c>
      <c r="G125" s="102">
        <v>120</v>
      </c>
      <c r="H125" s="101"/>
      <c r="I125" s="101">
        <v>6654</v>
      </c>
      <c r="J125" s="103">
        <f t="shared" si="16"/>
        <v>6654</v>
      </c>
      <c r="K125" s="101">
        <f t="shared" si="31"/>
        <v>-8821231</v>
      </c>
      <c r="L125" s="101">
        <f t="shared" si="18"/>
        <v>0</v>
      </c>
      <c r="M125" s="101">
        <f t="shared" si="19"/>
        <v>0</v>
      </c>
      <c r="N125" s="101">
        <f t="shared" si="20"/>
        <v>0</v>
      </c>
      <c r="O125" s="101">
        <f t="shared" si="21"/>
        <v>0</v>
      </c>
      <c r="P125" s="101">
        <f t="shared" si="22"/>
        <v>0</v>
      </c>
      <c r="Q125" s="101">
        <f t="shared" si="23"/>
        <v>0</v>
      </c>
      <c r="R125" s="101">
        <f t="shared" si="24"/>
        <v>0</v>
      </c>
      <c r="S125" s="101">
        <f t="shared" si="25"/>
        <v>6654</v>
      </c>
      <c r="T125" s="101">
        <f t="shared" si="26"/>
        <v>0</v>
      </c>
      <c r="U125" s="101">
        <f t="shared" si="27"/>
        <v>0</v>
      </c>
      <c r="V125" s="101">
        <f t="shared" si="28"/>
        <v>0</v>
      </c>
      <c r="W125" s="101">
        <f t="shared" si="29"/>
        <v>0</v>
      </c>
      <c r="X125" s="103">
        <f t="shared" si="30"/>
        <v>6654</v>
      </c>
    </row>
    <row r="126" spans="1:26">
      <c r="A126" s="98" t="s">
        <v>415</v>
      </c>
      <c r="B126" s="99">
        <v>40347</v>
      </c>
      <c r="C126" s="100">
        <v>8</v>
      </c>
      <c r="D126" s="98"/>
      <c r="E126" s="101"/>
      <c r="F126" s="102">
        <v>120</v>
      </c>
      <c r="G126" s="102">
        <v>120</v>
      </c>
      <c r="H126" s="101"/>
      <c r="I126" s="101">
        <f>-6654</f>
        <v>-6654</v>
      </c>
      <c r="J126" s="103">
        <f t="shared" si="16"/>
        <v>-6654</v>
      </c>
      <c r="K126" s="101">
        <f t="shared" si="31"/>
        <v>-8827885</v>
      </c>
      <c r="L126" s="101">
        <f t="shared" si="18"/>
        <v>0</v>
      </c>
      <c r="M126" s="101">
        <f t="shared" si="19"/>
        <v>0</v>
      </c>
      <c r="N126" s="101">
        <f t="shared" si="20"/>
        <v>0</v>
      </c>
      <c r="O126" s="101">
        <f t="shared" si="21"/>
        <v>0</v>
      </c>
      <c r="P126" s="101">
        <f t="shared" si="22"/>
        <v>0</v>
      </c>
      <c r="Q126" s="101">
        <f t="shared" si="23"/>
        <v>0</v>
      </c>
      <c r="R126" s="101">
        <f t="shared" si="24"/>
        <v>0</v>
      </c>
      <c r="S126" s="101">
        <f t="shared" si="25"/>
        <v>-6654</v>
      </c>
      <c r="T126" s="101">
        <f t="shared" si="26"/>
        <v>0</v>
      </c>
      <c r="U126" s="101">
        <f t="shared" si="27"/>
        <v>0</v>
      </c>
      <c r="V126" s="101">
        <f t="shared" si="28"/>
        <v>0</v>
      </c>
      <c r="W126" s="101">
        <f t="shared" si="29"/>
        <v>0</v>
      </c>
      <c r="X126" s="103">
        <f t="shared" si="30"/>
        <v>-6654</v>
      </c>
    </row>
    <row r="127" spans="1:26">
      <c r="A127" s="98" t="s">
        <v>92</v>
      </c>
      <c r="B127" s="99">
        <v>40348</v>
      </c>
      <c r="C127" s="100">
        <v>8</v>
      </c>
      <c r="D127" s="98"/>
      <c r="E127" s="101"/>
      <c r="F127" s="102">
        <v>121</v>
      </c>
      <c r="G127" s="102">
        <v>121</v>
      </c>
      <c r="H127" s="101"/>
      <c r="I127" s="101">
        <v>9435</v>
      </c>
      <c r="J127" s="103">
        <f t="shared" si="16"/>
        <v>9435</v>
      </c>
      <c r="K127" s="101">
        <f t="shared" si="31"/>
        <v>-8818450</v>
      </c>
      <c r="L127" s="101">
        <f t="shared" si="18"/>
        <v>0</v>
      </c>
      <c r="M127" s="101">
        <f t="shared" si="19"/>
        <v>0</v>
      </c>
      <c r="N127" s="101">
        <f t="shared" si="20"/>
        <v>0</v>
      </c>
      <c r="O127" s="101">
        <f t="shared" si="21"/>
        <v>0</v>
      </c>
      <c r="P127" s="101">
        <f t="shared" si="22"/>
        <v>0</v>
      </c>
      <c r="Q127" s="101">
        <f t="shared" si="23"/>
        <v>0</v>
      </c>
      <c r="R127" s="101">
        <f t="shared" si="24"/>
        <v>0</v>
      </c>
      <c r="S127" s="101">
        <f t="shared" si="25"/>
        <v>9435</v>
      </c>
      <c r="T127" s="101">
        <f t="shared" si="26"/>
        <v>0</v>
      </c>
      <c r="U127" s="101">
        <f t="shared" si="27"/>
        <v>0</v>
      </c>
      <c r="V127" s="101">
        <f t="shared" si="28"/>
        <v>0</v>
      </c>
      <c r="W127" s="101">
        <f t="shared" si="29"/>
        <v>0</v>
      </c>
      <c r="X127" s="103">
        <f t="shared" si="30"/>
        <v>9435</v>
      </c>
    </row>
    <row r="128" spans="1:26">
      <c r="A128" s="98" t="s">
        <v>320</v>
      </c>
      <c r="B128" s="99">
        <v>40348</v>
      </c>
      <c r="C128" s="100">
        <v>4</v>
      </c>
      <c r="D128" s="98"/>
      <c r="E128" s="101"/>
      <c r="F128" s="102">
        <v>122</v>
      </c>
      <c r="G128" s="102">
        <v>122</v>
      </c>
      <c r="H128" s="101"/>
      <c r="I128" s="101">
        <v>59900</v>
      </c>
      <c r="J128" s="103">
        <f t="shared" si="16"/>
        <v>59900</v>
      </c>
      <c r="K128" s="101">
        <f t="shared" si="31"/>
        <v>-8758550</v>
      </c>
      <c r="L128" s="101">
        <f t="shared" si="18"/>
        <v>0</v>
      </c>
      <c r="M128" s="101">
        <f t="shared" si="19"/>
        <v>0</v>
      </c>
      <c r="N128" s="101">
        <f t="shared" si="20"/>
        <v>0</v>
      </c>
      <c r="O128" s="101">
        <f t="shared" si="21"/>
        <v>59900</v>
      </c>
      <c r="P128" s="101">
        <f t="shared" si="22"/>
        <v>0</v>
      </c>
      <c r="Q128" s="101">
        <f t="shared" si="23"/>
        <v>0</v>
      </c>
      <c r="R128" s="101">
        <f t="shared" si="24"/>
        <v>0</v>
      </c>
      <c r="S128" s="101">
        <f t="shared" si="25"/>
        <v>0</v>
      </c>
      <c r="T128" s="101">
        <f t="shared" si="26"/>
        <v>0</v>
      </c>
      <c r="U128" s="101">
        <f t="shared" si="27"/>
        <v>0</v>
      </c>
      <c r="V128" s="101">
        <f t="shared" si="28"/>
        <v>0</v>
      </c>
      <c r="W128" s="101">
        <f t="shared" si="29"/>
        <v>0</v>
      </c>
      <c r="X128" s="103">
        <f t="shared" si="30"/>
        <v>59900</v>
      </c>
    </row>
    <row r="129" spans="1:26">
      <c r="A129" s="98" t="s">
        <v>321</v>
      </c>
      <c r="B129" s="99">
        <v>40357</v>
      </c>
      <c r="C129" s="100">
        <v>8</v>
      </c>
      <c r="D129" s="98"/>
      <c r="E129" s="101"/>
      <c r="F129" s="102">
        <v>123</v>
      </c>
      <c r="G129" s="102">
        <v>123</v>
      </c>
      <c r="H129" s="101">
        <f>-50000+500*5+300*2+1500</f>
        <v>-45400</v>
      </c>
      <c r="I129" s="101">
        <v>50000</v>
      </c>
      <c r="J129" s="103">
        <f t="shared" si="16"/>
        <v>4600</v>
      </c>
      <c r="K129" s="101">
        <f t="shared" si="31"/>
        <v>-8753950</v>
      </c>
      <c r="L129" s="101">
        <f t="shared" si="18"/>
        <v>0</v>
      </c>
      <c r="M129" s="101">
        <f t="shared" si="19"/>
        <v>0</v>
      </c>
      <c r="N129" s="101">
        <f t="shared" si="20"/>
        <v>0</v>
      </c>
      <c r="O129" s="101">
        <f t="shared" si="21"/>
        <v>0</v>
      </c>
      <c r="P129" s="101">
        <f t="shared" si="22"/>
        <v>0</v>
      </c>
      <c r="Q129" s="101">
        <f t="shared" si="23"/>
        <v>0</v>
      </c>
      <c r="R129" s="101">
        <f t="shared" si="24"/>
        <v>0</v>
      </c>
      <c r="S129" s="101">
        <f t="shared" si="25"/>
        <v>4600</v>
      </c>
      <c r="T129" s="101">
        <f t="shared" si="26"/>
        <v>0</v>
      </c>
      <c r="U129" s="101">
        <f t="shared" si="27"/>
        <v>0</v>
      </c>
      <c r="V129" s="101">
        <f t="shared" si="28"/>
        <v>0</v>
      </c>
      <c r="W129" s="101">
        <f t="shared" si="29"/>
        <v>0</v>
      </c>
      <c r="X129" s="103">
        <f t="shared" si="30"/>
        <v>4600</v>
      </c>
    </row>
    <row r="130" spans="1:26">
      <c r="A130" s="98" t="s">
        <v>322</v>
      </c>
      <c r="B130" s="99">
        <v>40357</v>
      </c>
      <c r="C130" s="100">
        <v>1</v>
      </c>
      <c r="D130" s="98"/>
      <c r="E130" s="101"/>
      <c r="F130" s="102">
        <v>124</v>
      </c>
      <c r="G130" s="102">
        <v>124</v>
      </c>
      <c r="H130" s="101"/>
      <c r="I130" s="101">
        <v>645015</v>
      </c>
      <c r="J130" s="103">
        <f t="shared" si="16"/>
        <v>645015</v>
      </c>
      <c r="K130" s="101">
        <f t="shared" si="31"/>
        <v>-8108935</v>
      </c>
      <c r="L130" s="101">
        <f t="shared" si="18"/>
        <v>645015</v>
      </c>
      <c r="M130" s="101">
        <f t="shared" si="19"/>
        <v>0</v>
      </c>
      <c r="N130" s="101">
        <f t="shared" si="20"/>
        <v>0</v>
      </c>
      <c r="O130" s="101">
        <f t="shared" si="21"/>
        <v>0</v>
      </c>
      <c r="P130" s="101">
        <f t="shared" si="22"/>
        <v>0</v>
      </c>
      <c r="Q130" s="101">
        <f t="shared" si="23"/>
        <v>0</v>
      </c>
      <c r="R130" s="101">
        <f t="shared" si="24"/>
        <v>0</v>
      </c>
      <c r="S130" s="101">
        <f t="shared" si="25"/>
        <v>0</v>
      </c>
      <c r="T130" s="101">
        <f t="shared" si="26"/>
        <v>0</v>
      </c>
      <c r="U130" s="101">
        <f t="shared" si="27"/>
        <v>0</v>
      </c>
      <c r="V130" s="101">
        <f t="shared" si="28"/>
        <v>0</v>
      </c>
      <c r="W130" s="101">
        <f t="shared" si="29"/>
        <v>0</v>
      </c>
      <c r="X130" s="103">
        <f t="shared" si="30"/>
        <v>645015</v>
      </c>
      <c r="Z130" s="47"/>
    </row>
    <row r="131" spans="1:26">
      <c r="A131" s="98" t="s">
        <v>323</v>
      </c>
      <c r="B131" s="99">
        <v>40359</v>
      </c>
      <c r="C131" s="100">
        <v>8.1</v>
      </c>
      <c r="D131" s="98"/>
      <c r="E131" s="101"/>
      <c r="F131" s="102"/>
      <c r="G131" s="102"/>
      <c r="H131" s="101"/>
      <c r="I131" s="103">
        <f>50*7+100+25</f>
        <v>475</v>
      </c>
      <c r="J131" s="103">
        <f t="shared" si="16"/>
        <v>475</v>
      </c>
      <c r="K131" s="101">
        <f t="shared" si="31"/>
        <v>-8108460</v>
      </c>
      <c r="L131" s="101">
        <f t="shared" si="18"/>
        <v>0</v>
      </c>
      <c r="M131" s="101">
        <f t="shared" si="19"/>
        <v>0</v>
      </c>
      <c r="N131" s="101">
        <f t="shared" si="20"/>
        <v>0</v>
      </c>
      <c r="O131" s="101">
        <f t="shared" si="21"/>
        <v>0</v>
      </c>
      <c r="P131" s="101">
        <f t="shared" si="22"/>
        <v>0</v>
      </c>
      <c r="Q131" s="101">
        <f t="shared" si="23"/>
        <v>0</v>
      </c>
      <c r="R131" s="101">
        <f t="shared" si="24"/>
        <v>0</v>
      </c>
      <c r="S131" s="101">
        <f t="shared" si="25"/>
        <v>0</v>
      </c>
      <c r="T131" s="101">
        <f t="shared" si="26"/>
        <v>475</v>
      </c>
      <c r="U131" s="101">
        <f t="shared" si="27"/>
        <v>0</v>
      </c>
      <c r="V131" s="101">
        <f t="shared" si="28"/>
        <v>0</v>
      </c>
      <c r="W131" s="101">
        <f t="shared" si="29"/>
        <v>0</v>
      </c>
      <c r="X131" s="103">
        <f t="shared" si="30"/>
        <v>475</v>
      </c>
      <c r="Z131" s="47"/>
    </row>
    <row r="132" spans="1:26">
      <c r="A132" s="98" t="s">
        <v>324</v>
      </c>
      <c r="B132" s="99">
        <v>40364</v>
      </c>
      <c r="C132" s="100">
        <v>4</v>
      </c>
      <c r="D132" s="98"/>
      <c r="E132" s="101"/>
      <c r="F132" s="102">
        <v>125</v>
      </c>
      <c r="G132" s="102">
        <v>125</v>
      </c>
      <c r="H132" s="101"/>
      <c r="I132" s="101">
        <v>900000</v>
      </c>
      <c r="J132" s="103">
        <f t="shared" si="16"/>
        <v>900000</v>
      </c>
      <c r="K132" s="101">
        <f t="shared" si="31"/>
        <v>-7208460</v>
      </c>
      <c r="L132" s="101">
        <f t="shared" si="18"/>
        <v>0</v>
      </c>
      <c r="M132" s="101">
        <f t="shared" si="19"/>
        <v>0</v>
      </c>
      <c r="N132" s="101">
        <f t="shared" si="20"/>
        <v>0</v>
      </c>
      <c r="O132" s="101">
        <f t="shared" si="21"/>
        <v>900000</v>
      </c>
      <c r="P132" s="101">
        <f t="shared" si="22"/>
        <v>0</v>
      </c>
      <c r="Q132" s="101">
        <f t="shared" si="23"/>
        <v>0</v>
      </c>
      <c r="R132" s="101">
        <f t="shared" si="24"/>
        <v>0</v>
      </c>
      <c r="S132" s="101">
        <f t="shared" si="25"/>
        <v>0</v>
      </c>
      <c r="T132" s="101">
        <f t="shared" si="26"/>
        <v>0</v>
      </c>
      <c r="U132" s="101">
        <f t="shared" si="27"/>
        <v>0</v>
      </c>
      <c r="V132" s="101">
        <f t="shared" si="28"/>
        <v>0</v>
      </c>
      <c r="W132" s="101">
        <f t="shared" si="29"/>
        <v>0</v>
      </c>
      <c r="X132" s="103">
        <f t="shared" si="30"/>
        <v>900000</v>
      </c>
    </row>
    <row r="133" spans="1:26">
      <c r="A133" s="98" t="s">
        <v>324</v>
      </c>
      <c r="B133" s="99">
        <v>40364</v>
      </c>
      <c r="C133" s="100">
        <v>4</v>
      </c>
      <c r="D133" s="98"/>
      <c r="E133" s="101"/>
      <c r="F133" s="102">
        <v>126</v>
      </c>
      <c r="G133" s="102">
        <v>126</v>
      </c>
      <c r="H133" s="101"/>
      <c r="I133" s="101">
        <v>900000</v>
      </c>
      <c r="J133" s="103">
        <f t="shared" si="16"/>
        <v>900000</v>
      </c>
      <c r="K133" s="101">
        <f t="shared" si="31"/>
        <v>-6308460</v>
      </c>
      <c r="L133" s="101">
        <f t="shared" si="18"/>
        <v>0</v>
      </c>
      <c r="M133" s="101">
        <f t="shared" si="19"/>
        <v>0</v>
      </c>
      <c r="N133" s="101">
        <f t="shared" si="20"/>
        <v>0</v>
      </c>
      <c r="O133" s="101">
        <f t="shared" si="21"/>
        <v>900000</v>
      </c>
      <c r="P133" s="101">
        <f t="shared" si="22"/>
        <v>0</v>
      </c>
      <c r="Q133" s="101">
        <f t="shared" si="23"/>
        <v>0</v>
      </c>
      <c r="R133" s="101">
        <f t="shared" si="24"/>
        <v>0</v>
      </c>
      <c r="S133" s="101">
        <f t="shared" si="25"/>
        <v>0</v>
      </c>
      <c r="T133" s="101">
        <f t="shared" si="26"/>
        <v>0</v>
      </c>
      <c r="U133" s="101">
        <f t="shared" si="27"/>
        <v>0</v>
      </c>
      <c r="V133" s="101">
        <f t="shared" si="28"/>
        <v>0</v>
      </c>
      <c r="W133" s="101">
        <f t="shared" si="29"/>
        <v>0</v>
      </c>
      <c r="X133" s="103">
        <f t="shared" si="30"/>
        <v>900000</v>
      </c>
    </row>
    <row r="134" spans="1:26">
      <c r="A134" s="98" t="s">
        <v>324</v>
      </c>
      <c r="B134" s="99">
        <v>40364</v>
      </c>
      <c r="C134" s="100">
        <v>4</v>
      </c>
      <c r="D134" s="98"/>
      <c r="E134" s="101"/>
      <c r="F134" s="102">
        <v>127</v>
      </c>
      <c r="G134" s="102">
        <v>127</v>
      </c>
      <c r="H134" s="101"/>
      <c r="I134" s="101">
        <v>900000</v>
      </c>
      <c r="J134" s="103">
        <f t="shared" ref="J134:J197" si="32">I134+E134+H134</f>
        <v>900000</v>
      </c>
      <c r="K134" s="101">
        <f t="shared" ref="K134:K157" si="33">K133+J134</f>
        <v>-5408460</v>
      </c>
      <c r="L134" s="101">
        <f t="shared" ref="L134:L197" si="34">IF(C134=1,SUM(E134+I134+H134),(0))</f>
        <v>0</v>
      </c>
      <c r="M134" s="101">
        <f t="shared" ref="M134:M197" si="35">IF(C134=2,SUM(E134+I134+H134),(0))</f>
        <v>0</v>
      </c>
      <c r="N134" s="101">
        <f t="shared" ref="N134:N197" si="36">IF(C134=3,SUM(E134+I134+H134),(0))</f>
        <v>0</v>
      </c>
      <c r="O134" s="101">
        <f t="shared" ref="O134:O197" si="37">IF(C134=4,SUM(E134+I134+H134),(0))</f>
        <v>900000</v>
      </c>
      <c r="P134" s="101">
        <f t="shared" ref="P134:P197" si="38">IF(C134=5,SUM(E134+I134+H134),(0))</f>
        <v>0</v>
      </c>
      <c r="Q134" s="101">
        <f t="shared" ref="Q134:Q197" si="39">IF(C134=6,SUM(E134+I134+H134),(0))</f>
        <v>0</v>
      </c>
      <c r="R134" s="101">
        <f t="shared" ref="R134:R197" si="40">IF(C134=7,SUM(E134+I134+H134),(0))</f>
        <v>0</v>
      </c>
      <c r="S134" s="101">
        <f t="shared" ref="S134:S197" si="41">IF(C134=8,SUM(E134+I134+H134),(0))</f>
        <v>0</v>
      </c>
      <c r="T134" s="101">
        <f t="shared" ref="T134:T197" si="42">IF(C134=8.1,SUM(E134+I134+H134),(0))</f>
        <v>0</v>
      </c>
      <c r="U134" s="101">
        <f t="shared" ref="U134:U197" si="43">IF(C134=9,SUM(E134+I134+H134),(0))</f>
        <v>0</v>
      </c>
      <c r="V134" s="101">
        <f t="shared" ref="V134:V197" si="44">IF(C134=10,SUM(E134+H134+I134),(0))</f>
        <v>0</v>
      </c>
      <c r="W134" s="101">
        <f t="shared" ref="W134:W197" si="45">IF(C134=11,SUM(E134+I134+H134),(0))</f>
        <v>0</v>
      </c>
      <c r="X134" s="103">
        <f t="shared" ref="X134:X197" si="46">SUM(L134:W134)</f>
        <v>900000</v>
      </c>
    </row>
    <row r="135" spans="1:26">
      <c r="A135" s="98" t="s">
        <v>324</v>
      </c>
      <c r="B135" s="99">
        <v>40364</v>
      </c>
      <c r="C135" s="100">
        <v>4</v>
      </c>
      <c r="D135" s="98"/>
      <c r="E135" s="101"/>
      <c r="F135" s="102">
        <v>128</v>
      </c>
      <c r="G135" s="102">
        <v>128</v>
      </c>
      <c r="H135" s="101"/>
      <c r="I135" s="101">
        <v>520768</v>
      </c>
      <c r="J135" s="103">
        <f t="shared" si="32"/>
        <v>520768</v>
      </c>
      <c r="K135" s="101">
        <f t="shared" si="33"/>
        <v>-4887692</v>
      </c>
      <c r="L135" s="101">
        <f t="shared" si="34"/>
        <v>0</v>
      </c>
      <c r="M135" s="101">
        <f t="shared" si="35"/>
        <v>0</v>
      </c>
      <c r="N135" s="101">
        <f t="shared" si="36"/>
        <v>0</v>
      </c>
      <c r="O135" s="101">
        <f t="shared" si="37"/>
        <v>520768</v>
      </c>
      <c r="P135" s="101">
        <f t="shared" si="38"/>
        <v>0</v>
      </c>
      <c r="Q135" s="101">
        <f t="shared" si="39"/>
        <v>0</v>
      </c>
      <c r="R135" s="101">
        <f t="shared" si="40"/>
        <v>0</v>
      </c>
      <c r="S135" s="101">
        <f t="shared" si="41"/>
        <v>0</v>
      </c>
      <c r="T135" s="101">
        <f t="shared" si="42"/>
        <v>0</v>
      </c>
      <c r="U135" s="101">
        <f t="shared" si="43"/>
        <v>0</v>
      </c>
      <c r="V135" s="101">
        <f t="shared" si="44"/>
        <v>0</v>
      </c>
      <c r="W135" s="101">
        <f t="shared" si="45"/>
        <v>0</v>
      </c>
      <c r="X135" s="103">
        <f t="shared" si="46"/>
        <v>520768</v>
      </c>
    </row>
    <row r="136" spans="1:26">
      <c r="A136" s="98" t="s">
        <v>322</v>
      </c>
      <c r="B136" s="99">
        <v>40364</v>
      </c>
      <c r="C136" s="100">
        <v>4</v>
      </c>
      <c r="D136" s="98"/>
      <c r="E136" s="101"/>
      <c r="F136" s="102">
        <v>129</v>
      </c>
      <c r="G136" s="102">
        <v>129</v>
      </c>
      <c r="H136" s="101"/>
      <c r="I136" s="101">
        <v>141600</v>
      </c>
      <c r="J136" s="103">
        <f t="shared" si="32"/>
        <v>141600</v>
      </c>
      <c r="K136" s="101">
        <f t="shared" si="33"/>
        <v>-4746092</v>
      </c>
      <c r="L136" s="101">
        <f t="shared" si="34"/>
        <v>0</v>
      </c>
      <c r="M136" s="101">
        <f t="shared" si="35"/>
        <v>0</v>
      </c>
      <c r="N136" s="101">
        <f t="shared" si="36"/>
        <v>0</v>
      </c>
      <c r="O136" s="101">
        <f t="shared" si="37"/>
        <v>141600</v>
      </c>
      <c r="P136" s="101">
        <f t="shared" si="38"/>
        <v>0</v>
      </c>
      <c r="Q136" s="101">
        <f t="shared" si="39"/>
        <v>0</v>
      </c>
      <c r="R136" s="101">
        <f t="shared" si="40"/>
        <v>0</v>
      </c>
      <c r="S136" s="101">
        <f t="shared" si="41"/>
        <v>0</v>
      </c>
      <c r="T136" s="101">
        <f t="shared" si="42"/>
        <v>0</v>
      </c>
      <c r="U136" s="101">
        <f t="shared" si="43"/>
        <v>0</v>
      </c>
      <c r="V136" s="101">
        <f t="shared" si="44"/>
        <v>0</v>
      </c>
      <c r="W136" s="101">
        <f t="shared" si="45"/>
        <v>0</v>
      </c>
      <c r="X136" s="103">
        <f t="shared" si="46"/>
        <v>141600</v>
      </c>
    </row>
    <row r="137" spans="1:26">
      <c r="A137" s="98" t="s">
        <v>92</v>
      </c>
      <c r="B137" s="99">
        <v>40364</v>
      </c>
      <c r="C137" s="100">
        <v>8</v>
      </c>
      <c r="D137" s="98"/>
      <c r="E137" s="101"/>
      <c r="F137" s="102">
        <v>130</v>
      </c>
      <c r="G137" s="102">
        <v>130</v>
      </c>
      <c r="H137" s="101"/>
      <c r="I137" s="101">
        <v>25000</v>
      </c>
      <c r="J137" s="103">
        <f t="shared" si="32"/>
        <v>25000</v>
      </c>
      <c r="K137" s="101">
        <f t="shared" si="33"/>
        <v>-4721092</v>
      </c>
      <c r="L137" s="101">
        <f t="shared" si="34"/>
        <v>0</v>
      </c>
      <c r="M137" s="101">
        <f t="shared" si="35"/>
        <v>0</v>
      </c>
      <c r="N137" s="101">
        <f t="shared" si="36"/>
        <v>0</v>
      </c>
      <c r="O137" s="101">
        <f t="shared" si="37"/>
        <v>0</v>
      </c>
      <c r="P137" s="101">
        <f t="shared" si="38"/>
        <v>0</v>
      </c>
      <c r="Q137" s="101">
        <f t="shared" si="39"/>
        <v>0</v>
      </c>
      <c r="R137" s="101">
        <f t="shared" si="40"/>
        <v>0</v>
      </c>
      <c r="S137" s="101">
        <f t="shared" si="41"/>
        <v>25000</v>
      </c>
      <c r="T137" s="101">
        <f t="shared" si="42"/>
        <v>0</v>
      </c>
      <c r="U137" s="101">
        <f t="shared" si="43"/>
        <v>0</v>
      </c>
      <c r="V137" s="101">
        <f t="shared" si="44"/>
        <v>0</v>
      </c>
      <c r="W137" s="101">
        <f t="shared" si="45"/>
        <v>0</v>
      </c>
      <c r="X137" s="103">
        <f t="shared" si="46"/>
        <v>25000</v>
      </c>
    </row>
    <row r="138" spans="1:26">
      <c r="A138" s="98" t="s">
        <v>322</v>
      </c>
      <c r="B138" s="99">
        <v>40368</v>
      </c>
      <c r="C138" s="100">
        <v>6</v>
      </c>
      <c r="D138" s="98"/>
      <c r="E138" s="101"/>
      <c r="F138" s="102">
        <v>137</v>
      </c>
      <c r="G138" s="102">
        <v>137</v>
      </c>
      <c r="H138" s="101"/>
      <c r="I138" s="101">
        <v>50000</v>
      </c>
      <c r="J138" s="103">
        <f t="shared" si="32"/>
        <v>50000</v>
      </c>
      <c r="K138" s="101">
        <f t="shared" si="33"/>
        <v>-4671092</v>
      </c>
      <c r="L138" s="101">
        <f t="shared" si="34"/>
        <v>0</v>
      </c>
      <c r="M138" s="101">
        <f t="shared" si="35"/>
        <v>0</v>
      </c>
      <c r="N138" s="101">
        <f t="shared" si="36"/>
        <v>0</v>
      </c>
      <c r="O138" s="101">
        <f t="shared" si="37"/>
        <v>0</v>
      </c>
      <c r="P138" s="101">
        <f t="shared" si="38"/>
        <v>0</v>
      </c>
      <c r="Q138" s="101">
        <f t="shared" si="39"/>
        <v>50000</v>
      </c>
      <c r="R138" s="101">
        <f t="shared" si="40"/>
        <v>0</v>
      </c>
      <c r="S138" s="101">
        <f t="shared" si="41"/>
        <v>0</v>
      </c>
      <c r="T138" s="101">
        <f t="shared" si="42"/>
        <v>0</v>
      </c>
      <c r="U138" s="101">
        <f t="shared" si="43"/>
        <v>0</v>
      </c>
      <c r="V138" s="101">
        <f t="shared" si="44"/>
        <v>0</v>
      </c>
      <c r="W138" s="101">
        <f t="shared" si="45"/>
        <v>0</v>
      </c>
      <c r="X138" s="103">
        <f t="shared" si="46"/>
        <v>50000</v>
      </c>
    </row>
    <row r="139" spans="1:26">
      <c r="A139" s="98" t="s">
        <v>324</v>
      </c>
      <c r="B139" s="99">
        <v>40368</v>
      </c>
      <c r="C139" s="100">
        <v>4</v>
      </c>
      <c r="D139" s="98"/>
      <c r="E139" s="101"/>
      <c r="F139" s="102">
        <v>138</v>
      </c>
      <c r="G139" s="102">
        <v>138</v>
      </c>
      <c r="H139" s="101"/>
      <c r="I139" s="101">
        <v>900000</v>
      </c>
      <c r="J139" s="103">
        <f t="shared" si="32"/>
        <v>900000</v>
      </c>
      <c r="K139" s="101">
        <f t="shared" si="33"/>
        <v>-3771092</v>
      </c>
      <c r="L139" s="101">
        <f t="shared" si="34"/>
        <v>0</v>
      </c>
      <c r="M139" s="101">
        <f t="shared" si="35"/>
        <v>0</v>
      </c>
      <c r="N139" s="101">
        <f t="shared" si="36"/>
        <v>0</v>
      </c>
      <c r="O139" s="101">
        <f t="shared" si="37"/>
        <v>900000</v>
      </c>
      <c r="P139" s="101">
        <f t="shared" si="38"/>
        <v>0</v>
      </c>
      <c r="Q139" s="101">
        <f t="shared" si="39"/>
        <v>0</v>
      </c>
      <c r="R139" s="101">
        <f t="shared" si="40"/>
        <v>0</v>
      </c>
      <c r="S139" s="101">
        <f t="shared" si="41"/>
        <v>0</v>
      </c>
      <c r="T139" s="101">
        <f t="shared" si="42"/>
        <v>0</v>
      </c>
      <c r="U139" s="101">
        <f t="shared" si="43"/>
        <v>0</v>
      </c>
      <c r="V139" s="101">
        <f t="shared" si="44"/>
        <v>0</v>
      </c>
      <c r="W139" s="101">
        <f t="shared" si="45"/>
        <v>0</v>
      </c>
      <c r="X139" s="103">
        <f t="shared" si="46"/>
        <v>900000</v>
      </c>
    </row>
    <row r="140" spans="1:26">
      <c r="A140" s="98" t="s">
        <v>324</v>
      </c>
      <c r="B140" s="99">
        <v>40368</v>
      </c>
      <c r="C140" s="100">
        <v>4</v>
      </c>
      <c r="D140" s="98"/>
      <c r="E140" s="101"/>
      <c r="F140" s="102">
        <v>139</v>
      </c>
      <c r="G140" s="102">
        <v>139</v>
      </c>
      <c r="H140" s="101"/>
      <c r="I140" s="101">
        <v>900000</v>
      </c>
      <c r="J140" s="103">
        <f t="shared" si="32"/>
        <v>900000</v>
      </c>
      <c r="K140" s="101">
        <f t="shared" si="33"/>
        <v>-2871092</v>
      </c>
      <c r="L140" s="101">
        <f t="shared" si="34"/>
        <v>0</v>
      </c>
      <c r="M140" s="101">
        <f t="shared" si="35"/>
        <v>0</v>
      </c>
      <c r="N140" s="101">
        <f t="shared" si="36"/>
        <v>0</v>
      </c>
      <c r="O140" s="101">
        <f t="shared" si="37"/>
        <v>900000</v>
      </c>
      <c r="P140" s="101">
        <f t="shared" si="38"/>
        <v>0</v>
      </c>
      <c r="Q140" s="101">
        <f t="shared" si="39"/>
        <v>0</v>
      </c>
      <c r="R140" s="101">
        <f t="shared" si="40"/>
        <v>0</v>
      </c>
      <c r="S140" s="101">
        <f t="shared" si="41"/>
        <v>0</v>
      </c>
      <c r="T140" s="101">
        <f t="shared" si="42"/>
        <v>0</v>
      </c>
      <c r="U140" s="101">
        <f t="shared" si="43"/>
        <v>0</v>
      </c>
      <c r="V140" s="101">
        <f t="shared" si="44"/>
        <v>0</v>
      </c>
      <c r="W140" s="101">
        <f t="shared" si="45"/>
        <v>0</v>
      </c>
      <c r="X140" s="103">
        <f t="shared" si="46"/>
        <v>900000</v>
      </c>
    </row>
    <row r="141" spans="1:26">
      <c r="A141" s="98" t="s">
        <v>324</v>
      </c>
      <c r="B141" s="99">
        <v>40368</v>
      </c>
      <c r="C141" s="100">
        <v>4</v>
      </c>
      <c r="D141" s="98"/>
      <c r="E141" s="101"/>
      <c r="F141" s="102">
        <v>140</v>
      </c>
      <c r="G141" s="102">
        <v>140</v>
      </c>
      <c r="H141" s="101"/>
      <c r="I141" s="101">
        <v>399600</v>
      </c>
      <c r="J141" s="103">
        <f t="shared" si="32"/>
        <v>399600</v>
      </c>
      <c r="K141" s="101">
        <f t="shared" si="33"/>
        <v>-2471492</v>
      </c>
      <c r="L141" s="101">
        <f t="shared" si="34"/>
        <v>0</v>
      </c>
      <c r="M141" s="101">
        <f t="shared" si="35"/>
        <v>0</v>
      </c>
      <c r="N141" s="101">
        <f t="shared" si="36"/>
        <v>0</v>
      </c>
      <c r="O141" s="101">
        <f t="shared" si="37"/>
        <v>399600</v>
      </c>
      <c r="P141" s="101">
        <f t="shared" si="38"/>
        <v>0</v>
      </c>
      <c r="Q141" s="101">
        <f t="shared" si="39"/>
        <v>0</v>
      </c>
      <c r="R141" s="101">
        <f t="shared" si="40"/>
        <v>0</v>
      </c>
      <c r="S141" s="101">
        <f t="shared" si="41"/>
        <v>0</v>
      </c>
      <c r="T141" s="101">
        <f t="shared" si="42"/>
        <v>0</v>
      </c>
      <c r="U141" s="101">
        <f t="shared" si="43"/>
        <v>0</v>
      </c>
      <c r="V141" s="101">
        <f t="shared" si="44"/>
        <v>0</v>
      </c>
      <c r="W141" s="101">
        <f t="shared" si="45"/>
        <v>0</v>
      </c>
      <c r="X141" s="103">
        <f t="shared" si="46"/>
        <v>399600</v>
      </c>
    </row>
    <row r="142" spans="1:26">
      <c r="A142" s="98" t="s">
        <v>325</v>
      </c>
      <c r="B142" s="99">
        <v>40371</v>
      </c>
      <c r="C142" s="100">
        <v>6</v>
      </c>
      <c r="D142" s="98"/>
      <c r="E142" s="101"/>
      <c r="F142" s="102">
        <v>135</v>
      </c>
      <c r="G142" s="102">
        <v>135</v>
      </c>
      <c r="H142" s="101">
        <f>-250000+15*8000+14*8000+80000</f>
        <v>62000</v>
      </c>
      <c r="I142" s="101">
        <v>250000</v>
      </c>
      <c r="J142" s="103">
        <f t="shared" si="32"/>
        <v>312000</v>
      </c>
      <c r="K142" s="101">
        <f t="shared" si="33"/>
        <v>-2159492</v>
      </c>
      <c r="L142" s="101">
        <f t="shared" si="34"/>
        <v>0</v>
      </c>
      <c r="M142" s="101">
        <f t="shared" si="35"/>
        <v>0</v>
      </c>
      <c r="N142" s="101">
        <f t="shared" si="36"/>
        <v>0</v>
      </c>
      <c r="O142" s="101">
        <f t="shared" si="37"/>
        <v>0</v>
      </c>
      <c r="P142" s="101">
        <f t="shared" si="38"/>
        <v>0</v>
      </c>
      <c r="Q142" s="101">
        <f t="shared" si="39"/>
        <v>312000</v>
      </c>
      <c r="R142" s="101">
        <f t="shared" si="40"/>
        <v>0</v>
      </c>
      <c r="S142" s="101">
        <f t="shared" si="41"/>
        <v>0</v>
      </c>
      <c r="T142" s="101">
        <f t="shared" si="42"/>
        <v>0</v>
      </c>
      <c r="U142" s="101">
        <f t="shared" si="43"/>
        <v>0</v>
      </c>
      <c r="V142" s="101">
        <f t="shared" si="44"/>
        <v>0</v>
      </c>
      <c r="W142" s="101">
        <f t="shared" si="45"/>
        <v>0</v>
      </c>
      <c r="X142" s="103">
        <f t="shared" si="46"/>
        <v>312000</v>
      </c>
    </row>
    <row r="143" spans="1:26">
      <c r="A143" s="98" t="s">
        <v>325</v>
      </c>
      <c r="B143" s="99">
        <v>40371</v>
      </c>
      <c r="C143" s="100">
        <v>6</v>
      </c>
      <c r="D143" s="98"/>
      <c r="E143" s="101"/>
      <c r="F143" s="102">
        <v>136</v>
      </c>
      <c r="G143" s="102">
        <v>136</v>
      </c>
      <c r="H143" s="101">
        <f>-70000</f>
        <v>-70000</v>
      </c>
      <c r="I143" s="101">
        <v>70000</v>
      </c>
      <c r="J143" s="103">
        <f t="shared" si="32"/>
        <v>0</v>
      </c>
      <c r="K143" s="101">
        <f t="shared" si="33"/>
        <v>-2159492</v>
      </c>
      <c r="L143" s="101">
        <f t="shared" si="34"/>
        <v>0</v>
      </c>
      <c r="M143" s="101">
        <f t="shared" si="35"/>
        <v>0</v>
      </c>
      <c r="N143" s="101">
        <f t="shared" si="36"/>
        <v>0</v>
      </c>
      <c r="O143" s="101">
        <f t="shared" si="37"/>
        <v>0</v>
      </c>
      <c r="P143" s="101">
        <f t="shared" si="38"/>
        <v>0</v>
      </c>
      <c r="Q143" s="101">
        <f t="shared" si="39"/>
        <v>0</v>
      </c>
      <c r="R143" s="101">
        <f t="shared" si="40"/>
        <v>0</v>
      </c>
      <c r="S143" s="101">
        <f t="shared" si="41"/>
        <v>0</v>
      </c>
      <c r="T143" s="101">
        <f t="shared" si="42"/>
        <v>0</v>
      </c>
      <c r="U143" s="101">
        <f t="shared" si="43"/>
        <v>0</v>
      </c>
      <c r="V143" s="101">
        <f t="shared" si="44"/>
        <v>0</v>
      </c>
      <c r="W143" s="101">
        <f t="shared" si="45"/>
        <v>0</v>
      </c>
      <c r="X143" s="103">
        <f t="shared" si="46"/>
        <v>0</v>
      </c>
    </row>
    <row r="144" spans="1:26">
      <c r="A144" s="98" t="s">
        <v>326</v>
      </c>
      <c r="B144" s="99">
        <v>40378</v>
      </c>
      <c r="C144" s="100">
        <v>3</v>
      </c>
      <c r="D144" s="98"/>
      <c r="E144" s="101"/>
      <c r="F144" s="102">
        <v>141</v>
      </c>
      <c r="G144" s="102">
        <v>141</v>
      </c>
      <c r="H144" s="101"/>
      <c r="I144" s="101">
        <v>779500</v>
      </c>
      <c r="J144" s="103">
        <f t="shared" si="32"/>
        <v>779500</v>
      </c>
      <c r="K144" s="101">
        <f t="shared" si="33"/>
        <v>-1379992</v>
      </c>
      <c r="L144" s="101">
        <f t="shared" si="34"/>
        <v>0</v>
      </c>
      <c r="M144" s="101">
        <f t="shared" si="35"/>
        <v>0</v>
      </c>
      <c r="N144" s="101">
        <f t="shared" si="36"/>
        <v>779500</v>
      </c>
      <c r="O144" s="101">
        <f t="shared" si="37"/>
        <v>0</v>
      </c>
      <c r="P144" s="101">
        <f t="shared" si="38"/>
        <v>0</v>
      </c>
      <c r="Q144" s="101">
        <f t="shared" si="39"/>
        <v>0</v>
      </c>
      <c r="R144" s="101">
        <f t="shared" si="40"/>
        <v>0</v>
      </c>
      <c r="S144" s="101">
        <f t="shared" si="41"/>
        <v>0</v>
      </c>
      <c r="T144" s="101">
        <f t="shared" si="42"/>
        <v>0</v>
      </c>
      <c r="U144" s="101">
        <f t="shared" si="43"/>
        <v>0</v>
      </c>
      <c r="V144" s="101">
        <f t="shared" si="44"/>
        <v>0</v>
      </c>
      <c r="W144" s="101">
        <f t="shared" si="45"/>
        <v>0</v>
      </c>
      <c r="X144" s="103">
        <f t="shared" si="46"/>
        <v>779500</v>
      </c>
    </row>
    <row r="145" spans="1:24">
      <c r="A145" s="98" t="s">
        <v>327</v>
      </c>
      <c r="B145" s="99">
        <v>40380</v>
      </c>
      <c r="C145" s="100">
        <v>4</v>
      </c>
      <c r="D145" s="98"/>
      <c r="E145" s="101"/>
      <c r="F145" s="102">
        <v>131</v>
      </c>
      <c r="G145" s="102">
        <v>131</v>
      </c>
      <c r="H145" s="101">
        <f>-71700+500*29+500*24+500*17+500*11+500*20</f>
        <v>-21200</v>
      </c>
      <c r="I145" s="101">
        <v>71700</v>
      </c>
      <c r="J145" s="103">
        <f t="shared" si="32"/>
        <v>50500</v>
      </c>
      <c r="K145" s="101">
        <f t="shared" si="33"/>
        <v>-1329492</v>
      </c>
      <c r="L145" s="101">
        <f t="shared" si="34"/>
        <v>0</v>
      </c>
      <c r="M145" s="101">
        <f t="shared" si="35"/>
        <v>0</v>
      </c>
      <c r="N145" s="101">
        <f t="shared" si="36"/>
        <v>0</v>
      </c>
      <c r="O145" s="101">
        <f t="shared" si="37"/>
        <v>50500</v>
      </c>
      <c r="P145" s="101">
        <f t="shared" si="38"/>
        <v>0</v>
      </c>
      <c r="Q145" s="101">
        <f t="shared" si="39"/>
        <v>0</v>
      </c>
      <c r="R145" s="101">
        <f t="shared" si="40"/>
        <v>0</v>
      </c>
      <c r="S145" s="101">
        <f t="shared" si="41"/>
        <v>0</v>
      </c>
      <c r="T145" s="101">
        <f t="shared" si="42"/>
        <v>0</v>
      </c>
      <c r="U145" s="101">
        <f t="shared" si="43"/>
        <v>0</v>
      </c>
      <c r="V145" s="101">
        <f t="shared" si="44"/>
        <v>0</v>
      </c>
      <c r="W145" s="101">
        <f t="shared" si="45"/>
        <v>0</v>
      </c>
      <c r="X145" s="103">
        <f t="shared" si="46"/>
        <v>50500</v>
      </c>
    </row>
    <row r="146" spans="1:24">
      <c r="A146" s="98" t="s">
        <v>328</v>
      </c>
      <c r="B146" s="99">
        <v>40380</v>
      </c>
      <c r="C146" s="100">
        <v>4</v>
      </c>
      <c r="D146" s="98"/>
      <c r="E146" s="101"/>
      <c r="F146" s="102">
        <v>132</v>
      </c>
      <c r="G146" s="102">
        <v>132</v>
      </c>
      <c r="H146" s="101"/>
      <c r="I146" s="101">
        <v>56340</v>
      </c>
      <c r="J146" s="103">
        <f t="shared" si="32"/>
        <v>56340</v>
      </c>
      <c r="K146" s="101">
        <f t="shared" si="33"/>
        <v>-1273152</v>
      </c>
      <c r="L146" s="101">
        <f t="shared" si="34"/>
        <v>0</v>
      </c>
      <c r="M146" s="101">
        <f t="shared" si="35"/>
        <v>0</v>
      </c>
      <c r="N146" s="101">
        <f t="shared" si="36"/>
        <v>0</v>
      </c>
      <c r="O146" s="101">
        <f t="shared" si="37"/>
        <v>56340</v>
      </c>
      <c r="P146" s="101">
        <f t="shared" si="38"/>
        <v>0</v>
      </c>
      <c r="Q146" s="101">
        <f t="shared" si="39"/>
        <v>0</v>
      </c>
      <c r="R146" s="101">
        <f t="shared" si="40"/>
        <v>0</v>
      </c>
      <c r="S146" s="101">
        <f t="shared" si="41"/>
        <v>0</v>
      </c>
      <c r="T146" s="101">
        <f t="shared" si="42"/>
        <v>0</v>
      </c>
      <c r="U146" s="101">
        <f t="shared" si="43"/>
        <v>0</v>
      </c>
      <c r="V146" s="101">
        <f t="shared" si="44"/>
        <v>0</v>
      </c>
      <c r="W146" s="101">
        <f t="shared" si="45"/>
        <v>0</v>
      </c>
      <c r="X146" s="103">
        <f t="shared" si="46"/>
        <v>56340</v>
      </c>
    </row>
    <row r="147" spans="1:24">
      <c r="A147" s="98" t="s">
        <v>328</v>
      </c>
      <c r="B147" s="99">
        <v>40389</v>
      </c>
      <c r="C147" s="100">
        <v>4</v>
      </c>
      <c r="D147" s="98"/>
      <c r="E147" s="101"/>
      <c r="F147" s="102">
        <v>133</v>
      </c>
      <c r="G147" s="102">
        <v>133</v>
      </c>
      <c r="H147" s="101"/>
      <c r="I147" s="101">
        <v>37000</v>
      </c>
      <c r="J147" s="103">
        <f t="shared" si="32"/>
        <v>37000</v>
      </c>
      <c r="K147" s="101">
        <f t="shared" si="33"/>
        <v>-1236152</v>
      </c>
      <c r="L147" s="101">
        <f t="shared" si="34"/>
        <v>0</v>
      </c>
      <c r="M147" s="101">
        <f t="shared" si="35"/>
        <v>0</v>
      </c>
      <c r="N147" s="101">
        <f t="shared" si="36"/>
        <v>0</v>
      </c>
      <c r="O147" s="101">
        <f t="shared" si="37"/>
        <v>37000</v>
      </c>
      <c r="P147" s="101">
        <f t="shared" si="38"/>
        <v>0</v>
      </c>
      <c r="Q147" s="101">
        <f t="shared" si="39"/>
        <v>0</v>
      </c>
      <c r="R147" s="101">
        <f t="shared" si="40"/>
        <v>0</v>
      </c>
      <c r="S147" s="101">
        <f t="shared" si="41"/>
        <v>0</v>
      </c>
      <c r="T147" s="101">
        <f t="shared" si="42"/>
        <v>0</v>
      </c>
      <c r="U147" s="101">
        <f t="shared" si="43"/>
        <v>0</v>
      </c>
      <c r="V147" s="101">
        <f t="shared" si="44"/>
        <v>0</v>
      </c>
      <c r="W147" s="101">
        <f t="shared" si="45"/>
        <v>0</v>
      </c>
      <c r="X147" s="103">
        <f t="shared" si="46"/>
        <v>37000</v>
      </c>
    </row>
    <row r="148" spans="1:24">
      <c r="A148" s="98" t="s">
        <v>329</v>
      </c>
      <c r="B148" s="99">
        <v>40389</v>
      </c>
      <c r="C148" s="100">
        <v>4</v>
      </c>
      <c r="D148" s="98"/>
      <c r="E148" s="101"/>
      <c r="F148" s="102">
        <v>142</v>
      </c>
      <c r="G148" s="102">
        <v>142</v>
      </c>
      <c r="H148" s="101"/>
      <c r="I148" s="101">
        <v>60000</v>
      </c>
      <c r="J148" s="103">
        <f t="shared" si="32"/>
        <v>60000</v>
      </c>
      <c r="K148" s="101">
        <f t="shared" si="33"/>
        <v>-1176152</v>
      </c>
      <c r="L148" s="101">
        <f t="shared" si="34"/>
        <v>0</v>
      </c>
      <c r="M148" s="101">
        <f t="shared" si="35"/>
        <v>0</v>
      </c>
      <c r="N148" s="101">
        <f t="shared" si="36"/>
        <v>0</v>
      </c>
      <c r="O148" s="101">
        <f t="shared" si="37"/>
        <v>60000</v>
      </c>
      <c r="P148" s="101">
        <f t="shared" si="38"/>
        <v>0</v>
      </c>
      <c r="Q148" s="101">
        <f t="shared" si="39"/>
        <v>0</v>
      </c>
      <c r="R148" s="101">
        <f t="shared" si="40"/>
        <v>0</v>
      </c>
      <c r="S148" s="101">
        <f t="shared" si="41"/>
        <v>0</v>
      </c>
      <c r="T148" s="101">
        <f t="shared" si="42"/>
        <v>0</v>
      </c>
      <c r="U148" s="101">
        <f t="shared" si="43"/>
        <v>0</v>
      </c>
      <c r="V148" s="101">
        <f t="shared" si="44"/>
        <v>0</v>
      </c>
      <c r="W148" s="101">
        <f t="shared" si="45"/>
        <v>0</v>
      </c>
      <c r="X148" s="103">
        <f t="shared" si="46"/>
        <v>60000</v>
      </c>
    </row>
    <row r="149" spans="1:24" ht="15">
      <c r="A149" s="149" t="s">
        <v>375</v>
      </c>
      <c r="B149" s="150">
        <v>40390</v>
      </c>
      <c r="C149" s="151">
        <v>4</v>
      </c>
      <c r="D149" s="98"/>
      <c r="E149" s="152"/>
      <c r="F149" s="102">
        <v>146</v>
      </c>
      <c r="G149" s="102">
        <v>146</v>
      </c>
      <c r="H149" s="101"/>
      <c r="I149" s="103">
        <v>234000</v>
      </c>
      <c r="J149" s="103">
        <f t="shared" si="32"/>
        <v>234000</v>
      </c>
      <c r="K149" s="101">
        <f t="shared" si="33"/>
        <v>-942152</v>
      </c>
      <c r="L149" s="101">
        <f t="shared" si="34"/>
        <v>0</v>
      </c>
      <c r="M149" s="101">
        <f t="shared" si="35"/>
        <v>0</v>
      </c>
      <c r="N149" s="101">
        <f t="shared" si="36"/>
        <v>0</v>
      </c>
      <c r="O149" s="101">
        <f t="shared" si="37"/>
        <v>234000</v>
      </c>
      <c r="P149" s="101">
        <f t="shared" si="38"/>
        <v>0</v>
      </c>
      <c r="Q149" s="101">
        <f t="shared" si="39"/>
        <v>0</v>
      </c>
      <c r="R149" s="101">
        <f t="shared" si="40"/>
        <v>0</v>
      </c>
      <c r="S149" s="101">
        <f t="shared" si="41"/>
        <v>0</v>
      </c>
      <c r="T149" s="101">
        <f t="shared" si="42"/>
        <v>0</v>
      </c>
      <c r="U149" s="101">
        <f t="shared" si="43"/>
        <v>0</v>
      </c>
      <c r="V149" s="101">
        <f t="shared" si="44"/>
        <v>0</v>
      </c>
      <c r="W149" s="101">
        <f t="shared" si="45"/>
        <v>0</v>
      </c>
      <c r="X149" s="103">
        <f t="shared" si="46"/>
        <v>234000</v>
      </c>
    </row>
    <row r="150" spans="1:24">
      <c r="A150" s="98" t="s">
        <v>330</v>
      </c>
      <c r="B150" s="99">
        <v>40390</v>
      </c>
      <c r="C150" s="100">
        <v>8.1</v>
      </c>
      <c r="D150" s="98"/>
      <c r="E150" s="101"/>
      <c r="F150" s="102"/>
      <c r="G150" s="102"/>
      <c r="H150" s="101"/>
      <c r="I150" s="103">
        <f>50*5+25*12+1450</f>
        <v>2000</v>
      </c>
      <c r="J150" s="103">
        <f t="shared" si="32"/>
        <v>2000</v>
      </c>
      <c r="K150" s="101">
        <f t="shared" si="33"/>
        <v>-940152</v>
      </c>
      <c r="L150" s="101">
        <f t="shared" si="34"/>
        <v>0</v>
      </c>
      <c r="M150" s="101">
        <f t="shared" si="35"/>
        <v>0</v>
      </c>
      <c r="N150" s="101">
        <f t="shared" si="36"/>
        <v>0</v>
      </c>
      <c r="O150" s="101">
        <f t="shared" si="37"/>
        <v>0</v>
      </c>
      <c r="P150" s="101">
        <f t="shared" si="38"/>
        <v>0</v>
      </c>
      <c r="Q150" s="101">
        <f t="shared" si="39"/>
        <v>0</v>
      </c>
      <c r="R150" s="101">
        <f t="shared" si="40"/>
        <v>0</v>
      </c>
      <c r="S150" s="101">
        <f t="shared" si="41"/>
        <v>0</v>
      </c>
      <c r="T150" s="101">
        <f t="shared" si="42"/>
        <v>2000</v>
      </c>
      <c r="U150" s="101">
        <f t="shared" si="43"/>
        <v>0</v>
      </c>
      <c r="V150" s="101">
        <f t="shared" si="44"/>
        <v>0</v>
      </c>
      <c r="W150" s="101">
        <f t="shared" si="45"/>
        <v>0</v>
      </c>
      <c r="X150" s="103">
        <f t="shared" si="46"/>
        <v>2000</v>
      </c>
    </row>
    <row r="151" spans="1:24" ht="15">
      <c r="A151" s="149" t="s">
        <v>376</v>
      </c>
      <c r="B151" s="153">
        <v>40390</v>
      </c>
      <c r="C151" s="154">
        <v>4</v>
      </c>
      <c r="D151" s="98"/>
      <c r="E151" s="155"/>
      <c r="F151" s="102"/>
      <c r="G151" s="102"/>
      <c r="H151" s="101"/>
      <c r="I151" s="103">
        <v>-10208</v>
      </c>
      <c r="J151" s="103">
        <f t="shared" si="32"/>
        <v>-10208</v>
      </c>
      <c r="K151" s="101">
        <f t="shared" si="33"/>
        <v>-950360</v>
      </c>
      <c r="L151" s="101">
        <f t="shared" si="34"/>
        <v>0</v>
      </c>
      <c r="M151" s="101">
        <f t="shared" si="35"/>
        <v>0</v>
      </c>
      <c r="N151" s="101">
        <f t="shared" si="36"/>
        <v>0</v>
      </c>
      <c r="O151" s="101">
        <f t="shared" si="37"/>
        <v>-10208</v>
      </c>
      <c r="P151" s="101">
        <f t="shared" si="38"/>
        <v>0</v>
      </c>
      <c r="Q151" s="101">
        <f t="shared" si="39"/>
        <v>0</v>
      </c>
      <c r="R151" s="101">
        <f t="shared" si="40"/>
        <v>0</v>
      </c>
      <c r="S151" s="101">
        <f t="shared" si="41"/>
        <v>0</v>
      </c>
      <c r="T151" s="101">
        <f t="shared" si="42"/>
        <v>0</v>
      </c>
      <c r="U151" s="101">
        <f t="shared" si="43"/>
        <v>0</v>
      </c>
      <c r="V151" s="101">
        <f t="shared" si="44"/>
        <v>0</v>
      </c>
      <c r="W151" s="101">
        <f t="shared" si="45"/>
        <v>0</v>
      </c>
      <c r="X151" s="103">
        <f t="shared" si="46"/>
        <v>-10208</v>
      </c>
    </row>
    <row r="152" spans="1:24">
      <c r="A152" s="98" t="s">
        <v>92</v>
      </c>
      <c r="B152" s="99">
        <v>40394</v>
      </c>
      <c r="C152" s="100">
        <v>8</v>
      </c>
      <c r="D152" s="98"/>
      <c r="E152" s="101"/>
      <c r="F152" s="102">
        <v>134</v>
      </c>
      <c r="G152" s="102">
        <v>134</v>
      </c>
      <c r="H152" s="101"/>
      <c r="I152" s="101">
        <v>26195</v>
      </c>
      <c r="J152" s="103">
        <f t="shared" si="32"/>
        <v>26195</v>
      </c>
      <c r="K152" s="101">
        <f t="shared" si="33"/>
        <v>-924165</v>
      </c>
      <c r="L152" s="101">
        <f t="shared" si="34"/>
        <v>0</v>
      </c>
      <c r="M152" s="101">
        <f t="shared" si="35"/>
        <v>0</v>
      </c>
      <c r="N152" s="101">
        <f t="shared" si="36"/>
        <v>0</v>
      </c>
      <c r="O152" s="101">
        <f t="shared" si="37"/>
        <v>0</v>
      </c>
      <c r="P152" s="101">
        <f t="shared" si="38"/>
        <v>0</v>
      </c>
      <c r="Q152" s="101">
        <f t="shared" si="39"/>
        <v>0</v>
      </c>
      <c r="R152" s="101">
        <f t="shared" si="40"/>
        <v>0</v>
      </c>
      <c r="S152" s="101">
        <f t="shared" si="41"/>
        <v>26195</v>
      </c>
      <c r="T152" s="101">
        <f t="shared" si="42"/>
        <v>0</v>
      </c>
      <c r="U152" s="101">
        <f t="shared" si="43"/>
        <v>0</v>
      </c>
      <c r="V152" s="101">
        <f t="shared" si="44"/>
        <v>0</v>
      </c>
      <c r="W152" s="101">
        <f t="shared" si="45"/>
        <v>0</v>
      </c>
      <c r="X152" s="103">
        <f t="shared" si="46"/>
        <v>26195</v>
      </c>
    </row>
    <row r="153" spans="1:24">
      <c r="A153" s="98" t="s">
        <v>331</v>
      </c>
      <c r="B153" s="99">
        <v>40394</v>
      </c>
      <c r="C153" s="100">
        <v>8</v>
      </c>
      <c r="D153" s="98"/>
      <c r="E153" s="101"/>
      <c r="F153" s="102">
        <v>143</v>
      </c>
      <c r="G153" s="102">
        <v>143</v>
      </c>
      <c r="H153" s="101"/>
      <c r="I153" s="101">
        <v>26215</v>
      </c>
      <c r="J153" s="103">
        <f t="shared" si="32"/>
        <v>26215</v>
      </c>
      <c r="K153" s="101">
        <f t="shared" si="33"/>
        <v>-897950</v>
      </c>
      <c r="L153" s="101">
        <f t="shared" si="34"/>
        <v>0</v>
      </c>
      <c r="M153" s="101">
        <f t="shared" si="35"/>
        <v>0</v>
      </c>
      <c r="N153" s="101">
        <f t="shared" si="36"/>
        <v>0</v>
      </c>
      <c r="O153" s="101">
        <f t="shared" si="37"/>
        <v>0</v>
      </c>
      <c r="P153" s="101">
        <f t="shared" si="38"/>
        <v>0</v>
      </c>
      <c r="Q153" s="101">
        <f t="shared" si="39"/>
        <v>0</v>
      </c>
      <c r="R153" s="101">
        <f t="shared" si="40"/>
        <v>0</v>
      </c>
      <c r="S153" s="101">
        <f t="shared" si="41"/>
        <v>26215</v>
      </c>
      <c r="T153" s="101">
        <f t="shared" si="42"/>
        <v>0</v>
      </c>
      <c r="U153" s="101">
        <f t="shared" si="43"/>
        <v>0</v>
      </c>
      <c r="V153" s="101">
        <f t="shared" si="44"/>
        <v>0</v>
      </c>
      <c r="W153" s="101">
        <f t="shared" si="45"/>
        <v>0</v>
      </c>
      <c r="X153" s="103">
        <f t="shared" si="46"/>
        <v>26215</v>
      </c>
    </row>
    <row r="154" spans="1:24">
      <c r="A154" s="98" t="s">
        <v>377</v>
      </c>
      <c r="B154" s="99">
        <v>40400</v>
      </c>
      <c r="C154" s="100">
        <v>4</v>
      </c>
      <c r="D154" s="98"/>
      <c r="E154" s="101"/>
      <c r="F154" s="102">
        <v>147</v>
      </c>
      <c r="G154" s="98">
        <v>147</v>
      </c>
      <c r="H154" s="101"/>
      <c r="I154" s="101">
        <v>10208</v>
      </c>
      <c r="J154" s="103">
        <f t="shared" si="32"/>
        <v>10208</v>
      </c>
      <c r="K154" s="101">
        <f t="shared" si="33"/>
        <v>-887742</v>
      </c>
      <c r="L154" s="101">
        <f t="shared" si="34"/>
        <v>0</v>
      </c>
      <c r="M154" s="101">
        <f t="shared" si="35"/>
        <v>0</v>
      </c>
      <c r="N154" s="101">
        <f t="shared" si="36"/>
        <v>0</v>
      </c>
      <c r="O154" s="101">
        <f t="shared" si="37"/>
        <v>10208</v>
      </c>
      <c r="P154" s="101">
        <f t="shared" si="38"/>
        <v>0</v>
      </c>
      <c r="Q154" s="101">
        <f t="shared" si="39"/>
        <v>0</v>
      </c>
      <c r="R154" s="101">
        <f t="shared" si="40"/>
        <v>0</v>
      </c>
      <c r="S154" s="101">
        <f t="shared" si="41"/>
        <v>0</v>
      </c>
      <c r="T154" s="101">
        <f t="shared" si="42"/>
        <v>0</v>
      </c>
      <c r="U154" s="101">
        <f t="shared" si="43"/>
        <v>0</v>
      </c>
      <c r="V154" s="101">
        <f t="shared" si="44"/>
        <v>0</v>
      </c>
      <c r="W154" s="101">
        <f t="shared" si="45"/>
        <v>0</v>
      </c>
      <c r="X154" s="103">
        <f t="shared" si="46"/>
        <v>10208</v>
      </c>
    </row>
    <row r="155" spans="1:24">
      <c r="A155" s="98" t="s">
        <v>374</v>
      </c>
      <c r="B155" s="99">
        <v>40400</v>
      </c>
      <c r="C155" s="100">
        <v>4</v>
      </c>
      <c r="D155" s="98"/>
      <c r="E155" s="101"/>
      <c r="F155" s="102">
        <v>148</v>
      </c>
      <c r="G155" s="98">
        <v>148</v>
      </c>
      <c r="H155" s="101"/>
      <c r="I155" s="101">
        <v>0</v>
      </c>
      <c r="J155" s="103">
        <f t="shared" si="32"/>
        <v>0</v>
      </c>
      <c r="K155" s="101">
        <f t="shared" si="33"/>
        <v>-887742</v>
      </c>
      <c r="L155" s="101">
        <f t="shared" si="34"/>
        <v>0</v>
      </c>
      <c r="M155" s="101">
        <f t="shared" si="35"/>
        <v>0</v>
      </c>
      <c r="N155" s="101">
        <f t="shared" si="36"/>
        <v>0</v>
      </c>
      <c r="O155" s="101">
        <f t="shared" si="37"/>
        <v>0</v>
      </c>
      <c r="P155" s="101">
        <f t="shared" si="38"/>
        <v>0</v>
      </c>
      <c r="Q155" s="101">
        <f t="shared" si="39"/>
        <v>0</v>
      </c>
      <c r="R155" s="101">
        <f t="shared" si="40"/>
        <v>0</v>
      </c>
      <c r="S155" s="101">
        <f t="shared" si="41"/>
        <v>0</v>
      </c>
      <c r="T155" s="101">
        <f t="shared" si="42"/>
        <v>0</v>
      </c>
      <c r="U155" s="101">
        <f t="shared" si="43"/>
        <v>0</v>
      </c>
      <c r="V155" s="101">
        <f t="shared" si="44"/>
        <v>0</v>
      </c>
      <c r="W155" s="101">
        <f t="shared" si="45"/>
        <v>0</v>
      </c>
      <c r="X155" s="103">
        <f t="shared" si="46"/>
        <v>0</v>
      </c>
    </row>
    <row r="156" spans="1:24">
      <c r="A156" s="98" t="s">
        <v>378</v>
      </c>
      <c r="B156" s="99">
        <v>40400</v>
      </c>
      <c r="C156" s="100">
        <v>8</v>
      </c>
      <c r="D156" s="98"/>
      <c r="E156" s="101"/>
      <c r="F156" s="102">
        <v>149</v>
      </c>
      <c r="G156" s="98">
        <v>149</v>
      </c>
      <c r="H156" s="101"/>
      <c r="I156" s="101">
        <v>3000</v>
      </c>
      <c r="J156" s="103">
        <f t="shared" si="32"/>
        <v>3000</v>
      </c>
      <c r="K156" s="101">
        <f t="shared" si="33"/>
        <v>-884742</v>
      </c>
      <c r="L156" s="101">
        <f t="shared" si="34"/>
        <v>0</v>
      </c>
      <c r="M156" s="101">
        <f t="shared" si="35"/>
        <v>0</v>
      </c>
      <c r="N156" s="101">
        <f t="shared" si="36"/>
        <v>0</v>
      </c>
      <c r="O156" s="101">
        <f t="shared" si="37"/>
        <v>0</v>
      </c>
      <c r="P156" s="101">
        <f t="shared" si="38"/>
        <v>0</v>
      </c>
      <c r="Q156" s="101">
        <f t="shared" si="39"/>
        <v>0</v>
      </c>
      <c r="R156" s="101">
        <f t="shared" si="40"/>
        <v>0</v>
      </c>
      <c r="S156" s="101">
        <f t="shared" si="41"/>
        <v>3000</v>
      </c>
      <c r="T156" s="101">
        <f t="shared" si="42"/>
        <v>0</v>
      </c>
      <c r="U156" s="101">
        <f t="shared" si="43"/>
        <v>0</v>
      </c>
      <c r="V156" s="101">
        <f t="shared" si="44"/>
        <v>0</v>
      </c>
      <c r="W156" s="101">
        <f t="shared" si="45"/>
        <v>0</v>
      </c>
      <c r="X156" s="103">
        <f t="shared" si="46"/>
        <v>3000</v>
      </c>
    </row>
    <row r="157" spans="1:24">
      <c r="A157" s="98" t="s">
        <v>374</v>
      </c>
      <c r="B157" s="99">
        <v>40401</v>
      </c>
      <c r="C157" s="100"/>
      <c r="D157" s="98"/>
      <c r="E157" s="101"/>
      <c r="F157" s="102">
        <v>144</v>
      </c>
      <c r="G157" s="98">
        <v>144</v>
      </c>
      <c r="H157" s="101"/>
      <c r="I157" s="101"/>
      <c r="J157" s="103">
        <f t="shared" si="32"/>
        <v>0</v>
      </c>
      <c r="K157" s="101">
        <f t="shared" si="33"/>
        <v>-884742</v>
      </c>
      <c r="L157" s="101">
        <f t="shared" si="34"/>
        <v>0</v>
      </c>
      <c r="M157" s="101">
        <f t="shared" si="35"/>
        <v>0</v>
      </c>
      <c r="N157" s="101">
        <f t="shared" si="36"/>
        <v>0</v>
      </c>
      <c r="O157" s="101">
        <f t="shared" si="37"/>
        <v>0</v>
      </c>
      <c r="P157" s="101">
        <f t="shared" si="38"/>
        <v>0</v>
      </c>
      <c r="Q157" s="101">
        <f t="shared" si="39"/>
        <v>0</v>
      </c>
      <c r="R157" s="101">
        <f t="shared" si="40"/>
        <v>0</v>
      </c>
      <c r="S157" s="101">
        <f t="shared" si="41"/>
        <v>0</v>
      </c>
      <c r="T157" s="101">
        <f t="shared" si="42"/>
        <v>0</v>
      </c>
      <c r="U157" s="101">
        <f t="shared" si="43"/>
        <v>0</v>
      </c>
      <c r="V157" s="101">
        <f t="shared" si="44"/>
        <v>0</v>
      </c>
      <c r="W157" s="101">
        <f t="shared" si="45"/>
        <v>0</v>
      </c>
      <c r="X157" s="103">
        <f t="shared" si="46"/>
        <v>0</v>
      </c>
    </row>
    <row r="158" spans="1:24" ht="15">
      <c r="A158" s="149" t="s">
        <v>384</v>
      </c>
      <c r="B158" s="150">
        <v>40401</v>
      </c>
      <c r="C158" s="151">
        <v>3</v>
      </c>
      <c r="D158" s="98"/>
      <c r="E158" s="152"/>
      <c r="F158" s="102">
        <v>157</v>
      </c>
      <c r="G158" s="102">
        <v>157</v>
      </c>
      <c r="H158" s="101"/>
      <c r="I158" s="103">
        <v>35000</v>
      </c>
      <c r="J158" s="103">
        <f t="shared" si="32"/>
        <v>35000</v>
      </c>
      <c r="K158" s="101">
        <f>K156+J158</f>
        <v>-849742</v>
      </c>
      <c r="L158" s="101">
        <f t="shared" si="34"/>
        <v>0</v>
      </c>
      <c r="M158" s="101">
        <f t="shared" si="35"/>
        <v>0</v>
      </c>
      <c r="N158" s="101">
        <f t="shared" si="36"/>
        <v>35000</v>
      </c>
      <c r="O158" s="101">
        <f t="shared" si="37"/>
        <v>0</v>
      </c>
      <c r="P158" s="101">
        <f t="shared" si="38"/>
        <v>0</v>
      </c>
      <c r="Q158" s="101">
        <f t="shared" si="39"/>
        <v>0</v>
      </c>
      <c r="R158" s="101">
        <f t="shared" si="40"/>
        <v>0</v>
      </c>
      <c r="S158" s="101">
        <f t="shared" si="41"/>
        <v>0</v>
      </c>
      <c r="T158" s="101">
        <f t="shared" si="42"/>
        <v>0</v>
      </c>
      <c r="U158" s="101">
        <f t="shared" si="43"/>
        <v>0</v>
      </c>
      <c r="V158" s="101">
        <f t="shared" si="44"/>
        <v>0</v>
      </c>
      <c r="W158" s="101">
        <f t="shared" si="45"/>
        <v>0</v>
      </c>
      <c r="X158" s="103">
        <f t="shared" si="46"/>
        <v>35000</v>
      </c>
    </row>
    <row r="159" spans="1:24">
      <c r="A159" s="98" t="s">
        <v>379</v>
      </c>
      <c r="B159" s="99">
        <v>40406</v>
      </c>
      <c r="C159" s="100">
        <v>4</v>
      </c>
      <c r="D159" s="98"/>
      <c r="E159" s="101"/>
      <c r="F159" s="102">
        <v>150</v>
      </c>
      <c r="G159" s="98">
        <v>150</v>
      </c>
      <c r="H159" s="101">
        <f>-110680+10*2000*2+4*4000+3000+36000</f>
        <v>-15680</v>
      </c>
      <c r="I159" s="101">
        <v>110680</v>
      </c>
      <c r="J159" s="103">
        <f t="shared" si="32"/>
        <v>95000</v>
      </c>
      <c r="K159" s="101">
        <f t="shared" ref="K159:K190" si="47">K158+J159</f>
        <v>-754742</v>
      </c>
      <c r="L159" s="101">
        <f t="shared" si="34"/>
        <v>0</v>
      </c>
      <c r="M159" s="101">
        <f t="shared" si="35"/>
        <v>0</v>
      </c>
      <c r="N159" s="101">
        <f t="shared" si="36"/>
        <v>0</v>
      </c>
      <c r="O159" s="101">
        <f t="shared" si="37"/>
        <v>95000</v>
      </c>
      <c r="P159" s="101">
        <f t="shared" si="38"/>
        <v>0</v>
      </c>
      <c r="Q159" s="101">
        <f t="shared" si="39"/>
        <v>0</v>
      </c>
      <c r="R159" s="101">
        <f t="shared" si="40"/>
        <v>0</v>
      </c>
      <c r="S159" s="101">
        <f t="shared" si="41"/>
        <v>0</v>
      </c>
      <c r="T159" s="101">
        <f t="shared" si="42"/>
        <v>0</v>
      </c>
      <c r="U159" s="101">
        <f t="shared" si="43"/>
        <v>0</v>
      </c>
      <c r="V159" s="101">
        <f t="shared" si="44"/>
        <v>0</v>
      </c>
      <c r="W159" s="101">
        <f t="shared" si="45"/>
        <v>0</v>
      </c>
      <c r="X159" s="103">
        <f t="shared" si="46"/>
        <v>95000</v>
      </c>
    </row>
    <row r="160" spans="1:24" ht="30">
      <c r="A160" s="149" t="s">
        <v>380</v>
      </c>
      <c r="B160" s="150">
        <v>40415</v>
      </c>
      <c r="C160" s="151">
        <v>2</v>
      </c>
      <c r="D160" s="98"/>
      <c r="E160" s="152"/>
      <c r="F160" s="102">
        <v>151</v>
      </c>
      <c r="G160" s="102">
        <v>151</v>
      </c>
      <c r="H160" s="101"/>
      <c r="I160" s="103">
        <v>50000</v>
      </c>
      <c r="J160" s="103">
        <f t="shared" si="32"/>
        <v>50000</v>
      </c>
      <c r="K160" s="101">
        <f t="shared" si="47"/>
        <v>-704742</v>
      </c>
      <c r="L160" s="101">
        <f t="shared" si="34"/>
        <v>0</v>
      </c>
      <c r="M160" s="101">
        <f t="shared" si="35"/>
        <v>50000</v>
      </c>
      <c r="N160" s="101">
        <f t="shared" si="36"/>
        <v>0</v>
      </c>
      <c r="O160" s="101">
        <f t="shared" si="37"/>
        <v>0</v>
      </c>
      <c r="P160" s="101">
        <f t="shared" si="38"/>
        <v>0</v>
      </c>
      <c r="Q160" s="101">
        <f t="shared" si="39"/>
        <v>0</v>
      </c>
      <c r="R160" s="101">
        <f t="shared" si="40"/>
        <v>0</v>
      </c>
      <c r="S160" s="101">
        <f t="shared" si="41"/>
        <v>0</v>
      </c>
      <c r="T160" s="101">
        <f t="shared" si="42"/>
        <v>0</v>
      </c>
      <c r="U160" s="101">
        <f t="shared" si="43"/>
        <v>0</v>
      </c>
      <c r="V160" s="101">
        <f t="shared" si="44"/>
        <v>0</v>
      </c>
      <c r="W160" s="101">
        <f t="shared" si="45"/>
        <v>0</v>
      </c>
      <c r="X160" s="103">
        <f t="shared" si="46"/>
        <v>50000</v>
      </c>
    </row>
    <row r="161" spans="1:24">
      <c r="A161" s="98" t="s">
        <v>382</v>
      </c>
      <c r="B161" s="99">
        <v>40415</v>
      </c>
      <c r="C161" s="100">
        <v>4</v>
      </c>
      <c r="D161" s="98"/>
      <c r="E161" s="101"/>
      <c r="F161" s="102">
        <v>154</v>
      </c>
      <c r="G161" s="98">
        <v>154</v>
      </c>
      <c r="H161" s="101"/>
      <c r="I161" s="101">
        <v>44000</v>
      </c>
      <c r="J161" s="103">
        <f t="shared" si="32"/>
        <v>44000</v>
      </c>
      <c r="K161" s="101">
        <f t="shared" si="47"/>
        <v>-660742</v>
      </c>
      <c r="L161" s="101">
        <f t="shared" si="34"/>
        <v>0</v>
      </c>
      <c r="M161" s="101">
        <f t="shared" si="35"/>
        <v>0</v>
      </c>
      <c r="N161" s="101">
        <f t="shared" si="36"/>
        <v>0</v>
      </c>
      <c r="O161" s="101">
        <f t="shared" si="37"/>
        <v>44000</v>
      </c>
      <c r="P161" s="101">
        <f t="shared" si="38"/>
        <v>0</v>
      </c>
      <c r="Q161" s="101">
        <f t="shared" si="39"/>
        <v>0</v>
      </c>
      <c r="R161" s="101">
        <f t="shared" si="40"/>
        <v>0</v>
      </c>
      <c r="S161" s="101">
        <f t="shared" si="41"/>
        <v>0</v>
      </c>
      <c r="T161" s="101">
        <f t="shared" si="42"/>
        <v>0</v>
      </c>
      <c r="U161" s="101">
        <f t="shared" si="43"/>
        <v>0</v>
      </c>
      <c r="V161" s="101">
        <f t="shared" si="44"/>
        <v>0</v>
      </c>
      <c r="W161" s="101">
        <f t="shared" si="45"/>
        <v>0</v>
      </c>
      <c r="X161" s="103">
        <f t="shared" si="46"/>
        <v>44000</v>
      </c>
    </row>
    <row r="162" spans="1:24" ht="30">
      <c r="A162" s="149" t="s">
        <v>381</v>
      </c>
      <c r="B162" s="150">
        <v>40416</v>
      </c>
      <c r="C162" s="151">
        <v>3</v>
      </c>
      <c r="D162" s="98"/>
      <c r="E162" s="152"/>
      <c r="F162" s="102">
        <v>153</v>
      </c>
      <c r="G162" s="102">
        <v>153</v>
      </c>
      <c r="H162" s="101"/>
      <c r="I162" s="103">
        <v>29500</v>
      </c>
      <c r="J162" s="103">
        <f t="shared" si="32"/>
        <v>29500</v>
      </c>
      <c r="K162" s="101">
        <f t="shared" si="47"/>
        <v>-631242</v>
      </c>
      <c r="L162" s="101">
        <f t="shared" si="34"/>
        <v>0</v>
      </c>
      <c r="M162" s="101">
        <f t="shared" si="35"/>
        <v>0</v>
      </c>
      <c r="N162" s="101">
        <f t="shared" si="36"/>
        <v>29500</v>
      </c>
      <c r="O162" s="101">
        <f t="shared" si="37"/>
        <v>0</v>
      </c>
      <c r="P162" s="101">
        <f t="shared" si="38"/>
        <v>0</v>
      </c>
      <c r="Q162" s="101">
        <f t="shared" si="39"/>
        <v>0</v>
      </c>
      <c r="R162" s="101">
        <f t="shared" si="40"/>
        <v>0</v>
      </c>
      <c r="S162" s="101">
        <f t="shared" si="41"/>
        <v>0</v>
      </c>
      <c r="T162" s="101">
        <f t="shared" si="42"/>
        <v>0</v>
      </c>
      <c r="U162" s="101">
        <f t="shared" si="43"/>
        <v>0</v>
      </c>
      <c r="V162" s="101">
        <f t="shared" si="44"/>
        <v>0</v>
      </c>
      <c r="W162" s="101">
        <f t="shared" si="45"/>
        <v>0</v>
      </c>
      <c r="X162" s="103">
        <f t="shared" si="46"/>
        <v>29500</v>
      </c>
    </row>
    <row r="163" spans="1:24" ht="30">
      <c r="A163" s="149" t="s">
        <v>383</v>
      </c>
      <c r="B163" s="150">
        <v>40423</v>
      </c>
      <c r="C163" s="151">
        <v>4</v>
      </c>
      <c r="D163" s="98"/>
      <c r="E163" s="152"/>
      <c r="F163" s="102">
        <v>155</v>
      </c>
      <c r="G163" s="102">
        <v>155</v>
      </c>
      <c r="H163" s="101"/>
      <c r="I163" s="103">
        <v>69960</v>
      </c>
      <c r="J163" s="103">
        <f t="shared" si="32"/>
        <v>69960</v>
      </c>
      <c r="K163" s="101">
        <f t="shared" si="47"/>
        <v>-561282</v>
      </c>
      <c r="L163" s="101">
        <f t="shared" si="34"/>
        <v>0</v>
      </c>
      <c r="M163" s="101">
        <f t="shared" si="35"/>
        <v>0</v>
      </c>
      <c r="N163" s="101">
        <f t="shared" si="36"/>
        <v>0</v>
      </c>
      <c r="O163" s="101">
        <f t="shared" si="37"/>
        <v>69960</v>
      </c>
      <c r="P163" s="101">
        <f t="shared" si="38"/>
        <v>0</v>
      </c>
      <c r="Q163" s="101">
        <f t="shared" si="39"/>
        <v>0</v>
      </c>
      <c r="R163" s="101">
        <f t="shared" si="40"/>
        <v>0</v>
      </c>
      <c r="S163" s="101">
        <f t="shared" si="41"/>
        <v>0</v>
      </c>
      <c r="T163" s="101">
        <f t="shared" si="42"/>
        <v>0</v>
      </c>
      <c r="U163" s="101">
        <f t="shared" si="43"/>
        <v>0</v>
      </c>
      <c r="V163" s="101">
        <f t="shared" si="44"/>
        <v>0</v>
      </c>
      <c r="W163" s="101">
        <f t="shared" si="45"/>
        <v>0</v>
      </c>
      <c r="X163" s="103">
        <f t="shared" si="46"/>
        <v>69960</v>
      </c>
    </row>
    <row r="164" spans="1:24" ht="15">
      <c r="A164" s="149" t="s">
        <v>314</v>
      </c>
      <c r="B164" s="150">
        <v>40429</v>
      </c>
      <c r="C164" s="151">
        <v>8</v>
      </c>
      <c r="D164" s="98"/>
      <c r="E164" s="152"/>
      <c r="F164" s="102">
        <v>158</v>
      </c>
      <c r="G164" s="102">
        <v>158</v>
      </c>
      <c r="H164" s="101"/>
      <c r="I164" s="103">
        <f>3327*3</f>
        <v>9981</v>
      </c>
      <c r="J164" s="103">
        <f t="shared" si="32"/>
        <v>9981</v>
      </c>
      <c r="K164" s="101">
        <f t="shared" si="47"/>
        <v>-551301</v>
      </c>
      <c r="L164" s="101">
        <f t="shared" si="34"/>
        <v>0</v>
      </c>
      <c r="M164" s="101">
        <f t="shared" si="35"/>
        <v>0</v>
      </c>
      <c r="N164" s="101">
        <f t="shared" si="36"/>
        <v>0</v>
      </c>
      <c r="O164" s="101">
        <f t="shared" si="37"/>
        <v>0</v>
      </c>
      <c r="P164" s="101">
        <f t="shared" si="38"/>
        <v>0</v>
      </c>
      <c r="Q164" s="101">
        <f t="shared" si="39"/>
        <v>0</v>
      </c>
      <c r="R164" s="101">
        <f t="shared" si="40"/>
        <v>0</v>
      </c>
      <c r="S164" s="101">
        <f t="shared" si="41"/>
        <v>9981</v>
      </c>
      <c r="T164" s="101">
        <f t="shared" si="42"/>
        <v>0</v>
      </c>
      <c r="U164" s="101">
        <f t="shared" si="43"/>
        <v>0</v>
      </c>
      <c r="V164" s="101">
        <f t="shared" si="44"/>
        <v>0</v>
      </c>
      <c r="W164" s="101">
        <f t="shared" si="45"/>
        <v>0</v>
      </c>
      <c r="X164" s="103">
        <f t="shared" si="46"/>
        <v>9981</v>
      </c>
    </row>
    <row r="165" spans="1:24">
      <c r="A165" s="98" t="s">
        <v>374</v>
      </c>
      <c r="B165" s="99"/>
      <c r="C165" s="100"/>
      <c r="D165" s="98"/>
      <c r="E165" s="101"/>
      <c r="F165" s="102">
        <v>145</v>
      </c>
      <c r="G165" s="98">
        <v>145</v>
      </c>
      <c r="H165" s="101"/>
      <c r="I165" s="101"/>
      <c r="J165" s="103">
        <f t="shared" si="32"/>
        <v>0</v>
      </c>
      <c r="K165" s="101">
        <f t="shared" si="47"/>
        <v>-551301</v>
      </c>
      <c r="L165" s="101">
        <f t="shared" si="34"/>
        <v>0</v>
      </c>
      <c r="M165" s="101">
        <f t="shared" si="35"/>
        <v>0</v>
      </c>
      <c r="N165" s="101">
        <f t="shared" si="36"/>
        <v>0</v>
      </c>
      <c r="O165" s="101">
        <f t="shared" si="37"/>
        <v>0</v>
      </c>
      <c r="P165" s="101">
        <f t="shared" si="38"/>
        <v>0</v>
      </c>
      <c r="Q165" s="101">
        <f t="shared" si="39"/>
        <v>0</v>
      </c>
      <c r="R165" s="101">
        <f t="shared" si="40"/>
        <v>0</v>
      </c>
      <c r="S165" s="101">
        <f t="shared" si="41"/>
        <v>0</v>
      </c>
      <c r="T165" s="101">
        <f t="shared" si="42"/>
        <v>0</v>
      </c>
      <c r="U165" s="101">
        <f t="shared" si="43"/>
        <v>0</v>
      </c>
      <c r="V165" s="101">
        <f t="shared" si="44"/>
        <v>0</v>
      </c>
      <c r="W165" s="101">
        <f t="shared" si="45"/>
        <v>0</v>
      </c>
      <c r="X165" s="103">
        <f t="shared" si="46"/>
        <v>0</v>
      </c>
    </row>
    <row r="166" spans="1:24" ht="15">
      <c r="A166" s="156"/>
      <c r="B166" s="153"/>
      <c r="C166" s="154"/>
      <c r="D166" s="98"/>
      <c r="E166" s="155"/>
      <c r="F166" s="102">
        <v>152</v>
      </c>
      <c r="G166" s="102">
        <v>152</v>
      </c>
      <c r="H166" s="101"/>
      <c r="I166" s="103"/>
      <c r="J166" s="103">
        <f t="shared" si="32"/>
        <v>0</v>
      </c>
      <c r="K166" s="101">
        <f t="shared" si="47"/>
        <v>-551301</v>
      </c>
      <c r="L166" s="101">
        <f t="shared" si="34"/>
        <v>0</v>
      </c>
      <c r="M166" s="101">
        <f t="shared" si="35"/>
        <v>0</v>
      </c>
      <c r="N166" s="101">
        <f t="shared" si="36"/>
        <v>0</v>
      </c>
      <c r="O166" s="101">
        <f t="shared" si="37"/>
        <v>0</v>
      </c>
      <c r="P166" s="101">
        <f t="shared" si="38"/>
        <v>0</v>
      </c>
      <c r="Q166" s="101">
        <f t="shared" si="39"/>
        <v>0</v>
      </c>
      <c r="R166" s="101">
        <f t="shared" si="40"/>
        <v>0</v>
      </c>
      <c r="S166" s="101">
        <f t="shared" si="41"/>
        <v>0</v>
      </c>
      <c r="T166" s="101">
        <f t="shared" si="42"/>
        <v>0</v>
      </c>
      <c r="U166" s="101">
        <f t="shared" si="43"/>
        <v>0</v>
      </c>
      <c r="V166" s="101">
        <f t="shared" si="44"/>
        <v>0</v>
      </c>
      <c r="W166" s="101">
        <f t="shared" si="45"/>
        <v>0</v>
      </c>
      <c r="X166" s="103">
        <f t="shared" si="46"/>
        <v>0</v>
      </c>
    </row>
    <row r="167" spans="1:24" ht="15">
      <c r="A167" s="149"/>
      <c r="B167" s="150"/>
      <c r="C167" s="151"/>
      <c r="D167" s="98"/>
      <c r="E167" s="152"/>
      <c r="F167" s="102"/>
      <c r="G167" s="102"/>
      <c r="H167" s="101"/>
      <c r="I167" s="103"/>
      <c r="J167" s="103">
        <f t="shared" si="32"/>
        <v>0</v>
      </c>
      <c r="K167" s="101">
        <f t="shared" si="47"/>
        <v>-551301</v>
      </c>
      <c r="L167" s="101">
        <f t="shared" si="34"/>
        <v>0</v>
      </c>
      <c r="M167" s="101">
        <f t="shared" si="35"/>
        <v>0</v>
      </c>
      <c r="N167" s="101">
        <f t="shared" si="36"/>
        <v>0</v>
      </c>
      <c r="O167" s="101">
        <f t="shared" si="37"/>
        <v>0</v>
      </c>
      <c r="P167" s="101">
        <f t="shared" si="38"/>
        <v>0</v>
      </c>
      <c r="Q167" s="101">
        <f t="shared" si="39"/>
        <v>0</v>
      </c>
      <c r="R167" s="101">
        <f t="shared" si="40"/>
        <v>0</v>
      </c>
      <c r="S167" s="101">
        <f t="shared" si="41"/>
        <v>0</v>
      </c>
      <c r="T167" s="101">
        <f t="shared" si="42"/>
        <v>0</v>
      </c>
      <c r="U167" s="101">
        <f t="shared" si="43"/>
        <v>0</v>
      </c>
      <c r="V167" s="101">
        <f t="shared" si="44"/>
        <v>0</v>
      </c>
      <c r="W167" s="101">
        <f t="shared" si="45"/>
        <v>0</v>
      </c>
      <c r="X167" s="103">
        <f t="shared" si="46"/>
        <v>0</v>
      </c>
    </row>
    <row r="168" spans="1:24">
      <c r="A168" s="98"/>
      <c r="B168" s="99"/>
      <c r="C168" s="100"/>
      <c r="D168" s="98"/>
      <c r="E168" s="101"/>
      <c r="F168" s="102"/>
      <c r="G168" s="98"/>
      <c r="H168" s="101"/>
      <c r="I168" s="101"/>
      <c r="J168" s="103">
        <f t="shared" si="32"/>
        <v>0</v>
      </c>
      <c r="K168" s="101">
        <f t="shared" si="47"/>
        <v>-551301</v>
      </c>
      <c r="L168" s="101">
        <f t="shared" si="34"/>
        <v>0</v>
      </c>
      <c r="M168" s="101">
        <f t="shared" si="35"/>
        <v>0</v>
      </c>
      <c r="N168" s="101">
        <f t="shared" si="36"/>
        <v>0</v>
      </c>
      <c r="O168" s="101">
        <f t="shared" si="37"/>
        <v>0</v>
      </c>
      <c r="P168" s="101">
        <f t="shared" si="38"/>
        <v>0</v>
      </c>
      <c r="Q168" s="101">
        <f t="shared" si="39"/>
        <v>0</v>
      </c>
      <c r="R168" s="101">
        <f t="shared" si="40"/>
        <v>0</v>
      </c>
      <c r="S168" s="101">
        <f t="shared" si="41"/>
        <v>0</v>
      </c>
      <c r="T168" s="101">
        <f t="shared" si="42"/>
        <v>0</v>
      </c>
      <c r="U168" s="101">
        <f t="shared" si="43"/>
        <v>0</v>
      </c>
      <c r="V168" s="101">
        <f t="shared" si="44"/>
        <v>0</v>
      </c>
      <c r="W168" s="101">
        <f t="shared" si="45"/>
        <v>0</v>
      </c>
      <c r="X168" s="103">
        <f t="shared" si="46"/>
        <v>0</v>
      </c>
    </row>
    <row r="169" spans="1:24">
      <c r="A169" s="98"/>
      <c r="B169" s="99"/>
      <c r="C169" s="100"/>
      <c r="D169" s="98"/>
      <c r="E169" s="101"/>
      <c r="F169" s="102"/>
      <c r="G169" s="98"/>
      <c r="H169" s="101"/>
      <c r="I169" s="101"/>
      <c r="J169" s="103">
        <f t="shared" si="32"/>
        <v>0</v>
      </c>
      <c r="K169" s="101">
        <f t="shared" si="47"/>
        <v>-551301</v>
      </c>
      <c r="L169" s="101">
        <f t="shared" si="34"/>
        <v>0</v>
      </c>
      <c r="M169" s="101">
        <f t="shared" si="35"/>
        <v>0</v>
      </c>
      <c r="N169" s="101">
        <f t="shared" si="36"/>
        <v>0</v>
      </c>
      <c r="O169" s="101">
        <f t="shared" si="37"/>
        <v>0</v>
      </c>
      <c r="P169" s="101">
        <f t="shared" si="38"/>
        <v>0</v>
      </c>
      <c r="Q169" s="101">
        <f t="shared" si="39"/>
        <v>0</v>
      </c>
      <c r="R169" s="101">
        <f t="shared" si="40"/>
        <v>0</v>
      </c>
      <c r="S169" s="101">
        <f t="shared" si="41"/>
        <v>0</v>
      </c>
      <c r="T169" s="101">
        <f t="shared" si="42"/>
        <v>0</v>
      </c>
      <c r="U169" s="101">
        <f t="shared" si="43"/>
        <v>0</v>
      </c>
      <c r="V169" s="101">
        <f t="shared" si="44"/>
        <v>0</v>
      </c>
      <c r="W169" s="101">
        <f t="shared" si="45"/>
        <v>0</v>
      </c>
      <c r="X169" s="103">
        <f t="shared" si="46"/>
        <v>0</v>
      </c>
    </row>
    <row r="170" spans="1:24" ht="15">
      <c r="A170" s="149"/>
      <c r="B170" s="150"/>
      <c r="C170" s="151"/>
      <c r="D170" s="98"/>
      <c r="E170" s="152"/>
      <c r="F170" s="102"/>
      <c r="G170" s="102"/>
      <c r="H170" s="101"/>
      <c r="I170" s="103"/>
      <c r="J170" s="103">
        <f t="shared" si="32"/>
        <v>0</v>
      </c>
      <c r="K170" s="101">
        <f t="shared" si="47"/>
        <v>-551301</v>
      </c>
      <c r="L170" s="101">
        <f t="shared" si="34"/>
        <v>0</v>
      </c>
      <c r="M170" s="101">
        <f t="shared" si="35"/>
        <v>0</v>
      </c>
      <c r="N170" s="101">
        <f t="shared" si="36"/>
        <v>0</v>
      </c>
      <c r="O170" s="101">
        <f t="shared" si="37"/>
        <v>0</v>
      </c>
      <c r="P170" s="101">
        <f t="shared" si="38"/>
        <v>0</v>
      </c>
      <c r="Q170" s="101">
        <f t="shared" si="39"/>
        <v>0</v>
      </c>
      <c r="R170" s="101">
        <f t="shared" si="40"/>
        <v>0</v>
      </c>
      <c r="S170" s="101">
        <f t="shared" si="41"/>
        <v>0</v>
      </c>
      <c r="T170" s="101">
        <f t="shared" si="42"/>
        <v>0</v>
      </c>
      <c r="U170" s="101">
        <f t="shared" si="43"/>
        <v>0</v>
      </c>
      <c r="V170" s="101">
        <f t="shared" si="44"/>
        <v>0</v>
      </c>
      <c r="W170" s="101">
        <f t="shared" si="45"/>
        <v>0</v>
      </c>
      <c r="X170" s="103">
        <f t="shared" si="46"/>
        <v>0</v>
      </c>
    </row>
    <row r="171" spans="1:24" ht="15">
      <c r="A171" s="156"/>
      <c r="B171" s="153"/>
      <c r="C171" s="154"/>
      <c r="D171" s="98"/>
      <c r="E171" s="155"/>
      <c r="F171" s="102"/>
      <c r="G171" s="102"/>
      <c r="H171" s="101"/>
      <c r="I171" s="103"/>
      <c r="J171" s="103">
        <f t="shared" si="32"/>
        <v>0</v>
      </c>
      <c r="K171" s="101">
        <f t="shared" si="47"/>
        <v>-551301</v>
      </c>
      <c r="L171" s="101">
        <f t="shared" si="34"/>
        <v>0</v>
      </c>
      <c r="M171" s="101">
        <f t="shared" si="35"/>
        <v>0</v>
      </c>
      <c r="N171" s="101">
        <f t="shared" si="36"/>
        <v>0</v>
      </c>
      <c r="O171" s="101">
        <f t="shared" si="37"/>
        <v>0</v>
      </c>
      <c r="P171" s="101">
        <f t="shared" si="38"/>
        <v>0</v>
      </c>
      <c r="Q171" s="101">
        <f t="shared" si="39"/>
        <v>0</v>
      </c>
      <c r="R171" s="101">
        <f t="shared" si="40"/>
        <v>0</v>
      </c>
      <c r="S171" s="101">
        <f t="shared" si="41"/>
        <v>0</v>
      </c>
      <c r="T171" s="101">
        <f t="shared" si="42"/>
        <v>0</v>
      </c>
      <c r="U171" s="101">
        <f t="shared" si="43"/>
        <v>0</v>
      </c>
      <c r="V171" s="101">
        <f t="shared" si="44"/>
        <v>0</v>
      </c>
      <c r="W171" s="101">
        <f t="shared" si="45"/>
        <v>0</v>
      </c>
      <c r="X171" s="103">
        <f t="shared" si="46"/>
        <v>0</v>
      </c>
    </row>
    <row r="172" spans="1:24">
      <c r="A172" s="98"/>
      <c r="B172" s="99"/>
      <c r="C172" s="100"/>
      <c r="D172" s="98"/>
      <c r="E172" s="101"/>
      <c r="F172" s="102"/>
      <c r="G172" s="98"/>
      <c r="H172" s="101"/>
      <c r="I172" s="101"/>
      <c r="J172" s="103">
        <f t="shared" si="32"/>
        <v>0</v>
      </c>
      <c r="K172" s="101">
        <f t="shared" si="47"/>
        <v>-551301</v>
      </c>
      <c r="L172" s="101">
        <f t="shared" si="34"/>
        <v>0</v>
      </c>
      <c r="M172" s="101">
        <f t="shared" si="35"/>
        <v>0</v>
      </c>
      <c r="N172" s="101">
        <f t="shared" si="36"/>
        <v>0</v>
      </c>
      <c r="O172" s="101">
        <f t="shared" si="37"/>
        <v>0</v>
      </c>
      <c r="P172" s="101">
        <f t="shared" si="38"/>
        <v>0</v>
      </c>
      <c r="Q172" s="101">
        <f t="shared" si="39"/>
        <v>0</v>
      </c>
      <c r="R172" s="101">
        <f t="shared" si="40"/>
        <v>0</v>
      </c>
      <c r="S172" s="101">
        <f t="shared" si="41"/>
        <v>0</v>
      </c>
      <c r="T172" s="101">
        <f t="shared" si="42"/>
        <v>0</v>
      </c>
      <c r="U172" s="101">
        <f t="shared" si="43"/>
        <v>0</v>
      </c>
      <c r="V172" s="101">
        <f t="shared" si="44"/>
        <v>0</v>
      </c>
      <c r="W172" s="101">
        <f t="shared" si="45"/>
        <v>0</v>
      </c>
      <c r="X172" s="103">
        <f t="shared" si="46"/>
        <v>0</v>
      </c>
    </row>
    <row r="173" spans="1:24">
      <c r="A173" s="98"/>
      <c r="B173" s="99"/>
      <c r="C173" s="100"/>
      <c r="D173" s="98"/>
      <c r="E173" s="101"/>
      <c r="F173" s="102"/>
      <c r="G173" s="98"/>
      <c r="H173" s="101"/>
      <c r="I173" s="101"/>
      <c r="J173" s="103">
        <f t="shared" si="32"/>
        <v>0</v>
      </c>
      <c r="K173" s="101">
        <f t="shared" si="47"/>
        <v>-551301</v>
      </c>
      <c r="L173" s="101">
        <f t="shared" si="34"/>
        <v>0</v>
      </c>
      <c r="M173" s="101">
        <f t="shared" si="35"/>
        <v>0</v>
      </c>
      <c r="N173" s="101">
        <f t="shared" si="36"/>
        <v>0</v>
      </c>
      <c r="O173" s="101">
        <f t="shared" si="37"/>
        <v>0</v>
      </c>
      <c r="P173" s="101">
        <f t="shared" si="38"/>
        <v>0</v>
      </c>
      <c r="Q173" s="101">
        <f t="shared" si="39"/>
        <v>0</v>
      </c>
      <c r="R173" s="101">
        <f t="shared" si="40"/>
        <v>0</v>
      </c>
      <c r="S173" s="101">
        <f t="shared" si="41"/>
        <v>0</v>
      </c>
      <c r="T173" s="101">
        <f t="shared" si="42"/>
        <v>0</v>
      </c>
      <c r="U173" s="101">
        <f t="shared" si="43"/>
        <v>0</v>
      </c>
      <c r="V173" s="101">
        <f t="shared" si="44"/>
        <v>0</v>
      </c>
      <c r="W173" s="101">
        <f t="shared" si="45"/>
        <v>0</v>
      </c>
      <c r="X173" s="103">
        <f t="shared" si="46"/>
        <v>0</v>
      </c>
    </row>
    <row r="174" spans="1:24">
      <c r="A174" s="98"/>
      <c r="B174" s="99"/>
      <c r="C174" s="100"/>
      <c r="D174" s="98"/>
      <c r="E174" s="101"/>
      <c r="F174" s="102"/>
      <c r="G174" s="98"/>
      <c r="H174" s="101"/>
      <c r="I174" s="101"/>
      <c r="J174" s="103">
        <f t="shared" si="32"/>
        <v>0</v>
      </c>
      <c r="K174" s="101">
        <f t="shared" si="47"/>
        <v>-551301</v>
      </c>
      <c r="L174" s="101">
        <f t="shared" si="34"/>
        <v>0</v>
      </c>
      <c r="M174" s="101">
        <f t="shared" si="35"/>
        <v>0</v>
      </c>
      <c r="N174" s="101">
        <f t="shared" si="36"/>
        <v>0</v>
      </c>
      <c r="O174" s="101">
        <f t="shared" si="37"/>
        <v>0</v>
      </c>
      <c r="P174" s="101">
        <f t="shared" si="38"/>
        <v>0</v>
      </c>
      <c r="Q174" s="101">
        <f t="shared" si="39"/>
        <v>0</v>
      </c>
      <c r="R174" s="101">
        <f t="shared" si="40"/>
        <v>0</v>
      </c>
      <c r="S174" s="101">
        <f t="shared" si="41"/>
        <v>0</v>
      </c>
      <c r="T174" s="101">
        <f t="shared" si="42"/>
        <v>0</v>
      </c>
      <c r="U174" s="101">
        <f t="shared" si="43"/>
        <v>0</v>
      </c>
      <c r="V174" s="101">
        <f t="shared" si="44"/>
        <v>0</v>
      </c>
      <c r="W174" s="101">
        <f t="shared" si="45"/>
        <v>0</v>
      </c>
      <c r="X174" s="103">
        <f t="shared" si="46"/>
        <v>0</v>
      </c>
    </row>
    <row r="175" spans="1:24">
      <c r="A175" s="98"/>
      <c r="B175" s="99"/>
      <c r="C175" s="100"/>
      <c r="D175" s="98"/>
      <c r="E175" s="101"/>
      <c r="F175" s="102"/>
      <c r="G175" s="98"/>
      <c r="H175" s="101"/>
      <c r="I175" s="101"/>
      <c r="J175" s="103">
        <f t="shared" si="32"/>
        <v>0</v>
      </c>
      <c r="K175" s="101">
        <f t="shared" si="47"/>
        <v>-551301</v>
      </c>
      <c r="L175" s="101">
        <f t="shared" si="34"/>
        <v>0</v>
      </c>
      <c r="M175" s="101">
        <f t="shared" si="35"/>
        <v>0</v>
      </c>
      <c r="N175" s="101">
        <f t="shared" si="36"/>
        <v>0</v>
      </c>
      <c r="O175" s="101">
        <f t="shared" si="37"/>
        <v>0</v>
      </c>
      <c r="P175" s="101">
        <f t="shared" si="38"/>
        <v>0</v>
      </c>
      <c r="Q175" s="101">
        <f t="shared" si="39"/>
        <v>0</v>
      </c>
      <c r="R175" s="101">
        <f t="shared" si="40"/>
        <v>0</v>
      </c>
      <c r="S175" s="101">
        <f t="shared" si="41"/>
        <v>0</v>
      </c>
      <c r="T175" s="101">
        <f t="shared" si="42"/>
        <v>0</v>
      </c>
      <c r="U175" s="101">
        <f t="shared" si="43"/>
        <v>0</v>
      </c>
      <c r="V175" s="101">
        <f t="shared" si="44"/>
        <v>0</v>
      </c>
      <c r="W175" s="101">
        <f t="shared" si="45"/>
        <v>0</v>
      </c>
      <c r="X175" s="103">
        <f t="shared" si="46"/>
        <v>0</v>
      </c>
    </row>
    <row r="176" spans="1:24">
      <c r="A176" s="98"/>
      <c r="B176" s="99"/>
      <c r="C176" s="100"/>
      <c r="D176" s="98"/>
      <c r="E176" s="101"/>
      <c r="F176" s="102"/>
      <c r="G176" s="98"/>
      <c r="H176" s="101"/>
      <c r="I176" s="101"/>
      <c r="J176" s="103">
        <f t="shared" si="32"/>
        <v>0</v>
      </c>
      <c r="K176" s="101">
        <f t="shared" si="47"/>
        <v>-551301</v>
      </c>
      <c r="L176" s="101">
        <f t="shared" si="34"/>
        <v>0</v>
      </c>
      <c r="M176" s="101">
        <f t="shared" si="35"/>
        <v>0</v>
      </c>
      <c r="N176" s="101">
        <f t="shared" si="36"/>
        <v>0</v>
      </c>
      <c r="O176" s="101">
        <f t="shared" si="37"/>
        <v>0</v>
      </c>
      <c r="P176" s="101">
        <f t="shared" si="38"/>
        <v>0</v>
      </c>
      <c r="Q176" s="101">
        <f t="shared" si="39"/>
        <v>0</v>
      </c>
      <c r="R176" s="101">
        <f t="shared" si="40"/>
        <v>0</v>
      </c>
      <c r="S176" s="101">
        <f t="shared" si="41"/>
        <v>0</v>
      </c>
      <c r="T176" s="101">
        <f t="shared" si="42"/>
        <v>0</v>
      </c>
      <c r="U176" s="101">
        <f t="shared" si="43"/>
        <v>0</v>
      </c>
      <c r="V176" s="101">
        <f t="shared" si="44"/>
        <v>0</v>
      </c>
      <c r="W176" s="101">
        <f t="shared" si="45"/>
        <v>0</v>
      </c>
      <c r="X176" s="103">
        <f t="shared" si="46"/>
        <v>0</v>
      </c>
    </row>
    <row r="177" spans="1:24">
      <c r="A177" s="98"/>
      <c r="B177" s="99"/>
      <c r="C177" s="100"/>
      <c r="D177" s="98"/>
      <c r="E177" s="101"/>
      <c r="F177" s="102"/>
      <c r="G177" s="98"/>
      <c r="H177" s="101"/>
      <c r="I177" s="101"/>
      <c r="J177" s="103">
        <f t="shared" si="32"/>
        <v>0</v>
      </c>
      <c r="K177" s="101">
        <f t="shared" si="47"/>
        <v>-551301</v>
      </c>
      <c r="L177" s="101">
        <f t="shared" si="34"/>
        <v>0</v>
      </c>
      <c r="M177" s="101">
        <f t="shared" si="35"/>
        <v>0</v>
      </c>
      <c r="N177" s="101">
        <f t="shared" si="36"/>
        <v>0</v>
      </c>
      <c r="O177" s="101">
        <f t="shared" si="37"/>
        <v>0</v>
      </c>
      <c r="P177" s="101">
        <f t="shared" si="38"/>
        <v>0</v>
      </c>
      <c r="Q177" s="101">
        <f t="shared" si="39"/>
        <v>0</v>
      </c>
      <c r="R177" s="101">
        <f t="shared" si="40"/>
        <v>0</v>
      </c>
      <c r="S177" s="101">
        <f t="shared" si="41"/>
        <v>0</v>
      </c>
      <c r="T177" s="101">
        <f t="shared" si="42"/>
        <v>0</v>
      </c>
      <c r="U177" s="101">
        <f t="shared" si="43"/>
        <v>0</v>
      </c>
      <c r="V177" s="101">
        <f t="shared" si="44"/>
        <v>0</v>
      </c>
      <c r="W177" s="101">
        <f t="shared" si="45"/>
        <v>0</v>
      </c>
      <c r="X177" s="103">
        <f t="shared" si="46"/>
        <v>0</v>
      </c>
    </row>
    <row r="178" spans="1:24">
      <c r="A178" s="98"/>
      <c r="B178" s="99"/>
      <c r="C178" s="100"/>
      <c r="D178" s="98"/>
      <c r="E178" s="101"/>
      <c r="F178" s="102"/>
      <c r="G178" s="98"/>
      <c r="H178" s="101"/>
      <c r="I178" s="101"/>
      <c r="J178" s="103">
        <f t="shared" si="32"/>
        <v>0</v>
      </c>
      <c r="K178" s="101">
        <f t="shared" si="47"/>
        <v>-551301</v>
      </c>
      <c r="L178" s="101">
        <f t="shared" si="34"/>
        <v>0</v>
      </c>
      <c r="M178" s="101">
        <f t="shared" si="35"/>
        <v>0</v>
      </c>
      <c r="N178" s="101">
        <f t="shared" si="36"/>
        <v>0</v>
      </c>
      <c r="O178" s="101">
        <f t="shared" si="37"/>
        <v>0</v>
      </c>
      <c r="P178" s="101">
        <f t="shared" si="38"/>
        <v>0</v>
      </c>
      <c r="Q178" s="101">
        <f t="shared" si="39"/>
        <v>0</v>
      </c>
      <c r="R178" s="101">
        <f t="shared" si="40"/>
        <v>0</v>
      </c>
      <c r="S178" s="101">
        <f t="shared" si="41"/>
        <v>0</v>
      </c>
      <c r="T178" s="101">
        <f t="shared" si="42"/>
        <v>0</v>
      </c>
      <c r="U178" s="101">
        <f t="shared" si="43"/>
        <v>0</v>
      </c>
      <c r="V178" s="101">
        <f t="shared" si="44"/>
        <v>0</v>
      </c>
      <c r="W178" s="101">
        <f t="shared" si="45"/>
        <v>0</v>
      </c>
      <c r="X178" s="103">
        <f t="shared" si="46"/>
        <v>0</v>
      </c>
    </row>
    <row r="179" spans="1:24">
      <c r="A179" s="98"/>
      <c r="B179" s="99"/>
      <c r="C179" s="100"/>
      <c r="D179" s="98"/>
      <c r="E179" s="101"/>
      <c r="F179" s="102"/>
      <c r="G179" s="98"/>
      <c r="H179" s="101"/>
      <c r="I179" s="101"/>
      <c r="J179" s="103">
        <f t="shared" si="32"/>
        <v>0</v>
      </c>
      <c r="K179" s="101">
        <f t="shared" si="47"/>
        <v>-551301</v>
      </c>
      <c r="L179" s="101">
        <f t="shared" si="34"/>
        <v>0</v>
      </c>
      <c r="M179" s="101">
        <f t="shared" si="35"/>
        <v>0</v>
      </c>
      <c r="N179" s="101">
        <f t="shared" si="36"/>
        <v>0</v>
      </c>
      <c r="O179" s="101">
        <f t="shared" si="37"/>
        <v>0</v>
      </c>
      <c r="P179" s="101">
        <f t="shared" si="38"/>
        <v>0</v>
      </c>
      <c r="Q179" s="101">
        <f t="shared" si="39"/>
        <v>0</v>
      </c>
      <c r="R179" s="101">
        <f t="shared" si="40"/>
        <v>0</v>
      </c>
      <c r="S179" s="101">
        <f t="shared" si="41"/>
        <v>0</v>
      </c>
      <c r="T179" s="101">
        <f t="shared" si="42"/>
        <v>0</v>
      </c>
      <c r="U179" s="101">
        <f t="shared" si="43"/>
        <v>0</v>
      </c>
      <c r="V179" s="101">
        <f t="shared" si="44"/>
        <v>0</v>
      </c>
      <c r="W179" s="101">
        <f t="shared" si="45"/>
        <v>0</v>
      </c>
      <c r="X179" s="103">
        <f t="shared" si="46"/>
        <v>0</v>
      </c>
    </row>
    <row r="180" spans="1:24">
      <c r="A180" s="98"/>
      <c r="B180" s="99"/>
      <c r="C180" s="100"/>
      <c r="D180" s="98"/>
      <c r="E180" s="101"/>
      <c r="F180" s="102"/>
      <c r="G180" s="98"/>
      <c r="H180" s="101"/>
      <c r="I180" s="101"/>
      <c r="J180" s="103">
        <f t="shared" si="32"/>
        <v>0</v>
      </c>
      <c r="K180" s="101">
        <f t="shared" si="47"/>
        <v>-551301</v>
      </c>
      <c r="L180" s="101">
        <f t="shared" si="34"/>
        <v>0</v>
      </c>
      <c r="M180" s="101">
        <f t="shared" si="35"/>
        <v>0</v>
      </c>
      <c r="N180" s="101">
        <f t="shared" si="36"/>
        <v>0</v>
      </c>
      <c r="O180" s="101">
        <f t="shared" si="37"/>
        <v>0</v>
      </c>
      <c r="P180" s="101">
        <f t="shared" si="38"/>
        <v>0</v>
      </c>
      <c r="Q180" s="101">
        <f t="shared" si="39"/>
        <v>0</v>
      </c>
      <c r="R180" s="101">
        <f t="shared" si="40"/>
        <v>0</v>
      </c>
      <c r="S180" s="101">
        <f t="shared" si="41"/>
        <v>0</v>
      </c>
      <c r="T180" s="101">
        <f t="shared" si="42"/>
        <v>0</v>
      </c>
      <c r="U180" s="101">
        <f t="shared" si="43"/>
        <v>0</v>
      </c>
      <c r="V180" s="101">
        <f t="shared" si="44"/>
        <v>0</v>
      </c>
      <c r="W180" s="101">
        <f t="shared" si="45"/>
        <v>0</v>
      </c>
      <c r="X180" s="103">
        <f t="shared" si="46"/>
        <v>0</v>
      </c>
    </row>
    <row r="181" spans="1:24">
      <c r="A181" s="98"/>
      <c r="B181" s="99"/>
      <c r="C181" s="100"/>
      <c r="D181" s="98"/>
      <c r="E181" s="101"/>
      <c r="F181" s="102"/>
      <c r="G181" s="98"/>
      <c r="H181" s="101"/>
      <c r="I181" s="101"/>
      <c r="J181" s="103">
        <f t="shared" si="32"/>
        <v>0</v>
      </c>
      <c r="K181" s="101">
        <f t="shared" si="47"/>
        <v>-551301</v>
      </c>
      <c r="L181" s="101">
        <f t="shared" si="34"/>
        <v>0</v>
      </c>
      <c r="M181" s="101">
        <f t="shared" si="35"/>
        <v>0</v>
      </c>
      <c r="N181" s="101">
        <f t="shared" si="36"/>
        <v>0</v>
      </c>
      <c r="O181" s="101">
        <f t="shared" si="37"/>
        <v>0</v>
      </c>
      <c r="P181" s="101">
        <f t="shared" si="38"/>
        <v>0</v>
      </c>
      <c r="Q181" s="101">
        <f t="shared" si="39"/>
        <v>0</v>
      </c>
      <c r="R181" s="101">
        <f t="shared" si="40"/>
        <v>0</v>
      </c>
      <c r="S181" s="101">
        <f t="shared" si="41"/>
        <v>0</v>
      </c>
      <c r="T181" s="101">
        <f t="shared" si="42"/>
        <v>0</v>
      </c>
      <c r="U181" s="101">
        <f t="shared" si="43"/>
        <v>0</v>
      </c>
      <c r="V181" s="101">
        <f t="shared" si="44"/>
        <v>0</v>
      </c>
      <c r="W181" s="101">
        <f t="shared" si="45"/>
        <v>0</v>
      </c>
      <c r="X181" s="103">
        <f t="shared" si="46"/>
        <v>0</v>
      </c>
    </row>
    <row r="182" spans="1:24">
      <c r="A182" s="98"/>
      <c r="B182" s="99"/>
      <c r="C182" s="100"/>
      <c r="D182" s="98"/>
      <c r="E182" s="101"/>
      <c r="F182" s="102"/>
      <c r="G182" s="98"/>
      <c r="H182" s="101"/>
      <c r="I182" s="101"/>
      <c r="J182" s="103">
        <f t="shared" si="32"/>
        <v>0</v>
      </c>
      <c r="K182" s="101">
        <f t="shared" si="47"/>
        <v>-551301</v>
      </c>
      <c r="L182" s="101">
        <f t="shared" si="34"/>
        <v>0</v>
      </c>
      <c r="M182" s="101">
        <f t="shared" si="35"/>
        <v>0</v>
      </c>
      <c r="N182" s="101">
        <f t="shared" si="36"/>
        <v>0</v>
      </c>
      <c r="O182" s="101">
        <f t="shared" si="37"/>
        <v>0</v>
      </c>
      <c r="P182" s="101">
        <f t="shared" si="38"/>
        <v>0</v>
      </c>
      <c r="Q182" s="101">
        <f t="shared" si="39"/>
        <v>0</v>
      </c>
      <c r="R182" s="101">
        <f t="shared" si="40"/>
        <v>0</v>
      </c>
      <c r="S182" s="101">
        <f t="shared" si="41"/>
        <v>0</v>
      </c>
      <c r="T182" s="101">
        <f t="shared" si="42"/>
        <v>0</v>
      </c>
      <c r="U182" s="101">
        <f t="shared" si="43"/>
        <v>0</v>
      </c>
      <c r="V182" s="101">
        <f t="shared" si="44"/>
        <v>0</v>
      </c>
      <c r="W182" s="101">
        <f t="shared" si="45"/>
        <v>0</v>
      </c>
      <c r="X182" s="103">
        <f t="shared" si="46"/>
        <v>0</v>
      </c>
    </row>
    <row r="183" spans="1:24">
      <c r="A183" s="98"/>
      <c r="B183" s="99"/>
      <c r="C183" s="100"/>
      <c r="D183" s="98"/>
      <c r="E183" s="101"/>
      <c r="F183" s="102"/>
      <c r="G183" s="98"/>
      <c r="H183" s="101"/>
      <c r="I183" s="101"/>
      <c r="J183" s="103">
        <f t="shared" si="32"/>
        <v>0</v>
      </c>
      <c r="K183" s="101">
        <f t="shared" si="47"/>
        <v>-551301</v>
      </c>
      <c r="L183" s="101">
        <f t="shared" si="34"/>
        <v>0</v>
      </c>
      <c r="M183" s="101">
        <f t="shared" si="35"/>
        <v>0</v>
      </c>
      <c r="N183" s="101">
        <f t="shared" si="36"/>
        <v>0</v>
      </c>
      <c r="O183" s="101">
        <f t="shared" si="37"/>
        <v>0</v>
      </c>
      <c r="P183" s="101">
        <f t="shared" si="38"/>
        <v>0</v>
      </c>
      <c r="Q183" s="101">
        <f t="shared" si="39"/>
        <v>0</v>
      </c>
      <c r="R183" s="101">
        <f t="shared" si="40"/>
        <v>0</v>
      </c>
      <c r="S183" s="101">
        <f t="shared" si="41"/>
        <v>0</v>
      </c>
      <c r="T183" s="101">
        <f t="shared" si="42"/>
        <v>0</v>
      </c>
      <c r="U183" s="101">
        <f t="shared" si="43"/>
        <v>0</v>
      </c>
      <c r="V183" s="101">
        <f t="shared" si="44"/>
        <v>0</v>
      </c>
      <c r="W183" s="101">
        <f t="shared" si="45"/>
        <v>0</v>
      </c>
      <c r="X183" s="103">
        <f t="shared" si="46"/>
        <v>0</v>
      </c>
    </row>
    <row r="184" spans="1:24" ht="15">
      <c r="A184" s="149"/>
      <c r="B184" s="150"/>
      <c r="C184" s="151"/>
      <c r="D184" s="98"/>
      <c r="E184" s="152"/>
      <c r="F184" s="102"/>
      <c r="G184" s="102"/>
      <c r="H184" s="101"/>
      <c r="I184" s="103"/>
      <c r="J184" s="103">
        <f t="shared" si="32"/>
        <v>0</v>
      </c>
      <c r="K184" s="101">
        <f t="shared" si="47"/>
        <v>-551301</v>
      </c>
      <c r="L184" s="101">
        <f t="shared" si="34"/>
        <v>0</v>
      </c>
      <c r="M184" s="101">
        <f t="shared" si="35"/>
        <v>0</v>
      </c>
      <c r="N184" s="101">
        <f t="shared" si="36"/>
        <v>0</v>
      </c>
      <c r="O184" s="101">
        <f t="shared" si="37"/>
        <v>0</v>
      </c>
      <c r="P184" s="101">
        <f t="shared" si="38"/>
        <v>0</v>
      </c>
      <c r="Q184" s="101">
        <f t="shared" si="39"/>
        <v>0</v>
      </c>
      <c r="R184" s="101">
        <f t="shared" si="40"/>
        <v>0</v>
      </c>
      <c r="S184" s="101">
        <f t="shared" si="41"/>
        <v>0</v>
      </c>
      <c r="T184" s="101">
        <f t="shared" si="42"/>
        <v>0</v>
      </c>
      <c r="U184" s="101">
        <f t="shared" si="43"/>
        <v>0</v>
      </c>
      <c r="V184" s="101">
        <f t="shared" si="44"/>
        <v>0</v>
      </c>
      <c r="W184" s="101">
        <f t="shared" si="45"/>
        <v>0</v>
      </c>
      <c r="X184" s="103">
        <f t="shared" si="46"/>
        <v>0</v>
      </c>
    </row>
    <row r="185" spans="1:24" ht="15">
      <c r="A185" s="149"/>
      <c r="B185" s="150"/>
      <c r="C185" s="151"/>
      <c r="D185" s="98"/>
      <c r="E185" s="152"/>
      <c r="F185" s="102"/>
      <c r="G185" s="102"/>
      <c r="H185" s="101"/>
      <c r="I185" s="103"/>
      <c r="J185" s="103">
        <f t="shared" si="32"/>
        <v>0</v>
      </c>
      <c r="K185" s="101">
        <f t="shared" si="47"/>
        <v>-551301</v>
      </c>
      <c r="L185" s="101">
        <f t="shared" si="34"/>
        <v>0</v>
      </c>
      <c r="M185" s="101">
        <f t="shared" si="35"/>
        <v>0</v>
      </c>
      <c r="N185" s="101">
        <f t="shared" si="36"/>
        <v>0</v>
      </c>
      <c r="O185" s="101">
        <f t="shared" si="37"/>
        <v>0</v>
      </c>
      <c r="P185" s="101">
        <f t="shared" si="38"/>
        <v>0</v>
      </c>
      <c r="Q185" s="101">
        <f t="shared" si="39"/>
        <v>0</v>
      </c>
      <c r="R185" s="101">
        <f t="shared" si="40"/>
        <v>0</v>
      </c>
      <c r="S185" s="101">
        <f t="shared" si="41"/>
        <v>0</v>
      </c>
      <c r="T185" s="101">
        <f t="shared" si="42"/>
        <v>0</v>
      </c>
      <c r="U185" s="101">
        <f t="shared" si="43"/>
        <v>0</v>
      </c>
      <c r="V185" s="101">
        <f t="shared" si="44"/>
        <v>0</v>
      </c>
      <c r="W185" s="101">
        <f t="shared" si="45"/>
        <v>0</v>
      </c>
      <c r="X185" s="103">
        <f t="shared" si="46"/>
        <v>0</v>
      </c>
    </row>
    <row r="186" spans="1:24" ht="15">
      <c r="A186" s="149"/>
      <c r="B186" s="150"/>
      <c r="C186" s="151"/>
      <c r="D186" s="98"/>
      <c r="E186" s="152"/>
      <c r="F186" s="102"/>
      <c r="G186" s="102"/>
      <c r="H186" s="101"/>
      <c r="I186" s="103"/>
      <c r="J186" s="103">
        <f t="shared" si="32"/>
        <v>0</v>
      </c>
      <c r="K186" s="101">
        <f t="shared" si="47"/>
        <v>-551301</v>
      </c>
      <c r="L186" s="101">
        <f t="shared" si="34"/>
        <v>0</v>
      </c>
      <c r="M186" s="101">
        <f t="shared" si="35"/>
        <v>0</v>
      </c>
      <c r="N186" s="101">
        <f t="shared" si="36"/>
        <v>0</v>
      </c>
      <c r="O186" s="101">
        <f t="shared" si="37"/>
        <v>0</v>
      </c>
      <c r="P186" s="101">
        <f t="shared" si="38"/>
        <v>0</v>
      </c>
      <c r="Q186" s="101">
        <f t="shared" si="39"/>
        <v>0</v>
      </c>
      <c r="R186" s="101">
        <f t="shared" si="40"/>
        <v>0</v>
      </c>
      <c r="S186" s="101">
        <f t="shared" si="41"/>
        <v>0</v>
      </c>
      <c r="T186" s="101">
        <f t="shared" si="42"/>
        <v>0</v>
      </c>
      <c r="U186" s="101">
        <f t="shared" si="43"/>
        <v>0</v>
      </c>
      <c r="V186" s="101">
        <f t="shared" si="44"/>
        <v>0</v>
      </c>
      <c r="W186" s="101">
        <f t="shared" si="45"/>
        <v>0</v>
      </c>
      <c r="X186" s="103">
        <f t="shared" si="46"/>
        <v>0</v>
      </c>
    </row>
    <row r="187" spans="1:24" ht="15">
      <c r="A187" s="149"/>
      <c r="B187" s="150"/>
      <c r="C187" s="151"/>
      <c r="D187" s="98"/>
      <c r="E187" s="152"/>
      <c r="F187" s="102"/>
      <c r="G187" s="102"/>
      <c r="H187" s="101"/>
      <c r="I187" s="103"/>
      <c r="J187" s="103">
        <f t="shared" si="32"/>
        <v>0</v>
      </c>
      <c r="K187" s="101">
        <f t="shared" si="47"/>
        <v>-551301</v>
      </c>
      <c r="L187" s="101">
        <f t="shared" si="34"/>
        <v>0</v>
      </c>
      <c r="M187" s="101">
        <f t="shared" si="35"/>
        <v>0</v>
      </c>
      <c r="N187" s="101">
        <f t="shared" si="36"/>
        <v>0</v>
      </c>
      <c r="O187" s="101">
        <f t="shared" si="37"/>
        <v>0</v>
      </c>
      <c r="P187" s="101">
        <f t="shared" si="38"/>
        <v>0</v>
      </c>
      <c r="Q187" s="101">
        <f t="shared" si="39"/>
        <v>0</v>
      </c>
      <c r="R187" s="101">
        <f t="shared" si="40"/>
        <v>0</v>
      </c>
      <c r="S187" s="101">
        <f t="shared" si="41"/>
        <v>0</v>
      </c>
      <c r="T187" s="101">
        <f t="shared" si="42"/>
        <v>0</v>
      </c>
      <c r="U187" s="101">
        <f t="shared" si="43"/>
        <v>0</v>
      </c>
      <c r="V187" s="101">
        <f t="shared" si="44"/>
        <v>0</v>
      </c>
      <c r="W187" s="101">
        <f t="shared" si="45"/>
        <v>0</v>
      </c>
      <c r="X187" s="103">
        <f t="shared" si="46"/>
        <v>0</v>
      </c>
    </row>
    <row r="188" spans="1:24" ht="15">
      <c r="A188" s="149"/>
      <c r="B188" s="150"/>
      <c r="C188" s="151"/>
      <c r="D188" s="98"/>
      <c r="E188" s="152"/>
      <c r="F188" s="102"/>
      <c r="G188" s="102"/>
      <c r="H188" s="101"/>
      <c r="I188" s="103"/>
      <c r="J188" s="103">
        <f t="shared" si="32"/>
        <v>0</v>
      </c>
      <c r="K188" s="101">
        <f t="shared" si="47"/>
        <v>-551301</v>
      </c>
      <c r="L188" s="101">
        <f t="shared" si="34"/>
        <v>0</v>
      </c>
      <c r="M188" s="101">
        <f t="shared" si="35"/>
        <v>0</v>
      </c>
      <c r="N188" s="101">
        <f t="shared" si="36"/>
        <v>0</v>
      </c>
      <c r="O188" s="101">
        <f t="shared" si="37"/>
        <v>0</v>
      </c>
      <c r="P188" s="101">
        <f t="shared" si="38"/>
        <v>0</v>
      </c>
      <c r="Q188" s="101">
        <f t="shared" si="39"/>
        <v>0</v>
      </c>
      <c r="R188" s="101">
        <f t="shared" si="40"/>
        <v>0</v>
      </c>
      <c r="S188" s="101">
        <f t="shared" si="41"/>
        <v>0</v>
      </c>
      <c r="T188" s="101">
        <f t="shared" si="42"/>
        <v>0</v>
      </c>
      <c r="U188" s="101">
        <f t="shared" si="43"/>
        <v>0</v>
      </c>
      <c r="V188" s="101">
        <f t="shared" si="44"/>
        <v>0</v>
      </c>
      <c r="W188" s="101">
        <f t="shared" si="45"/>
        <v>0</v>
      </c>
      <c r="X188" s="103">
        <f t="shared" si="46"/>
        <v>0</v>
      </c>
    </row>
    <row r="189" spans="1:24" ht="15">
      <c r="A189" s="149"/>
      <c r="B189" s="150"/>
      <c r="C189" s="151"/>
      <c r="D189" s="98"/>
      <c r="E189" s="152"/>
      <c r="F189" s="102"/>
      <c r="G189" s="102"/>
      <c r="H189" s="101"/>
      <c r="I189" s="103"/>
      <c r="J189" s="103">
        <f t="shared" si="32"/>
        <v>0</v>
      </c>
      <c r="K189" s="101">
        <f t="shared" si="47"/>
        <v>-551301</v>
      </c>
      <c r="L189" s="101">
        <f t="shared" si="34"/>
        <v>0</v>
      </c>
      <c r="M189" s="101">
        <f t="shared" si="35"/>
        <v>0</v>
      </c>
      <c r="N189" s="101">
        <f t="shared" si="36"/>
        <v>0</v>
      </c>
      <c r="O189" s="101">
        <f t="shared" si="37"/>
        <v>0</v>
      </c>
      <c r="P189" s="101">
        <f t="shared" si="38"/>
        <v>0</v>
      </c>
      <c r="Q189" s="101">
        <f t="shared" si="39"/>
        <v>0</v>
      </c>
      <c r="R189" s="101">
        <f t="shared" si="40"/>
        <v>0</v>
      </c>
      <c r="S189" s="101">
        <f t="shared" si="41"/>
        <v>0</v>
      </c>
      <c r="T189" s="101">
        <f t="shared" si="42"/>
        <v>0</v>
      </c>
      <c r="U189" s="101">
        <f t="shared" si="43"/>
        <v>0</v>
      </c>
      <c r="V189" s="101">
        <f t="shared" si="44"/>
        <v>0</v>
      </c>
      <c r="W189" s="101">
        <f t="shared" si="45"/>
        <v>0</v>
      </c>
      <c r="X189" s="103">
        <f t="shared" si="46"/>
        <v>0</v>
      </c>
    </row>
    <row r="190" spans="1:24" ht="15">
      <c r="A190" s="149"/>
      <c r="B190" s="150"/>
      <c r="C190" s="151"/>
      <c r="D190" s="98"/>
      <c r="E190" s="152"/>
      <c r="F190" s="102"/>
      <c r="G190" s="102"/>
      <c r="H190" s="101"/>
      <c r="I190" s="103"/>
      <c r="J190" s="103">
        <f t="shared" si="32"/>
        <v>0</v>
      </c>
      <c r="K190" s="101">
        <f t="shared" si="47"/>
        <v>-551301</v>
      </c>
      <c r="L190" s="101">
        <f t="shared" si="34"/>
        <v>0</v>
      </c>
      <c r="M190" s="101">
        <f t="shared" si="35"/>
        <v>0</v>
      </c>
      <c r="N190" s="101">
        <f t="shared" si="36"/>
        <v>0</v>
      </c>
      <c r="O190" s="101">
        <f t="shared" si="37"/>
        <v>0</v>
      </c>
      <c r="P190" s="101">
        <f t="shared" si="38"/>
        <v>0</v>
      </c>
      <c r="Q190" s="101">
        <f t="shared" si="39"/>
        <v>0</v>
      </c>
      <c r="R190" s="101">
        <f t="shared" si="40"/>
        <v>0</v>
      </c>
      <c r="S190" s="101">
        <f t="shared" si="41"/>
        <v>0</v>
      </c>
      <c r="T190" s="101">
        <f t="shared" si="42"/>
        <v>0</v>
      </c>
      <c r="U190" s="101">
        <f t="shared" si="43"/>
        <v>0</v>
      </c>
      <c r="V190" s="101">
        <f t="shared" si="44"/>
        <v>0</v>
      </c>
      <c r="W190" s="101">
        <f t="shared" si="45"/>
        <v>0</v>
      </c>
      <c r="X190" s="103">
        <f t="shared" si="46"/>
        <v>0</v>
      </c>
    </row>
    <row r="191" spans="1:24" ht="15">
      <c r="A191" s="149"/>
      <c r="B191" s="150"/>
      <c r="C191" s="151"/>
      <c r="D191" s="98"/>
      <c r="E191" s="152"/>
      <c r="F191" s="102"/>
      <c r="G191" s="102"/>
      <c r="H191" s="101"/>
      <c r="I191" s="103"/>
      <c r="J191" s="103">
        <f t="shared" si="32"/>
        <v>0</v>
      </c>
      <c r="K191" s="101">
        <f t="shared" ref="K191:K222" si="48">K190+J191</f>
        <v>-551301</v>
      </c>
      <c r="L191" s="101">
        <f t="shared" si="34"/>
        <v>0</v>
      </c>
      <c r="M191" s="101">
        <f t="shared" si="35"/>
        <v>0</v>
      </c>
      <c r="N191" s="101">
        <f t="shared" si="36"/>
        <v>0</v>
      </c>
      <c r="O191" s="101">
        <f t="shared" si="37"/>
        <v>0</v>
      </c>
      <c r="P191" s="101">
        <f t="shared" si="38"/>
        <v>0</v>
      </c>
      <c r="Q191" s="101">
        <f t="shared" si="39"/>
        <v>0</v>
      </c>
      <c r="R191" s="101">
        <f t="shared" si="40"/>
        <v>0</v>
      </c>
      <c r="S191" s="101">
        <f t="shared" si="41"/>
        <v>0</v>
      </c>
      <c r="T191" s="101">
        <f t="shared" si="42"/>
        <v>0</v>
      </c>
      <c r="U191" s="101">
        <f t="shared" si="43"/>
        <v>0</v>
      </c>
      <c r="V191" s="101">
        <f t="shared" si="44"/>
        <v>0</v>
      </c>
      <c r="W191" s="101">
        <f t="shared" si="45"/>
        <v>0</v>
      </c>
      <c r="X191" s="103">
        <f t="shared" si="46"/>
        <v>0</v>
      </c>
    </row>
    <row r="192" spans="1:24" ht="15">
      <c r="A192" s="149"/>
      <c r="B192" s="150"/>
      <c r="C192" s="151"/>
      <c r="D192" s="98"/>
      <c r="E192" s="152"/>
      <c r="F192" s="102"/>
      <c r="G192" s="102"/>
      <c r="H192" s="101"/>
      <c r="I192" s="103"/>
      <c r="J192" s="103">
        <f t="shared" si="32"/>
        <v>0</v>
      </c>
      <c r="K192" s="101">
        <f t="shared" si="48"/>
        <v>-551301</v>
      </c>
      <c r="L192" s="101">
        <f t="shared" si="34"/>
        <v>0</v>
      </c>
      <c r="M192" s="101">
        <f t="shared" si="35"/>
        <v>0</v>
      </c>
      <c r="N192" s="101">
        <f t="shared" si="36"/>
        <v>0</v>
      </c>
      <c r="O192" s="101">
        <f t="shared" si="37"/>
        <v>0</v>
      </c>
      <c r="P192" s="101">
        <f t="shared" si="38"/>
        <v>0</v>
      </c>
      <c r="Q192" s="101">
        <f t="shared" si="39"/>
        <v>0</v>
      </c>
      <c r="R192" s="101">
        <f t="shared" si="40"/>
        <v>0</v>
      </c>
      <c r="S192" s="101">
        <f t="shared" si="41"/>
        <v>0</v>
      </c>
      <c r="T192" s="101">
        <f t="shared" si="42"/>
        <v>0</v>
      </c>
      <c r="U192" s="101">
        <f t="shared" si="43"/>
        <v>0</v>
      </c>
      <c r="V192" s="101">
        <f t="shared" si="44"/>
        <v>0</v>
      </c>
      <c r="W192" s="101">
        <f t="shared" si="45"/>
        <v>0</v>
      </c>
      <c r="X192" s="103">
        <f t="shared" si="46"/>
        <v>0</v>
      </c>
    </row>
    <row r="193" spans="1:24" ht="15">
      <c r="A193" s="149"/>
      <c r="B193" s="150"/>
      <c r="C193" s="151"/>
      <c r="D193" s="98"/>
      <c r="E193" s="152"/>
      <c r="F193" s="102"/>
      <c r="G193" s="102"/>
      <c r="H193" s="101"/>
      <c r="I193" s="103"/>
      <c r="J193" s="103">
        <f t="shared" si="32"/>
        <v>0</v>
      </c>
      <c r="K193" s="101">
        <f t="shared" si="48"/>
        <v>-551301</v>
      </c>
      <c r="L193" s="101">
        <f t="shared" si="34"/>
        <v>0</v>
      </c>
      <c r="M193" s="101">
        <f t="shared" si="35"/>
        <v>0</v>
      </c>
      <c r="N193" s="101">
        <f t="shared" si="36"/>
        <v>0</v>
      </c>
      <c r="O193" s="101">
        <f t="shared" si="37"/>
        <v>0</v>
      </c>
      <c r="P193" s="101">
        <f t="shared" si="38"/>
        <v>0</v>
      </c>
      <c r="Q193" s="101">
        <f t="shared" si="39"/>
        <v>0</v>
      </c>
      <c r="R193" s="101">
        <f t="shared" si="40"/>
        <v>0</v>
      </c>
      <c r="S193" s="101">
        <f t="shared" si="41"/>
        <v>0</v>
      </c>
      <c r="T193" s="101">
        <f t="shared" si="42"/>
        <v>0</v>
      </c>
      <c r="U193" s="101">
        <f t="shared" si="43"/>
        <v>0</v>
      </c>
      <c r="V193" s="101">
        <f t="shared" si="44"/>
        <v>0</v>
      </c>
      <c r="W193" s="101">
        <f t="shared" si="45"/>
        <v>0</v>
      </c>
      <c r="X193" s="103">
        <f t="shared" si="46"/>
        <v>0</v>
      </c>
    </row>
    <row r="194" spans="1:24">
      <c r="A194" s="98"/>
      <c r="B194" s="99"/>
      <c r="C194" s="100"/>
      <c r="D194" s="98"/>
      <c r="E194" s="101"/>
      <c r="F194" s="102"/>
      <c r="G194" s="98"/>
      <c r="H194" s="101"/>
      <c r="I194" s="101"/>
      <c r="J194" s="103">
        <f t="shared" si="32"/>
        <v>0</v>
      </c>
      <c r="K194" s="101">
        <f t="shared" si="48"/>
        <v>-551301</v>
      </c>
      <c r="L194" s="101">
        <f t="shared" si="34"/>
        <v>0</v>
      </c>
      <c r="M194" s="101">
        <f t="shared" si="35"/>
        <v>0</v>
      </c>
      <c r="N194" s="101">
        <f t="shared" si="36"/>
        <v>0</v>
      </c>
      <c r="O194" s="101">
        <f t="shared" si="37"/>
        <v>0</v>
      </c>
      <c r="P194" s="101">
        <f t="shared" si="38"/>
        <v>0</v>
      </c>
      <c r="Q194" s="101">
        <f t="shared" si="39"/>
        <v>0</v>
      </c>
      <c r="R194" s="101">
        <f t="shared" si="40"/>
        <v>0</v>
      </c>
      <c r="S194" s="101">
        <f t="shared" si="41"/>
        <v>0</v>
      </c>
      <c r="T194" s="101">
        <f t="shared" si="42"/>
        <v>0</v>
      </c>
      <c r="U194" s="101">
        <f t="shared" si="43"/>
        <v>0</v>
      </c>
      <c r="V194" s="101">
        <f t="shared" si="44"/>
        <v>0</v>
      </c>
      <c r="W194" s="101">
        <f t="shared" si="45"/>
        <v>0</v>
      </c>
      <c r="X194" s="103">
        <f t="shared" si="46"/>
        <v>0</v>
      </c>
    </row>
    <row r="195" spans="1:24" ht="15">
      <c r="A195" s="149"/>
      <c r="B195" s="150"/>
      <c r="C195" s="151"/>
      <c r="D195" s="98"/>
      <c r="E195" s="152"/>
      <c r="F195" s="102"/>
      <c r="G195" s="102"/>
      <c r="H195" s="101"/>
      <c r="I195" s="103"/>
      <c r="J195" s="103">
        <f t="shared" si="32"/>
        <v>0</v>
      </c>
      <c r="K195" s="101">
        <f t="shared" si="48"/>
        <v>-551301</v>
      </c>
      <c r="L195" s="101">
        <f t="shared" si="34"/>
        <v>0</v>
      </c>
      <c r="M195" s="101">
        <f t="shared" si="35"/>
        <v>0</v>
      </c>
      <c r="N195" s="101">
        <f t="shared" si="36"/>
        <v>0</v>
      </c>
      <c r="O195" s="101">
        <f t="shared" si="37"/>
        <v>0</v>
      </c>
      <c r="P195" s="101">
        <f t="shared" si="38"/>
        <v>0</v>
      </c>
      <c r="Q195" s="101">
        <f t="shared" si="39"/>
        <v>0</v>
      </c>
      <c r="R195" s="101">
        <f t="shared" si="40"/>
        <v>0</v>
      </c>
      <c r="S195" s="101">
        <f t="shared" si="41"/>
        <v>0</v>
      </c>
      <c r="T195" s="101">
        <f t="shared" si="42"/>
        <v>0</v>
      </c>
      <c r="U195" s="101">
        <f t="shared" si="43"/>
        <v>0</v>
      </c>
      <c r="V195" s="101">
        <f t="shared" si="44"/>
        <v>0</v>
      </c>
      <c r="W195" s="101">
        <f t="shared" si="45"/>
        <v>0</v>
      </c>
      <c r="X195" s="103">
        <f t="shared" si="46"/>
        <v>0</v>
      </c>
    </row>
    <row r="196" spans="1:24" ht="15">
      <c r="A196" s="149"/>
      <c r="B196" s="150"/>
      <c r="C196" s="151"/>
      <c r="D196" s="98"/>
      <c r="E196" s="152"/>
      <c r="F196" s="102"/>
      <c r="G196" s="102"/>
      <c r="H196" s="101"/>
      <c r="I196" s="103"/>
      <c r="J196" s="103">
        <f t="shared" si="32"/>
        <v>0</v>
      </c>
      <c r="K196" s="101">
        <f t="shared" si="48"/>
        <v>-551301</v>
      </c>
      <c r="L196" s="101">
        <f t="shared" si="34"/>
        <v>0</v>
      </c>
      <c r="M196" s="101">
        <f t="shared" si="35"/>
        <v>0</v>
      </c>
      <c r="N196" s="101">
        <f t="shared" si="36"/>
        <v>0</v>
      </c>
      <c r="O196" s="101">
        <f t="shared" si="37"/>
        <v>0</v>
      </c>
      <c r="P196" s="101">
        <f t="shared" si="38"/>
        <v>0</v>
      </c>
      <c r="Q196" s="101">
        <f t="shared" si="39"/>
        <v>0</v>
      </c>
      <c r="R196" s="101">
        <f t="shared" si="40"/>
        <v>0</v>
      </c>
      <c r="S196" s="101">
        <f t="shared" si="41"/>
        <v>0</v>
      </c>
      <c r="T196" s="101">
        <f t="shared" si="42"/>
        <v>0</v>
      </c>
      <c r="U196" s="101">
        <f t="shared" si="43"/>
        <v>0</v>
      </c>
      <c r="V196" s="101">
        <f t="shared" si="44"/>
        <v>0</v>
      </c>
      <c r="W196" s="101">
        <f t="shared" si="45"/>
        <v>0</v>
      </c>
      <c r="X196" s="103">
        <f t="shared" si="46"/>
        <v>0</v>
      </c>
    </row>
    <row r="197" spans="1:24">
      <c r="A197" s="98"/>
      <c r="B197" s="99"/>
      <c r="C197" s="100"/>
      <c r="D197" s="98"/>
      <c r="E197" s="101"/>
      <c r="F197" s="102"/>
      <c r="G197" s="98"/>
      <c r="H197" s="101"/>
      <c r="I197" s="101"/>
      <c r="J197" s="103">
        <f t="shared" si="32"/>
        <v>0</v>
      </c>
      <c r="K197" s="101">
        <f t="shared" si="48"/>
        <v>-551301</v>
      </c>
      <c r="L197" s="101">
        <f t="shared" si="34"/>
        <v>0</v>
      </c>
      <c r="M197" s="101">
        <f t="shared" si="35"/>
        <v>0</v>
      </c>
      <c r="N197" s="101">
        <f t="shared" si="36"/>
        <v>0</v>
      </c>
      <c r="O197" s="101">
        <f t="shared" si="37"/>
        <v>0</v>
      </c>
      <c r="P197" s="101">
        <f t="shared" si="38"/>
        <v>0</v>
      </c>
      <c r="Q197" s="101">
        <f t="shared" si="39"/>
        <v>0</v>
      </c>
      <c r="R197" s="101">
        <f t="shared" si="40"/>
        <v>0</v>
      </c>
      <c r="S197" s="101">
        <f t="shared" si="41"/>
        <v>0</v>
      </c>
      <c r="T197" s="101">
        <f t="shared" si="42"/>
        <v>0</v>
      </c>
      <c r="U197" s="101">
        <f t="shared" si="43"/>
        <v>0</v>
      </c>
      <c r="V197" s="101">
        <f t="shared" si="44"/>
        <v>0</v>
      </c>
      <c r="W197" s="101">
        <f t="shared" si="45"/>
        <v>0</v>
      </c>
      <c r="X197" s="103">
        <f t="shared" si="46"/>
        <v>0</v>
      </c>
    </row>
    <row r="198" spans="1:24">
      <c r="A198" s="98"/>
      <c r="B198" s="99"/>
      <c r="C198" s="100"/>
      <c r="D198" s="98"/>
      <c r="E198" s="101"/>
      <c r="F198" s="102"/>
      <c r="G198" s="98"/>
      <c r="H198" s="101"/>
      <c r="I198" s="101"/>
      <c r="J198" s="103">
        <f t="shared" ref="J198:J261" si="49">I198+E198+H198</f>
        <v>0</v>
      </c>
      <c r="K198" s="101">
        <f t="shared" si="48"/>
        <v>-551301</v>
      </c>
      <c r="L198" s="101">
        <f t="shared" ref="L198:L263" si="50">IF(C198=1,SUM(E198+I198+H198),(0))</f>
        <v>0</v>
      </c>
      <c r="M198" s="101">
        <f t="shared" ref="M198:M263" si="51">IF(C198=2,SUM(E198+I198+H198),(0))</f>
        <v>0</v>
      </c>
      <c r="N198" s="101">
        <f t="shared" ref="N198:N263" si="52">IF(C198=3,SUM(E198+I198+H198),(0))</f>
        <v>0</v>
      </c>
      <c r="O198" s="101">
        <f t="shared" ref="O198:O263" si="53">IF(C198=4,SUM(E198+I198+H198),(0))</f>
        <v>0</v>
      </c>
      <c r="P198" s="101">
        <f t="shared" ref="P198:P263" si="54">IF(C198=5,SUM(E198+I198+H198),(0))</f>
        <v>0</v>
      </c>
      <c r="Q198" s="101">
        <f t="shared" ref="Q198:Q263" si="55">IF(C198=6,SUM(E198+I198+H198),(0))</f>
        <v>0</v>
      </c>
      <c r="R198" s="101">
        <f t="shared" ref="R198:R263" si="56">IF(C198=7,SUM(E198+I198+H198),(0))</f>
        <v>0</v>
      </c>
      <c r="S198" s="101">
        <f t="shared" ref="S198:S263" si="57">IF(C198=8,SUM(E198+I198+H198),(0))</f>
        <v>0</v>
      </c>
      <c r="T198" s="101">
        <f t="shared" ref="T198:T263" si="58">IF(C198=8.1,SUM(E198+I198+H198),(0))</f>
        <v>0</v>
      </c>
      <c r="U198" s="101">
        <f t="shared" ref="U198:U263" si="59">IF(C198=9,SUM(E198+I198+H198),(0))</f>
        <v>0</v>
      </c>
      <c r="V198" s="101">
        <f t="shared" ref="V198:V263" si="60">IF(C198=10,SUM(E198+H198+I198),(0))</f>
        <v>0</v>
      </c>
      <c r="W198" s="101">
        <f t="shared" ref="W198:W263" si="61">IF(C198=11,SUM(E198+I198+H198),(0))</f>
        <v>0</v>
      </c>
      <c r="X198" s="103">
        <f t="shared" ref="X198:X261" si="62">SUM(L198:W198)</f>
        <v>0</v>
      </c>
    </row>
    <row r="199" spans="1:24">
      <c r="A199" s="98"/>
      <c r="B199" s="99"/>
      <c r="C199" s="100"/>
      <c r="D199" s="98"/>
      <c r="E199" s="101"/>
      <c r="F199" s="102"/>
      <c r="G199" s="98"/>
      <c r="H199" s="101"/>
      <c r="I199" s="101"/>
      <c r="J199" s="103">
        <f t="shared" si="49"/>
        <v>0</v>
      </c>
      <c r="K199" s="101">
        <f t="shared" si="48"/>
        <v>-551301</v>
      </c>
      <c r="L199" s="101">
        <f t="shared" si="50"/>
        <v>0</v>
      </c>
      <c r="M199" s="101">
        <f t="shared" si="51"/>
        <v>0</v>
      </c>
      <c r="N199" s="101">
        <f t="shared" si="52"/>
        <v>0</v>
      </c>
      <c r="O199" s="101">
        <f t="shared" si="53"/>
        <v>0</v>
      </c>
      <c r="P199" s="101">
        <f t="shared" si="54"/>
        <v>0</v>
      </c>
      <c r="Q199" s="101">
        <f t="shared" si="55"/>
        <v>0</v>
      </c>
      <c r="R199" s="101">
        <f t="shared" si="56"/>
        <v>0</v>
      </c>
      <c r="S199" s="101">
        <f t="shared" si="57"/>
        <v>0</v>
      </c>
      <c r="T199" s="101">
        <f t="shared" si="58"/>
        <v>0</v>
      </c>
      <c r="U199" s="101">
        <f t="shared" si="59"/>
        <v>0</v>
      </c>
      <c r="V199" s="101">
        <f t="shared" si="60"/>
        <v>0</v>
      </c>
      <c r="W199" s="101">
        <f t="shared" si="61"/>
        <v>0</v>
      </c>
      <c r="X199" s="103">
        <f t="shared" si="62"/>
        <v>0</v>
      </c>
    </row>
    <row r="200" spans="1:24" ht="15">
      <c r="A200" s="149"/>
      <c r="B200" s="150"/>
      <c r="C200" s="151"/>
      <c r="D200" s="98"/>
      <c r="E200" s="152"/>
      <c r="F200" s="102"/>
      <c r="G200" s="102"/>
      <c r="H200" s="101"/>
      <c r="I200" s="103"/>
      <c r="J200" s="103">
        <f t="shared" si="49"/>
        <v>0</v>
      </c>
      <c r="K200" s="101">
        <f t="shared" si="48"/>
        <v>-551301</v>
      </c>
      <c r="L200" s="101">
        <f t="shared" si="50"/>
        <v>0</v>
      </c>
      <c r="M200" s="101">
        <f t="shared" si="51"/>
        <v>0</v>
      </c>
      <c r="N200" s="101">
        <f t="shared" si="52"/>
        <v>0</v>
      </c>
      <c r="O200" s="101">
        <f t="shared" si="53"/>
        <v>0</v>
      </c>
      <c r="P200" s="101">
        <f t="shared" si="54"/>
        <v>0</v>
      </c>
      <c r="Q200" s="101">
        <f t="shared" si="55"/>
        <v>0</v>
      </c>
      <c r="R200" s="101">
        <f t="shared" si="56"/>
        <v>0</v>
      </c>
      <c r="S200" s="101">
        <f t="shared" si="57"/>
        <v>0</v>
      </c>
      <c r="T200" s="101">
        <f t="shared" si="58"/>
        <v>0</v>
      </c>
      <c r="U200" s="101">
        <f t="shared" si="59"/>
        <v>0</v>
      </c>
      <c r="V200" s="101">
        <f t="shared" si="60"/>
        <v>0</v>
      </c>
      <c r="W200" s="101">
        <f t="shared" si="61"/>
        <v>0</v>
      </c>
      <c r="X200" s="103">
        <f t="shared" si="62"/>
        <v>0</v>
      </c>
    </row>
    <row r="201" spans="1:24" ht="15">
      <c r="A201" s="149"/>
      <c r="B201" s="150"/>
      <c r="C201" s="151"/>
      <c r="D201" s="98"/>
      <c r="E201" s="152"/>
      <c r="F201" s="102"/>
      <c r="G201" s="102"/>
      <c r="H201" s="101"/>
      <c r="I201" s="103"/>
      <c r="J201" s="103">
        <f t="shared" si="49"/>
        <v>0</v>
      </c>
      <c r="K201" s="101">
        <f t="shared" si="48"/>
        <v>-551301</v>
      </c>
      <c r="L201" s="101">
        <f t="shared" si="50"/>
        <v>0</v>
      </c>
      <c r="M201" s="101">
        <f t="shared" si="51"/>
        <v>0</v>
      </c>
      <c r="N201" s="101">
        <f t="shared" si="52"/>
        <v>0</v>
      </c>
      <c r="O201" s="101">
        <f t="shared" si="53"/>
        <v>0</v>
      </c>
      <c r="P201" s="101">
        <f t="shared" si="54"/>
        <v>0</v>
      </c>
      <c r="Q201" s="101">
        <f t="shared" si="55"/>
        <v>0</v>
      </c>
      <c r="R201" s="101">
        <f t="shared" si="56"/>
        <v>0</v>
      </c>
      <c r="S201" s="101">
        <f t="shared" si="57"/>
        <v>0</v>
      </c>
      <c r="T201" s="101">
        <f t="shared" si="58"/>
        <v>0</v>
      </c>
      <c r="U201" s="101">
        <f t="shared" si="59"/>
        <v>0</v>
      </c>
      <c r="V201" s="101">
        <f t="shared" si="60"/>
        <v>0</v>
      </c>
      <c r="W201" s="101">
        <f t="shared" si="61"/>
        <v>0</v>
      </c>
      <c r="X201" s="103">
        <f t="shared" si="62"/>
        <v>0</v>
      </c>
    </row>
    <row r="202" spans="1:24" ht="15">
      <c r="A202" s="149"/>
      <c r="B202" s="150"/>
      <c r="C202" s="151"/>
      <c r="D202" s="98"/>
      <c r="E202" s="152"/>
      <c r="F202" s="102"/>
      <c r="G202" s="102"/>
      <c r="H202" s="101"/>
      <c r="I202" s="103"/>
      <c r="J202" s="103">
        <f t="shared" si="49"/>
        <v>0</v>
      </c>
      <c r="K202" s="101">
        <f t="shared" si="48"/>
        <v>-551301</v>
      </c>
      <c r="L202" s="101">
        <f t="shared" si="50"/>
        <v>0</v>
      </c>
      <c r="M202" s="101">
        <f t="shared" si="51"/>
        <v>0</v>
      </c>
      <c r="N202" s="101">
        <f t="shared" si="52"/>
        <v>0</v>
      </c>
      <c r="O202" s="101">
        <f t="shared" si="53"/>
        <v>0</v>
      </c>
      <c r="P202" s="101">
        <f t="shared" si="54"/>
        <v>0</v>
      </c>
      <c r="Q202" s="101">
        <f t="shared" si="55"/>
        <v>0</v>
      </c>
      <c r="R202" s="101">
        <f t="shared" si="56"/>
        <v>0</v>
      </c>
      <c r="S202" s="101">
        <f t="shared" si="57"/>
        <v>0</v>
      </c>
      <c r="T202" s="101">
        <f t="shared" si="58"/>
        <v>0</v>
      </c>
      <c r="U202" s="101">
        <f t="shared" si="59"/>
        <v>0</v>
      </c>
      <c r="V202" s="101">
        <f t="shared" si="60"/>
        <v>0</v>
      </c>
      <c r="W202" s="101">
        <f t="shared" si="61"/>
        <v>0</v>
      </c>
      <c r="X202" s="103">
        <f t="shared" si="62"/>
        <v>0</v>
      </c>
    </row>
    <row r="203" spans="1:24">
      <c r="A203" s="98"/>
      <c r="B203" s="99"/>
      <c r="C203" s="100"/>
      <c r="D203" s="98"/>
      <c r="E203" s="101"/>
      <c r="F203" s="102"/>
      <c r="G203" s="98"/>
      <c r="H203" s="101"/>
      <c r="I203" s="101"/>
      <c r="J203" s="103">
        <f t="shared" si="49"/>
        <v>0</v>
      </c>
      <c r="K203" s="101">
        <f t="shared" si="48"/>
        <v>-551301</v>
      </c>
      <c r="L203" s="101">
        <f t="shared" si="50"/>
        <v>0</v>
      </c>
      <c r="M203" s="101">
        <f t="shared" si="51"/>
        <v>0</v>
      </c>
      <c r="N203" s="101">
        <f t="shared" si="52"/>
        <v>0</v>
      </c>
      <c r="O203" s="101">
        <f t="shared" si="53"/>
        <v>0</v>
      </c>
      <c r="P203" s="101">
        <f t="shared" si="54"/>
        <v>0</v>
      </c>
      <c r="Q203" s="101">
        <f t="shared" si="55"/>
        <v>0</v>
      </c>
      <c r="R203" s="101">
        <f t="shared" si="56"/>
        <v>0</v>
      </c>
      <c r="S203" s="101">
        <f t="shared" si="57"/>
        <v>0</v>
      </c>
      <c r="T203" s="101">
        <f t="shared" si="58"/>
        <v>0</v>
      </c>
      <c r="U203" s="101">
        <f t="shared" si="59"/>
        <v>0</v>
      </c>
      <c r="V203" s="101">
        <f t="shared" si="60"/>
        <v>0</v>
      </c>
      <c r="W203" s="101">
        <f t="shared" si="61"/>
        <v>0</v>
      </c>
      <c r="X203" s="103">
        <f t="shared" si="62"/>
        <v>0</v>
      </c>
    </row>
    <row r="204" spans="1:24" ht="15">
      <c r="A204" s="149"/>
      <c r="B204" s="150"/>
      <c r="C204" s="151"/>
      <c r="D204" s="98"/>
      <c r="E204" s="152"/>
      <c r="F204" s="102"/>
      <c r="G204" s="102"/>
      <c r="H204" s="101"/>
      <c r="I204" s="103"/>
      <c r="J204" s="103">
        <f t="shared" si="49"/>
        <v>0</v>
      </c>
      <c r="K204" s="101">
        <f t="shared" si="48"/>
        <v>-551301</v>
      </c>
      <c r="L204" s="101">
        <f t="shared" si="50"/>
        <v>0</v>
      </c>
      <c r="M204" s="101">
        <f t="shared" si="51"/>
        <v>0</v>
      </c>
      <c r="N204" s="101">
        <f t="shared" si="52"/>
        <v>0</v>
      </c>
      <c r="O204" s="101">
        <f t="shared" si="53"/>
        <v>0</v>
      </c>
      <c r="P204" s="101">
        <f t="shared" si="54"/>
        <v>0</v>
      </c>
      <c r="Q204" s="101">
        <f t="shared" si="55"/>
        <v>0</v>
      </c>
      <c r="R204" s="101">
        <f t="shared" si="56"/>
        <v>0</v>
      </c>
      <c r="S204" s="101">
        <f t="shared" si="57"/>
        <v>0</v>
      </c>
      <c r="T204" s="101">
        <f t="shared" si="58"/>
        <v>0</v>
      </c>
      <c r="U204" s="101">
        <f t="shared" si="59"/>
        <v>0</v>
      </c>
      <c r="V204" s="101">
        <f t="shared" si="60"/>
        <v>0</v>
      </c>
      <c r="W204" s="101">
        <f t="shared" si="61"/>
        <v>0</v>
      </c>
      <c r="X204" s="103">
        <f t="shared" si="62"/>
        <v>0</v>
      </c>
    </row>
    <row r="205" spans="1:24">
      <c r="A205" s="98"/>
      <c r="B205" s="99"/>
      <c r="C205" s="100"/>
      <c r="D205" s="98"/>
      <c r="E205" s="101"/>
      <c r="F205" s="102"/>
      <c r="G205" s="98"/>
      <c r="H205" s="101"/>
      <c r="I205" s="101"/>
      <c r="J205" s="103">
        <f t="shared" si="49"/>
        <v>0</v>
      </c>
      <c r="K205" s="101">
        <f t="shared" si="48"/>
        <v>-551301</v>
      </c>
      <c r="L205" s="101">
        <f t="shared" si="50"/>
        <v>0</v>
      </c>
      <c r="M205" s="101">
        <f t="shared" si="51"/>
        <v>0</v>
      </c>
      <c r="N205" s="101">
        <f t="shared" si="52"/>
        <v>0</v>
      </c>
      <c r="O205" s="101">
        <f t="shared" si="53"/>
        <v>0</v>
      </c>
      <c r="P205" s="101">
        <f t="shared" si="54"/>
        <v>0</v>
      </c>
      <c r="Q205" s="101">
        <f t="shared" si="55"/>
        <v>0</v>
      </c>
      <c r="R205" s="101">
        <f t="shared" si="56"/>
        <v>0</v>
      </c>
      <c r="S205" s="101">
        <f t="shared" si="57"/>
        <v>0</v>
      </c>
      <c r="T205" s="101">
        <f t="shared" si="58"/>
        <v>0</v>
      </c>
      <c r="U205" s="101">
        <f t="shared" si="59"/>
        <v>0</v>
      </c>
      <c r="V205" s="101">
        <f t="shared" si="60"/>
        <v>0</v>
      </c>
      <c r="W205" s="101">
        <f t="shared" si="61"/>
        <v>0</v>
      </c>
      <c r="X205" s="103">
        <f t="shared" si="62"/>
        <v>0</v>
      </c>
    </row>
    <row r="206" spans="1:24">
      <c r="A206" s="98"/>
      <c r="B206" s="99"/>
      <c r="C206" s="100"/>
      <c r="D206" s="98"/>
      <c r="E206" s="101"/>
      <c r="F206" s="102"/>
      <c r="G206" s="98"/>
      <c r="H206" s="101"/>
      <c r="I206" s="101"/>
      <c r="J206" s="103">
        <f t="shared" si="49"/>
        <v>0</v>
      </c>
      <c r="K206" s="101">
        <f t="shared" si="48"/>
        <v>-551301</v>
      </c>
      <c r="L206" s="101">
        <f t="shared" si="50"/>
        <v>0</v>
      </c>
      <c r="M206" s="101">
        <f t="shared" si="51"/>
        <v>0</v>
      </c>
      <c r="N206" s="101">
        <f t="shared" si="52"/>
        <v>0</v>
      </c>
      <c r="O206" s="101">
        <f t="shared" si="53"/>
        <v>0</v>
      </c>
      <c r="P206" s="101">
        <f t="shared" si="54"/>
        <v>0</v>
      </c>
      <c r="Q206" s="101">
        <f t="shared" si="55"/>
        <v>0</v>
      </c>
      <c r="R206" s="101">
        <f t="shared" si="56"/>
        <v>0</v>
      </c>
      <c r="S206" s="101">
        <f t="shared" si="57"/>
        <v>0</v>
      </c>
      <c r="T206" s="101">
        <f t="shared" si="58"/>
        <v>0</v>
      </c>
      <c r="U206" s="101">
        <f t="shared" si="59"/>
        <v>0</v>
      </c>
      <c r="V206" s="101">
        <f t="shared" si="60"/>
        <v>0</v>
      </c>
      <c r="W206" s="101">
        <f t="shared" si="61"/>
        <v>0</v>
      </c>
      <c r="X206" s="103">
        <f t="shared" si="62"/>
        <v>0</v>
      </c>
    </row>
    <row r="207" spans="1:24">
      <c r="A207" s="98"/>
      <c r="B207" s="99"/>
      <c r="C207" s="100"/>
      <c r="D207" s="98"/>
      <c r="E207" s="101"/>
      <c r="F207" s="102"/>
      <c r="G207" s="98"/>
      <c r="H207" s="101"/>
      <c r="I207" s="101"/>
      <c r="J207" s="103">
        <f t="shared" si="49"/>
        <v>0</v>
      </c>
      <c r="K207" s="101">
        <f t="shared" si="48"/>
        <v>-551301</v>
      </c>
      <c r="L207" s="101">
        <f t="shared" si="50"/>
        <v>0</v>
      </c>
      <c r="M207" s="101">
        <f t="shared" si="51"/>
        <v>0</v>
      </c>
      <c r="N207" s="101">
        <f t="shared" si="52"/>
        <v>0</v>
      </c>
      <c r="O207" s="101">
        <f t="shared" si="53"/>
        <v>0</v>
      </c>
      <c r="P207" s="101">
        <f t="shared" si="54"/>
        <v>0</v>
      </c>
      <c r="Q207" s="101">
        <f t="shared" si="55"/>
        <v>0</v>
      </c>
      <c r="R207" s="101">
        <f t="shared" si="56"/>
        <v>0</v>
      </c>
      <c r="S207" s="101">
        <f t="shared" si="57"/>
        <v>0</v>
      </c>
      <c r="T207" s="101">
        <f t="shared" si="58"/>
        <v>0</v>
      </c>
      <c r="U207" s="101">
        <f t="shared" si="59"/>
        <v>0</v>
      </c>
      <c r="V207" s="101">
        <f t="shared" si="60"/>
        <v>0</v>
      </c>
      <c r="W207" s="101">
        <f t="shared" si="61"/>
        <v>0</v>
      </c>
      <c r="X207" s="103">
        <f t="shared" si="62"/>
        <v>0</v>
      </c>
    </row>
    <row r="208" spans="1:24">
      <c r="A208" s="98"/>
      <c r="B208" s="99"/>
      <c r="C208" s="100"/>
      <c r="D208" s="98"/>
      <c r="E208" s="101"/>
      <c r="F208" s="102"/>
      <c r="G208" s="98"/>
      <c r="H208" s="101"/>
      <c r="I208" s="101"/>
      <c r="J208" s="103">
        <f t="shared" si="49"/>
        <v>0</v>
      </c>
      <c r="K208" s="101">
        <f t="shared" si="48"/>
        <v>-551301</v>
      </c>
      <c r="L208" s="101">
        <f t="shared" si="50"/>
        <v>0</v>
      </c>
      <c r="M208" s="101">
        <f t="shared" si="51"/>
        <v>0</v>
      </c>
      <c r="N208" s="101">
        <f t="shared" si="52"/>
        <v>0</v>
      </c>
      <c r="O208" s="101">
        <f t="shared" si="53"/>
        <v>0</v>
      </c>
      <c r="P208" s="101">
        <f t="shared" si="54"/>
        <v>0</v>
      </c>
      <c r="Q208" s="101">
        <f t="shared" si="55"/>
        <v>0</v>
      </c>
      <c r="R208" s="101">
        <f t="shared" si="56"/>
        <v>0</v>
      </c>
      <c r="S208" s="101">
        <f t="shared" si="57"/>
        <v>0</v>
      </c>
      <c r="T208" s="101">
        <f t="shared" si="58"/>
        <v>0</v>
      </c>
      <c r="U208" s="101">
        <f t="shared" si="59"/>
        <v>0</v>
      </c>
      <c r="V208" s="101">
        <f t="shared" si="60"/>
        <v>0</v>
      </c>
      <c r="W208" s="101">
        <f t="shared" si="61"/>
        <v>0</v>
      </c>
      <c r="X208" s="103">
        <f t="shared" si="62"/>
        <v>0</v>
      </c>
    </row>
    <row r="209" spans="1:24" ht="15">
      <c r="A209" s="149"/>
      <c r="B209" s="150"/>
      <c r="C209" s="151"/>
      <c r="D209" s="98"/>
      <c r="E209" s="152"/>
      <c r="F209" s="102"/>
      <c r="G209" s="102"/>
      <c r="H209" s="101"/>
      <c r="I209" s="103"/>
      <c r="J209" s="103">
        <f t="shared" si="49"/>
        <v>0</v>
      </c>
      <c r="K209" s="101">
        <f t="shared" si="48"/>
        <v>-551301</v>
      </c>
      <c r="L209" s="101">
        <f t="shared" si="50"/>
        <v>0</v>
      </c>
      <c r="M209" s="101">
        <f t="shared" si="51"/>
        <v>0</v>
      </c>
      <c r="N209" s="101">
        <f t="shared" si="52"/>
        <v>0</v>
      </c>
      <c r="O209" s="101">
        <f t="shared" si="53"/>
        <v>0</v>
      </c>
      <c r="P209" s="101">
        <f t="shared" si="54"/>
        <v>0</v>
      </c>
      <c r="Q209" s="101">
        <f t="shared" si="55"/>
        <v>0</v>
      </c>
      <c r="R209" s="101">
        <f t="shared" si="56"/>
        <v>0</v>
      </c>
      <c r="S209" s="101">
        <f t="shared" si="57"/>
        <v>0</v>
      </c>
      <c r="T209" s="101">
        <f t="shared" si="58"/>
        <v>0</v>
      </c>
      <c r="U209" s="101">
        <f t="shared" si="59"/>
        <v>0</v>
      </c>
      <c r="V209" s="101">
        <f t="shared" si="60"/>
        <v>0</v>
      </c>
      <c r="W209" s="101">
        <f t="shared" si="61"/>
        <v>0</v>
      </c>
      <c r="X209" s="103">
        <f t="shared" si="62"/>
        <v>0</v>
      </c>
    </row>
    <row r="210" spans="1:24">
      <c r="A210" s="98"/>
      <c r="B210" s="99"/>
      <c r="C210" s="100"/>
      <c r="D210" s="98"/>
      <c r="E210" s="101"/>
      <c r="F210" s="102"/>
      <c r="G210" s="98"/>
      <c r="H210" s="101"/>
      <c r="I210" s="101"/>
      <c r="J210" s="103">
        <f t="shared" si="49"/>
        <v>0</v>
      </c>
      <c r="K210" s="101">
        <f t="shared" si="48"/>
        <v>-551301</v>
      </c>
      <c r="L210" s="101">
        <f t="shared" si="50"/>
        <v>0</v>
      </c>
      <c r="M210" s="101">
        <f t="shared" si="51"/>
        <v>0</v>
      </c>
      <c r="N210" s="101">
        <f t="shared" si="52"/>
        <v>0</v>
      </c>
      <c r="O210" s="101">
        <f t="shared" si="53"/>
        <v>0</v>
      </c>
      <c r="P210" s="101">
        <f t="shared" si="54"/>
        <v>0</v>
      </c>
      <c r="Q210" s="101">
        <f t="shared" si="55"/>
        <v>0</v>
      </c>
      <c r="R210" s="101">
        <f t="shared" si="56"/>
        <v>0</v>
      </c>
      <c r="S210" s="101">
        <f t="shared" si="57"/>
        <v>0</v>
      </c>
      <c r="T210" s="101">
        <f t="shared" si="58"/>
        <v>0</v>
      </c>
      <c r="U210" s="101">
        <f t="shared" si="59"/>
        <v>0</v>
      </c>
      <c r="V210" s="101">
        <f t="shared" si="60"/>
        <v>0</v>
      </c>
      <c r="W210" s="101">
        <f t="shared" si="61"/>
        <v>0</v>
      </c>
      <c r="X210" s="103">
        <f t="shared" si="62"/>
        <v>0</v>
      </c>
    </row>
    <row r="211" spans="1:24">
      <c r="A211" s="98"/>
      <c r="B211" s="99"/>
      <c r="C211" s="100"/>
      <c r="D211" s="98"/>
      <c r="E211" s="101"/>
      <c r="F211" s="102"/>
      <c r="G211" s="98"/>
      <c r="H211" s="101"/>
      <c r="I211" s="101"/>
      <c r="J211" s="103">
        <f t="shared" si="49"/>
        <v>0</v>
      </c>
      <c r="K211" s="101">
        <f t="shared" si="48"/>
        <v>-551301</v>
      </c>
      <c r="L211" s="101">
        <f t="shared" si="50"/>
        <v>0</v>
      </c>
      <c r="M211" s="101">
        <f t="shared" si="51"/>
        <v>0</v>
      </c>
      <c r="N211" s="101">
        <f t="shared" si="52"/>
        <v>0</v>
      </c>
      <c r="O211" s="101">
        <f t="shared" si="53"/>
        <v>0</v>
      </c>
      <c r="P211" s="101">
        <f t="shared" si="54"/>
        <v>0</v>
      </c>
      <c r="Q211" s="101">
        <f t="shared" si="55"/>
        <v>0</v>
      </c>
      <c r="R211" s="101">
        <f t="shared" si="56"/>
        <v>0</v>
      </c>
      <c r="S211" s="101">
        <f t="shared" si="57"/>
        <v>0</v>
      </c>
      <c r="T211" s="101">
        <f t="shared" si="58"/>
        <v>0</v>
      </c>
      <c r="U211" s="101">
        <f t="shared" si="59"/>
        <v>0</v>
      </c>
      <c r="V211" s="101">
        <f t="shared" si="60"/>
        <v>0</v>
      </c>
      <c r="W211" s="101">
        <f t="shared" si="61"/>
        <v>0</v>
      </c>
      <c r="X211" s="103">
        <f t="shared" si="62"/>
        <v>0</v>
      </c>
    </row>
    <row r="212" spans="1:24" ht="15">
      <c r="A212" s="149"/>
      <c r="B212" s="150"/>
      <c r="C212" s="151"/>
      <c r="D212" s="98"/>
      <c r="E212" s="152"/>
      <c r="F212" s="102"/>
      <c r="G212" s="102"/>
      <c r="H212" s="101"/>
      <c r="I212" s="103"/>
      <c r="J212" s="103">
        <f t="shared" si="49"/>
        <v>0</v>
      </c>
      <c r="K212" s="101">
        <f t="shared" si="48"/>
        <v>-551301</v>
      </c>
      <c r="L212" s="101">
        <f t="shared" si="50"/>
        <v>0</v>
      </c>
      <c r="M212" s="101">
        <f t="shared" si="51"/>
        <v>0</v>
      </c>
      <c r="N212" s="101">
        <f t="shared" si="52"/>
        <v>0</v>
      </c>
      <c r="O212" s="101">
        <f t="shared" si="53"/>
        <v>0</v>
      </c>
      <c r="P212" s="101">
        <f t="shared" si="54"/>
        <v>0</v>
      </c>
      <c r="Q212" s="101">
        <f t="shared" si="55"/>
        <v>0</v>
      </c>
      <c r="R212" s="101">
        <f t="shared" si="56"/>
        <v>0</v>
      </c>
      <c r="S212" s="101">
        <f t="shared" si="57"/>
        <v>0</v>
      </c>
      <c r="T212" s="101">
        <f t="shared" si="58"/>
        <v>0</v>
      </c>
      <c r="U212" s="101">
        <f t="shared" si="59"/>
        <v>0</v>
      </c>
      <c r="V212" s="101">
        <f t="shared" si="60"/>
        <v>0</v>
      </c>
      <c r="W212" s="101">
        <f t="shared" si="61"/>
        <v>0</v>
      </c>
      <c r="X212" s="103">
        <f t="shared" si="62"/>
        <v>0</v>
      </c>
    </row>
    <row r="213" spans="1:24" ht="15">
      <c r="A213" s="149"/>
      <c r="B213" s="150"/>
      <c r="C213" s="151"/>
      <c r="D213" s="98"/>
      <c r="E213" s="152"/>
      <c r="F213" s="102"/>
      <c r="G213" s="102"/>
      <c r="H213" s="101"/>
      <c r="I213" s="103"/>
      <c r="J213" s="103">
        <f t="shared" si="49"/>
        <v>0</v>
      </c>
      <c r="K213" s="101">
        <f t="shared" si="48"/>
        <v>-551301</v>
      </c>
      <c r="L213" s="101">
        <f t="shared" si="50"/>
        <v>0</v>
      </c>
      <c r="M213" s="101">
        <f t="shared" si="51"/>
        <v>0</v>
      </c>
      <c r="N213" s="101">
        <f t="shared" si="52"/>
        <v>0</v>
      </c>
      <c r="O213" s="101">
        <f t="shared" si="53"/>
        <v>0</v>
      </c>
      <c r="P213" s="101">
        <f t="shared" si="54"/>
        <v>0</v>
      </c>
      <c r="Q213" s="101">
        <f t="shared" si="55"/>
        <v>0</v>
      </c>
      <c r="R213" s="101">
        <f t="shared" si="56"/>
        <v>0</v>
      </c>
      <c r="S213" s="101">
        <f t="shared" si="57"/>
        <v>0</v>
      </c>
      <c r="T213" s="101">
        <f t="shared" si="58"/>
        <v>0</v>
      </c>
      <c r="U213" s="101">
        <f t="shared" si="59"/>
        <v>0</v>
      </c>
      <c r="V213" s="101">
        <f t="shared" si="60"/>
        <v>0</v>
      </c>
      <c r="W213" s="101">
        <f t="shared" si="61"/>
        <v>0</v>
      </c>
      <c r="X213" s="103">
        <f t="shared" si="62"/>
        <v>0</v>
      </c>
    </row>
    <row r="214" spans="1:24" ht="15">
      <c r="A214" s="149"/>
      <c r="B214" s="150"/>
      <c r="C214" s="151"/>
      <c r="D214" s="98"/>
      <c r="E214" s="152"/>
      <c r="F214" s="102"/>
      <c r="G214" s="102"/>
      <c r="H214" s="101"/>
      <c r="I214" s="103"/>
      <c r="J214" s="103">
        <f t="shared" si="49"/>
        <v>0</v>
      </c>
      <c r="K214" s="101">
        <f t="shared" si="48"/>
        <v>-551301</v>
      </c>
      <c r="L214" s="101">
        <f t="shared" si="50"/>
        <v>0</v>
      </c>
      <c r="M214" s="101">
        <f t="shared" si="51"/>
        <v>0</v>
      </c>
      <c r="N214" s="101">
        <f t="shared" si="52"/>
        <v>0</v>
      </c>
      <c r="O214" s="101">
        <f t="shared" si="53"/>
        <v>0</v>
      </c>
      <c r="P214" s="101">
        <f t="shared" si="54"/>
        <v>0</v>
      </c>
      <c r="Q214" s="101">
        <f t="shared" si="55"/>
        <v>0</v>
      </c>
      <c r="R214" s="101">
        <f t="shared" si="56"/>
        <v>0</v>
      </c>
      <c r="S214" s="101">
        <f t="shared" si="57"/>
        <v>0</v>
      </c>
      <c r="T214" s="101">
        <f t="shared" si="58"/>
        <v>0</v>
      </c>
      <c r="U214" s="101">
        <f t="shared" si="59"/>
        <v>0</v>
      </c>
      <c r="V214" s="101">
        <f t="shared" si="60"/>
        <v>0</v>
      </c>
      <c r="W214" s="101">
        <f t="shared" si="61"/>
        <v>0</v>
      </c>
      <c r="X214" s="103">
        <f t="shared" si="62"/>
        <v>0</v>
      </c>
    </row>
    <row r="215" spans="1:24" ht="15">
      <c r="A215" s="149"/>
      <c r="B215" s="150"/>
      <c r="C215" s="151"/>
      <c r="D215" s="98"/>
      <c r="E215" s="152"/>
      <c r="F215" s="102"/>
      <c r="G215" s="102"/>
      <c r="H215" s="101"/>
      <c r="I215" s="103"/>
      <c r="J215" s="103">
        <f t="shared" si="49"/>
        <v>0</v>
      </c>
      <c r="K215" s="101">
        <f t="shared" si="48"/>
        <v>-551301</v>
      </c>
      <c r="L215" s="101">
        <f t="shared" si="50"/>
        <v>0</v>
      </c>
      <c r="M215" s="101">
        <f t="shared" si="51"/>
        <v>0</v>
      </c>
      <c r="N215" s="101">
        <f t="shared" si="52"/>
        <v>0</v>
      </c>
      <c r="O215" s="101">
        <f t="shared" si="53"/>
        <v>0</v>
      </c>
      <c r="P215" s="101">
        <f t="shared" si="54"/>
        <v>0</v>
      </c>
      <c r="Q215" s="101">
        <f t="shared" si="55"/>
        <v>0</v>
      </c>
      <c r="R215" s="101">
        <f t="shared" si="56"/>
        <v>0</v>
      </c>
      <c r="S215" s="101">
        <f t="shared" si="57"/>
        <v>0</v>
      </c>
      <c r="T215" s="101">
        <f t="shared" si="58"/>
        <v>0</v>
      </c>
      <c r="U215" s="101">
        <f t="shared" si="59"/>
        <v>0</v>
      </c>
      <c r="V215" s="101">
        <f t="shared" si="60"/>
        <v>0</v>
      </c>
      <c r="W215" s="101">
        <f t="shared" si="61"/>
        <v>0</v>
      </c>
      <c r="X215" s="103">
        <f t="shared" si="62"/>
        <v>0</v>
      </c>
    </row>
    <row r="216" spans="1:24">
      <c r="A216" s="98"/>
      <c r="B216" s="99"/>
      <c r="C216" s="100"/>
      <c r="D216" s="98"/>
      <c r="E216" s="101"/>
      <c r="F216" s="102"/>
      <c r="G216" s="98"/>
      <c r="H216" s="101"/>
      <c r="I216" s="101"/>
      <c r="J216" s="103">
        <f t="shared" si="49"/>
        <v>0</v>
      </c>
      <c r="K216" s="101">
        <f t="shared" si="48"/>
        <v>-551301</v>
      </c>
      <c r="L216" s="101">
        <f t="shared" si="50"/>
        <v>0</v>
      </c>
      <c r="M216" s="101">
        <f t="shared" si="51"/>
        <v>0</v>
      </c>
      <c r="N216" s="101">
        <f t="shared" si="52"/>
        <v>0</v>
      </c>
      <c r="O216" s="101">
        <f t="shared" si="53"/>
        <v>0</v>
      </c>
      <c r="P216" s="101">
        <f t="shared" si="54"/>
        <v>0</v>
      </c>
      <c r="Q216" s="101">
        <f t="shared" si="55"/>
        <v>0</v>
      </c>
      <c r="R216" s="101">
        <f t="shared" si="56"/>
        <v>0</v>
      </c>
      <c r="S216" s="101">
        <f t="shared" si="57"/>
        <v>0</v>
      </c>
      <c r="T216" s="101">
        <f t="shared" si="58"/>
        <v>0</v>
      </c>
      <c r="U216" s="101">
        <f t="shared" si="59"/>
        <v>0</v>
      </c>
      <c r="V216" s="101">
        <f t="shared" si="60"/>
        <v>0</v>
      </c>
      <c r="W216" s="101">
        <f t="shared" si="61"/>
        <v>0</v>
      </c>
      <c r="X216" s="103">
        <f t="shared" si="62"/>
        <v>0</v>
      </c>
    </row>
    <row r="217" spans="1:24">
      <c r="A217" s="98"/>
      <c r="B217" s="99"/>
      <c r="C217" s="100"/>
      <c r="D217" s="98"/>
      <c r="E217" s="101"/>
      <c r="F217" s="102"/>
      <c r="G217" s="98"/>
      <c r="H217" s="101"/>
      <c r="I217" s="101"/>
      <c r="J217" s="103">
        <f t="shared" si="49"/>
        <v>0</v>
      </c>
      <c r="K217" s="101">
        <f t="shared" si="48"/>
        <v>-551301</v>
      </c>
      <c r="L217" s="101">
        <f t="shared" si="50"/>
        <v>0</v>
      </c>
      <c r="M217" s="101">
        <f t="shared" si="51"/>
        <v>0</v>
      </c>
      <c r="N217" s="101">
        <f t="shared" si="52"/>
        <v>0</v>
      </c>
      <c r="O217" s="101">
        <f t="shared" si="53"/>
        <v>0</v>
      </c>
      <c r="P217" s="101">
        <f t="shared" si="54"/>
        <v>0</v>
      </c>
      <c r="Q217" s="101">
        <f t="shared" si="55"/>
        <v>0</v>
      </c>
      <c r="R217" s="101">
        <f t="shared" si="56"/>
        <v>0</v>
      </c>
      <c r="S217" s="101">
        <f t="shared" si="57"/>
        <v>0</v>
      </c>
      <c r="T217" s="101">
        <f t="shared" si="58"/>
        <v>0</v>
      </c>
      <c r="U217" s="101">
        <f t="shared" si="59"/>
        <v>0</v>
      </c>
      <c r="V217" s="101">
        <f t="shared" si="60"/>
        <v>0</v>
      </c>
      <c r="W217" s="101">
        <f t="shared" si="61"/>
        <v>0</v>
      </c>
      <c r="X217" s="103">
        <f t="shared" si="62"/>
        <v>0</v>
      </c>
    </row>
    <row r="218" spans="1:24" ht="15">
      <c r="A218" s="149"/>
      <c r="B218" s="150"/>
      <c r="C218" s="151"/>
      <c r="D218" s="98"/>
      <c r="E218" s="152"/>
      <c r="F218" s="102"/>
      <c r="G218" s="102"/>
      <c r="H218" s="101"/>
      <c r="I218" s="103"/>
      <c r="J218" s="103">
        <f t="shared" si="49"/>
        <v>0</v>
      </c>
      <c r="K218" s="101">
        <f t="shared" si="48"/>
        <v>-551301</v>
      </c>
      <c r="L218" s="101">
        <f t="shared" si="50"/>
        <v>0</v>
      </c>
      <c r="M218" s="101">
        <f t="shared" si="51"/>
        <v>0</v>
      </c>
      <c r="N218" s="101">
        <f t="shared" si="52"/>
        <v>0</v>
      </c>
      <c r="O218" s="101">
        <f t="shared" si="53"/>
        <v>0</v>
      </c>
      <c r="P218" s="101">
        <f t="shared" si="54"/>
        <v>0</v>
      </c>
      <c r="Q218" s="101">
        <f t="shared" si="55"/>
        <v>0</v>
      </c>
      <c r="R218" s="101">
        <f t="shared" si="56"/>
        <v>0</v>
      </c>
      <c r="S218" s="101">
        <f t="shared" si="57"/>
        <v>0</v>
      </c>
      <c r="T218" s="101">
        <f t="shared" si="58"/>
        <v>0</v>
      </c>
      <c r="U218" s="101">
        <f t="shared" si="59"/>
        <v>0</v>
      </c>
      <c r="V218" s="101">
        <f t="shared" si="60"/>
        <v>0</v>
      </c>
      <c r="W218" s="101">
        <f t="shared" si="61"/>
        <v>0</v>
      </c>
      <c r="X218" s="103">
        <f t="shared" si="62"/>
        <v>0</v>
      </c>
    </row>
    <row r="219" spans="1:24" ht="15">
      <c r="A219" s="149"/>
      <c r="B219" s="150"/>
      <c r="C219" s="151"/>
      <c r="D219" s="98"/>
      <c r="E219" s="152"/>
      <c r="F219" s="102"/>
      <c r="G219" s="102"/>
      <c r="H219" s="101"/>
      <c r="I219" s="103"/>
      <c r="J219" s="103">
        <f t="shared" si="49"/>
        <v>0</v>
      </c>
      <c r="K219" s="101">
        <f t="shared" si="48"/>
        <v>-551301</v>
      </c>
      <c r="L219" s="101">
        <f t="shared" si="50"/>
        <v>0</v>
      </c>
      <c r="M219" s="101">
        <f t="shared" si="51"/>
        <v>0</v>
      </c>
      <c r="N219" s="101">
        <f t="shared" si="52"/>
        <v>0</v>
      </c>
      <c r="O219" s="101">
        <f t="shared" si="53"/>
        <v>0</v>
      </c>
      <c r="P219" s="101">
        <f t="shared" si="54"/>
        <v>0</v>
      </c>
      <c r="Q219" s="101">
        <f t="shared" si="55"/>
        <v>0</v>
      </c>
      <c r="R219" s="101">
        <f t="shared" si="56"/>
        <v>0</v>
      </c>
      <c r="S219" s="101">
        <f t="shared" si="57"/>
        <v>0</v>
      </c>
      <c r="T219" s="101">
        <f t="shared" si="58"/>
        <v>0</v>
      </c>
      <c r="U219" s="101">
        <f t="shared" si="59"/>
        <v>0</v>
      </c>
      <c r="V219" s="101">
        <f t="shared" si="60"/>
        <v>0</v>
      </c>
      <c r="W219" s="101">
        <f t="shared" si="61"/>
        <v>0</v>
      </c>
      <c r="X219" s="103">
        <f t="shared" si="62"/>
        <v>0</v>
      </c>
    </row>
    <row r="220" spans="1:24" ht="15">
      <c r="A220" s="149"/>
      <c r="B220" s="150"/>
      <c r="C220" s="151"/>
      <c r="D220" s="98"/>
      <c r="E220" s="152"/>
      <c r="F220" s="102"/>
      <c r="G220" s="102"/>
      <c r="H220" s="101"/>
      <c r="I220" s="103"/>
      <c r="J220" s="103">
        <f t="shared" si="49"/>
        <v>0</v>
      </c>
      <c r="K220" s="101">
        <f t="shared" si="48"/>
        <v>-551301</v>
      </c>
      <c r="L220" s="101">
        <f t="shared" si="50"/>
        <v>0</v>
      </c>
      <c r="M220" s="101">
        <f t="shared" si="51"/>
        <v>0</v>
      </c>
      <c r="N220" s="101">
        <f t="shared" si="52"/>
        <v>0</v>
      </c>
      <c r="O220" s="101">
        <f t="shared" si="53"/>
        <v>0</v>
      </c>
      <c r="P220" s="101">
        <f t="shared" si="54"/>
        <v>0</v>
      </c>
      <c r="Q220" s="101">
        <f t="shared" si="55"/>
        <v>0</v>
      </c>
      <c r="R220" s="101">
        <f t="shared" si="56"/>
        <v>0</v>
      </c>
      <c r="S220" s="101">
        <f t="shared" si="57"/>
        <v>0</v>
      </c>
      <c r="T220" s="101">
        <f t="shared" si="58"/>
        <v>0</v>
      </c>
      <c r="U220" s="101">
        <f t="shared" si="59"/>
        <v>0</v>
      </c>
      <c r="V220" s="101">
        <f t="shared" si="60"/>
        <v>0</v>
      </c>
      <c r="W220" s="101">
        <f t="shared" si="61"/>
        <v>0</v>
      </c>
      <c r="X220" s="103">
        <f t="shared" si="62"/>
        <v>0</v>
      </c>
    </row>
    <row r="221" spans="1:24" ht="15">
      <c r="A221" s="149"/>
      <c r="B221" s="150"/>
      <c r="C221" s="151"/>
      <c r="D221" s="98"/>
      <c r="E221" s="152"/>
      <c r="F221" s="102"/>
      <c r="G221" s="102"/>
      <c r="H221" s="101"/>
      <c r="I221" s="103"/>
      <c r="J221" s="103">
        <f t="shared" si="49"/>
        <v>0</v>
      </c>
      <c r="K221" s="101">
        <f t="shared" si="48"/>
        <v>-551301</v>
      </c>
      <c r="L221" s="101">
        <f t="shared" si="50"/>
        <v>0</v>
      </c>
      <c r="M221" s="101">
        <f t="shared" si="51"/>
        <v>0</v>
      </c>
      <c r="N221" s="101">
        <f t="shared" si="52"/>
        <v>0</v>
      </c>
      <c r="O221" s="101">
        <f t="shared" si="53"/>
        <v>0</v>
      </c>
      <c r="P221" s="101">
        <f t="shared" si="54"/>
        <v>0</v>
      </c>
      <c r="Q221" s="101">
        <f t="shared" si="55"/>
        <v>0</v>
      </c>
      <c r="R221" s="101">
        <f t="shared" si="56"/>
        <v>0</v>
      </c>
      <c r="S221" s="101">
        <f t="shared" si="57"/>
        <v>0</v>
      </c>
      <c r="T221" s="101">
        <f t="shared" si="58"/>
        <v>0</v>
      </c>
      <c r="U221" s="101">
        <f t="shared" si="59"/>
        <v>0</v>
      </c>
      <c r="V221" s="101">
        <f t="shared" si="60"/>
        <v>0</v>
      </c>
      <c r="W221" s="101">
        <f t="shared" si="61"/>
        <v>0</v>
      </c>
      <c r="X221" s="103">
        <f t="shared" si="62"/>
        <v>0</v>
      </c>
    </row>
    <row r="222" spans="1:24" ht="15">
      <c r="A222" s="149"/>
      <c r="B222" s="150"/>
      <c r="C222" s="151"/>
      <c r="D222" s="98"/>
      <c r="E222" s="152"/>
      <c r="F222" s="102"/>
      <c r="G222" s="102"/>
      <c r="H222" s="101"/>
      <c r="I222" s="103"/>
      <c r="J222" s="103">
        <f t="shared" si="49"/>
        <v>0</v>
      </c>
      <c r="K222" s="101">
        <f t="shared" si="48"/>
        <v>-551301</v>
      </c>
      <c r="L222" s="101">
        <f t="shared" si="50"/>
        <v>0</v>
      </c>
      <c r="M222" s="101">
        <f t="shared" si="51"/>
        <v>0</v>
      </c>
      <c r="N222" s="101">
        <f t="shared" si="52"/>
        <v>0</v>
      </c>
      <c r="O222" s="101">
        <f t="shared" si="53"/>
        <v>0</v>
      </c>
      <c r="P222" s="101">
        <f t="shared" si="54"/>
        <v>0</v>
      </c>
      <c r="Q222" s="101">
        <f t="shared" si="55"/>
        <v>0</v>
      </c>
      <c r="R222" s="101">
        <f t="shared" si="56"/>
        <v>0</v>
      </c>
      <c r="S222" s="101">
        <f t="shared" si="57"/>
        <v>0</v>
      </c>
      <c r="T222" s="101">
        <f t="shared" si="58"/>
        <v>0</v>
      </c>
      <c r="U222" s="101">
        <f t="shared" si="59"/>
        <v>0</v>
      </c>
      <c r="V222" s="101">
        <f t="shared" si="60"/>
        <v>0</v>
      </c>
      <c r="W222" s="101">
        <f t="shared" si="61"/>
        <v>0</v>
      </c>
      <c r="X222" s="103">
        <f t="shared" si="62"/>
        <v>0</v>
      </c>
    </row>
    <row r="223" spans="1:24" ht="15">
      <c r="A223" s="149"/>
      <c r="B223" s="150"/>
      <c r="C223" s="151"/>
      <c r="D223" s="98"/>
      <c r="E223" s="152"/>
      <c r="F223" s="102"/>
      <c r="G223" s="102"/>
      <c r="H223" s="101"/>
      <c r="I223" s="103"/>
      <c r="J223" s="103">
        <f t="shared" si="49"/>
        <v>0</v>
      </c>
      <c r="K223" s="101">
        <f t="shared" ref="K223:K254" si="63">K222+J223</f>
        <v>-551301</v>
      </c>
      <c r="L223" s="101">
        <f t="shared" si="50"/>
        <v>0</v>
      </c>
      <c r="M223" s="101">
        <f t="shared" si="51"/>
        <v>0</v>
      </c>
      <c r="N223" s="101">
        <f t="shared" si="52"/>
        <v>0</v>
      </c>
      <c r="O223" s="101">
        <f t="shared" si="53"/>
        <v>0</v>
      </c>
      <c r="P223" s="101">
        <f t="shared" si="54"/>
        <v>0</v>
      </c>
      <c r="Q223" s="101">
        <f t="shared" si="55"/>
        <v>0</v>
      </c>
      <c r="R223" s="101">
        <f t="shared" si="56"/>
        <v>0</v>
      </c>
      <c r="S223" s="101">
        <f t="shared" si="57"/>
        <v>0</v>
      </c>
      <c r="T223" s="101">
        <f t="shared" si="58"/>
        <v>0</v>
      </c>
      <c r="U223" s="101">
        <f t="shared" si="59"/>
        <v>0</v>
      </c>
      <c r="V223" s="101">
        <f t="shared" si="60"/>
        <v>0</v>
      </c>
      <c r="W223" s="101">
        <f t="shared" si="61"/>
        <v>0</v>
      </c>
      <c r="X223" s="103">
        <f t="shared" si="62"/>
        <v>0</v>
      </c>
    </row>
    <row r="224" spans="1:24" ht="15">
      <c r="A224" s="149"/>
      <c r="B224" s="150"/>
      <c r="C224" s="151"/>
      <c r="D224" s="98"/>
      <c r="E224" s="152"/>
      <c r="F224" s="102"/>
      <c r="G224" s="102"/>
      <c r="H224" s="101"/>
      <c r="I224" s="103"/>
      <c r="J224" s="103">
        <f t="shared" si="49"/>
        <v>0</v>
      </c>
      <c r="K224" s="101">
        <f t="shared" si="63"/>
        <v>-551301</v>
      </c>
      <c r="L224" s="101">
        <f t="shared" si="50"/>
        <v>0</v>
      </c>
      <c r="M224" s="101">
        <f t="shared" si="51"/>
        <v>0</v>
      </c>
      <c r="N224" s="101">
        <f t="shared" si="52"/>
        <v>0</v>
      </c>
      <c r="O224" s="101">
        <f t="shared" si="53"/>
        <v>0</v>
      </c>
      <c r="P224" s="101">
        <f t="shared" si="54"/>
        <v>0</v>
      </c>
      <c r="Q224" s="101">
        <f t="shared" si="55"/>
        <v>0</v>
      </c>
      <c r="R224" s="101">
        <f t="shared" si="56"/>
        <v>0</v>
      </c>
      <c r="S224" s="101">
        <f t="shared" si="57"/>
        <v>0</v>
      </c>
      <c r="T224" s="101">
        <f t="shared" si="58"/>
        <v>0</v>
      </c>
      <c r="U224" s="101">
        <f t="shared" si="59"/>
        <v>0</v>
      </c>
      <c r="V224" s="101">
        <f t="shared" si="60"/>
        <v>0</v>
      </c>
      <c r="W224" s="101">
        <f t="shared" si="61"/>
        <v>0</v>
      </c>
      <c r="X224" s="103">
        <f t="shared" si="62"/>
        <v>0</v>
      </c>
    </row>
    <row r="225" spans="1:24" ht="15">
      <c r="A225" s="149"/>
      <c r="B225" s="150"/>
      <c r="C225" s="151"/>
      <c r="D225" s="98"/>
      <c r="E225" s="152"/>
      <c r="F225" s="102"/>
      <c r="G225" s="102"/>
      <c r="H225" s="101"/>
      <c r="I225" s="103"/>
      <c r="J225" s="103">
        <f t="shared" si="49"/>
        <v>0</v>
      </c>
      <c r="K225" s="101">
        <f t="shared" si="63"/>
        <v>-551301</v>
      </c>
      <c r="L225" s="101">
        <f t="shared" si="50"/>
        <v>0</v>
      </c>
      <c r="M225" s="101">
        <f t="shared" si="51"/>
        <v>0</v>
      </c>
      <c r="N225" s="101">
        <f t="shared" si="52"/>
        <v>0</v>
      </c>
      <c r="O225" s="101">
        <f t="shared" si="53"/>
        <v>0</v>
      </c>
      <c r="P225" s="101">
        <f t="shared" si="54"/>
        <v>0</v>
      </c>
      <c r="Q225" s="101">
        <f t="shared" si="55"/>
        <v>0</v>
      </c>
      <c r="R225" s="101">
        <f t="shared" si="56"/>
        <v>0</v>
      </c>
      <c r="S225" s="101">
        <f t="shared" si="57"/>
        <v>0</v>
      </c>
      <c r="T225" s="101">
        <f t="shared" si="58"/>
        <v>0</v>
      </c>
      <c r="U225" s="101">
        <f t="shared" si="59"/>
        <v>0</v>
      </c>
      <c r="V225" s="101">
        <f t="shared" si="60"/>
        <v>0</v>
      </c>
      <c r="W225" s="101">
        <f t="shared" si="61"/>
        <v>0</v>
      </c>
      <c r="X225" s="103">
        <f t="shared" si="62"/>
        <v>0</v>
      </c>
    </row>
    <row r="226" spans="1:24">
      <c r="A226" s="98"/>
      <c r="B226" s="99"/>
      <c r="C226" s="100"/>
      <c r="D226" s="98"/>
      <c r="E226" s="101"/>
      <c r="F226" s="102"/>
      <c r="G226" s="98"/>
      <c r="H226" s="101"/>
      <c r="I226" s="101"/>
      <c r="J226" s="103">
        <f t="shared" si="49"/>
        <v>0</v>
      </c>
      <c r="K226" s="101">
        <f t="shared" si="63"/>
        <v>-551301</v>
      </c>
      <c r="L226" s="101">
        <f t="shared" si="50"/>
        <v>0</v>
      </c>
      <c r="M226" s="101">
        <f t="shared" si="51"/>
        <v>0</v>
      </c>
      <c r="N226" s="101">
        <f t="shared" si="52"/>
        <v>0</v>
      </c>
      <c r="O226" s="101">
        <f t="shared" si="53"/>
        <v>0</v>
      </c>
      <c r="P226" s="101">
        <f t="shared" si="54"/>
        <v>0</v>
      </c>
      <c r="Q226" s="101">
        <f t="shared" si="55"/>
        <v>0</v>
      </c>
      <c r="R226" s="101">
        <f t="shared" si="56"/>
        <v>0</v>
      </c>
      <c r="S226" s="101">
        <f t="shared" si="57"/>
        <v>0</v>
      </c>
      <c r="T226" s="101">
        <f t="shared" si="58"/>
        <v>0</v>
      </c>
      <c r="U226" s="101">
        <f t="shared" si="59"/>
        <v>0</v>
      </c>
      <c r="V226" s="101">
        <f t="shared" si="60"/>
        <v>0</v>
      </c>
      <c r="W226" s="101">
        <f t="shared" si="61"/>
        <v>0</v>
      </c>
      <c r="X226" s="103">
        <f t="shared" si="62"/>
        <v>0</v>
      </c>
    </row>
    <row r="227" spans="1:24">
      <c r="A227" s="98"/>
      <c r="B227" s="99"/>
      <c r="C227" s="100"/>
      <c r="D227" s="98"/>
      <c r="E227" s="101"/>
      <c r="F227" s="102"/>
      <c r="G227" s="98"/>
      <c r="H227" s="101"/>
      <c r="I227" s="101"/>
      <c r="J227" s="103">
        <f t="shared" si="49"/>
        <v>0</v>
      </c>
      <c r="K227" s="101">
        <f t="shared" si="63"/>
        <v>-551301</v>
      </c>
      <c r="L227" s="101">
        <f t="shared" si="50"/>
        <v>0</v>
      </c>
      <c r="M227" s="101">
        <f t="shared" si="51"/>
        <v>0</v>
      </c>
      <c r="N227" s="101">
        <f t="shared" si="52"/>
        <v>0</v>
      </c>
      <c r="O227" s="101">
        <f t="shared" si="53"/>
        <v>0</v>
      </c>
      <c r="P227" s="101">
        <f t="shared" si="54"/>
        <v>0</v>
      </c>
      <c r="Q227" s="101">
        <f t="shared" si="55"/>
        <v>0</v>
      </c>
      <c r="R227" s="101">
        <f t="shared" si="56"/>
        <v>0</v>
      </c>
      <c r="S227" s="101">
        <f t="shared" si="57"/>
        <v>0</v>
      </c>
      <c r="T227" s="101">
        <f t="shared" si="58"/>
        <v>0</v>
      </c>
      <c r="U227" s="101">
        <f t="shared" si="59"/>
        <v>0</v>
      </c>
      <c r="V227" s="101">
        <f t="shared" si="60"/>
        <v>0</v>
      </c>
      <c r="W227" s="101">
        <f t="shared" si="61"/>
        <v>0</v>
      </c>
      <c r="X227" s="103">
        <f t="shared" si="62"/>
        <v>0</v>
      </c>
    </row>
    <row r="228" spans="1:24" ht="15">
      <c r="A228" s="149"/>
      <c r="B228" s="150"/>
      <c r="C228" s="151"/>
      <c r="D228" s="98"/>
      <c r="E228" s="152"/>
      <c r="F228" s="102"/>
      <c r="G228" s="102"/>
      <c r="H228" s="101"/>
      <c r="I228" s="103"/>
      <c r="J228" s="103">
        <f t="shared" si="49"/>
        <v>0</v>
      </c>
      <c r="K228" s="101">
        <f t="shared" si="63"/>
        <v>-551301</v>
      </c>
      <c r="L228" s="101">
        <f t="shared" si="50"/>
        <v>0</v>
      </c>
      <c r="M228" s="101">
        <f t="shared" si="51"/>
        <v>0</v>
      </c>
      <c r="N228" s="101">
        <f t="shared" si="52"/>
        <v>0</v>
      </c>
      <c r="O228" s="101">
        <f t="shared" si="53"/>
        <v>0</v>
      </c>
      <c r="P228" s="101">
        <f t="shared" si="54"/>
        <v>0</v>
      </c>
      <c r="Q228" s="101">
        <f t="shared" si="55"/>
        <v>0</v>
      </c>
      <c r="R228" s="101">
        <f t="shared" si="56"/>
        <v>0</v>
      </c>
      <c r="S228" s="101">
        <f t="shared" si="57"/>
        <v>0</v>
      </c>
      <c r="T228" s="101">
        <f t="shared" si="58"/>
        <v>0</v>
      </c>
      <c r="U228" s="101">
        <f t="shared" si="59"/>
        <v>0</v>
      </c>
      <c r="V228" s="101">
        <f t="shared" si="60"/>
        <v>0</v>
      </c>
      <c r="W228" s="101">
        <f t="shared" si="61"/>
        <v>0</v>
      </c>
      <c r="X228" s="103">
        <f t="shared" si="62"/>
        <v>0</v>
      </c>
    </row>
    <row r="229" spans="1:24" ht="15">
      <c r="A229" s="149"/>
      <c r="B229" s="150"/>
      <c r="C229" s="151"/>
      <c r="D229" s="98"/>
      <c r="E229" s="152"/>
      <c r="F229" s="102"/>
      <c r="G229" s="102"/>
      <c r="H229" s="101"/>
      <c r="I229" s="103"/>
      <c r="J229" s="103">
        <f t="shared" si="49"/>
        <v>0</v>
      </c>
      <c r="K229" s="101">
        <f t="shared" si="63"/>
        <v>-551301</v>
      </c>
      <c r="L229" s="101">
        <f t="shared" si="50"/>
        <v>0</v>
      </c>
      <c r="M229" s="101">
        <f t="shared" si="51"/>
        <v>0</v>
      </c>
      <c r="N229" s="101">
        <f t="shared" si="52"/>
        <v>0</v>
      </c>
      <c r="O229" s="101">
        <f t="shared" si="53"/>
        <v>0</v>
      </c>
      <c r="P229" s="101">
        <f t="shared" si="54"/>
        <v>0</v>
      </c>
      <c r="Q229" s="101">
        <f t="shared" si="55"/>
        <v>0</v>
      </c>
      <c r="R229" s="101">
        <f t="shared" si="56"/>
        <v>0</v>
      </c>
      <c r="S229" s="101">
        <f t="shared" si="57"/>
        <v>0</v>
      </c>
      <c r="T229" s="101">
        <f t="shared" si="58"/>
        <v>0</v>
      </c>
      <c r="U229" s="101">
        <f t="shared" si="59"/>
        <v>0</v>
      </c>
      <c r="V229" s="101">
        <f t="shared" si="60"/>
        <v>0</v>
      </c>
      <c r="W229" s="101">
        <f t="shared" si="61"/>
        <v>0</v>
      </c>
      <c r="X229" s="103">
        <f t="shared" si="62"/>
        <v>0</v>
      </c>
    </row>
    <row r="230" spans="1:24" ht="15">
      <c r="A230" s="149"/>
      <c r="B230" s="150"/>
      <c r="C230" s="151"/>
      <c r="D230" s="98"/>
      <c r="E230" s="152"/>
      <c r="F230" s="102"/>
      <c r="G230" s="102"/>
      <c r="H230" s="101"/>
      <c r="I230" s="103"/>
      <c r="J230" s="103">
        <f t="shared" si="49"/>
        <v>0</v>
      </c>
      <c r="K230" s="101">
        <f t="shared" si="63"/>
        <v>-551301</v>
      </c>
      <c r="L230" s="101">
        <f t="shared" si="50"/>
        <v>0</v>
      </c>
      <c r="M230" s="101">
        <f t="shared" si="51"/>
        <v>0</v>
      </c>
      <c r="N230" s="101">
        <f t="shared" si="52"/>
        <v>0</v>
      </c>
      <c r="O230" s="101">
        <f t="shared" si="53"/>
        <v>0</v>
      </c>
      <c r="P230" s="101">
        <f t="shared" si="54"/>
        <v>0</v>
      </c>
      <c r="Q230" s="101">
        <f t="shared" si="55"/>
        <v>0</v>
      </c>
      <c r="R230" s="101">
        <f t="shared" si="56"/>
        <v>0</v>
      </c>
      <c r="S230" s="101">
        <f t="shared" si="57"/>
        <v>0</v>
      </c>
      <c r="T230" s="101">
        <f t="shared" si="58"/>
        <v>0</v>
      </c>
      <c r="U230" s="101">
        <f t="shared" si="59"/>
        <v>0</v>
      </c>
      <c r="V230" s="101">
        <f t="shared" si="60"/>
        <v>0</v>
      </c>
      <c r="W230" s="101">
        <f t="shared" si="61"/>
        <v>0</v>
      </c>
      <c r="X230" s="103">
        <f t="shared" si="62"/>
        <v>0</v>
      </c>
    </row>
    <row r="231" spans="1:24">
      <c r="A231" s="98"/>
      <c r="B231" s="99"/>
      <c r="C231" s="100"/>
      <c r="D231" s="98"/>
      <c r="E231" s="101"/>
      <c r="F231" s="102"/>
      <c r="G231" s="98"/>
      <c r="H231" s="101"/>
      <c r="I231" s="101"/>
      <c r="J231" s="103">
        <f t="shared" si="49"/>
        <v>0</v>
      </c>
      <c r="K231" s="101">
        <f t="shared" si="63"/>
        <v>-551301</v>
      </c>
      <c r="L231" s="101">
        <f t="shared" si="50"/>
        <v>0</v>
      </c>
      <c r="M231" s="101">
        <f t="shared" si="51"/>
        <v>0</v>
      </c>
      <c r="N231" s="101">
        <f t="shared" si="52"/>
        <v>0</v>
      </c>
      <c r="O231" s="101">
        <f t="shared" si="53"/>
        <v>0</v>
      </c>
      <c r="P231" s="101">
        <f t="shared" si="54"/>
        <v>0</v>
      </c>
      <c r="Q231" s="101">
        <f t="shared" si="55"/>
        <v>0</v>
      </c>
      <c r="R231" s="101">
        <f t="shared" si="56"/>
        <v>0</v>
      </c>
      <c r="S231" s="101">
        <f t="shared" si="57"/>
        <v>0</v>
      </c>
      <c r="T231" s="101">
        <f t="shared" si="58"/>
        <v>0</v>
      </c>
      <c r="U231" s="101">
        <f t="shared" si="59"/>
        <v>0</v>
      </c>
      <c r="V231" s="101">
        <f t="shared" si="60"/>
        <v>0</v>
      </c>
      <c r="W231" s="101">
        <f t="shared" si="61"/>
        <v>0</v>
      </c>
      <c r="X231" s="103">
        <f t="shared" si="62"/>
        <v>0</v>
      </c>
    </row>
    <row r="232" spans="1:24">
      <c r="A232" s="98"/>
      <c r="B232" s="99"/>
      <c r="C232" s="100"/>
      <c r="D232" s="98"/>
      <c r="E232" s="101"/>
      <c r="F232" s="102"/>
      <c r="G232" s="98"/>
      <c r="H232" s="101"/>
      <c r="I232" s="101"/>
      <c r="J232" s="103">
        <f t="shared" si="49"/>
        <v>0</v>
      </c>
      <c r="K232" s="101">
        <f t="shared" si="63"/>
        <v>-551301</v>
      </c>
      <c r="L232" s="101">
        <f t="shared" si="50"/>
        <v>0</v>
      </c>
      <c r="M232" s="101">
        <f t="shared" si="51"/>
        <v>0</v>
      </c>
      <c r="N232" s="101">
        <f t="shared" si="52"/>
        <v>0</v>
      </c>
      <c r="O232" s="101">
        <f t="shared" si="53"/>
        <v>0</v>
      </c>
      <c r="P232" s="101">
        <f t="shared" si="54"/>
        <v>0</v>
      </c>
      <c r="Q232" s="101">
        <f t="shared" si="55"/>
        <v>0</v>
      </c>
      <c r="R232" s="101">
        <f t="shared" si="56"/>
        <v>0</v>
      </c>
      <c r="S232" s="101">
        <f t="shared" si="57"/>
        <v>0</v>
      </c>
      <c r="T232" s="101">
        <f t="shared" si="58"/>
        <v>0</v>
      </c>
      <c r="U232" s="101">
        <f t="shared" si="59"/>
        <v>0</v>
      </c>
      <c r="V232" s="101">
        <f t="shared" si="60"/>
        <v>0</v>
      </c>
      <c r="W232" s="101">
        <f t="shared" si="61"/>
        <v>0</v>
      </c>
      <c r="X232" s="103">
        <f t="shared" si="62"/>
        <v>0</v>
      </c>
    </row>
    <row r="233" spans="1:24">
      <c r="A233" s="98"/>
      <c r="B233" s="99"/>
      <c r="C233" s="100"/>
      <c r="D233" s="98"/>
      <c r="E233" s="101"/>
      <c r="F233" s="102"/>
      <c r="G233" s="98"/>
      <c r="H233" s="101"/>
      <c r="I233" s="101"/>
      <c r="J233" s="103">
        <f t="shared" si="49"/>
        <v>0</v>
      </c>
      <c r="K233" s="101">
        <f t="shared" si="63"/>
        <v>-551301</v>
      </c>
      <c r="L233" s="101">
        <f t="shared" si="50"/>
        <v>0</v>
      </c>
      <c r="M233" s="101">
        <f t="shared" si="51"/>
        <v>0</v>
      </c>
      <c r="N233" s="101">
        <f t="shared" si="52"/>
        <v>0</v>
      </c>
      <c r="O233" s="101">
        <f t="shared" si="53"/>
        <v>0</v>
      </c>
      <c r="P233" s="101">
        <f t="shared" si="54"/>
        <v>0</v>
      </c>
      <c r="Q233" s="101">
        <f t="shared" si="55"/>
        <v>0</v>
      </c>
      <c r="R233" s="101">
        <f t="shared" si="56"/>
        <v>0</v>
      </c>
      <c r="S233" s="101">
        <f t="shared" si="57"/>
        <v>0</v>
      </c>
      <c r="T233" s="101">
        <f t="shared" si="58"/>
        <v>0</v>
      </c>
      <c r="U233" s="101">
        <f t="shared" si="59"/>
        <v>0</v>
      </c>
      <c r="V233" s="101">
        <f t="shared" si="60"/>
        <v>0</v>
      </c>
      <c r="W233" s="101">
        <f t="shared" si="61"/>
        <v>0</v>
      </c>
      <c r="X233" s="103">
        <f t="shared" si="62"/>
        <v>0</v>
      </c>
    </row>
    <row r="234" spans="1:24">
      <c r="A234" s="98"/>
      <c r="B234" s="99"/>
      <c r="C234" s="100"/>
      <c r="D234" s="98"/>
      <c r="E234" s="101"/>
      <c r="F234" s="102"/>
      <c r="G234" s="98"/>
      <c r="H234" s="101"/>
      <c r="I234" s="101"/>
      <c r="J234" s="103">
        <f t="shared" si="49"/>
        <v>0</v>
      </c>
      <c r="K234" s="101">
        <f t="shared" si="63"/>
        <v>-551301</v>
      </c>
      <c r="L234" s="101">
        <f t="shared" si="50"/>
        <v>0</v>
      </c>
      <c r="M234" s="101">
        <f t="shared" si="51"/>
        <v>0</v>
      </c>
      <c r="N234" s="101">
        <f t="shared" si="52"/>
        <v>0</v>
      </c>
      <c r="O234" s="101">
        <f t="shared" si="53"/>
        <v>0</v>
      </c>
      <c r="P234" s="101">
        <f t="shared" si="54"/>
        <v>0</v>
      </c>
      <c r="Q234" s="101">
        <f t="shared" si="55"/>
        <v>0</v>
      </c>
      <c r="R234" s="101">
        <f t="shared" si="56"/>
        <v>0</v>
      </c>
      <c r="S234" s="101">
        <f t="shared" si="57"/>
        <v>0</v>
      </c>
      <c r="T234" s="101">
        <f t="shared" si="58"/>
        <v>0</v>
      </c>
      <c r="U234" s="101">
        <f t="shared" si="59"/>
        <v>0</v>
      </c>
      <c r="V234" s="101">
        <f t="shared" si="60"/>
        <v>0</v>
      </c>
      <c r="W234" s="101">
        <f t="shared" si="61"/>
        <v>0</v>
      </c>
      <c r="X234" s="103">
        <f t="shared" si="62"/>
        <v>0</v>
      </c>
    </row>
    <row r="235" spans="1:24">
      <c r="A235" s="98"/>
      <c r="B235" s="99"/>
      <c r="C235" s="100"/>
      <c r="D235" s="98"/>
      <c r="E235" s="101"/>
      <c r="F235" s="102"/>
      <c r="G235" s="98"/>
      <c r="H235" s="101"/>
      <c r="I235" s="101"/>
      <c r="J235" s="103">
        <f t="shared" si="49"/>
        <v>0</v>
      </c>
      <c r="K235" s="101">
        <f t="shared" si="63"/>
        <v>-551301</v>
      </c>
      <c r="L235" s="101">
        <f t="shared" si="50"/>
        <v>0</v>
      </c>
      <c r="M235" s="101">
        <f t="shared" si="51"/>
        <v>0</v>
      </c>
      <c r="N235" s="101">
        <f t="shared" si="52"/>
        <v>0</v>
      </c>
      <c r="O235" s="101">
        <f t="shared" si="53"/>
        <v>0</v>
      </c>
      <c r="P235" s="101">
        <f t="shared" si="54"/>
        <v>0</v>
      </c>
      <c r="Q235" s="101">
        <f t="shared" si="55"/>
        <v>0</v>
      </c>
      <c r="R235" s="101">
        <f t="shared" si="56"/>
        <v>0</v>
      </c>
      <c r="S235" s="101">
        <f t="shared" si="57"/>
        <v>0</v>
      </c>
      <c r="T235" s="101">
        <f t="shared" si="58"/>
        <v>0</v>
      </c>
      <c r="U235" s="101">
        <f t="shared" si="59"/>
        <v>0</v>
      </c>
      <c r="V235" s="101">
        <f t="shared" si="60"/>
        <v>0</v>
      </c>
      <c r="W235" s="101">
        <f t="shared" si="61"/>
        <v>0</v>
      </c>
      <c r="X235" s="103">
        <f t="shared" si="62"/>
        <v>0</v>
      </c>
    </row>
    <row r="236" spans="1:24">
      <c r="A236" s="98"/>
      <c r="B236" s="99"/>
      <c r="C236" s="100"/>
      <c r="D236" s="98"/>
      <c r="E236" s="101"/>
      <c r="F236" s="102"/>
      <c r="G236" s="98"/>
      <c r="H236" s="101"/>
      <c r="I236" s="101"/>
      <c r="J236" s="103">
        <f t="shared" si="49"/>
        <v>0</v>
      </c>
      <c r="K236" s="101">
        <f t="shared" si="63"/>
        <v>-551301</v>
      </c>
      <c r="L236" s="101">
        <f t="shared" si="50"/>
        <v>0</v>
      </c>
      <c r="M236" s="101">
        <f t="shared" si="51"/>
        <v>0</v>
      </c>
      <c r="N236" s="101">
        <f t="shared" si="52"/>
        <v>0</v>
      </c>
      <c r="O236" s="101">
        <f t="shared" si="53"/>
        <v>0</v>
      </c>
      <c r="P236" s="101">
        <f t="shared" si="54"/>
        <v>0</v>
      </c>
      <c r="Q236" s="101">
        <f t="shared" si="55"/>
        <v>0</v>
      </c>
      <c r="R236" s="101">
        <f t="shared" si="56"/>
        <v>0</v>
      </c>
      <c r="S236" s="101">
        <f t="shared" si="57"/>
        <v>0</v>
      </c>
      <c r="T236" s="101">
        <f t="shared" si="58"/>
        <v>0</v>
      </c>
      <c r="U236" s="101">
        <f t="shared" si="59"/>
        <v>0</v>
      </c>
      <c r="V236" s="101">
        <f t="shared" si="60"/>
        <v>0</v>
      </c>
      <c r="W236" s="101">
        <f t="shared" si="61"/>
        <v>0</v>
      </c>
      <c r="X236" s="103">
        <f t="shared" si="62"/>
        <v>0</v>
      </c>
    </row>
    <row r="237" spans="1:24">
      <c r="A237" s="98"/>
      <c r="B237" s="99"/>
      <c r="C237" s="100"/>
      <c r="D237" s="98"/>
      <c r="E237" s="101"/>
      <c r="F237" s="102"/>
      <c r="G237" s="98"/>
      <c r="H237" s="101"/>
      <c r="I237" s="101"/>
      <c r="J237" s="103">
        <f t="shared" si="49"/>
        <v>0</v>
      </c>
      <c r="K237" s="101">
        <f t="shared" si="63"/>
        <v>-551301</v>
      </c>
      <c r="L237" s="101">
        <f t="shared" si="50"/>
        <v>0</v>
      </c>
      <c r="M237" s="101">
        <f t="shared" si="51"/>
        <v>0</v>
      </c>
      <c r="N237" s="101">
        <f t="shared" si="52"/>
        <v>0</v>
      </c>
      <c r="O237" s="101">
        <f t="shared" si="53"/>
        <v>0</v>
      </c>
      <c r="P237" s="101">
        <f t="shared" si="54"/>
        <v>0</v>
      </c>
      <c r="Q237" s="101">
        <f t="shared" si="55"/>
        <v>0</v>
      </c>
      <c r="R237" s="101">
        <f t="shared" si="56"/>
        <v>0</v>
      </c>
      <c r="S237" s="101">
        <f t="shared" si="57"/>
        <v>0</v>
      </c>
      <c r="T237" s="101">
        <f t="shared" si="58"/>
        <v>0</v>
      </c>
      <c r="U237" s="101">
        <f t="shared" si="59"/>
        <v>0</v>
      </c>
      <c r="V237" s="101">
        <f t="shared" si="60"/>
        <v>0</v>
      </c>
      <c r="W237" s="101">
        <f t="shared" si="61"/>
        <v>0</v>
      </c>
      <c r="X237" s="103">
        <f t="shared" si="62"/>
        <v>0</v>
      </c>
    </row>
    <row r="238" spans="1:24">
      <c r="A238" s="98"/>
      <c r="B238" s="99"/>
      <c r="C238" s="100"/>
      <c r="D238" s="98"/>
      <c r="E238" s="101"/>
      <c r="F238" s="102"/>
      <c r="G238" s="98"/>
      <c r="H238" s="101"/>
      <c r="I238" s="101"/>
      <c r="J238" s="103">
        <f t="shared" si="49"/>
        <v>0</v>
      </c>
      <c r="K238" s="101">
        <f t="shared" si="63"/>
        <v>-551301</v>
      </c>
      <c r="L238" s="101">
        <f t="shared" si="50"/>
        <v>0</v>
      </c>
      <c r="M238" s="101">
        <f t="shared" si="51"/>
        <v>0</v>
      </c>
      <c r="N238" s="101">
        <f t="shared" si="52"/>
        <v>0</v>
      </c>
      <c r="O238" s="101">
        <f t="shared" si="53"/>
        <v>0</v>
      </c>
      <c r="P238" s="101">
        <f t="shared" si="54"/>
        <v>0</v>
      </c>
      <c r="Q238" s="101">
        <f t="shared" si="55"/>
        <v>0</v>
      </c>
      <c r="R238" s="101">
        <f t="shared" si="56"/>
        <v>0</v>
      </c>
      <c r="S238" s="101">
        <f t="shared" si="57"/>
        <v>0</v>
      </c>
      <c r="T238" s="101">
        <f t="shared" si="58"/>
        <v>0</v>
      </c>
      <c r="U238" s="101">
        <f t="shared" si="59"/>
        <v>0</v>
      </c>
      <c r="V238" s="101">
        <f t="shared" si="60"/>
        <v>0</v>
      </c>
      <c r="W238" s="101">
        <f t="shared" si="61"/>
        <v>0</v>
      </c>
      <c r="X238" s="103">
        <f t="shared" si="62"/>
        <v>0</v>
      </c>
    </row>
    <row r="239" spans="1:24" ht="15">
      <c r="A239" s="149"/>
      <c r="B239" s="150"/>
      <c r="C239" s="151"/>
      <c r="D239" s="98"/>
      <c r="E239" s="152"/>
      <c r="F239" s="102"/>
      <c r="G239" s="102"/>
      <c r="H239" s="101"/>
      <c r="I239" s="103"/>
      <c r="J239" s="103">
        <f t="shared" si="49"/>
        <v>0</v>
      </c>
      <c r="K239" s="101">
        <f t="shared" si="63"/>
        <v>-551301</v>
      </c>
      <c r="L239" s="101">
        <f t="shared" si="50"/>
        <v>0</v>
      </c>
      <c r="M239" s="101">
        <f t="shared" si="51"/>
        <v>0</v>
      </c>
      <c r="N239" s="101">
        <f t="shared" si="52"/>
        <v>0</v>
      </c>
      <c r="O239" s="101">
        <f t="shared" si="53"/>
        <v>0</v>
      </c>
      <c r="P239" s="101">
        <f t="shared" si="54"/>
        <v>0</v>
      </c>
      <c r="Q239" s="101">
        <f t="shared" si="55"/>
        <v>0</v>
      </c>
      <c r="R239" s="101">
        <f t="shared" si="56"/>
        <v>0</v>
      </c>
      <c r="S239" s="101">
        <f t="shared" si="57"/>
        <v>0</v>
      </c>
      <c r="T239" s="101">
        <f t="shared" si="58"/>
        <v>0</v>
      </c>
      <c r="U239" s="101">
        <f t="shared" si="59"/>
        <v>0</v>
      </c>
      <c r="V239" s="101">
        <f t="shared" si="60"/>
        <v>0</v>
      </c>
      <c r="W239" s="101">
        <f t="shared" si="61"/>
        <v>0</v>
      </c>
      <c r="X239" s="103">
        <f t="shared" si="62"/>
        <v>0</v>
      </c>
    </row>
    <row r="240" spans="1:24">
      <c r="A240" s="98"/>
      <c r="B240" s="99"/>
      <c r="C240" s="100"/>
      <c r="D240" s="98"/>
      <c r="E240" s="101"/>
      <c r="F240" s="102"/>
      <c r="G240" s="98"/>
      <c r="H240" s="101"/>
      <c r="I240" s="101"/>
      <c r="J240" s="103">
        <f t="shared" si="49"/>
        <v>0</v>
      </c>
      <c r="K240" s="101">
        <f t="shared" si="63"/>
        <v>-551301</v>
      </c>
      <c r="L240" s="101">
        <f t="shared" si="50"/>
        <v>0</v>
      </c>
      <c r="M240" s="101">
        <f t="shared" si="51"/>
        <v>0</v>
      </c>
      <c r="N240" s="101">
        <f t="shared" si="52"/>
        <v>0</v>
      </c>
      <c r="O240" s="101">
        <f t="shared" si="53"/>
        <v>0</v>
      </c>
      <c r="P240" s="101">
        <f t="shared" si="54"/>
        <v>0</v>
      </c>
      <c r="Q240" s="101">
        <f t="shared" si="55"/>
        <v>0</v>
      </c>
      <c r="R240" s="101">
        <f t="shared" si="56"/>
        <v>0</v>
      </c>
      <c r="S240" s="101">
        <f t="shared" si="57"/>
        <v>0</v>
      </c>
      <c r="T240" s="101">
        <f t="shared" si="58"/>
        <v>0</v>
      </c>
      <c r="U240" s="101">
        <f t="shared" si="59"/>
        <v>0</v>
      </c>
      <c r="V240" s="101">
        <f t="shared" si="60"/>
        <v>0</v>
      </c>
      <c r="W240" s="101">
        <f t="shared" si="61"/>
        <v>0</v>
      </c>
      <c r="X240" s="103">
        <f t="shared" si="62"/>
        <v>0</v>
      </c>
    </row>
    <row r="241" spans="1:26">
      <c r="A241" s="98"/>
      <c r="B241" s="99"/>
      <c r="C241" s="100"/>
      <c r="D241" s="98"/>
      <c r="E241" s="101"/>
      <c r="F241" s="102"/>
      <c r="G241" s="98"/>
      <c r="H241" s="101"/>
      <c r="I241" s="101"/>
      <c r="J241" s="103">
        <f t="shared" si="49"/>
        <v>0</v>
      </c>
      <c r="K241" s="101">
        <f t="shared" si="63"/>
        <v>-551301</v>
      </c>
      <c r="L241" s="101">
        <f t="shared" si="50"/>
        <v>0</v>
      </c>
      <c r="M241" s="101">
        <f t="shared" si="51"/>
        <v>0</v>
      </c>
      <c r="N241" s="101">
        <f t="shared" si="52"/>
        <v>0</v>
      </c>
      <c r="O241" s="101">
        <f t="shared" si="53"/>
        <v>0</v>
      </c>
      <c r="P241" s="101">
        <f t="shared" si="54"/>
        <v>0</v>
      </c>
      <c r="Q241" s="101">
        <f t="shared" si="55"/>
        <v>0</v>
      </c>
      <c r="R241" s="101">
        <f t="shared" si="56"/>
        <v>0</v>
      </c>
      <c r="S241" s="101">
        <f t="shared" si="57"/>
        <v>0</v>
      </c>
      <c r="T241" s="101">
        <f t="shared" si="58"/>
        <v>0</v>
      </c>
      <c r="U241" s="101">
        <f t="shared" si="59"/>
        <v>0</v>
      </c>
      <c r="V241" s="101">
        <f t="shared" si="60"/>
        <v>0</v>
      </c>
      <c r="W241" s="101">
        <f t="shared" si="61"/>
        <v>0</v>
      </c>
      <c r="X241" s="103">
        <f t="shared" si="62"/>
        <v>0</v>
      </c>
    </row>
    <row r="242" spans="1:26" ht="15">
      <c r="A242" s="149"/>
      <c r="B242" s="150"/>
      <c r="C242" s="151"/>
      <c r="D242" s="98"/>
      <c r="E242" s="152"/>
      <c r="F242" s="102"/>
      <c r="G242" s="102"/>
      <c r="H242" s="101"/>
      <c r="I242" s="103"/>
      <c r="J242" s="103">
        <f t="shared" si="49"/>
        <v>0</v>
      </c>
      <c r="K242" s="101">
        <f t="shared" si="63"/>
        <v>-551301</v>
      </c>
      <c r="L242" s="101">
        <f t="shared" si="50"/>
        <v>0</v>
      </c>
      <c r="M242" s="101">
        <f t="shared" si="51"/>
        <v>0</v>
      </c>
      <c r="N242" s="101">
        <f t="shared" si="52"/>
        <v>0</v>
      </c>
      <c r="O242" s="101">
        <f t="shared" si="53"/>
        <v>0</v>
      </c>
      <c r="P242" s="101">
        <f t="shared" si="54"/>
        <v>0</v>
      </c>
      <c r="Q242" s="101">
        <f t="shared" si="55"/>
        <v>0</v>
      </c>
      <c r="R242" s="101">
        <f t="shared" si="56"/>
        <v>0</v>
      </c>
      <c r="S242" s="101">
        <f t="shared" si="57"/>
        <v>0</v>
      </c>
      <c r="T242" s="101">
        <f t="shared" si="58"/>
        <v>0</v>
      </c>
      <c r="U242" s="101">
        <f t="shared" si="59"/>
        <v>0</v>
      </c>
      <c r="V242" s="101">
        <f t="shared" si="60"/>
        <v>0</v>
      </c>
      <c r="W242" s="101">
        <f t="shared" si="61"/>
        <v>0</v>
      </c>
      <c r="X242" s="103">
        <f t="shared" si="62"/>
        <v>0</v>
      </c>
    </row>
    <row r="243" spans="1:26" ht="15">
      <c r="A243" s="149"/>
      <c r="B243" s="150"/>
      <c r="C243" s="151"/>
      <c r="D243" s="98"/>
      <c r="E243" s="152"/>
      <c r="F243" s="102"/>
      <c r="G243" s="102"/>
      <c r="H243" s="101"/>
      <c r="I243" s="103"/>
      <c r="J243" s="103">
        <f t="shared" si="49"/>
        <v>0</v>
      </c>
      <c r="K243" s="101">
        <f t="shared" si="63"/>
        <v>-551301</v>
      </c>
      <c r="L243" s="101">
        <f t="shared" si="50"/>
        <v>0</v>
      </c>
      <c r="M243" s="101">
        <f t="shared" si="51"/>
        <v>0</v>
      </c>
      <c r="N243" s="101">
        <f t="shared" si="52"/>
        <v>0</v>
      </c>
      <c r="O243" s="101">
        <f t="shared" si="53"/>
        <v>0</v>
      </c>
      <c r="P243" s="101">
        <f t="shared" si="54"/>
        <v>0</v>
      </c>
      <c r="Q243" s="101">
        <f t="shared" si="55"/>
        <v>0</v>
      </c>
      <c r="R243" s="101">
        <f t="shared" si="56"/>
        <v>0</v>
      </c>
      <c r="S243" s="101">
        <f t="shared" si="57"/>
        <v>0</v>
      </c>
      <c r="T243" s="101">
        <f t="shared" si="58"/>
        <v>0</v>
      </c>
      <c r="U243" s="101">
        <f t="shared" si="59"/>
        <v>0</v>
      </c>
      <c r="V243" s="101">
        <f t="shared" si="60"/>
        <v>0</v>
      </c>
      <c r="W243" s="101">
        <f t="shared" si="61"/>
        <v>0</v>
      </c>
      <c r="X243" s="103">
        <f t="shared" si="62"/>
        <v>0</v>
      </c>
    </row>
    <row r="244" spans="1:26" ht="15">
      <c r="A244" s="149"/>
      <c r="B244" s="150"/>
      <c r="C244" s="151"/>
      <c r="D244" s="98"/>
      <c r="E244" s="152"/>
      <c r="F244" s="102"/>
      <c r="G244" s="102"/>
      <c r="H244" s="101"/>
      <c r="I244" s="103"/>
      <c r="J244" s="103">
        <f t="shared" si="49"/>
        <v>0</v>
      </c>
      <c r="K244" s="101">
        <f t="shared" si="63"/>
        <v>-551301</v>
      </c>
      <c r="L244" s="101">
        <f t="shared" si="50"/>
        <v>0</v>
      </c>
      <c r="M244" s="101">
        <f t="shared" si="51"/>
        <v>0</v>
      </c>
      <c r="N244" s="101">
        <f t="shared" si="52"/>
        <v>0</v>
      </c>
      <c r="O244" s="101">
        <f t="shared" si="53"/>
        <v>0</v>
      </c>
      <c r="P244" s="101">
        <f t="shared" si="54"/>
        <v>0</v>
      </c>
      <c r="Q244" s="101">
        <f t="shared" si="55"/>
        <v>0</v>
      </c>
      <c r="R244" s="101">
        <f t="shared" si="56"/>
        <v>0</v>
      </c>
      <c r="S244" s="101">
        <f t="shared" si="57"/>
        <v>0</v>
      </c>
      <c r="T244" s="101">
        <f t="shared" si="58"/>
        <v>0</v>
      </c>
      <c r="U244" s="101">
        <f t="shared" si="59"/>
        <v>0</v>
      </c>
      <c r="V244" s="101">
        <f t="shared" si="60"/>
        <v>0</v>
      </c>
      <c r="W244" s="101">
        <f t="shared" si="61"/>
        <v>0</v>
      </c>
      <c r="X244" s="103">
        <f t="shared" si="62"/>
        <v>0</v>
      </c>
    </row>
    <row r="245" spans="1:26" ht="15">
      <c r="A245" s="149"/>
      <c r="B245" s="150"/>
      <c r="C245" s="151"/>
      <c r="D245" s="98"/>
      <c r="E245" s="152"/>
      <c r="F245" s="102"/>
      <c r="G245" s="102"/>
      <c r="H245" s="101"/>
      <c r="I245" s="103"/>
      <c r="J245" s="103">
        <f t="shared" si="49"/>
        <v>0</v>
      </c>
      <c r="K245" s="101">
        <f t="shared" si="63"/>
        <v>-551301</v>
      </c>
      <c r="L245" s="101">
        <f t="shared" si="50"/>
        <v>0</v>
      </c>
      <c r="M245" s="101">
        <f t="shared" si="51"/>
        <v>0</v>
      </c>
      <c r="N245" s="101">
        <f t="shared" si="52"/>
        <v>0</v>
      </c>
      <c r="O245" s="101">
        <f t="shared" si="53"/>
        <v>0</v>
      </c>
      <c r="P245" s="101">
        <f t="shared" si="54"/>
        <v>0</v>
      </c>
      <c r="Q245" s="101">
        <f t="shared" si="55"/>
        <v>0</v>
      </c>
      <c r="R245" s="101">
        <f t="shared" si="56"/>
        <v>0</v>
      </c>
      <c r="S245" s="101">
        <f t="shared" si="57"/>
        <v>0</v>
      </c>
      <c r="T245" s="101">
        <f t="shared" si="58"/>
        <v>0</v>
      </c>
      <c r="U245" s="101">
        <f t="shared" si="59"/>
        <v>0</v>
      </c>
      <c r="V245" s="101">
        <f t="shared" si="60"/>
        <v>0</v>
      </c>
      <c r="W245" s="101">
        <f t="shared" si="61"/>
        <v>0</v>
      </c>
      <c r="X245" s="103">
        <f t="shared" si="62"/>
        <v>0</v>
      </c>
    </row>
    <row r="246" spans="1:26" ht="15">
      <c r="A246" s="149"/>
      <c r="B246" s="150"/>
      <c r="C246" s="151"/>
      <c r="D246" s="98"/>
      <c r="E246" s="152"/>
      <c r="F246" s="102"/>
      <c r="G246" s="102"/>
      <c r="H246" s="101"/>
      <c r="I246" s="103"/>
      <c r="J246" s="103">
        <f t="shared" si="49"/>
        <v>0</v>
      </c>
      <c r="K246" s="101">
        <f t="shared" si="63"/>
        <v>-551301</v>
      </c>
      <c r="L246" s="101">
        <f t="shared" si="50"/>
        <v>0</v>
      </c>
      <c r="M246" s="101">
        <f t="shared" si="51"/>
        <v>0</v>
      </c>
      <c r="N246" s="101">
        <f t="shared" si="52"/>
        <v>0</v>
      </c>
      <c r="O246" s="101">
        <f t="shared" si="53"/>
        <v>0</v>
      </c>
      <c r="P246" s="101">
        <f t="shared" si="54"/>
        <v>0</v>
      </c>
      <c r="Q246" s="101">
        <f t="shared" si="55"/>
        <v>0</v>
      </c>
      <c r="R246" s="101">
        <f t="shared" si="56"/>
        <v>0</v>
      </c>
      <c r="S246" s="101">
        <f t="shared" si="57"/>
        <v>0</v>
      </c>
      <c r="T246" s="101">
        <f t="shared" si="58"/>
        <v>0</v>
      </c>
      <c r="U246" s="101">
        <f t="shared" si="59"/>
        <v>0</v>
      </c>
      <c r="V246" s="101">
        <f t="shared" si="60"/>
        <v>0</v>
      </c>
      <c r="W246" s="101">
        <f t="shared" si="61"/>
        <v>0</v>
      </c>
      <c r="X246" s="103">
        <f t="shared" si="62"/>
        <v>0</v>
      </c>
    </row>
    <row r="247" spans="1:26" ht="15">
      <c r="A247" s="149"/>
      <c r="B247" s="150"/>
      <c r="C247" s="151"/>
      <c r="D247" s="98"/>
      <c r="E247" s="152"/>
      <c r="F247" s="102"/>
      <c r="G247" s="102"/>
      <c r="H247" s="101"/>
      <c r="I247" s="103"/>
      <c r="J247" s="103">
        <f t="shared" si="49"/>
        <v>0</v>
      </c>
      <c r="K247" s="101">
        <f t="shared" si="63"/>
        <v>-551301</v>
      </c>
      <c r="L247" s="101">
        <f t="shared" si="50"/>
        <v>0</v>
      </c>
      <c r="M247" s="101">
        <f t="shared" si="51"/>
        <v>0</v>
      </c>
      <c r="N247" s="101">
        <f t="shared" si="52"/>
        <v>0</v>
      </c>
      <c r="O247" s="101">
        <f t="shared" si="53"/>
        <v>0</v>
      </c>
      <c r="P247" s="101">
        <f t="shared" si="54"/>
        <v>0</v>
      </c>
      <c r="Q247" s="101">
        <f t="shared" si="55"/>
        <v>0</v>
      </c>
      <c r="R247" s="101">
        <f t="shared" si="56"/>
        <v>0</v>
      </c>
      <c r="S247" s="101">
        <f t="shared" si="57"/>
        <v>0</v>
      </c>
      <c r="T247" s="101">
        <f t="shared" si="58"/>
        <v>0</v>
      </c>
      <c r="U247" s="101">
        <f t="shared" si="59"/>
        <v>0</v>
      </c>
      <c r="V247" s="101">
        <f t="shared" si="60"/>
        <v>0</v>
      </c>
      <c r="W247" s="101">
        <f t="shared" si="61"/>
        <v>0</v>
      </c>
      <c r="X247" s="103">
        <f t="shared" si="62"/>
        <v>0</v>
      </c>
    </row>
    <row r="248" spans="1:26" ht="15">
      <c r="A248" s="149"/>
      <c r="B248" s="150"/>
      <c r="C248" s="151"/>
      <c r="D248" s="98"/>
      <c r="E248" s="152"/>
      <c r="F248" s="102"/>
      <c r="G248" s="102"/>
      <c r="H248" s="101"/>
      <c r="I248" s="103"/>
      <c r="J248" s="103">
        <f t="shared" si="49"/>
        <v>0</v>
      </c>
      <c r="K248" s="101">
        <f t="shared" si="63"/>
        <v>-551301</v>
      </c>
      <c r="L248" s="101">
        <f t="shared" si="50"/>
        <v>0</v>
      </c>
      <c r="M248" s="101">
        <f t="shared" si="51"/>
        <v>0</v>
      </c>
      <c r="N248" s="101">
        <f t="shared" si="52"/>
        <v>0</v>
      </c>
      <c r="O248" s="101">
        <f t="shared" si="53"/>
        <v>0</v>
      </c>
      <c r="P248" s="101">
        <f t="shared" si="54"/>
        <v>0</v>
      </c>
      <c r="Q248" s="101">
        <f t="shared" si="55"/>
        <v>0</v>
      </c>
      <c r="R248" s="101">
        <f t="shared" si="56"/>
        <v>0</v>
      </c>
      <c r="S248" s="101">
        <f t="shared" si="57"/>
        <v>0</v>
      </c>
      <c r="T248" s="101">
        <f t="shared" si="58"/>
        <v>0</v>
      </c>
      <c r="U248" s="101">
        <f t="shared" si="59"/>
        <v>0</v>
      </c>
      <c r="V248" s="101">
        <f t="shared" si="60"/>
        <v>0</v>
      </c>
      <c r="W248" s="101">
        <f t="shared" si="61"/>
        <v>0</v>
      </c>
      <c r="X248" s="103">
        <f t="shared" si="62"/>
        <v>0</v>
      </c>
    </row>
    <row r="249" spans="1:26" ht="15">
      <c r="A249" s="149"/>
      <c r="B249" s="150"/>
      <c r="C249" s="151"/>
      <c r="D249" s="98"/>
      <c r="E249" s="152"/>
      <c r="F249" s="102"/>
      <c r="G249" s="102"/>
      <c r="H249" s="101"/>
      <c r="I249" s="103"/>
      <c r="J249" s="103">
        <f t="shared" si="49"/>
        <v>0</v>
      </c>
      <c r="K249" s="101">
        <f t="shared" si="63"/>
        <v>-551301</v>
      </c>
      <c r="L249" s="101">
        <f t="shared" si="50"/>
        <v>0</v>
      </c>
      <c r="M249" s="101">
        <f t="shared" si="51"/>
        <v>0</v>
      </c>
      <c r="N249" s="101">
        <f t="shared" si="52"/>
        <v>0</v>
      </c>
      <c r="O249" s="101">
        <f t="shared" si="53"/>
        <v>0</v>
      </c>
      <c r="P249" s="101">
        <f t="shared" si="54"/>
        <v>0</v>
      </c>
      <c r="Q249" s="101">
        <f t="shared" si="55"/>
        <v>0</v>
      </c>
      <c r="R249" s="101">
        <f t="shared" si="56"/>
        <v>0</v>
      </c>
      <c r="S249" s="101">
        <f t="shared" si="57"/>
        <v>0</v>
      </c>
      <c r="T249" s="101">
        <f t="shared" si="58"/>
        <v>0</v>
      </c>
      <c r="U249" s="101">
        <f t="shared" si="59"/>
        <v>0</v>
      </c>
      <c r="V249" s="101">
        <f t="shared" si="60"/>
        <v>0</v>
      </c>
      <c r="W249" s="101">
        <f t="shared" si="61"/>
        <v>0</v>
      </c>
      <c r="X249" s="103">
        <f t="shared" si="62"/>
        <v>0</v>
      </c>
    </row>
    <row r="250" spans="1:26">
      <c r="A250" s="147"/>
      <c r="B250" s="99"/>
      <c r="C250" s="100"/>
      <c r="D250" s="98"/>
      <c r="E250" s="101"/>
      <c r="F250" s="102"/>
      <c r="G250" s="98"/>
      <c r="H250" s="101"/>
      <c r="I250" s="101"/>
      <c r="J250" s="103">
        <f t="shared" si="49"/>
        <v>0</v>
      </c>
      <c r="K250" s="101">
        <f t="shared" si="63"/>
        <v>-551301</v>
      </c>
      <c r="L250" s="101">
        <f t="shared" si="50"/>
        <v>0</v>
      </c>
      <c r="M250" s="101">
        <f t="shared" si="51"/>
        <v>0</v>
      </c>
      <c r="N250" s="101">
        <f t="shared" si="52"/>
        <v>0</v>
      </c>
      <c r="O250" s="101">
        <f t="shared" si="53"/>
        <v>0</v>
      </c>
      <c r="P250" s="101">
        <f t="shared" si="54"/>
        <v>0</v>
      </c>
      <c r="Q250" s="101">
        <f t="shared" si="55"/>
        <v>0</v>
      </c>
      <c r="R250" s="101">
        <f t="shared" si="56"/>
        <v>0</v>
      </c>
      <c r="S250" s="101">
        <f t="shared" si="57"/>
        <v>0</v>
      </c>
      <c r="T250" s="101">
        <f t="shared" si="58"/>
        <v>0</v>
      </c>
      <c r="U250" s="101">
        <f t="shared" si="59"/>
        <v>0</v>
      </c>
      <c r="V250" s="101">
        <f t="shared" si="60"/>
        <v>0</v>
      </c>
      <c r="W250" s="101">
        <f t="shared" si="61"/>
        <v>0</v>
      </c>
      <c r="X250" s="103">
        <f t="shared" si="62"/>
        <v>0</v>
      </c>
      <c r="Z250" s="47"/>
    </row>
    <row r="251" spans="1:26">
      <c r="A251" s="98"/>
      <c r="B251" s="99"/>
      <c r="C251" s="100"/>
      <c r="D251" s="98"/>
      <c r="E251" s="101"/>
      <c r="F251" s="102"/>
      <c r="G251" s="98"/>
      <c r="H251" s="101"/>
      <c r="I251" s="101"/>
      <c r="J251" s="103">
        <f t="shared" si="49"/>
        <v>0</v>
      </c>
      <c r="K251" s="101">
        <f t="shared" si="63"/>
        <v>-551301</v>
      </c>
      <c r="L251" s="101">
        <f t="shared" si="50"/>
        <v>0</v>
      </c>
      <c r="M251" s="101">
        <f t="shared" si="51"/>
        <v>0</v>
      </c>
      <c r="N251" s="101">
        <f t="shared" si="52"/>
        <v>0</v>
      </c>
      <c r="O251" s="101">
        <f t="shared" si="53"/>
        <v>0</v>
      </c>
      <c r="P251" s="101">
        <f t="shared" si="54"/>
        <v>0</v>
      </c>
      <c r="Q251" s="101">
        <f t="shared" si="55"/>
        <v>0</v>
      </c>
      <c r="R251" s="101">
        <f t="shared" si="56"/>
        <v>0</v>
      </c>
      <c r="S251" s="101">
        <f t="shared" si="57"/>
        <v>0</v>
      </c>
      <c r="T251" s="101">
        <f t="shared" si="58"/>
        <v>0</v>
      </c>
      <c r="U251" s="101">
        <f t="shared" si="59"/>
        <v>0</v>
      </c>
      <c r="V251" s="101">
        <f t="shared" si="60"/>
        <v>0</v>
      </c>
      <c r="W251" s="101">
        <f t="shared" si="61"/>
        <v>0</v>
      </c>
      <c r="X251" s="103">
        <f t="shared" si="62"/>
        <v>0</v>
      </c>
    </row>
    <row r="252" spans="1:26">
      <c r="A252" s="98"/>
      <c r="B252" s="99"/>
      <c r="C252" s="100"/>
      <c r="D252" s="98"/>
      <c r="E252" s="101"/>
      <c r="F252" s="102"/>
      <c r="G252" s="98"/>
      <c r="H252" s="101"/>
      <c r="I252" s="101"/>
      <c r="J252" s="103">
        <f t="shared" si="49"/>
        <v>0</v>
      </c>
      <c r="K252" s="101">
        <f t="shared" si="63"/>
        <v>-551301</v>
      </c>
      <c r="L252" s="101">
        <f t="shared" si="50"/>
        <v>0</v>
      </c>
      <c r="M252" s="101">
        <f t="shared" si="51"/>
        <v>0</v>
      </c>
      <c r="N252" s="101">
        <f t="shared" si="52"/>
        <v>0</v>
      </c>
      <c r="O252" s="101">
        <f t="shared" si="53"/>
        <v>0</v>
      </c>
      <c r="P252" s="101">
        <f t="shared" si="54"/>
        <v>0</v>
      </c>
      <c r="Q252" s="101">
        <f t="shared" si="55"/>
        <v>0</v>
      </c>
      <c r="R252" s="101">
        <f t="shared" si="56"/>
        <v>0</v>
      </c>
      <c r="S252" s="101">
        <f t="shared" si="57"/>
        <v>0</v>
      </c>
      <c r="T252" s="101">
        <f t="shared" si="58"/>
        <v>0</v>
      </c>
      <c r="U252" s="101">
        <f t="shared" si="59"/>
        <v>0</v>
      </c>
      <c r="V252" s="101">
        <f t="shared" si="60"/>
        <v>0</v>
      </c>
      <c r="W252" s="101">
        <f t="shared" si="61"/>
        <v>0</v>
      </c>
      <c r="X252" s="103">
        <f t="shared" si="62"/>
        <v>0</v>
      </c>
    </row>
    <row r="253" spans="1:26">
      <c r="A253" s="98"/>
      <c r="B253" s="99"/>
      <c r="C253" s="100"/>
      <c r="D253" s="98"/>
      <c r="E253" s="101"/>
      <c r="F253" s="102"/>
      <c r="G253" s="98"/>
      <c r="H253" s="101"/>
      <c r="I253" s="101"/>
      <c r="J253" s="103">
        <f t="shared" si="49"/>
        <v>0</v>
      </c>
      <c r="K253" s="101">
        <f t="shared" si="63"/>
        <v>-551301</v>
      </c>
      <c r="L253" s="101">
        <f t="shared" si="50"/>
        <v>0</v>
      </c>
      <c r="M253" s="101">
        <f t="shared" si="51"/>
        <v>0</v>
      </c>
      <c r="N253" s="101">
        <f t="shared" si="52"/>
        <v>0</v>
      </c>
      <c r="O253" s="101">
        <f t="shared" si="53"/>
        <v>0</v>
      </c>
      <c r="P253" s="101">
        <f t="shared" si="54"/>
        <v>0</v>
      </c>
      <c r="Q253" s="101">
        <f t="shared" si="55"/>
        <v>0</v>
      </c>
      <c r="R253" s="101">
        <f t="shared" si="56"/>
        <v>0</v>
      </c>
      <c r="S253" s="101">
        <f t="shared" si="57"/>
        <v>0</v>
      </c>
      <c r="T253" s="101">
        <f t="shared" si="58"/>
        <v>0</v>
      </c>
      <c r="U253" s="101">
        <f t="shared" si="59"/>
        <v>0</v>
      </c>
      <c r="V253" s="101">
        <f t="shared" si="60"/>
        <v>0</v>
      </c>
      <c r="W253" s="101">
        <f t="shared" si="61"/>
        <v>0</v>
      </c>
      <c r="X253" s="103">
        <f t="shared" si="62"/>
        <v>0</v>
      </c>
    </row>
    <row r="254" spans="1:26">
      <c r="A254" s="98"/>
      <c r="B254" s="99"/>
      <c r="C254" s="100"/>
      <c r="D254" s="98"/>
      <c r="E254" s="101"/>
      <c r="F254" s="102"/>
      <c r="G254" s="98"/>
      <c r="H254" s="101"/>
      <c r="I254" s="101"/>
      <c r="J254" s="103">
        <f t="shared" si="49"/>
        <v>0</v>
      </c>
      <c r="K254" s="101">
        <f t="shared" si="63"/>
        <v>-551301</v>
      </c>
      <c r="L254" s="101">
        <f t="shared" si="50"/>
        <v>0</v>
      </c>
      <c r="M254" s="101">
        <f t="shared" si="51"/>
        <v>0</v>
      </c>
      <c r="N254" s="101">
        <f t="shared" si="52"/>
        <v>0</v>
      </c>
      <c r="O254" s="101">
        <f t="shared" si="53"/>
        <v>0</v>
      </c>
      <c r="P254" s="101">
        <f t="shared" si="54"/>
        <v>0</v>
      </c>
      <c r="Q254" s="101">
        <f t="shared" si="55"/>
        <v>0</v>
      </c>
      <c r="R254" s="101">
        <f t="shared" si="56"/>
        <v>0</v>
      </c>
      <c r="S254" s="101">
        <f t="shared" si="57"/>
        <v>0</v>
      </c>
      <c r="T254" s="101">
        <f t="shared" si="58"/>
        <v>0</v>
      </c>
      <c r="U254" s="101">
        <f t="shared" si="59"/>
        <v>0</v>
      </c>
      <c r="V254" s="101">
        <f t="shared" si="60"/>
        <v>0</v>
      </c>
      <c r="W254" s="101">
        <f t="shared" si="61"/>
        <v>0</v>
      </c>
      <c r="X254" s="103">
        <f t="shared" si="62"/>
        <v>0</v>
      </c>
    </row>
    <row r="255" spans="1:26">
      <c r="A255" s="98"/>
      <c r="B255" s="99"/>
      <c r="C255" s="100"/>
      <c r="D255" s="98"/>
      <c r="E255" s="101"/>
      <c r="F255" s="102"/>
      <c r="G255" s="98"/>
      <c r="H255" s="101"/>
      <c r="I255" s="101"/>
      <c r="J255" s="103">
        <f t="shared" si="49"/>
        <v>0</v>
      </c>
      <c r="K255" s="101">
        <f t="shared" ref="K255:K265" si="64">K254+J255</f>
        <v>-551301</v>
      </c>
      <c r="L255" s="101">
        <f t="shared" si="50"/>
        <v>0</v>
      </c>
      <c r="M255" s="101">
        <f t="shared" si="51"/>
        <v>0</v>
      </c>
      <c r="N255" s="101">
        <f t="shared" si="52"/>
        <v>0</v>
      </c>
      <c r="O255" s="101">
        <f t="shared" si="53"/>
        <v>0</v>
      </c>
      <c r="P255" s="101">
        <f t="shared" si="54"/>
        <v>0</v>
      </c>
      <c r="Q255" s="101">
        <f t="shared" si="55"/>
        <v>0</v>
      </c>
      <c r="R255" s="101">
        <f t="shared" si="56"/>
        <v>0</v>
      </c>
      <c r="S255" s="101">
        <f t="shared" si="57"/>
        <v>0</v>
      </c>
      <c r="T255" s="101">
        <f t="shared" si="58"/>
        <v>0</v>
      </c>
      <c r="U255" s="101">
        <f t="shared" si="59"/>
        <v>0</v>
      </c>
      <c r="V255" s="101">
        <f t="shared" si="60"/>
        <v>0</v>
      </c>
      <c r="W255" s="101">
        <f t="shared" si="61"/>
        <v>0</v>
      </c>
      <c r="X255" s="103">
        <f t="shared" si="62"/>
        <v>0</v>
      </c>
    </row>
    <row r="256" spans="1:26">
      <c r="A256" s="98"/>
      <c r="B256" s="99"/>
      <c r="C256" s="100"/>
      <c r="D256" s="98"/>
      <c r="E256" s="101"/>
      <c r="F256" s="102"/>
      <c r="G256" s="98"/>
      <c r="H256" s="101"/>
      <c r="I256" s="101"/>
      <c r="J256" s="103">
        <f t="shared" si="49"/>
        <v>0</v>
      </c>
      <c r="K256" s="101">
        <f t="shared" si="64"/>
        <v>-551301</v>
      </c>
      <c r="L256" s="101">
        <f t="shared" si="50"/>
        <v>0</v>
      </c>
      <c r="M256" s="101">
        <f t="shared" si="51"/>
        <v>0</v>
      </c>
      <c r="N256" s="101">
        <f t="shared" si="52"/>
        <v>0</v>
      </c>
      <c r="O256" s="101">
        <f t="shared" si="53"/>
        <v>0</v>
      </c>
      <c r="P256" s="101">
        <f t="shared" si="54"/>
        <v>0</v>
      </c>
      <c r="Q256" s="101">
        <f t="shared" si="55"/>
        <v>0</v>
      </c>
      <c r="R256" s="101">
        <f t="shared" si="56"/>
        <v>0</v>
      </c>
      <c r="S256" s="101">
        <f t="shared" si="57"/>
        <v>0</v>
      </c>
      <c r="T256" s="101">
        <f t="shared" si="58"/>
        <v>0</v>
      </c>
      <c r="U256" s="101">
        <f t="shared" si="59"/>
        <v>0</v>
      </c>
      <c r="V256" s="101">
        <f t="shared" si="60"/>
        <v>0</v>
      </c>
      <c r="W256" s="101">
        <f t="shared" si="61"/>
        <v>0</v>
      </c>
      <c r="X256" s="103">
        <f t="shared" si="62"/>
        <v>0</v>
      </c>
    </row>
    <row r="257" spans="1:24">
      <c r="A257" s="98"/>
      <c r="B257" s="99"/>
      <c r="C257" s="100"/>
      <c r="D257" s="98"/>
      <c r="E257" s="101"/>
      <c r="F257" s="102"/>
      <c r="G257" s="98"/>
      <c r="H257" s="101"/>
      <c r="I257" s="101"/>
      <c r="J257" s="103">
        <f t="shared" si="49"/>
        <v>0</v>
      </c>
      <c r="K257" s="101">
        <f t="shared" si="64"/>
        <v>-551301</v>
      </c>
      <c r="L257" s="101">
        <f t="shared" si="50"/>
        <v>0</v>
      </c>
      <c r="M257" s="101">
        <f t="shared" si="51"/>
        <v>0</v>
      </c>
      <c r="N257" s="101">
        <f t="shared" si="52"/>
        <v>0</v>
      </c>
      <c r="O257" s="101">
        <f t="shared" si="53"/>
        <v>0</v>
      </c>
      <c r="P257" s="101">
        <f t="shared" si="54"/>
        <v>0</v>
      </c>
      <c r="Q257" s="101">
        <f t="shared" si="55"/>
        <v>0</v>
      </c>
      <c r="R257" s="101">
        <f t="shared" si="56"/>
        <v>0</v>
      </c>
      <c r="S257" s="101">
        <f t="shared" si="57"/>
        <v>0</v>
      </c>
      <c r="T257" s="101">
        <f t="shared" si="58"/>
        <v>0</v>
      </c>
      <c r="U257" s="101">
        <f t="shared" si="59"/>
        <v>0</v>
      </c>
      <c r="V257" s="101">
        <f t="shared" si="60"/>
        <v>0</v>
      </c>
      <c r="W257" s="101">
        <f t="shared" si="61"/>
        <v>0</v>
      </c>
      <c r="X257" s="103">
        <f t="shared" si="62"/>
        <v>0</v>
      </c>
    </row>
    <row r="258" spans="1:24">
      <c r="A258" s="98"/>
      <c r="B258" s="99"/>
      <c r="C258" s="100"/>
      <c r="D258" s="98"/>
      <c r="E258" s="101"/>
      <c r="F258" s="102"/>
      <c r="G258" s="98"/>
      <c r="H258" s="101"/>
      <c r="I258" s="101"/>
      <c r="J258" s="103">
        <f t="shared" si="49"/>
        <v>0</v>
      </c>
      <c r="K258" s="101">
        <f t="shared" si="64"/>
        <v>-551301</v>
      </c>
      <c r="L258" s="101">
        <f t="shared" si="50"/>
        <v>0</v>
      </c>
      <c r="M258" s="101">
        <f t="shared" si="51"/>
        <v>0</v>
      </c>
      <c r="N258" s="101">
        <f t="shared" si="52"/>
        <v>0</v>
      </c>
      <c r="O258" s="101">
        <f t="shared" si="53"/>
        <v>0</v>
      </c>
      <c r="P258" s="101">
        <f t="shared" si="54"/>
        <v>0</v>
      </c>
      <c r="Q258" s="101">
        <f t="shared" si="55"/>
        <v>0</v>
      </c>
      <c r="R258" s="101">
        <f t="shared" si="56"/>
        <v>0</v>
      </c>
      <c r="S258" s="101">
        <f t="shared" si="57"/>
        <v>0</v>
      </c>
      <c r="T258" s="101">
        <f t="shared" si="58"/>
        <v>0</v>
      </c>
      <c r="U258" s="101">
        <f t="shared" si="59"/>
        <v>0</v>
      </c>
      <c r="V258" s="101">
        <f t="shared" si="60"/>
        <v>0</v>
      </c>
      <c r="W258" s="101">
        <f t="shared" si="61"/>
        <v>0</v>
      </c>
      <c r="X258" s="103">
        <f t="shared" si="62"/>
        <v>0</v>
      </c>
    </row>
    <row r="259" spans="1:24">
      <c r="A259" s="98"/>
      <c r="B259" s="99"/>
      <c r="C259" s="100"/>
      <c r="D259" s="98"/>
      <c r="E259" s="101"/>
      <c r="F259" s="102"/>
      <c r="G259" s="98"/>
      <c r="H259" s="101"/>
      <c r="I259" s="101"/>
      <c r="J259" s="103">
        <f t="shared" si="49"/>
        <v>0</v>
      </c>
      <c r="K259" s="101">
        <f t="shared" si="64"/>
        <v>-551301</v>
      </c>
      <c r="L259" s="101">
        <f t="shared" si="50"/>
        <v>0</v>
      </c>
      <c r="M259" s="101">
        <f t="shared" si="51"/>
        <v>0</v>
      </c>
      <c r="N259" s="101">
        <f t="shared" si="52"/>
        <v>0</v>
      </c>
      <c r="O259" s="101">
        <f t="shared" si="53"/>
        <v>0</v>
      </c>
      <c r="P259" s="101">
        <f t="shared" si="54"/>
        <v>0</v>
      </c>
      <c r="Q259" s="101">
        <f t="shared" si="55"/>
        <v>0</v>
      </c>
      <c r="R259" s="101">
        <f t="shared" si="56"/>
        <v>0</v>
      </c>
      <c r="S259" s="101">
        <f t="shared" si="57"/>
        <v>0</v>
      </c>
      <c r="T259" s="101">
        <f t="shared" si="58"/>
        <v>0</v>
      </c>
      <c r="U259" s="101">
        <f t="shared" si="59"/>
        <v>0</v>
      </c>
      <c r="V259" s="101">
        <f t="shared" si="60"/>
        <v>0</v>
      </c>
      <c r="W259" s="101">
        <f t="shared" si="61"/>
        <v>0</v>
      </c>
      <c r="X259" s="103">
        <f t="shared" si="62"/>
        <v>0</v>
      </c>
    </row>
    <row r="260" spans="1:24">
      <c r="A260" s="98"/>
      <c r="B260" s="99"/>
      <c r="C260" s="100"/>
      <c r="D260" s="98"/>
      <c r="E260" s="101"/>
      <c r="F260" s="102"/>
      <c r="G260" s="98"/>
      <c r="H260" s="101"/>
      <c r="I260" s="101"/>
      <c r="J260" s="103">
        <f t="shared" si="49"/>
        <v>0</v>
      </c>
      <c r="K260" s="101">
        <f t="shared" si="64"/>
        <v>-551301</v>
      </c>
      <c r="L260" s="101">
        <f t="shared" si="50"/>
        <v>0</v>
      </c>
      <c r="M260" s="101">
        <f t="shared" si="51"/>
        <v>0</v>
      </c>
      <c r="N260" s="101">
        <f t="shared" si="52"/>
        <v>0</v>
      </c>
      <c r="O260" s="101">
        <f t="shared" si="53"/>
        <v>0</v>
      </c>
      <c r="P260" s="101">
        <f t="shared" si="54"/>
        <v>0</v>
      </c>
      <c r="Q260" s="101">
        <f t="shared" si="55"/>
        <v>0</v>
      </c>
      <c r="R260" s="101">
        <f t="shared" si="56"/>
        <v>0</v>
      </c>
      <c r="S260" s="101">
        <f t="shared" si="57"/>
        <v>0</v>
      </c>
      <c r="T260" s="101">
        <f t="shared" si="58"/>
        <v>0</v>
      </c>
      <c r="U260" s="101">
        <f t="shared" si="59"/>
        <v>0</v>
      </c>
      <c r="V260" s="101">
        <f t="shared" si="60"/>
        <v>0</v>
      </c>
      <c r="W260" s="101">
        <f t="shared" si="61"/>
        <v>0</v>
      </c>
      <c r="X260" s="103">
        <f t="shared" si="62"/>
        <v>0</v>
      </c>
    </row>
    <row r="261" spans="1:24">
      <c r="A261" s="98"/>
      <c r="B261" s="99"/>
      <c r="C261" s="100"/>
      <c r="D261" s="98"/>
      <c r="E261" s="101"/>
      <c r="F261" s="102"/>
      <c r="G261" s="98"/>
      <c r="H261" s="101"/>
      <c r="I261" s="101"/>
      <c r="J261" s="103">
        <f t="shared" si="49"/>
        <v>0</v>
      </c>
      <c r="K261" s="101">
        <f t="shared" si="64"/>
        <v>-551301</v>
      </c>
      <c r="L261" s="101">
        <f t="shared" si="50"/>
        <v>0</v>
      </c>
      <c r="M261" s="101">
        <f t="shared" si="51"/>
        <v>0</v>
      </c>
      <c r="N261" s="101">
        <f t="shared" si="52"/>
        <v>0</v>
      </c>
      <c r="O261" s="101">
        <f t="shared" si="53"/>
        <v>0</v>
      </c>
      <c r="P261" s="101">
        <f t="shared" si="54"/>
        <v>0</v>
      </c>
      <c r="Q261" s="101">
        <f t="shared" si="55"/>
        <v>0</v>
      </c>
      <c r="R261" s="101">
        <f t="shared" si="56"/>
        <v>0</v>
      </c>
      <c r="S261" s="101">
        <f t="shared" si="57"/>
        <v>0</v>
      </c>
      <c r="T261" s="101">
        <f t="shared" si="58"/>
        <v>0</v>
      </c>
      <c r="U261" s="101">
        <f t="shared" si="59"/>
        <v>0</v>
      </c>
      <c r="V261" s="101">
        <f t="shared" si="60"/>
        <v>0</v>
      </c>
      <c r="W261" s="101">
        <f t="shared" si="61"/>
        <v>0</v>
      </c>
      <c r="X261" s="103">
        <f t="shared" si="62"/>
        <v>0</v>
      </c>
    </row>
    <row r="262" spans="1:24">
      <c r="A262" s="98"/>
      <c r="B262" s="99"/>
      <c r="C262" s="100"/>
      <c r="D262" s="98"/>
      <c r="E262" s="101"/>
      <c r="F262" s="102"/>
      <c r="G262" s="98"/>
      <c r="H262" s="101"/>
      <c r="I262" s="101"/>
      <c r="J262" s="103">
        <f>I262+E262+H262</f>
        <v>0</v>
      </c>
      <c r="K262" s="101">
        <f t="shared" si="64"/>
        <v>-551301</v>
      </c>
      <c r="L262" s="101">
        <f t="shared" si="50"/>
        <v>0</v>
      </c>
      <c r="M262" s="101">
        <f t="shared" si="51"/>
        <v>0</v>
      </c>
      <c r="N262" s="101">
        <f t="shared" si="52"/>
        <v>0</v>
      </c>
      <c r="O262" s="101">
        <f t="shared" si="53"/>
        <v>0</v>
      </c>
      <c r="P262" s="101">
        <f t="shared" si="54"/>
        <v>0</v>
      </c>
      <c r="Q262" s="101">
        <f t="shared" si="55"/>
        <v>0</v>
      </c>
      <c r="R262" s="101">
        <f t="shared" si="56"/>
        <v>0</v>
      </c>
      <c r="S262" s="101">
        <f t="shared" si="57"/>
        <v>0</v>
      </c>
      <c r="T262" s="101">
        <f t="shared" si="58"/>
        <v>0</v>
      </c>
      <c r="U262" s="101">
        <f t="shared" si="59"/>
        <v>0</v>
      </c>
      <c r="V262" s="101">
        <f t="shared" si="60"/>
        <v>0</v>
      </c>
      <c r="W262" s="101">
        <f t="shared" si="61"/>
        <v>0</v>
      </c>
      <c r="X262" s="103">
        <f>SUM(L262:W262)</f>
        <v>0</v>
      </c>
    </row>
    <row r="263" spans="1:24">
      <c r="A263" s="98"/>
      <c r="B263" s="99"/>
      <c r="C263" s="100"/>
      <c r="D263" s="98"/>
      <c r="E263" s="101"/>
      <c r="F263" s="102"/>
      <c r="G263" s="98"/>
      <c r="H263" s="101"/>
      <c r="I263" s="101"/>
      <c r="J263" s="103">
        <f>I263+E263+H263</f>
        <v>0</v>
      </c>
      <c r="K263" s="101">
        <f t="shared" si="64"/>
        <v>-551301</v>
      </c>
      <c r="L263" s="101">
        <f t="shared" si="50"/>
        <v>0</v>
      </c>
      <c r="M263" s="101">
        <f t="shared" si="51"/>
        <v>0</v>
      </c>
      <c r="N263" s="101">
        <f t="shared" si="52"/>
        <v>0</v>
      </c>
      <c r="O263" s="101">
        <f t="shared" si="53"/>
        <v>0</v>
      </c>
      <c r="P263" s="101">
        <f t="shared" si="54"/>
        <v>0</v>
      </c>
      <c r="Q263" s="101">
        <f t="shared" si="55"/>
        <v>0</v>
      </c>
      <c r="R263" s="101">
        <f t="shared" si="56"/>
        <v>0</v>
      </c>
      <c r="S263" s="101">
        <f t="shared" si="57"/>
        <v>0</v>
      </c>
      <c r="T263" s="101">
        <f t="shared" si="58"/>
        <v>0</v>
      </c>
      <c r="U263" s="101">
        <f t="shared" si="59"/>
        <v>0</v>
      </c>
      <c r="V263" s="101">
        <f t="shared" si="60"/>
        <v>0</v>
      </c>
      <c r="W263" s="101">
        <f t="shared" si="61"/>
        <v>0</v>
      </c>
      <c r="X263" s="103">
        <f>SUM(L263:W263)</f>
        <v>0</v>
      </c>
    </row>
    <row r="264" spans="1:24">
      <c r="A264" s="98"/>
      <c r="B264" s="99"/>
      <c r="C264" s="100"/>
      <c r="D264" s="98"/>
      <c r="E264" s="101"/>
      <c r="F264" s="102"/>
      <c r="G264" s="98"/>
      <c r="H264" s="101"/>
      <c r="I264" s="101"/>
      <c r="J264" s="103">
        <f t="shared" ref="J264:J289" si="65">I264+E264+H264</f>
        <v>0</v>
      </c>
      <c r="K264" s="101">
        <f t="shared" si="64"/>
        <v>-551301</v>
      </c>
      <c r="L264" s="101">
        <f t="shared" ref="L264:L289" si="66">IF(C264=1,SUM(E264+I264+H264),(0))</f>
        <v>0</v>
      </c>
      <c r="M264" s="101">
        <f t="shared" ref="M264:M289" si="67">IF(C264=2,SUM(E264+I264+H264),(0))</f>
        <v>0</v>
      </c>
      <c r="N264" s="101">
        <f t="shared" ref="N264:N289" si="68">IF(C264=3,SUM(E264+I264+H264),(0))</f>
        <v>0</v>
      </c>
      <c r="O264" s="101">
        <f t="shared" ref="O264:O289" si="69">IF(C264=4,SUM(E264+I264+H264),(0))</f>
        <v>0</v>
      </c>
      <c r="P264" s="101">
        <f t="shared" ref="P264:P289" si="70">IF(C264=5,SUM(E264+I264+H264),(0))</f>
        <v>0</v>
      </c>
      <c r="Q264" s="101">
        <f t="shared" ref="Q264:Q289" si="71">IF(C264=6,SUM(E264+I264+H264),(0))</f>
        <v>0</v>
      </c>
      <c r="R264" s="101">
        <f t="shared" ref="R264:R289" si="72">IF(C264=7,SUM(E264+I264+H264),(0))</f>
        <v>0</v>
      </c>
      <c r="S264" s="101">
        <f t="shared" ref="S264:S289" si="73">IF(C264=8,SUM(E264+I264+H264),(0))</f>
        <v>0</v>
      </c>
      <c r="T264" s="101">
        <f t="shared" ref="T264:T289" si="74">IF(C264=8.1,SUM(E264+I264+H264),(0))</f>
        <v>0</v>
      </c>
      <c r="U264" s="101">
        <f t="shared" ref="U264:U289" si="75">IF(C264=9,SUM(E264+I264+H264),(0))</f>
        <v>0</v>
      </c>
      <c r="V264" s="101">
        <f t="shared" ref="V264:V289" si="76">IF(C264=10,SUM(E264+H264+I264),(0))</f>
        <v>0</v>
      </c>
      <c r="W264" s="101">
        <f t="shared" ref="W264:W289" si="77">IF(C264=11,SUM(E264+I264+H264),(0))</f>
        <v>0</v>
      </c>
      <c r="X264" s="103">
        <f t="shared" ref="X264:X289" si="78">SUM(L264:W264)</f>
        <v>0</v>
      </c>
    </row>
    <row r="265" spans="1:24">
      <c r="A265" s="98"/>
      <c r="B265" s="99"/>
      <c r="C265" s="100"/>
      <c r="D265" s="98"/>
      <c r="E265" s="101"/>
      <c r="F265" s="102"/>
      <c r="G265" s="98"/>
      <c r="H265" s="101"/>
      <c r="I265" s="101"/>
      <c r="J265" s="103">
        <f t="shared" si="65"/>
        <v>0</v>
      </c>
      <c r="K265" s="101">
        <f t="shared" si="64"/>
        <v>-551301</v>
      </c>
      <c r="L265" s="101">
        <f t="shared" si="66"/>
        <v>0</v>
      </c>
      <c r="M265" s="101">
        <f t="shared" si="67"/>
        <v>0</v>
      </c>
      <c r="N265" s="101">
        <f t="shared" si="68"/>
        <v>0</v>
      </c>
      <c r="O265" s="101">
        <f t="shared" si="69"/>
        <v>0</v>
      </c>
      <c r="P265" s="101">
        <f t="shared" si="70"/>
        <v>0</v>
      </c>
      <c r="Q265" s="101">
        <f t="shared" si="71"/>
        <v>0</v>
      </c>
      <c r="R265" s="101">
        <f t="shared" si="72"/>
        <v>0</v>
      </c>
      <c r="S265" s="101">
        <f t="shared" si="73"/>
        <v>0</v>
      </c>
      <c r="T265" s="101">
        <f t="shared" si="74"/>
        <v>0</v>
      </c>
      <c r="U265" s="101">
        <f t="shared" si="75"/>
        <v>0</v>
      </c>
      <c r="V265" s="101">
        <f t="shared" si="76"/>
        <v>0</v>
      </c>
      <c r="W265" s="101">
        <f t="shared" si="77"/>
        <v>0</v>
      </c>
      <c r="X265" s="103">
        <f t="shared" si="78"/>
        <v>0</v>
      </c>
    </row>
    <row r="266" spans="1:24">
      <c r="A266" s="98"/>
      <c r="B266" s="99"/>
      <c r="C266" s="100"/>
      <c r="D266" s="98"/>
      <c r="E266" s="101"/>
      <c r="F266" s="102"/>
      <c r="G266" s="98"/>
      <c r="H266" s="101"/>
      <c r="I266" s="101"/>
      <c r="J266" s="103">
        <f t="shared" si="65"/>
        <v>0</v>
      </c>
      <c r="K266" s="101">
        <f t="shared" ref="K266:K289" si="79">K265+J266</f>
        <v>-551301</v>
      </c>
      <c r="L266" s="101">
        <f t="shared" si="66"/>
        <v>0</v>
      </c>
      <c r="M266" s="101">
        <f t="shared" si="67"/>
        <v>0</v>
      </c>
      <c r="N266" s="101">
        <f t="shared" si="68"/>
        <v>0</v>
      </c>
      <c r="O266" s="101">
        <f t="shared" si="69"/>
        <v>0</v>
      </c>
      <c r="P266" s="101">
        <f t="shared" si="70"/>
        <v>0</v>
      </c>
      <c r="Q266" s="101">
        <f t="shared" si="71"/>
        <v>0</v>
      </c>
      <c r="R266" s="101">
        <f t="shared" si="72"/>
        <v>0</v>
      </c>
      <c r="S266" s="101">
        <f t="shared" si="73"/>
        <v>0</v>
      </c>
      <c r="T266" s="101">
        <f t="shared" si="74"/>
        <v>0</v>
      </c>
      <c r="U266" s="101">
        <f t="shared" si="75"/>
        <v>0</v>
      </c>
      <c r="V266" s="101">
        <f t="shared" si="76"/>
        <v>0</v>
      </c>
      <c r="W266" s="101">
        <f t="shared" si="77"/>
        <v>0</v>
      </c>
      <c r="X266" s="103">
        <f t="shared" si="78"/>
        <v>0</v>
      </c>
    </row>
    <row r="267" spans="1:24">
      <c r="A267" s="98"/>
      <c r="B267" s="99"/>
      <c r="C267" s="100"/>
      <c r="D267" s="98"/>
      <c r="E267" s="101"/>
      <c r="F267" s="102"/>
      <c r="G267" s="98"/>
      <c r="H267" s="101"/>
      <c r="I267" s="101"/>
      <c r="J267" s="103">
        <f t="shared" si="65"/>
        <v>0</v>
      </c>
      <c r="K267" s="101">
        <f t="shared" si="79"/>
        <v>-551301</v>
      </c>
      <c r="L267" s="101">
        <f t="shared" si="66"/>
        <v>0</v>
      </c>
      <c r="M267" s="101">
        <f t="shared" si="67"/>
        <v>0</v>
      </c>
      <c r="N267" s="101">
        <f t="shared" si="68"/>
        <v>0</v>
      </c>
      <c r="O267" s="101">
        <f t="shared" si="69"/>
        <v>0</v>
      </c>
      <c r="P267" s="101">
        <f t="shared" si="70"/>
        <v>0</v>
      </c>
      <c r="Q267" s="101">
        <f t="shared" si="71"/>
        <v>0</v>
      </c>
      <c r="R267" s="101">
        <f t="shared" si="72"/>
        <v>0</v>
      </c>
      <c r="S267" s="101">
        <f t="shared" si="73"/>
        <v>0</v>
      </c>
      <c r="T267" s="101">
        <f t="shared" si="74"/>
        <v>0</v>
      </c>
      <c r="U267" s="101">
        <f t="shared" si="75"/>
        <v>0</v>
      </c>
      <c r="V267" s="101">
        <f t="shared" si="76"/>
        <v>0</v>
      </c>
      <c r="W267" s="101">
        <f t="shared" si="77"/>
        <v>0</v>
      </c>
      <c r="X267" s="103">
        <f t="shared" si="78"/>
        <v>0</v>
      </c>
    </row>
    <row r="268" spans="1:24">
      <c r="A268" s="98"/>
      <c r="B268" s="99"/>
      <c r="C268" s="100"/>
      <c r="D268" s="98"/>
      <c r="E268" s="101"/>
      <c r="F268" s="102"/>
      <c r="G268" s="98"/>
      <c r="H268" s="101"/>
      <c r="I268" s="101"/>
      <c r="J268" s="103">
        <f t="shared" si="65"/>
        <v>0</v>
      </c>
      <c r="K268" s="101">
        <f t="shared" si="79"/>
        <v>-551301</v>
      </c>
      <c r="L268" s="101">
        <f t="shared" si="66"/>
        <v>0</v>
      </c>
      <c r="M268" s="101">
        <f t="shared" si="67"/>
        <v>0</v>
      </c>
      <c r="N268" s="101">
        <f t="shared" si="68"/>
        <v>0</v>
      </c>
      <c r="O268" s="101">
        <f t="shared" si="69"/>
        <v>0</v>
      </c>
      <c r="P268" s="101">
        <f t="shared" si="70"/>
        <v>0</v>
      </c>
      <c r="Q268" s="101">
        <f t="shared" si="71"/>
        <v>0</v>
      </c>
      <c r="R268" s="101">
        <f t="shared" si="72"/>
        <v>0</v>
      </c>
      <c r="S268" s="101">
        <f t="shared" si="73"/>
        <v>0</v>
      </c>
      <c r="T268" s="101">
        <f t="shared" si="74"/>
        <v>0</v>
      </c>
      <c r="U268" s="101">
        <f t="shared" si="75"/>
        <v>0</v>
      </c>
      <c r="V268" s="101">
        <f t="shared" si="76"/>
        <v>0</v>
      </c>
      <c r="W268" s="101">
        <f t="shared" si="77"/>
        <v>0</v>
      </c>
      <c r="X268" s="103">
        <f t="shared" si="78"/>
        <v>0</v>
      </c>
    </row>
    <row r="269" spans="1:24">
      <c r="A269" s="98"/>
      <c r="B269" s="99"/>
      <c r="C269" s="100"/>
      <c r="D269" s="98"/>
      <c r="E269" s="101"/>
      <c r="F269" s="102"/>
      <c r="G269" s="98"/>
      <c r="H269" s="101"/>
      <c r="I269" s="101"/>
      <c r="J269" s="103">
        <f t="shared" si="65"/>
        <v>0</v>
      </c>
      <c r="K269" s="101">
        <f t="shared" si="79"/>
        <v>-551301</v>
      </c>
      <c r="L269" s="101">
        <f t="shared" si="66"/>
        <v>0</v>
      </c>
      <c r="M269" s="101">
        <f t="shared" si="67"/>
        <v>0</v>
      </c>
      <c r="N269" s="101">
        <f t="shared" si="68"/>
        <v>0</v>
      </c>
      <c r="O269" s="101">
        <f t="shared" si="69"/>
        <v>0</v>
      </c>
      <c r="P269" s="101">
        <f t="shared" si="70"/>
        <v>0</v>
      </c>
      <c r="Q269" s="101">
        <f t="shared" si="71"/>
        <v>0</v>
      </c>
      <c r="R269" s="101">
        <f t="shared" si="72"/>
        <v>0</v>
      </c>
      <c r="S269" s="101">
        <f t="shared" si="73"/>
        <v>0</v>
      </c>
      <c r="T269" s="101">
        <f t="shared" si="74"/>
        <v>0</v>
      </c>
      <c r="U269" s="101">
        <f t="shared" si="75"/>
        <v>0</v>
      </c>
      <c r="V269" s="101">
        <f t="shared" si="76"/>
        <v>0</v>
      </c>
      <c r="W269" s="101">
        <f t="shared" si="77"/>
        <v>0</v>
      </c>
      <c r="X269" s="103">
        <f t="shared" si="78"/>
        <v>0</v>
      </c>
    </row>
    <row r="270" spans="1:24">
      <c r="A270" s="98"/>
      <c r="B270" s="99"/>
      <c r="C270" s="100"/>
      <c r="D270" s="98"/>
      <c r="E270" s="101"/>
      <c r="F270" s="102"/>
      <c r="G270" s="98"/>
      <c r="H270" s="101"/>
      <c r="I270" s="101"/>
      <c r="J270" s="103">
        <f t="shared" si="65"/>
        <v>0</v>
      </c>
      <c r="K270" s="101">
        <f t="shared" si="79"/>
        <v>-551301</v>
      </c>
      <c r="L270" s="101">
        <f t="shared" si="66"/>
        <v>0</v>
      </c>
      <c r="M270" s="101">
        <f t="shared" si="67"/>
        <v>0</v>
      </c>
      <c r="N270" s="101">
        <f t="shared" si="68"/>
        <v>0</v>
      </c>
      <c r="O270" s="101">
        <f t="shared" si="69"/>
        <v>0</v>
      </c>
      <c r="P270" s="101">
        <f t="shared" si="70"/>
        <v>0</v>
      </c>
      <c r="Q270" s="101">
        <f t="shared" si="71"/>
        <v>0</v>
      </c>
      <c r="R270" s="101">
        <f t="shared" si="72"/>
        <v>0</v>
      </c>
      <c r="S270" s="101">
        <f t="shared" si="73"/>
        <v>0</v>
      </c>
      <c r="T270" s="101">
        <f t="shared" si="74"/>
        <v>0</v>
      </c>
      <c r="U270" s="101">
        <f t="shared" si="75"/>
        <v>0</v>
      </c>
      <c r="V270" s="101">
        <f t="shared" si="76"/>
        <v>0</v>
      </c>
      <c r="W270" s="101">
        <f t="shared" si="77"/>
        <v>0</v>
      </c>
      <c r="X270" s="103">
        <f t="shared" si="78"/>
        <v>0</v>
      </c>
    </row>
    <row r="271" spans="1:24">
      <c r="A271" s="98"/>
      <c r="B271" s="99"/>
      <c r="C271" s="100"/>
      <c r="D271" s="98"/>
      <c r="E271" s="101"/>
      <c r="F271" s="102"/>
      <c r="G271" s="102"/>
      <c r="H271" s="101"/>
      <c r="I271" s="103"/>
      <c r="J271" s="103">
        <f t="shared" si="65"/>
        <v>0</v>
      </c>
      <c r="K271" s="101">
        <f t="shared" si="79"/>
        <v>-551301</v>
      </c>
      <c r="L271" s="101">
        <f t="shared" si="66"/>
        <v>0</v>
      </c>
      <c r="M271" s="101">
        <f t="shared" si="67"/>
        <v>0</v>
      </c>
      <c r="N271" s="101">
        <f t="shared" si="68"/>
        <v>0</v>
      </c>
      <c r="O271" s="101">
        <f t="shared" si="69"/>
        <v>0</v>
      </c>
      <c r="P271" s="101">
        <f t="shared" si="70"/>
        <v>0</v>
      </c>
      <c r="Q271" s="101">
        <f t="shared" si="71"/>
        <v>0</v>
      </c>
      <c r="R271" s="101">
        <f t="shared" si="72"/>
        <v>0</v>
      </c>
      <c r="S271" s="101">
        <f t="shared" si="73"/>
        <v>0</v>
      </c>
      <c r="T271" s="101">
        <f t="shared" si="74"/>
        <v>0</v>
      </c>
      <c r="U271" s="101">
        <f t="shared" si="75"/>
        <v>0</v>
      </c>
      <c r="V271" s="101">
        <f t="shared" si="76"/>
        <v>0</v>
      </c>
      <c r="W271" s="101">
        <f t="shared" si="77"/>
        <v>0</v>
      </c>
      <c r="X271" s="103">
        <f t="shared" si="78"/>
        <v>0</v>
      </c>
    </row>
    <row r="272" spans="1:24">
      <c r="A272" s="98"/>
      <c r="B272" s="99"/>
      <c r="C272" s="100"/>
      <c r="D272" s="98"/>
      <c r="E272" s="101"/>
      <c r="F272" s="102"/>
      <c r="G272" s="102"/>
      <c r="H272" s="101"/>
      <c r="I272" s="103"/>
      <c r="J272" s="103">
        <f t="shared" si="65"/>
        <v>0</v>
      </c>
      <c r="K272" s="101">
        <f t="shared" si="79"/>
        <v>-551301</v>
      </c>
      <c r="L272" s="101">
        <f t="shared" si="66"/>
        <v>0</v>
      </c>
      <c r="M272" s="101">
        <f t="shared" si="67"/>
        <v>0</v>
      </c>
      <c r="N272" s="101">
        <f t="shared" si="68"/>
        <v>0</v>
      </c>
      <c r="O272" s="101">
        <f t="shared" si="69"/>
        <v>0</v>
      </c>
      <c r="P272" s="101">
        <f t="shared" si="70"/>
        <v>0</v>
      </c>
      <c r="Q272" s="101">
        <f t="shared" si="71"/>
        <v>0</v>
      </c>
      <c r="R272" s="101">
        <f t="shared" si="72"/>
        <v>0</v>
      </c>
      <c r="S272" s="101">
        <f t="shared" si="73"/>
        <v>0</v>
      </c>
      <c r="T272" s="101">
        <f t="shared" si="74"/>
        <v>0</v>
      </c>
      <c r="U272" s="101">
        <f t="shared" si="75"/>
        <v>0</v>
      </c>
      <c r="V272" s="101">
        <f t="shared" si="76"/>
        <v>0</v>
      </c>
      <c r="W272" s="101">
        <f t="shared" si="77"/>
        <v>0</v>
      </c>
      <c r="X272" s="103">
        <f t="shared" si="78"/>
        <v>0</v>
      </c>
    </row>
    <row r="273" spans="1:24">
      <c r="A273" s="98"/>
      <c r="B273" s="99"/>
      <c r="C273" s="100"/>
      <c r="D273" s="98"/>
      <c r="E273" s="101"/>
      <c r="F273" s="102"/>
      <c r="G273" s="102"/>
      <c r="H273" s="101"/>
      <c r="I273" s="103"/>
      <c r="J273" s="103">
        <f t="shared" si="65"/>
        <v>0</v>
      </c>
      <c r="K273" s="101">
        <f t="shared" si="79"/>
        <v>-551301</v>
      </c>
      <c r="L273" s="101">
        <f t="shared" si="66"/>
        <v>0</v>
      </c>
      <c r="M273" s="101">
        <f t="shared" si="67"/>
        <v>0</v>
      </c>
      <c r="N273" s="101">
        <f t="shared" si="68"/>
        <v>0</v>
      </c>
      <c r="O273" s="101">
        <f t="shared" si="69"/>
        <v>0</v>
      </c>
      <c r="P273" s="101">
        <f t="shared" si="70"/>
        <v>0</v>
      </c>
      <c r="Q273" s="101">
        <f t="shared" si="71"/>
        <v>0</v>
      </c>
      <c r="R273" s="101">
        <f t="shared" si="72"/>
        <v>0</v>
      </c>
      <c r="S273" s="101">
        <f t="shared" si="73"/>
        <v>0</v>
      </c>
      <c r="T273" s="101">
        <f t="shared" si="74"/>
        <v>0</v>
      </c>
      <c r="U273" s="101">
        <f t="shared" si="75"/>
        <v>0</v>
      </c>
      <c r="V273" s="101">
        <f t="shared" si="76"/>
        <v>0</v>
      </c>
      <c r="W273" s="101">
        <f t="shared" si="77"/>
        <v>0</v>
      </c>
      <c r="X273" s="103">
        <f t="shared" si="78"/>
        <v>0</v>
      </c>
    </row>
    <row r="274" spans="1:24">
      <c r="A274" s="98"/>
      <c r="B274" s="99"/>
      <c r="C274" s="100"/>
      <c r="D274" s="98"/>
      <c r="E274" s="101"/>
      <c r="F274" s="102"/>
      <c r="G274" s="102"/>
      <c r="H274" s="101"/>
      <c r="I274" s="103"/>
      <c r="J274" s="103">
        <f t="shared" si="65"/>
        <v>0</v>
      </c>
      <c r="K274" s="101">
        <f t="shared" si="79"/>
        <v>-551301</v>
      </c>
      <c r="L274" s="101">
        <f t="shared" si="66"/>
        <v>0</v>
      </c>
      <c r="M274" s="101">
        <f t="shared" si="67"/>
        <v>0</v>
      </c>
      <c r="N274" s="101">
        <f t="shared" si="68"/>
        <v>0</v>
      </c>
      <c r="O274" s="101">
        <f t="shared" si="69"/>
        <v>0</v>
      </c>
      <c r="P274" s="101">
        <f t="shared" si="70"/>
        <v>0</v>
      </c>
      <c r="Q274" s="101">
        <f t="shared" si="71"/>
        <v>0</v>
      </c>
      <c r="R274" s="101">
        <f t="shared" si="72"/>
        <v>0</v>
      </c>
      <c r="S274" s="101">
        <f t="shared" si="73"/>
        <v>0</v>
      </c>
      <c r="T274" s="101">
        <f t="shared" si="74"/>
        <v>0</v>
      </c>
      <c r="U274" s="101">
        <f t="shared" si="75"/>
        <v>0</v>
      </c>
      <c r="V274" s="101">
        <f t="shared" si="76"/>
        <v>0</v>
      </c>
      <c r="W274" s="101">
        <f t="shared" si="77"/>
        <v>0</v>
      </c>
      <c r="X274" s="103">
        <f t="shared" si="78"/>
        <v>0</v>
      </c>
    </row>
    <row r="275" spans="1:24">
      <c r="A275" s="98"/>
      <c r="B275" s="99"/>
      <c r="C275" s="100"/>
      <c r="D275" s="98"/>
      <c r="E275" s="101"/>
      <c r="F275" s="102"/>
      <c r="G275" s="102"/>
      <c r="H275" s="101"/>
      <c r="I275" s="103"/>
      <c r="J275" s="103">
        <f t="shared" si="65"/>
        <v>0</v>
      </c>
      <c r="K275" s="101">
        <f t="shared" si="79"/>
        <v>-551301</v>
      </c>
      <c r="L275" s="101">
        <f t="shared" si="66"/>
        <v>0</v>
      </c>
      <c r="M275" s="101">
        <f t="shared" si="67"/>
        <v>0</v>
      </c>
      <c r="N275" s="101">
        <f t="shared" si="68"/>
        <v>0</v>
      </c>
      <c r="O275" s="101">
        <f t="shared" si="69"/>
        <v>0</v>
      </c>
      <c r="P275" s="101">
        <f t="shared" si="70"/>
        <v>0</v>
      </c>
      <c r="Q275" s="101">
        <f t="shared" si="71"/>
        <v>0</v>
      </c>
      <c r="R275" s="101">
        <f t="shared" si="72"/>
        <v>0</v>
      </c>
      <c r="S275" s="101">
        <f t="shared" si="73"/>
        <v>0</v>
      </c>
      <c r="T275" s="101">
        <f t="shared" si="74"/>
        <v>0</v>
      </c>
      <c r="U275" s="101">
        <f t="shared" si="75"/>
        <v>0</v>
      </c>
      <c r="V275" s="101">
        <f t="shared" si="76"/>
        <v>0</v>
      </c>
      <c r="W275" s="101">
        <f t="shared" si="77"/>
        <v>0</v>
      </c>
      <c r="X275" s="103">
        <f t="shared" si="78"/>
        <v>0</v>
      </c>
    </row>
    <row r="276" spans="1:24">
      <c r="A276" s="98"/>
      <c r="B276" s="99"/>
      <c r="C276" s="100"/>
      <c r="D276" s="98"/>
      <c r="E276" s="101"/>
      <c r="F276" s="102"/>
      <c r="G276" s="102"/>
      <c r="H276" s="101"/>
      <c r="I276" s="103"/>
      <c r="J276" s="103">
        <f t="shared" si="65"/>
        <v>0</v>
      </c>
      <c r="K276" s="101">
        <f t="shared" si="79"/>
        <v>-551301</v>
      </c>
      <c r="L276" s="101">
        <f t="shared" si="66"/>
        <v>0</v>
      </c>
      <c r="M276" s="101">
        <f t="shared" si="67"/>
        <v>0</v>
      </c>
      <c r="N276" s="101">
        <f t="shared" si="68"/>
        <v>0</v>
      </c>
      <c r="O276" s="101">
        <f t="shared" si="69"/>
        <v>0</v>
      </c>
      <c r="P276" s="101">
        <f t="shared" si="70"/>
        <v>0</v>
      </c>
      <c r="Q276" s="101">
        <f t="shared" si="71"/>
        <v>0</v>
      </c>
      <c r="R276" s="101">
        <f t="shared" si="72"/>
        <v>0</v>
      </c>
      <c r="S276" s="101">
        <f t="shared" si="73"/>
        <v>0</v>
      </c>
      <c r="T276" s="101">
        <f t="shared" si="74"/>
        <v>0</v>
      </c>
      <c r="U276" s="101">
        <f t="shared" si="75"/>
        <v>0</v>
      </c>
      <c r="V276" s="101">
        <f t="shared" si="76"/>
        <v>0</v>
      </c>
      <c r="W276" s="101">
        <f t="shared" si="77"/>
        <v>0</v>
      </c>
      <c r="X276" s="103">
        <f t="shared" si="78"/>
        <v>0</v>
      </c>
    </row>
    <row r="277" spans="1:24">
      <c r="A277" s="98"/>
      <c r="B277" s="99"/>
      <c r="C277" s="100"/>
      <c r="D277" s="98"/>
      <c r="E277" s="101"/>
      <c r="F277" s="102"/>
      <c r="G277" s="102"/>
      <c r="H277" s="101"/>
      <c r="I277" s="103"/>
      <c r="J277" s="103">
        <f t="shared" si="65"/>
        <v>0</v>
      </c>
      <c r="K277" s="101">
        <f t="shared" si="79"/>
        <v>-551301</v>
      </c>
      <c r="L277" s="101">
        <f t="shared" si="66"/>
        <v>0</v>
      </c>
      <c r="M277" s="101">
        <f t="shared" si="67"/>
        <v>0</v>
      </c>
      <c r="N277" s="101">
        <f t="shared" si="68"/>
        <v>0</v>
      </c>
      <c r="O277" s="101">
        <f t="shared" si="69"/>
        <v>0</v>
      </c>
      <c r="P277" s="101">
        <f t="shared" si="70"/>
        <v>0</v>
      </c>
      <c r="Q277" s="101">
        <f t="shared" si="71"/>
        <v>0</v>
      </c>
      <c r="R277" s="101">
        <f t="shared" si="72"/>
        <v>0</v>
      </c>
      <c r="S277" s="101">
        <f t="shared" si="73"/>
        <v>0</v>
      </c>
      <c r="T277" s="101">
        <f t="shared" si="74"/>
        <v>0</v>
      </c>
      <c r="U277" s="101">
        <f t="shared" si="75"/>
        <v>0</v>
      </c>
      <c r="V277" s="101">
        <f t="shared" si="76"/>
        <v>0</v>
      </c>
      <c r="W277" s="101">
        <f t="shared" si="77"/>
        <v>0</v>
      </c>
      <c r="X277" s="103">
        <f t="shared" si="78"/>
        <v>0</v>
      </c>
    </row>
    <row r="278" spans="1:24">
      <c r="A278" s="98"/>
      <c r="B278" s="99"/>
      <c r="C278" s="100"/>
      <c r="D278" s="98"/>
      <c r="E278" s="101"/>
      <c r="F278" s="102"/>
      <c r="G278" s="102"/>
      <c r="H278" s="101"/>
      <c r="I278" s="103"/>
      <c r="J278" s="103">
        <f t="shared" si="65"/>
        <v>0</v>
      </c>
      <c r="K278" s="101">
        <f t="shared" si="79"/>
        <v>-551301</v>
      </c>
      <c r="L278" s="101">
        <f t="shared" si="66"/>
        <v>0</v>
      </c>
      <c r="M278" s="101">
        <f t="shared" si="67"/>
        <v>0</v>
      </c>
      <c r="N278" s="101">
        <f t="shared" si="68"/>
        <v>0</v>
      </c>
      <c r="O278" s="101">
        <f t="shared" si="69"/>
        <v>0</v>
      </c>
      <c r="P278" s="101">
        <f t="shared" si="70"/>
        <v>0</v>
      </c>
      <c r="Q278" s="101">
        <f t="shared" si="71"/>
        <v>0</v>
      </c>
      <c r="R278" s="101">
        <f t="shared" si="72"/>
        <v>0</v>
      </c>
      <c r="S278" s="101">
        <f t="shared" si="73"/>
        <v>0</v>
      </c>
      <c r="T278" s="101">
        <f t="shared" si="74"/>
        <v>0</v>
      </c>
      <c r="U278" s="101">
        <f t="shared" si="75"/>
        <v>0</v>
      </c>
      <c r="V278" s="101">
        <f t="shared" si="76"/>
        <v>0</v>
      </c>
      <c r="W278" s="101">
        <f t="shared" si="77"/>
        <v>0</v>
      </c>
      <c r="X278" s="103">
        <f t="shared" si="78"/>
        <v>0</v>
      </c>
    </row>
    <row r="279" spans="1:24">
      <c r="A279" s="98"/>
      <c r="B279" s="99"/>
      <c r="C279" s="100"/>
      <c r="D279" s="98"/>
      <c r="E279" s="101"/>
      <c r="F279" s="102"/>
      <c r="G279" s="102"/>
      <c r="H279" s="101"/>
      <c r="I279" s="103"/>
      <c r="J279" s="103">
        <f t="shared" si="65"/>
        <v>0</v>
      </c>
      <c r="K279" s="101">
        <f t="shared" si="79"/>
        <v>-551301</v>
      </c>
      <c r="L279" s="101">
        <f t="shared" si="66"/>
        <v>0</v>
      </c>
      <c r="M279" s="101">
        <f t="shared" si="67"/>
        <v>0</v>
      </c>
      <c r="N279" s="101">
        <f t="shared" si="68"/>
        <v>0</v>
      </c>
      <c r="O279" s="101">
        <f t="shared" si="69"/>
        <v>0</v>
      </c>
      <c r="P279" s="101">
        <f t="shared" si="70"/>
        <v>0</v>
      </c>
      <c r="Q279" s="101">
        <f t="shared" si="71"/>
        <v>0</v>
      </c>
      <c r="R279" s="101">
        <f t="shared" si="72"/>
        <v>0</v>
      </c>
      <c r="S279" s="101">
        <f t="shared" si="73"/>
        <v>0</v>
      </c>
      <c r="T279" s="101">
        <f t="shared" si="74"/>
        <v>0</v>
      </c>
      <c r="U279" s="101">
        <f t="shared" si="75"/>
        <v>0</v>
      </c>
      <c r="V279" s="101">
        <f t="shared" si="76"/>
        <v>0</v>
      </c>
      <c r="W279" s="101">
        <f t="shared" si="77"/>
        <v>0</v>
      </c>
      <c r="X279" s="103">
        <f t="shared" si="78"/>
        <v>0</v>
      </c>
    </row>
    <row r="280" spans="1:24">
      <c r="A280" s="98"/>
      <c r="B280" s="99"/>
      <c r="C280" s="100"/>
      <c r="D280" s="98"/>
      <c r="E280" s="101"/>
      <c r="F280" s="102"/>
      <c r="G280" s="102"/>
      <c r="H280" s="101"/>
      <c r="I280" s="103"/>
      <c r="J280" s="103">
        <f t="shared" si="65"/>
        <v>0</v>
      </c>
      <c r="K280" s="101">
        <f t="shared" si="79"/>
        <v>-551301</v>
      </c>
      <c r="L280" s="101">
        <f t="shared" si="66"/>
        <v>0</v>
      </c>
      <c r="M280" s="101">
        <f t="shared" si="67"/>
        <v>0</v>
      </c>
      <c r="N280" s="101">
        <f t="shared" si="68"/>
        <v>0</v>
      </c>
      <c r="O280" s="101">
        <f t="shared" si="69"/>
        <v>0</v>
      </c>
      <c r="P280" s="101">
        <f t="shared" si="70"/>
        <v>0</v>
      </c>
      <c r="Q280" s="101">
        <f t="shared" si="71"/>
        <v>0</v>
      </c>
      <c r="R280" s="101">
        <f t="shared" si="72"/>
        <v>0</v>
      </c>
      <c r="S280" s="101">
        <f t="shared" si="73"/>
        <v>0</v>
      </c>
      <c r="T280" s="101">
        <f t="shared" si="74"/>
        <v>0</v>
      </c>
      <c r="U280" s="101">
        <f t="shared" si="75"/>
        <v>0</v>
      </c>
      <c r="V280" s="101">
        <f t="shared" si="76"/>
        <v>0</v>
      </c>
      <c r="W280" s="101">
        <f t="shared" si="77"/>
        <v>0</v>
      </c>
      <c r="X280" s="103">
        <f t="shared" si="78"/>
        <v>0</v>
      </c>
    </row>
    <row r="281" spans="1:24">
      <c r="A281" s="98"/>
      <c r="B281" s="99"/>
      <c r="C281" s="100"/>
      <c r="D281" s="98"/>
      <c r="E281" s="101"/>
      <c r="F281" s="102"/>
      <c r="G281" s="102"/>
      <c r="H281" s="101"/>
      <c r="I281" s="103"/>
      <c r="J281" s="103">
        <f t="shared" si="65"/>
        <v>0</v>
      </c>
      <c r="K281" s="101">
        <f t="shared" si="79"/>
        <v>-551301</v>
      </c>
      <c r="L281" s="101">
        <f t="shared" si="66"/>
        <v>0</v>
      </c>
      <c r="M281" s="101">
        <f t="shared" si="67"/>
        <v>0</v>
      </c>
      <c r="N281" s="101">
        <f t="shared" si="68"/>
        <v>0</v>
      </c>
      <c r="O281" s="101">
        <f t="shared" si="69"/>
        <v>0</v>
      </c>
      <c r="P281" s="101">
        <f t="shared" si="70"/>
        <v>0</v>
      </c>
      <c r="Q281" s="101">
        <f t="shared" si="71"/>
        <v>0</v>
      </c>
      <c r="R281" s="101">
        <f t="shared" si="72"/>
        <v>0</v>
      </c>
      <c r="S281" s="101">
        <f t="shared" si="73"/>
        <v>0</v>
      </c>
      <c r="T281" s="101">
        <f t="shared" si="74"/>
        <v>0</v>
      </c>
      <c r="U281" s="101">
        <f t="shared" si="75"/>
        <v>0</v>
      </c>
      <c r="V281" s="101">
        <f t="shared" si="76"/>
        <v>0</v>
      </c>
      <c r="W281" s="101">
        <f t="shared" si="77"/>
        <v>0</v>
      </c>
      <c r="X281" s="103">
        <f t="shared" si="78"/>
        <v>0</v>
      </c>
    </row>
    <row r="282" spans="1:24">
      <c r="A282" s="98"/>
      <c r="B282" s="99"/>
      <c r="C282" s="100"/>
      <c r="D282" s="98"/>
      <c r="E282" s="101"/>
      <c r="F282" s="102"/>
      <c r="G282" s="102"/>
      <c r="H282" s="101"/>
      <c r="I282" s="103"/>
      <c r="J282" s="103">
        <f t="shared" si="65"/>
        <v>0</v>
      </c>
      <c r="K282" s="101">
        <f t="shared" si="79"/>
        <v>-551301</v>
      </c>
      <c r="L282" s="101">
        <f t="shared" si="66"/>
        <v>0</v>
      </c>
      <c r="M282" s="101">
        <f t="shared" si="67"/>
        <v>0</v>
      </c>
      <c r="N282" s="101">
        <f t="shared" si="68"/>
        <v>0</v>
      </c>
      <c r="O282" s="101">
        <f t="shared" si="69"/>
        <v>0</v>
      </c>
      <c r="P282" s="101">
        <f t="shared" si="70"/>
        <v>0</v>
      </c>
      <c r="Q282" s="101">
        <f t="shared" si="71"/>
        <v>0</v>
      </c>
      <c r="R282" s="101">
        <f t="shared" si="72"/>
        <v>0</v>
      </c>
      <c r="S282" s="101">
        <f t="shared" si="73"/>
        <v>0</v>
      </c>
      <c r="T282" s="101">
        <f t="shared" si="74"/>
        <v>0</v>
      </c>
      <c r="U282" s="101">
        <f t="shared" si="75"/>
        <v>0</v>
      </c>
      <c r="V282" s="101">
        <f t="shared" si="76"/>
        <v>0</v>
      </c>
      <c r="W282" s="101">
        <f t="shared" si="77"/>
        <v>0</v>
      </c>
      <c r="X282" s="103">
        <f t="shared" si="78"/>
        <v>0</v>
      </c>
    </row>
    <row r="283" spans="1:24">
      <c r="A283" s="98"/>
      <c r="B283" s="99"/>
      <c r="C283" s="100"/>
      <c r="D283" s="98"/>
      <c r="E283" s="101"/>
      <c r="F283" s="102"/>
      <c r="G283" s="102"/>
      <c r="H283" s="101"/>
      <c r="I283" s="103"/>
      <c r="J283" s="103">
        <f t="shared" si="65"/>
        <v>0</v>
      </c>
      <c r="K283" s="101">
        <f t="shared" si="79"/>
        <v>-551301</v>
      </c>
      <c r="L283" s="101">
        <f t="shared" si="66"/>
        <v>0</v>
      </c>
      <c r="M283" s="101">
        <f t="shared" si="67"/>
        <v>0</v>
      </c>
      <c r="N283" s="101">
        <f t="shared" si="68"/>
        <v>0</v>
      </c>
      <c r="O283" s="101">
        <f t="shared" si="69"/>
        <v>0</v>
      </c>
      <c r="P283" s="101">
        <f t="shared" si="70"/>
        <v>0</v>
      </c>
      <c r="Q283" s="101">
        <f t="shared" si="71"/>
        <v>0</v>
      </c>
      <c r="R283" s="101">
        <f t="shared" si="72"/>
        <v>0</v>
      </c>
      <c r="S283" s="101">
        <f t="shared" si="73"/>
        <v>0</v>
      </c>
      <c r="T283" s="101">
        <f t="shared" si="74"/>
        <v>0</v>
      </c>
      <c r="U283" s="101">
        <f t="shared" si="75"/>
        <v>0</v>
      </c>
      <c r="V283" s="101">
        <f t="shared" si="76"/>
        <v>0</v>
      </c>
      <c r="W283" s="101">
        <f t="shared" si="77"/>
        <v>0</v>
      </c>
      <c r="X283" s="103">
        <f t="shared" si="78"/>
        <v>0</v>
      </c>
    </row>
    <row r="284" spans="1:24">
      <c r="A284" s="98"/>
      <c r="B284" s="99"/>
      <c r="C284" s="100"/>
      <c r="D284" s="98"/>
      <c r="E284" s="101"/>
      <c r="F284" s="102"/>
      <c r="G284" s="102"/>
      <c r="H284" s="101"/>
      <c r="I284" s="103"/>
      <c r="J284" s="103">
        <f t="shared" si="65"/>
        <v>0</v>
      </c>
      <c r="K284" s="101">
        <f t="shared" si="79"/>
        <v>-551301</v>
      </c>
      <c r="L284" s="101">
        <f t="shared" si="66"/>
        <v>0</v>
      </c>
      <c r="M284" s="101">
        <f t="shared" si="67"/>
        <v>0</v>
      </c>
      <c r="N284" s="101">
        <f t="shared" si="68"/>
        <v>0</v>
      </c>
      <c r="O284" s="101">
        <f t="shared" si="69"/>
        <v>0</v>
      </c>
      <c r="P284" s="101">
        <f t="shared" si="70"/>
        <v>0</v>
      </c>
      <c r="Q284" s="101">
        <f t="shared" si="71"/>
        <v>0</v>
      </c>
      <c r="R284" s="101">
        <f t="shared" si="72"/>
        <v>0</v>
      </c>
      <c r="S284" s="101">
        <f t="shared" si="73"/>
        <v>0</v>
      </c>
      <c r="T284" s="101">
        <f t="shared" si="74"/>
        <v>0</v>
      </c>
      <c r="U284" s="101">
        <f t="shared" si="75"/>
        <v>0</v>
      </c>
      <c r="V284" s="101">
        <f t="shared" si="76"/>
        <v>0</v>
      </c>
      <c r="W284" s="101">
        <f t="shared" si="77"/>
        <v>0</v>
      </c>
      <c r="X284" s="103">
        <f t="shared" si="78"/>
        <v>0</v>
      </c>
    </row>
    <row r="285" spans="1:24">
      <c r="A285" s="98"/>
      <c r="B285" s="99"/>
      <c r="C285" s="100"/>
      <c r="D285" s="98"/>
      <c r="E285" s="101"/>
      <c r="F285" s="102"/>
      <c r="G285" s="102"/>
      <c r="H285" s="101"/>
      <c r="I285" s="103"/>
      <c r="J285" s="103">
        <f t="shared" si="65"/>
        <v>0</v>
      </c>
      <c r="K285" s="101">
        <f t="shared" si="79"/>
        <v>-551301</v>
      </c>
      <c r="L285" s="101">
        <f t="shared" si="66"/>
        <v>0</v>
      </c>
      <c r="M285" s="101">
        <f t="shared" si="67"/>
        <v>0</v>
      </c>
      <c r="N285" s="101">
        <f t="shared" si="68"/>
        <v>0</v>
      </c>
      <c r="O285" s="101">
        <f t="shared" si="69"/>
        <v>0</v>
      </c>
      <c r="P285" s="101">
        <f t="shared" si="70"/>
        <v>0</v>
      </c>
      <c r="Q285" s="101">
        <f t="shared" si="71"/>
        <v>0</v>
      </c>
      <c r="R285" s="101">
        <f t="shared" si="72"/>
        <v>0</v>
      </c>
      <c r="S285" s="101">
        <f t="shared" si="73"/>
        <v>0</v>
      </c>
      <c r="T285" s="101">
        <f t="shared" si="74"/>
        <v>0</v>
      </c>
      <c r="U285" s="101">
        <f t="shared" si="75"/>
        <v>0</v>
      </c>
      <c r="V285" s="101">
        <f t="shared" si="76"/>
        <v>0</v>
      </c>
      <c r="W285" s="101">
        <f t="shared" si="77"/>
        <v>0</v>
      </c>
      <c r="X285" s="103">
        <f t="shared" si="78"/>
        <v>0</v>
      </c>
    </row>
    <row r="286" spans="1:24">
      <c r="A286" s="98"/>
      <c r="B286" s="99"/>
      <c r="C286" s="100"/>
      <c r="D286" s="98"/>
      <c r="E286" s="101"/>
      <c r="F286" s="102"/>
      <c r="G286" s="102"/>
      <c r="H286" s="101"/>
      <c r="I286" s="103"/>
      <c r="J286" s="103">
        <f t="shared" si="65"/>
        <v>0</v>
      </c>
      <c r="K286" s="101">
        <f t="shared" si="79"/>
        <v>-551301</v>
      </c>
      <c r="L286" s="101">
        <f t="shared" si="66"/>
        <v>0</v>
      </c>
      <c r="M286" s="101">
        <f t="shared" si="67"/>
        <v>0</v>
      </c>
      <c r="N286" s="101">
        <f t="shared" si="68"/>
        <v>0</v>
      </c>
      <c r="O286" s="101">
        <f t="shared" si="69"/>
        <v>0</v>
      </c>
      <c r="P286" s="101">
        <f t="shared" si="70"/>
        <v>0</v>
      </c>
      <c r="Q286" s="101">
        <f t="shared" si="71"/>
        <v>0</v>
      </c>
      <c r="R286" s="101">
        <f t="shared" si="72"/>
        <v>0</v>
      </c>
      <c r="S286" s="101">
        <f t="shared" si="73"/>
        <v>0</v>
      </c>
      <c r="T286" s="101">
        <f t="shared" si="74"/>
        <v>0</v>
      </c>
      <c r="U286" s="101">
        <f t="shared" si="75"/>
        <v>0</v>
      </c>
      <c r="V286" s="101">
        <f t="shared" si="76"/>
        <v>0</v>
      </c>
      <c r="W286" s="101">
        <f t="shared" si="77"/>
        <v>0</v>
      </c>
      <c r="X286" s="103">
        <f t="shared" si="78"/>
        <v>0</v>
      </c>
    </row>
    <row r="287" spans="1:24">
      <c r="A287" s="98"/>
      <c r="B287" s="99"/>
      <c r="C287" s="100"/>
      <c r="D287" s="98"/>
      <c r="E287" s="101"/>
      <c r="F287" s="102"/>
      <c r="G287" s="102"/>
      <c r="H287" s="101"/>
      <c r="I287" s="103"/>
      <c r="J287" s="103">
        <f t="shared" si="65"/>
        <v>0</v>
      </c>
      <c r="K287" s="101">
        <f t="shared" si="79"/>
        <v>-551301</v>
      </c>
      <c r="L287" s="101">
        <f t="shared" si="66"/>
        <v>0</v>
      </c>
      <c r="M287" s="101">
        <f t="shared" si="67"/>
        <v>0</v>
      </c>
      <c r="N287" s="101">
        <f t="shared" si="68"/>
        <v>0</v>
      </c>
      <c r="O287" s="101">
        <f t="shared" si="69"/>
        <v>0</v>
      </c>
      <c r="P287" s="101">
        <f t="shared" si="70"/>
        <v>0</v>
      </c>
      <c r="Q287" s="101">
        <f t="shared" si="71"/>
        <v>0</v>
      </c>
      <c r="R287" s="101">
        <f t="shared" si="72"/>
        <v>0</v>
      </c>
      <c r="S287" s="101">
        <f t="shared" si="73"/>
        <v>0</v>
      </c>
      <c r="T287" s="101">
        <f t="shared" si="74"/>
        <v>0</v>
      </c>
      <c r="U287" s="101">
        <f t="shared" si="75"/>
        <v>0</v>
      </c>
      <c r="V287" s="101">
        <f t="shared" si="76"/>
        <v>0</v>
      </c>
      <c r="W287" s="101">
        <f t="shared" si="77"/>
        <v>0</v>
      </c>
      <c r="X287" s="103">
        <f t="shared" si="78"/>
        <v>0</v>
      </c>
    </row>
    <row r="288" spans="1:24">
      <c r="A288" s="98"/>
      <c r="B288" s="99"/>
      <c r="C288" s="100"/>
      <c r="D288" s="98"/>
      <c r="E288" s="101"/>
      <c r="F288" s="102"/>
      <c r="G288" s="102"/>
      <c r="H288" s="101"/>
      <c r="I288" s="103"/>
      <c r="J288" s="103">
        <f t="shared" si="65"/>
        <v>0</v>
      </c>
      <c r="K288" s="101">
        <f t="shared" si="79"/>
        <v>-551301</v>
      </c>
      <c r="L288" s="101">
        <f t="shared" si="66"/>
        <v>0</v>
      </c>
      <c r="M288" s="101">
        <f t="shared" si="67"/>
        <v>0</v>
      </c>
      <c r="N288" s="101">
        <f t="shared" si="68"/>
        <v>0</v>
      </c>
      <c r="O288" s="101">
        <f t="shared" si="69"/>
        <v>0</v>
      </c>
      <c r="P288" s="101">
        <f t="shared" si="70"/>
        <v>0</v>
      </c>
      <c r="Q288" s="101">
        <f t="shared" si="71"/>
        <v>0</v>
      </c>
      <c r="R288" s="101">
        <f t="shared" si="72"/>
        <v>0</v>
      </c>
      <c r="S288" s="101">
        <f t="shared" si="73"/>
        <v>0</v>
      </c>
      <c r="T288" s="101">
        <f t="shared" si="74"/>
        <v>0</v>
      </c>
      <c r="U288" s="101">
        <f t="shared" si="75"/>
        <v>0</v>
      </c>
      <c r="V288" s="101">
        <f t="shared" si="76"/>
        <v>0</v>
      </c>
      <c r="W288" s="101">
        <f t="shared" si="77"/>
        <v>0</v>
      </c>
      <c r="X288" s="103">
        <f t="shared" si="78"/>
        <v>0</v>
      </c>
    </row>
    <row r="289" spans="1:24">
      <c r="A289" s="98"/>
      <c r="B289" s="99"/>
      <c r="C289" s="100"/>
      <c r="D289" s="98"/>
      <c r="E289" s="101"/>
      <c r="F289" s="102"/>
      <c r="G289" s="102"/>
      <c r="H289" s="101"/>
      <c r="I289" s="103"/>
      <c r="J289" s="103">
        <f t="shared" si="65"/>
        <v>0</v>
      </c>
      <c r="K289" s="101">
        <f t="shared" si="79"/>
        <v>-551301</v>
      </c>
      <c r="L289" s="101">
        <f t="shared" si="66"/>
        <v>0</v>
      </c>
      <c r="M289" s="101">
        <f t="shared" si="67"/>
        <v>0</v>
      </c>
      <c r="N289" s="101">
        <f t="shared" si="68"/>
        <v>0</v>
      </c>
      <c r="O289" s="101">
        <f t="shared" si="69"/>
        <v>0</v>
      </c>
      <c r="P289" s="101">
        <f t="shared" si="70"/>
        <v>0</v>
      </c>
      <c r="Q289" s="101">
        <f t="shared" si="71"/>
        <v>0</v>
      </c>
      <c r="R289" s="101">
        <f t="shared" si="72"/>
        <v>0</v>
      </c>
      <c r="S289" s="101">
        <f t="shared" si="73"/>
        <v>0</v>
      </c>
      <c r="T289" s="101">
        <f t="shared" si="74"/>
        <v>0</v>
      </c>
      <c r="U289" s="101">
        <f t="shared" si="75"/>
        <v>0</v>
      </c>
      <c r="V289" s="101">
        <f t="shared" si="76"/>
        <v>0</v>
      </c>
      <c r="W289" s="101">
        <f t="shared" si="77"/>
        <v>0</v>
      </c>
      <c r="X289" s="103">
        <f t="shared" si="78"/>
        <v>0</v>
      </c>
    </row>
    <row r="290" spans="1:24">
      <c r="A290" s="56"/>
      <c r="B290" s="57"/>
      <c r="C290" s="84"/>
      <c r="D290" s="56"/>
      <c r="E290" s="58"/>
      <c r="F290" s="59"/>
      <c r="G290" s="59"/>
      <c r="H290" s="58"/>
      <c r="I290" s="60"/>
      <c r="J290" s="19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19"/>
    </row>
    <row r="291" spans="1:24">
      <c r="A291" s="15"/>
      <c r="B291" s="38"/>
      <c r="C291" s="82"/>
      <c r="D291" s="15"/>
      <c r="E291" s="22">
        <f>SUM(E6:E290)</f>
        <v>-10565</v>
      </c>
      <c r="F291" s="22"/>
      <c r="G291" s="22"/>
      <c r="H291" s="22">
        <f>SUM(H6:H290)</f>
        <v>-46652</v>
      </c>
      <c r="I291" s="22">
        <f>SUM(I6:I290)</f>
        <v>-494084</v>
      </c>
      <c r="J291" s="22">
        <f>SUM(J6:J290)</f>
        <v>-551301</v>
      </c>
      <c r="K291" s="96"/>
      <c r="L291" s="22">
        <f t="shared" ref="L291:X291" si="80">SUM(L6:L290)</f>
        <v>1124015</v>
      </c>
      <c r="M291" s="22">
        <f t="shared" si="80"/>
        <v>195928</v>
      </c>
      <c r="N291" s="22">
        <f t="shared" si="80"/>
        <v>919850</v>
      </c>
      <c r="O291" s="22">
        <f t="shared" si="80"/>
        <v>6482828</v>
      </c>
      <c r="P291" s="22">
        <f t="shared" si="80"/>
        <v>0</v>
      </c>
      <c r="Q291" s="22">
        <f t="shared" si="80"/>
        <v>362000</v>
      </c>
      <c r="R291" s="22">
        <f t="shared" si="80"/>
        <v>3000</v>
      </c>
      <c r="S291" s="22">
        <f t="shared" si="80"/>
        <v>232285</v>
      </c>
      <c r="T291" s="22">
        <f t="shared" si="80"/>
        <v>3950</v>
      </c>
      <c r="U291" s="22">
        <f t="shared" si="80"/>
        <v>0</v>
      </c>
      <c r="V291" s="22">
        <f t="shared" si="80"/>
        <v>0</v>
      </c>
      <c r="W291" s="22">
        <f t="shared" si="80"/>
        <v>-9868127</v>
      </c>
      <c r="X291" s="22">
        <f t="shared" si="80"/>
        <v>-544271</v>
      </c>
    </row>
    <row r="292" spans="1:24">
      <c r="A292" s="11"/>
      <c r="B292" s="24"/>
      <c r="C292" s="80"/>
      <c r="D292" s="12"/>
      <c r="E292" s="25"/>
      <c r="F292" s="26"/>
      <c r="G292" s="26"/>
      <c r="H292" s="25"/>
      <c r="I292" s="20"/>
      <c r="J292" s="20"/>
      <c r="K292" s="25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3"/>
    </row>
    <row r="293" spans="1:24">
      <c r="A293" s="16" t="s">
        <v>13</v>
      </c>
      <c r="B293" s="24"/>
      <c r="C293" s="80"/>
      <c r="D293" s="12"/>
      <c r="E293" s="25"/>
      <c r="F293" s="26"/>
      <c r="G293" s="26"/>
      <c r="H293" s="25"/>
      <c r="I293" s="20"/>
      <c r="J293" s="20"/>
      <c r="K293" s="25"/>
      <c r="L293" s="25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3">
        <f>X291-J291</f>
        <v>7030</v>
      </c>
    </row>
    <row r="294" spans="1:24">
      <c r="A294" s="18" t="s">
        <v>281</v>
      </c>
      <c r="K294" s="62">
        <v>2400</v>
      </c>
      <c r="L294" s="62"/>
    </row>
    <row r="295" spans="1:24">
      <c r="A295" s="18" t="s">
        <v>282</v>
      </c>
      <c r="K295" s="62">
        <v>500</v>
      </c>
      <c r="L295" s="62"/>
    </row>
    <row r="296" spans="1:24">
      <c r="A296" s="18" t="s">
        <v>284</v>
      </c>
      <c r="K296" s="62">
        <v>2500</v>
      </c>
      <c r="L296" s="62"/>
    </row>
    <row r="297" spans="1:24">
      <c r="A297" s="18" t="s">
        <v>286</v>
      </c>
      <c r="K297" s="62">
        <v>10000</v>
      </c>
      <c r="L297" s="62"/>
    </row>
    <row r="298" spans="1:24">
      <c r="A298" s="18" t="s">
        <v>288</v>
      </c>
      <c r="L298" s="62">
        <v>200000</v>
      </c>
    </row>
    <row r="299" spans="1:24">
      <c r="A299" s="18" t="s">
        <v>292</v>
      </c>
      <c r="L299" s="62">
        <v>18835</v>
      </c>
    </row>
    <row r="300" spans="1:24">
      <c r="A300" s="18" t="s">
        <v>304</v>
      </c>
      <c r="L300" s="62"/>
    </row>
    <row r="301" spans="1:24">
      <c r="A301" s="18" t="s">
        <v>303</v>
      </c>
      <c r="L301" s="62"/>
    </row>
    <row r="302" spans="1:24">
      <c r="A302" s="18" t="s">
        <v>305</v>
      </c>
      <c r="L302" s="62">
        <f>49500</f>
        <v>49500</v>
      </c>
    </row>
    <row r="303" spans="1:24">
      <c r="A303" s="18" t="s">
        <v>306</v>
      </c>
      <c r="L303" s="62"/>
    </row>
    <row r="304" spans="1:24">
      <c r="A304" s="18" t="s">
        <v>307</v>
      </c>
      <c r="L304" s="62"/>
    </row>
    <row r="305" spans="1:12">
      <c r="A305" s="18" t="s">
        <v>414</v>
      </c>
      <c r="L305" s="62">
        <v>3000</v>
      </c>
    </row>
    <row r="306" spans="1:12">
      <c r="A306" s="18" t="s">
        <v>416</v>
      </c>
      <c r="L306" s="62"/>
    </row>
    <row r="307" spans="1:12">
      <c r="A307" s="18" t="s">
        <v>417</v>
      </c>
      <c r="L307" s="62">
        <v>15680</v>
      </c>
    </row>
    <row r="308" spans="1:12">
      <c r="A308" s="18" t="s">
        <v>418</v>
      </c>
      <c r="K308" s="62">
        <v>25000</v>
      </c>
      <c r="L308" s="62"/>
    </row>
    <row r="309" spans="1:12">
      <c r="A309" s="18" t="s">
        <v>419</v>
      </c>
      <c r="L309" s="62">
        <v>21000</v>
      </c>
    </row>
    <row r="310" spans="1:12">
      <c r="A310" s="18" t="s">
        <v>420</v>
      </c>
      <c r="K310" s="62">
        <v>6000</v>
      </c>
      <c r="L310" s="62"/>
    </row>
    <row r="311" spans="1:12">
      <c r="L311" s="62"/>
    </row>
    <row r="312" spans="1:12">
      <c r="L312" s="62"/>
    </row>
    <row r="313" spans="1:12">
      <c r="L313" s="62"/>
    </row>
    <row r="314" spans="1:12">
      <c r="L314" s="62"/>
    </row>
    <row r="315" spans="1:12">
      <c r="L315" s="62"/>
    </row>
    <row r="316" spans="1:12">
      <c r="L316" s="62"/>
    </row>
    <row r="317" spans="1:12">
      <c r="L317" s="62"/>
    </row>
    <row r="318" spans="1:12">
      <c r="L318" s="62"/>
    </row>
    <row r="319" spans="1:12">
      <c r="L319" s="62"/>
    </row>
    <row r="320" spans="1:12">
      <c r="K320" s="62">
        <f>SUM(K294:K319)</f>
        <v>46400</v>
      </c>
      <c r="L320" s="62">
        <f>SUM(L294:L319)</f>
        <v>308015</v>
      </c>
    </row>
  </sheetData>
  <phoneticPr fontId="0" type="noConversion"/>
  <pageMargins left="0.2" right="0.5" top="0.18" bottom="0.19" header="0.2" footer="0.21"/>
  <pageSetup scale="14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88"/>
  <sheetViews>
    <sheetView topLeftCell="A61" workbookViewId="0">
      <selection activeCell="C71" sqref="C71"/>
    </sheetView>
  </sheetViews>
  <sheetFormatPr defaultRowHeight="12.75"/>
  <cols>
    <col min="1" max="1" width="59.5703125" customWidth="1"/>
    <col min="2" max="3" width="12.7109375" style="68" customWidth="1"/>
    <col min="4" max="4" width="14" style="68" bestFit="1" customWidth="1"/>
    <col min="5" max="5" width="13.5703125" style="68" bestFit="1" customWidth="1"/>
    <col min="6" max="6" width="13.5703125" style="7" bestFit="1" customWidth="1"/>
    <col min="7" max="7" width="11.7109375" bestFit="1" customWidth="1"/>
    <col min="10" max="10" width="11.7109375" bestFit="1" customWidth="1"/>
    <col min="12" max="12" width="13.42578125" customWidth="1"/>
  </cols>
  <sheetData>
    <row r="1" spans="1:7">
      <c r="A1" s="1" t="str">
        <f>'1ST TR FUAR'!A1</f>
        <v>Ngarua Environmental Conservation &amp; Livelihoods Improvedment Project</v>
      </c>
    </row>
    <row r="2" spans="1:7">
      <c r="A2" s="1"/>
    </row>
    <row r="3" spans="1:7">
      <c r="A3" s="1" t="s">
        <v>14</v>
      </c>
    </row>
    <row r="4" spans="1:7">
      <c r="A4" s="1"/>
    </row>
    <row r="5" spans="1:7">
      <c r="A5" s="1" t="s">
        <v>275</v>
      </c>
    </row>
    <row r="7" spans="1:7">
      <c r="B7" s="88" t="s">
        <v>15</v>
      </c>
      <c r="C7" s="88"/>
      <c r="D7" s="88"/>
      <c r="E7" s="88" t="s">
        <v>16</v>
      </c>
      <c r="F7" s="8" t="s">
        <v>17</v>
      </c>
    </row>
    <row r="8" spans="1:7">
      <c r="B8" s="88" t="s">
        <v>18</v>
      </c>
      <c r="C8" s="88"/>
      <c r="D8" s="88"/>
      <c r="E8" s="88" t="s">
        <v>18</v>
      </c>
      <c r="F8" s="8" t="s">
        <v>18</v>
      </c>
    </row>
    <row r="10" spans="1:7">
      <c r="A10" t="s">
        <v>48</v>
      </c>
      <c r="B10" s="108">
        <f>'1ST TR BAAR '!D10</f>
        <v>14720</v>
      </c>
      <c r="C10" s="68">
        <v>790015</v>
      </c>
      <c r="D10" s="68">
        <f>SUM(B10:C10)</f>
        <v>804735</v>
      </c>
      <c r="E10" s="69">
        <f>'2ND TR FUAR'!L291</f>
        <v>1124015</v>
      </c>
      <c r="F10" s="68">
        <f>D10-E10</f>
        <v>-319280</v>
      </c>
      <c r="G10" t="s">
        <v>385</v>
      </c>
    </row>
    <row r="11" spans="1:7">
      <c r="A11" t="s">
        <v>49</v>
      </c>
      <c r="B11" s="108">
        <f>103128</f>
        <v>103128</v>
      </c>
      <c r="C11" s="68">
        <v>0</v>
      </c>
      <c r="D11" s="68">
        <f t="shared" ref="D11:D19" si="0">SUM(B11:C11)</f>
        <v>103128</v>
      </c>
      <c r="E11" s="69">
        <f>'2ND TR FUAR'!M291-5400-25000</f>
        <v>165528</v>
      </c>
      <c r="F11" s="68">
        <f t="shared" ref="F11:F19" si="1">D11-E11</f>
        <v>-62400</v>
      </c>
    </row>
    <row r="12" spans="1:7">
      <c r="A12" t="s">
        <v>50</v>
      </c>
      <c r="B12" s="108">
        <f>'1ST TR BAAR '!D12-539580-103128-148566</f>
        <v>80926</v>
      </c>
      <c r="C12" s="68">
        <v>1289500</v>
      </c>
      <c r="D12" s="68">
        <f t="shared" si="0"/>
        <v>1370426</v>
      </c>
      <c r="E12" s="69">
        <f>'2ND TR FUAR'!N291</f>
        <v>919850</v>
      </c>
      <c r="F12" s="68">
        <f t="shared" si="1"/>
        <v>450576</v>
      </c>
    </row>
    <row r="13" spans="1:7">
      <c r="A13" t="s">
        <v>51</v>
      </c>
      <c r="B13" s="108">
        <f>'1ST TR BAAR '!D13</f>
        <v>0</v>
      </c>
      <c r="C13" s="68">
        <v>6927912</v>
      </c>
      <c r="D13" s="68">
        <f t="shared" si="0"/>
        <v>6927912</v>
      </c>
      <c r="E13" s="69">
        <f>'2ND TR FUAR'!O291-6000</f>
        <v>6476828</v>
      </c>
      <c r="F13" s="68">
        <f t="shared" si="1"/>
        <v>451084</v>
      </c>
    </row>
    <row r="14" spans="1:7">
      <c r="A14" t="s">
        <v>52</v>
      </c>
      <c r="B14" s="108">
        <f>'1ST TR BAAR '!D14</f>
        <v>300000</v>
      </c>
      <c r="C14" s="68">
        <v>0</v>
      </c>
      <c r="D14" s="68">
        <f t="shared" si="0"/>
        <v>300000</v>
      </c>
      <c r="E14" s="69">
        <f>'2ND TR FUAR'!P291</f>
        <v>0</v>
      </c>
      <c r="F14" s="68">
        <f t="shared" si="1"/>
        <v>300000</v>
      </c>
    </row>
    <row r="15" spans="1:7">
      <c r="A15" t="s">
        <v>53</v>
      </c>
      <c r="B15" s="108">
        <f>'1ST TR BAAR '!D15</f>
        <v>135315</v>
      </c>
      <c r="C15" s="68">
        <v>343500</v>
      </c>
      <c r="D15" s="68">
        <f t="shared" si="0"/>
        <v>478815</v>
      </c>
      <c r="E15" s="69">
        <f>'2ND TR FUAR'!Q291</f>
        <v>362000</v>
      </c>
      <c r="F15" s="68">
        <f t="shared" si="1"/>
        <v>116815</v>
      </c>
    </row>
    <row r="16" spans="1:7">
      <c r="A16" t="s">
        <v>54</v>
      </c>
      <c r="B16" s="108">
        <f>'1ST TR BAAR '!D16</f>
        <v>100000</v>
      </c>
      <c r="C16" s="68">
        <v>0</v>
      </c>
      <c r="D16" s="68">
        <f t="shared" si="0"/>
        <v>100000</v>
      </c>
      <c r="E16" s="69">
        <f>'2ND TR FUAR'!R291</f>
        <v>3000</v>
      </c>
      <c r="F16" s="68">
        <f t="shared" si="1"/>
        <v>97000</v>
      </c>
    </row>
    <row r="17" spans="1:12">
      <c r="A17" t="s">
        <v>0</v>
      </c>
      <c r="B17" s="108">
        <f>'1ST TR BAAR '!D17+148566</f>
        <v>-198400</v>
      </c>
      <c r="C17" s="68">
        <v>517200</v>
      </c>
      <c r="D17" s="68">
        <f t="shared" si="0"/>
        <v>318800</v>
      </c>
      <c r="E17" s="69">
        <f>'2ND TR FUAR'!S291+'2ND TR FUAR'!T291</f>
        <v>236235</v>
      </c>
      <c r="F17" s="68">
        <f t="shared" si="1"/>
        <v>82565</v>
      </c>
    </row>
    <row r="18" spans="1:12">
      <c r="A18" t="s">
        <v>26</v>
      </c>
      <c r="B18" s="68">
        <f>'1ST TR BAAR '!D18</f>
        <v>0</v>
      </c>
      <c r="C18" s="68">
        <v>0</v>
      </c>
      <c r="D18" s="68">
        <f t="shared" si="0"/>
        <v>0</v>
      </c>
      <c r="E18" s="69">
        <f>'2ND TR FUAR'!U291</f>
        <v>0</v>
      </c>
      <c r="F18" s="68">
        <f t="shared" si="1"/>
        <v>0</v>
      </c>
    </row>
    <row r="19" spans="1:12">
      <c r="A19" t="s">
        <v>2</v>
      </c>
      <c r="B19" s="70">
        <f>'1ST TR BAAR '!D19</f>
        <v>0</v>
      </c>
      <c r="C19" s="70">
        <v>0</v>
      </c>
      <c r="D19" s="70">
        <f t="shared" si="0"/>
        <v>0</v>
      </c>
      <c r="E19" s="70">
        <f>'2ND TR FUAR'!V291</f>
        <v>0</v>
      </c>
      <c r="F19" s="70">
        <f t="shared" si="1"/>
        <v>0</v>
      </c>
    </row>
    <row r="20" spans="1:12">
      <c r="J20" s="7"/>
    </row>
    <row r="21" spans="1:12">
      <c r="B21" s="89">
        <f>SUM(B10:B19)</f>
        <v>535689</v>
      </c>
      <c r="C21" s="89">
        <f>SUM(C10:C19)</f>
        <v>9868127</v>
      </c>
      <c r="D21" s="89">
        <f>SUM(D10:D19)</f>
        <v>10403816</v>
      </c>
      <c r="E21" s="66">
        <f>SUM(E10:E19)</f>
        <v>9287456</v>
      </c>
      <c r="F21" s="9">
        <f>SUM(F10:F19)</f>
        <v>1116360</v>
      </c>
    </row>
    <row r="23" spans="1:12">
      <c r="A23" s="3" t="s">
        <v>301</v>
      </c>
      <c r="B23" s="68">
        <f>'1ST TR BAAR '!C26</f>
        <v>535689</v>
      </c>
    </row>
    <row r="24" spans="1:12">
      <c r="A24" t="s">
        <v>27</v>
      </c>
      <c r="B24" s="89">
        <f>-'2ND TR FUAR'!W291</f>
        <v>9868127</v>
      </c>
      <c r="C24" s="89"/>
      <c r="D24" s="89"/>
      <c r="E24" s="89">
        <f>SUM(B23:B24)</f>
        <v>10403816</v>
      </c>
      <c r="G24" s="65">
        <f>E21/E24</f>
        <v>0.89269706423104755</v>
      </c>
      <c r="J24" s="7"/>
    </row>
    <row r="26" spans="1:12">
      <c r="A26" s="1" t="s">
        <v>20</v>
      </c>
      <c r="E26" s="90">
        <f>E24-E21</f>
        <v>1116360</v>
      </c>
      <c r="L26" s="7"/>
    </row>
    <row r="28" spans="1:12">
      <c r="A28" s="5" t="s">
        <v>373</v>
      </c>
    </row>
    <row r="30" spans="1:12">
      <c r="A30" s="1" t="s">
        <v>302</v>
      </c>
      <c r="B30" s="91"/>
      <c r="C30" s="91"/>
      <c r="D30" s="91"/>
      <c r="E30" s="90">
        <v>1773489</v>
      </c>
      <c r="G30" s="7"/>
    </row>
    <row r="31" spans="1:12">
      <c r="A31" s="3"/>
      <c r="B31" s="66"/>
      <c r="C31" s="66"/>
      <c r="D31" s="66"/>
      <c r="E31" s="66"/>
    </row>
    <row r="32" spans="1:12">
      <c r="A32" s="2" t="s">
        <v>28</v>
      </c>
      <c r="B32" s="66"/>
      <c r="C32" s="66"/>
      <c r="D32" s="66"/>
      <c r="E32" s="66"/>
    </row>
    <row r="33" spans="1:7">
      <c r="A33" s="3" t="s">
        <v>21</v>
      </c>
      <c r="B33" s="66"/>
      <c r="C33" s="66"/>
      <c r="D33" s="66"/>
      <c r="E33" s="66"/>
    </row>
    <row r="34" spans="1:7">
      <c r="A34" s="3"/>
      <c r="B34" s="68">
        <v>0</v>
      </c>
      <c r="E34" s="66"/>
      <c r="G34" s="7"/>
    </row>
    <row r="35" spans="1:7">
      <c r="B35" s="3">
        <v>98</v>
      </c>
      <c r="C35" s="66">
        <v>0</v>
      </c>
      <c r="E35" s="66"/>
    </row>
    <row r="36" spans="1:7">
      <c r="B36" s="3">
        <v>119</v>
      </c>
      <c r="C36" s="66">
        <v>1800</v>
      </c>
      <c r="E36" s="66"/>
    </row>
    <row r="37" spans="1:7">
      <c r="B37">
        <v>120</v>
      </c>
      <c r="C37" s="66"/>
      <c r="E37" s="66"/>
    </row>
    <row r="38" spans="1:7">
      <c r="B38">
        <v>133</v>
      </c>
      <c r="C38" s="66">
        <v>37000</v>
      </c>
      <c r="E38" s="66"/>
    </row>
    <row r="39" spans="1:7">
      <c r="B39">
        <v>134</v>
      </c>
      <c r="C39" s="66">
        <v>26195</v>
      </c>
      <c r="E39" s="66"/>
    </row>
    <row r="40" spans="1:7">
      <c r="B40">
        <v>142</v>
      </c>
      <c r="C40" s="66">
        <v>60000</v>
      </c>
      <c r="E40" s="66"/>
    </row>
    <row r="41" spans="1:7">
      <c r="B41">
        <v>143</v>
      </c>
      <c r="C41" s="66">
        <v>26215</v>
      </c>
      <c r="E41" s="66"/>
    </row>
    <row r="42" spans="1:7">
      <c r="B42">
        <v>144</v>
      </c>
      <c r="C42" s="66">
        <v>0</v>
      </c>
      <c r="E42" s="66"/>
    </row>
    <row r="43" spans="1:7">
      <c r="B43">
        <v>145</v>
      </c>
      <c r="C43" s="66">
        <v>0</v>
      </c>
      <c r="E43" s="66"/>
    </row>
    <row r="44" spans="1:7">
      <c r="B44">
        <v>146</v>
      </c>
      <c r="C44" s="66">
        <v>234000</v>
      </c>
      <c r="E44" s="66"/>
    </row>
    <row r="45" spans="1:7">
      <c r="B45">
        <v>147</v>
      </c>
      <c r="C45" s="66">
        <v>10208</v>
      </c>
      <c r="E45" s="66"/>
    </row>
    <row r="46" spans="1:7">
      <c r="B46">
        <v>148</v>
      </c>
      <c r="C46" s="66">
        <v>0</v>
      </c>
      <c r="E46" s="66"/>
    </row>
    <row r="47" spans="1:7">
      <c r="B47">
        <v>149</v>
      </c>
      <c r="C47" s="66">
        <v>3000</v>
      </c>
      <c r="E47" s="66"/>
    </row>
    <row r="48" spans="1:7">
      <c r="B48">
        <v>150</v>
      </c>
      <c r="C48" s="66">
        <v>110680</v>
      </c>
      <c r="E48" s="66"/>
    </row>
    <row r="49" spans="1:5">
      <c r="B49">
        <v>151</v>
      </c>
      <c r="C49" s="66">
        <v>50000</v>
      </c>
      <c r="E49" s="66"/>
    </row>
    <row r="50" spans="1:5">
      <c r="B50">
        <v>152</v>
      </c>
      <c r="C50" s="66"/>
      <c r="E50" s="66"/>
    </row>
    <row r="51" spans="1:5">
      <c r="B51">
        <v>153</v>
      </c>
      <c r="C51" s="66">
        <v>29500</v>
      </c>
      <c r="E51" s="66"/>
    </row>
    <row r="52" spans="1:5">
      <c r="B52">
        <v>154</v>
      </c>
      <c r="C52" s="66">
        <v>44000</v>
      </c>
      <c r="E52" s="66"/>
    </row>
    <row r="53" spans="1:5">
      <c r="B53">
        <v>155</v>
      </c>
      <c r="C53" s="66">
        <v>69960</v>
      </c>
      <c r="E53" s="66"/>
    </row>
    <row r="54" spans="1:5">
      <c r="A54" s="3"/>
      <c r="B54">
        <v>156</v>
      </c>
      <c r="C54" s="66"/>
      <c r="E54" s="66"/>
    </row>
    <row r="55" spans="1:5">
      <c r="A55" s="3"/>
      <c r="B55">
        <v>157</v>
      </c>
      <c r="C55" s="66">
        <v>35000</v>
      </c>
      <c r="E55" s="66">
        <f>SUM(C35:C56)</f>
        <v>747539</v>
      </c>
    </row>
    <row r="56" spans="1:5">
      <c r="B56">
        <v>158</v>
      </c>
      <c r="C56" s="66">
        <v>9981</v>
      </c>
      <c r="E56" s="66"/>
    </row>
    <row r="57" spans="1:5">
      <c r="A57" s="41" t="s">
        <v>22</v>
      </c>
      <c r="C57" s="66"/>
      <c r="D57" s="66"/>
      <c r="E57" s="66"/>
    </row>
    <row r="58" spans="1:5">
      <c r="A58" s="3" t="s">
        <v>266</v>
      </c>
      <c r="C58" s="66">
        <v>850</v>
      </c>
      <c r="D58" s="66"/>
      <c r="E58" s="89">
        <f>SUM(C58)</f>
        <v>850</v>
      </c>
    </row>
    <row r="59" spans="1:5">
      <c r="A59" s="3"/>
      <c r="B59" s="66"/>
      <c r="C59" s="66"/>
      <c r="D59" s="66"/>
      <c r="E59" s="66"/>
    </row>
    <row r="60" spans="1:5">
      <c r="A60" s="3"/>
      <c r="B60" s="66"/>
      <c r="C60" s="66"/>
      <c r="D60" s="66"/>
      <c r="E60" s="66">
        <f>E30-E58-E55</f>
        <v>1025100</v>
      </c>
    </row>
    <row r="61" spans="1:5">
      <c r="A61" s="3"/>
      <c r="B61" s="66"/>
      <c r="C61" s="66"/>
      <c r="D61" s="66"/>
      <c r="E61" s="66"/>
    </row>
    <row r="62" spans="1:5">
      <c r="A62" s="2" t="s">
        <v>29</v>
      </c>
      <c r="B62" s="66"/>
      <c r="C62" s="66"/>
      <c r="D62" s="66"/>
      <c r="E62" s="66"/>
    </row>
    <row r="63" spans="1:5">
      <c r="A63" s="3" t="s">
        <v>30</v>
      </c>
      <c r="B63" s="66"/>
      <c r="C63" s="66"/>
      <c r="D63" s="66"/>
      <c r="E63" s="66"/>
    </row>
    <row r="64" spans="1:5">
      <c r="A64" s="42"/>
      <c r="B64" s="66"/>
      <c r="C64" s="66"/>
      <c r="D64" s="66"/>
      <c r="E64" s="66"/>
    </row>
    <row r="65" spans="1:11">
      <c r="A65" s="42"/>
      <c r="C65" s="89">
        <v>0</v>
      </c>
      <c r="D65" s="89"/>
      <c r="E65" s="66">
        <f>SUM(B64:B65)</f>
        <v>0</v>
      </c>
    </row>
    <row r="66" spans="1:11">
      <c r="A66" s="42"/>
      <c r="B66" s="66"/>
      <c r="C66" s="66"/>
      <c r="D66" s="66"/>
      <c r="E66" s="66"/>
    </row>
    <row r="67" spans="1:11">
      <c r="A67" s="2" t="s">
        <v>31</v>
      </c>
      <c r="B67" s="66"/>
      <c r="C67" s="66"/>
      <c r="D67" s="66"/>
      <c r="E67" s="66"/>
    </row>
    <row r="68" spans="1:11" ht="38.25">
      <c r="A68" s="43" t="s">
        <v>267</v>
      </c>
      <c r="C68" s="66">
        <f>7300-7030</f>
        <v>270</v>
      </c>
      <c r="D68" s="66"/>
      <c r="E68" s="66"/>
    </row>
    <row r="69" spans="1:11">
      <c r="A69" s="43" t="s">
        <v>413</v>
      </c>
      <c r="C69" s="66">
        <f>500+2500+2400</f>
        <v>5400</v>
      </c>
      <c r="D69" s="66"/>
      <c r="E69" s="66"/>
    </row>
    <row r="70" spans="1:11" ht="25.5">
      <c r="A70" s="117" t="s">
        <v>418</v>
      </c>
      <c r="C70" s="66">
        <v>25000</v>
      </c>
      <c r="D70" s="66"/>
      <c r="E70" s="66"/>
    </row>
    <row r="71" spans="1:11" ht="25.5">
      <c r="A71" s="117" t="s">
        <v>420</v>
      </c>
      <c r="C71" s="66">
        <v>6000</v>
      </c>
      <c r="D71" s="66"/>
      <c r="E71" s="66"/>
    </row>
    <row r="72" spans="1:11">
      <c r="A72" s="44"/>
      <c r="C72" s="89">
        <v>0</v>
      </c>
      <c r="D72" s="89"/>
      <c r="E72" s="89">
        <f>SUM(C68:C72)</f>
        <v>36670</v>
      </c>
    </row>
    <row r="73" spans="1:11">
      <c r="A73" s="3"/>
      <c r="B73" s="66"/>
      <c r="C73" s="66"/>
      <c r="D73" s="66"/>
      <c r="E73" s="66"/>
    </row>
    <row r="74" spans="1:11">
      <c r="A74" s="45" t="s">
        <v>32</v>
      </c>
      <c r="B74" s="66"/>
      <c r="C74" s="66"/>
      <c r="D74" s="66"/>
      <c r="E74" s="91">
        <f>SUM(E60+E65+E72)</f>
        <v>1061770</v>
      </c>
    </row>
    <row r="75" spans="1:11">
      <c r="A75" s="46"/>
      <c r="B75" s="66"/>
      <c r="C75" s="66"/>
      <c r="D75" s="66"/>
      <c r="E75" s="66"/>
      <c r="F75"/>
    </row>
    <row r="76" spans="1:11">
      <c r="A76" s="2" t="s">
        <v>33</v>
      </c>
      <c r="B76" s="66"/>
      <c r="C76" s="66"/>
      <c r="D76" s="66"/>
      <c r="E76" s="66"/>
    </row>
    <row r="77" spans="1:11">
      <c r="A77" s="2"/>
      <c r="B77" s="66"/>
      <c r="C77" s="66"/>
      <c r="D77" s="66"/>
      <c r="E77" s="66"/>
    </row>
    <row r="78" spans="1:11">
      <c r="A78" s="3" t="s">
        <v>301</v>
      </c>
      <c r="C78" s="66">
        <f>'1ST TR BAAR '!C78</f>
        <v>-10625</v>
      </c>
      <c r="D78" s="66"/>
      <c r="E78" s="66"/>
    </row>
    <row r="79" spans="1:11">
      <c r="A79" s="3" t="s">
        <v>372</v>
      </c>
      <c r="C79" s="89">
        <f>-'2ND TR FUAR'!E291</f>
        <v>10565</v>
      </c>
      <c r="D79" s="89"/>
      <c r="E79" s="89">
        <f>SUM(C78:C79)</f>
        <v>-60</v>
      </c>
      <c r="K79" s="7"/>
    </row>
    <row r="80" spans="1:11">
      <c r="A80" s="3"/>
      <c r="C80" s="89"/>
      <c r="D80" s="89"/>
      <c r="E80" s="89"/>
      <c r="K80" s="7"/>
    </row>
    <row r="81" spans="1:11">
      <c r="A81" s="2" t="s">
        <v>274</v>
      </c>
      <c r="C81" s="66"/>
      <c r="D81" s="66"/>
      <c r="E81" s="66"/>
    </row>
    <row r="82" spans="1:11">
      <c r="A82" s="2"/>
      <c r="C82" s="66"/>
      <c r="D82" s="66"/>
      <c r="E82" s="66"/>
    </row>
    <row r="83" spans="1:11">
      <c r="A83" s="3" t="s">
        <v>301</v>
      </c>
      <c r="C83" s="66">
        <f>'1ST TR BAAR '!C83</f>
        <v>7998</v>
      </c>
      <c r="D83" s="66"/>
      <c r="E83" s="66"/>
    </row>
    <row r="84" spans="1:11">
      <c r="A84" s="3" t="s">
        <v>372</v>
      </c>
      <c r="C84" s="89">
        <f>-'2ND TR FUAR'!H291</f>
        <v>46652</v>
      </c>
      <c r="D84" s="89"/>
      <c r="E84" s="89">
        <f>SUM(C83:C84)</f>
        <v>54650</v>
      </c>
      <c r="K84" s="7"/>
    </row>
    <row r="85" spans="1:11">
      <c r="A85" s="3"/>
      <c r="B85" s="66"/>
      <c r="C85" s="66"/>
      <c r="D85" s="66"/>
      <c r="E85" s="66"/>
    </row>
    <row r="86" spans="1:11" ht="13.5" thickBot="1">
      <c r="A86" s="1" t="s">
        <v>24</v>
      </c>
      <c r="B86" s="66"/>
      <c r="C86" s="66"/>
      <c r="D86" s="66"/>
      <c r="E86" s="92">
        <f>E74+E79+E84</f>
        <v>1116360</v>
      </c>
    </row>
    <row r="87" spans="1:11">
      <c r="A87" s="3"/>
      <c r="B87" s="66"/>
      <c r="C87" s="66"/>
      <c r="D87" s="66"/>
      <c r="E87" s="66"/>
    </row>
    <row r="88" spans="1:11">
      <c r="A88" s="1" t="s">
        <v>23</v>
      </c>
      <c r="B88" s="66"/>
      <c r="C88" s="66"/>
      <c r="D88" s="66"/>
      <c r="E88" s="91">
        <f>E26-E86</f>
        <v>0</v>
      </c>
      <c r="J88" s="7"/>
    </row>
  </sheetData>
  <phoneticPr fontId="0" type="noConversion"/>
  <pageMargins left="0.17" right="0.14000000000000001" top="0.25" bottom="0.5" header="0.27" footer="0.5"/>
  <pageSetup scale="75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87"/>
  <sheetViews>
    <sheetView workbookViewId="0">
      <selection activeCell="C1" sqref="C1"/>
    </sheetView>
  </sheetViews>
  <sheetFormatPr defaultRowHeight="12.75"/>
  <cols>
    <col min="1" max="1" width="59.5703125" customWidth="1"/>
    <col min="2" max="2" width="12.7109375" style="68" customWidth="1"/>
    <col min="3" max="3" width="12.85546875" style="68" bestFit="1" customWidth="1"/>
    <col min="4" max="4" width="12.28515625" style="7" customWidth="1"/>
    <col min="5" max="5" width="13.5703125" bestFit="1" customWidth="1"/>
    <col min="8" max="8" width="11.7109375" bestFit="1" customWidth="1"/>
    <col min="10" max="10" width="13.42578125" customWidth="1"/>
  </cols>
  <sheetData>
    <row r="1" spans="1:4">
      <c r="A1" s="1" t="str">
        <f>'1ST TR FUAR'!A1</f>
        <v>Ngarua Environmental Conservation &amp; Livelihoods Improvedment Project</v>
      </c>
    </row>
    <row r="2" spans="1:4">
      <c r="A2" s="1"/>
    </row>
    <row r="3" spans="1:4">
      <c r="A3" s="1" t="s">
        <v>14</v>
      </c>
    </row>
    <row r="4" spans="1:4">
      <c r="A4" s="1"/>
    </row>
    <row r="5" spans="1:4">
      <c r="A5" s="1" t="s">
        <v>47</v>
      </c>
    </row>
    <row r="7" spans="1:4">
      <c r="B7" s="88" t="s">
        <v>15</v>
      </c>
      <c r="C7" s="88" t="s">
        <v>16</v>
      </c>
      <c r="D7" s="8" t="s">
        <v>17</v>
      </c>
    </row>
    <row r="8" spans="1:4">
      <c r="B8" s="88" t="s">
        <v>18</v>
      </c>
      <c r="C8" s="88" t="s">
        <v>18</v>
      </c>
      <c r="D8" s="8" t="s">
        <v>18</v>
      </c>
    </row>
    <row r="10" spans="1:4">
      <c r="A10" t="s">
        <v>48</v>
      </c>
      <c r="B10" s="68">
        <f>400000+70000+50000+50000+50000+250000+200000</f>
        <v>1070000</v>
      </c>
      <c r="C10" s="69">
        <f>'1ST TR FUAR'!L290</f>
        <v>1055280</v>
      </c>
      <c r="D10" s="68">
        <f t="shared" ref="D10:D19" si="0">B10-C10</f>
        <v>14720</v>
      </c>
    </row>
    <row r="11" spans="1:4">
      <c r="A11" t="s">
        <v>49</v>
      </c>
      <c r="B11" s="68">
        <f>300000+400000+150000</f>
        <v>850000</v>
      </c>
      <c r="C11" s="69">
        <f>'1ST TR FUAR'!M290</f>
        <v>1389580</v>
      </c>
      <c r="D11" s="68">
        <f t="shared" si="0"/>
        <v>-539580</v>
      </c>
    </row>
    <row r="12" spans="1:4">
      <c r="A12" t="s">
        <v>50</v>
      </c>
      <c r="B12" s="68">
        <f>500000+300000+50000+150000</f>
        <v>1000000</v>
      </c>
      <c r="C12" s="69">
        <f>'1ST TR FUAR'!N290</f>
        <v>127800</v>
      </c>
      <c r="D12" s="68">
        <f>B12-C12</f>
        <v>872200</v>
      </c>
    </row>
    <row r="13" spans="1:4">
      <c r="A13" t="s">
        <v>51</v>
      </c>
      <c r="B13" s="68">
        <f>0</f>
        <v>0</v>
      </c>
      <c r="C13" s="69">
        <f>'1ST TR FUAR'!O290</f>
        <v>0</v>
      </c>
      <c r="D13" s="68">
        <f>B13-C13</f>
        <v>0</v>
      </c>
    </row>
    <row r="14" spans="1:4">
      <c r="A14" t="s">
        <v>52</v>
      </c>
      <c r="B14" s="68">
        <f>300000</f>
        <v>300000</v>
      </c>
      <c r="C14" s="69">
        <f>'1ST TR FUAR'!P290</f>
        <v>0</v>
      </c>
      <c r="D14" s="68">
        <f>B14-C14</f>
        <v>300000</v>
      </c>
    </row>
    <row r="15" spans="1:4">
      <c r="A15" t="s">
        <v>53</v>
      </c>
      <c r="B15" s="68">
        <f>500000+50000</f>
        <v>550000</v>
      </c>
      <c r="C15" s="69">
        <f>'1ST TR FUAR'!Q290</f>
        <v>414685</v>
      </c>
      <c r="D15" s="68">
        <f>B15-C15</f>
        <v>135315</v>
      </c>
    </row>
    <row r="16" spans="1:4">
      <c r="A16" t="s">
        <v>54</v>
      </c>
      <c r="B16" s="68">
        <f>100000</f>
        <v>100000</v>
      </c>
      <c r="C16" s="69">
        <f>'1ST TR FUAR'!R290</f>
        <v>0</v>
      </c>
      <c r="D16" s="68">
        <f>B16-C16</f>
        <v>100000</v>
      </c>
    </row>
    <row r="17" spans="1:10">
      <c r="A17" t="s">
        <v>0</v>
      </c>
      <c r="B17" s="68">
        <f>300000+50000+30000+24000+80000+350000+80000+10000+28000+40000+80000+20000</f>
        <v>1092000</v>
      </c>
      <c r="C17" s="69">
        <f>'1ST TR FUAR'!S290+'1ST TR FUAR'!T290-7300</f>
        <v>1438966</v>
      </c>
      <c r="D17" s="68">
        <f t="shared" si="0"/>
        <v>-346966</v>
      </c>
    </row>
    <row r="18" spans="1:10">
      <c r="A18" t="s">
        <v>26</v>
      </c>
      <c r="B18" s="68">
        <v>0</v>
      </c>
      <c r="C18" s="69">
        <f>'1ST TR FUAR'!U290</f>
        <v>0</v>
      </c>
      <c r="D18" s="68">
        <f t="shared" si="0"/>
        <v>0</v>
      </c>
    </row>
    <row r="19" spans="1:10">
      <c r="A19" t="s">
        <v>2</v>
      </c>
      <c r="B19" s="70">
        <v>0</v>
      </c>
      <c r="C19" s="70">
        <f>'1ST TR FUAR'!V290</f>
        <v>0</v>
      </c>
      <c r="D19" s="70">
        <f t="shared" si="0"/>
        <v>0</v>
      </c>
    </row>
    <row r="20" spans="1:10">
      <c r="G20">
        <v>200000</v>
      </c>
      <c r="H20" s="7" t="s">
        <v>218</v>
      </c>
    </row>
    <row r="21" spans="1:10">
      <c r="B21" s="89">
        <f>SUM(B10:B19)</f>
        <v>4962000</v>
      </c>
      <c r="C21" s="66">
        <f>SUM(C10:C19)</f>
        <v>4426311</v>
      </c>
      <c r="D21" s="9">
        <f>SUM(D10:D19)</f>
        <v>535689</v>
      </c>
      <c r="G21">
        <v>100000</v>
      </c>
      <c r="H21" t="s">
        <v>201</v>
      </c>
    </row>
    <row r="22" spans="1:10">
      <c r="G22">
        <v>100000</v>
      </c>
      <c r="H22" t="s">
        <v>215</v>
      </c>
    </row>
    <row r="23" spans="1:10">
      <c r="A23" t="s">
        <v>19</v>
      </c>
      <c r="B23" s="68">
        <v>0</v>
      </c>
      <c r="G23">
        <v>50000</v>
      </c>
      <c r="H23" t="s">
        <v>216</v>
      </c>
    </row>
    <row r="24" spans="1:10">
      <c r="A24" t="s">
        <v>27</v>
      </c>
      <c r="B24" s="89">
        <v>4962000</v>
      </c>
      <c r="C24" s="89">
        <f>SUM(B23:B24)</f>
        <v>4962000</v>
      </c>
      <c r="E24" s="65">
        <f>C21/B24</f>
        <v>0.8920417170495768</v>
      </c>
      <c r="G24">
        <v>200000</v>
      </c>
      <c r="H24" s="7" t="s">
        <v>217</v>
      </c>
    </row>
    <row r="26" spans="1:10">
      <c r="A26" s="1" t="s">
        <v>20</v>
      </c>
      <c r="C26" s="90">
        <f>C24-C21</f>
        <v>535689</v>
      </c>
      <c r="J26" s="7"/>
    </row>
    <row r="28" spans="1:10">
      <c r="A28" s="5" t="s">
        <v>265</v>
      </c>
    </row>
    <row r="30" spans="1:10">
      <c r="A30" s="1" t="s">
        <v>206</v>
      </c>
      <c r="B30" s="91"/>
      <c r="C30" s="90">
        <v>2173216</v>
      </c>
      <c r="E30" s="7"/>
    </row>
    <row r="31" spans="1:10">
      <c r="A31" s="3"/>
      <c r="B31" s="66"/>
      <c r="C31" s="66"/>
    </row>
    <row r="32" spans="1:10">
      <c r="A32" s="2" t="s">
        <v>28</v>
      </c>
      <c r="B32" s="66"/>
      <c r="C32" s="66"/>
    </row>
    <row r="33" spans="1:5">
      <c r="A33" s="3" t="s">
        <v>21</v>
      </c>
      <c r="B33" s="66"/>
      <c r="C33" s="66"/>
    </row>
    <row r="34" spans="1:5">
      <c r="A34" s="3"/>
      <c r="B34" s="68">
        <v>0</v>
      </c>
      <c r="C34" s="66"/>
      <c r="E34" s="97"/>
    </row>
    <row r="35" spans="1:5">
      <c r="A35" s="3">
        <v>53</v>
      </c>
      <c r="B35" s="68">
        <v>5577</v>
      </c>
      <c r="C35" s="66"/>
      <c r="E35" s="97">
        <f>2173216-1006658</f>
        <v>1166558</v>
      </c>
    </row>
    <row r="36" spans="1:5">
      <c r="A36" s="3">
        <v>55</v>
      </c>
      <c r="B36" s="68">
        <v>320</v>
      </c>
      <c r="C36" s="66"/>
      <c r="E36" s="97">
        <v>-1164248</v>
      </c>
    </row>
    <row r="37" spans="1:5">
      <c r="A37" s="3">
        <v>57</v>
      </c>
      <c r="B37" s="68">
        <v>320</v>
      </c>
      <c r="C37" s="66"/>
      <c r="E37" s="97"/>
    </row>
    <row r="38" spans="1:5">
      <c r="A38" s="3">
        <v>59</v>
      </c>
      <c r="B38" s="68">
        <v>3327</v>
      </c>
      <c r="C38" s="66"/>
      <c r="E38" s="97"/>
    </row>
    <row r="39" spans="1:5">
      <c r="A39" s="3">
        <v>60</v>
      </c>
      <c r="B39" s="108">
        <v>16500</v>
      </c>
      <c r="C39" s="66"/>
      <c r="E39" s="97"/>
    </row>
    <row r="40" spans="1:5">
      <c r="A40" s="3">
        <v>61</v>
      </c>
      <c r="B40" s="108">
        <v>137575</v>
      </c>
      <c r="C40" s="66"/>
      <c r="E40" s="68">
        <f>SUM(E35:E39)</f>
        <v>2310</v>
      </c>
    </row>
    <row r="41" spans="1:5">
      <c r="A41" s="3">
        <v>64</v>
      </c>
      <c r="B41" s="108">
        <v>9985</v>
      </c>
      <c r="C41" s="66"/>
    </row>
    <row r="42" spans="1:5">
      <c r="A42" s="3">
        <v>65</v>
      </c>
      <c r="B42" s="108">
        <v>37200</v>
      </c>
      <c r="C42" s="66"/>
    </row>
    <row r="43" spans="1:5">
      <c r="A43" s="3">
        <v>67</v>
      </c>
      <c r="B43" s="108">
        <v>26153</v>
      </c>
      <c r="C43" s="66"/>
    </row>
    <row r="44" spans="1:5">
      <c r="A44" s="3">
        <v>68</v>
      </c>
      <c r="B44" s="68">
        <v>320</v>
      </c>
      <c r="C44" s="66"/>
    </row>
    <row r="45" spans="1:5">
      <c r="A45" s="3">
        <v>70</v>
      </c>
      <c r="B45" s="68">
        <v>3327</v>
      </c>
      <c r="C45" s="66"/>
    </row>
    <row r="46" spans="1:5">
      <c r="A46" s="3">
        <v>71</v>
      </c>
      <c r="B46" s="108">
        <v>3000</v>
      </c>
      <c r="C46" s="66"/>
    </row>
    <row r="47" spans="1:5">
      <c r="A47" s="3">
        <v>73</v>
      </c>
      <c r="B47" s="108">
        <v>381000</v>
      </c>
      <c r="C47" s="66"/>
    </row>
    <row r="48" spans="1:5">
      <c r="A48" s="3">
        <v>72</v>
      </c>
      <c r="B48" s="108">
        <v>397280</v>
      </c>
      <c r="C48" s="66"/>
    </row>
    <row r="49" spans="1:4">
      <c r="A49" s="3">
        <v>74</v>
      </c>
      <c r="B49" s="108">
        <v>145950</v>
      </c>
      <c r="C49" s="66"/>
    </row>
    <row r="50" spans="1:4">
      <c r="A50" s="3">
        <v>75</v>
      </c>
      <c r="B50" s="108">
        <v>52400</v>
      </c>
      <c r="C50" s="66"/>
    </row>
    <row r="51" spans="1:4">
      <c r="A51" s="3">
        <v>76</v>
      </c>
      <c r="B51" s="108">
        <v>50700</v>
      </c>
      <c r="C51" s="66"/>
    </row>
    <row r="52" spans="1:4">
      <c r="A52" s="3">
        <v>77</v>
      </c>
      <c r="B52" s="108">
        <v>125000</v>
      </c>
      <c r="C52" s="66"/>
    </row>
    <row r="53" spans="1:4">
      <c r="A53" s="3">
        <v>78</v>
      </c>
      <c r="B53" s="109">
        <v>9936</v>
      </c>
      <c r="C53" s="66"/>
    </row>
    <row r="54" spans="1:4">
      <c r="A54" s="3">
        <v>79</v>
      </c>
      <c r="B54" s="109">
        <v>26153</v>
      </c>
      <c r="C54" s="66"/>
    </row>
    <row r="55" spans="1:4">
      <c r="A55" s="3">
        <v>80</v>
      </c>
      <c r="B55" s="66">
        <v>3327</v>
      </c>
      <c r="C55" s="66"/>
    </row>
    <row r="56" spans="1:4">
      <c r="A56" s="3">
        <v>81</v>
      </c>
      <c r="B56" s="108">
        <v>6000</v>
      </c>
      <c r="C56" s="66"/>
    </row>
    <row r="57" spans="1:4">
      <c r="A57" s="3">
        <v>82</v>
      </c>
      <c r="B57" s="68">
        <v>200000</v>
      </c>
      <c r="C57" s="66">
        <f>SUM(B34:B57)</f>
        <v>1641350</v>
      </c>
      <c r="D57" s="7">
        <f>SUM(B57,B55,B45,B44,B38,B37,B36,B35)</f>
        <v>216518</v>
      </c>
    </row>
    <row r="58" spans="1:4">
      <c r="C58" s="66"/>
    </row>
    <row r="59" spans="1:4">
      <c r="A59" s="41" t="s">
        <v>22</v>
      </c>
      <c r="B59" s="66"/>
      <c r="C59" s="66"/>
    </row>
    <row r="60" spans="1:4">
      <c r="A60" s="3" t="s">
        <v>266</v>
      </c>
      <c r="B60" s="66">
        <v>850</v>
      </c>
      <c r="C60" s="89">
        <f>SUM(B60)</f>
        <v>850</v>
      </c>
    </row>
    <row r="61" spans="1:4">
      <c r="A61" s="3"/>
      <c r="B61" s="66"/>
      <c r="C61" s="66"/>
    </row>
    <row r="62" spans="1:4">
      <c r="A62" s="3"/>
      <c r="B62" s="66"/>
      <c r="C62" s="66">
        <f>C30-C60-C57</f>
        <v>531016</v>
      </c>
    </row>
    <row r="63" spans="1:4">
      <c r="A63" s="3"/>
      <c r="B63" s="66"/>
      <c r="C63" s="66"/>
    </row>
    <row r="64" spans="1:4">
      <c r="A64" s="2" t="s">
        <v>29</v>
      </c>
      <c r="B64" s="66"/>
      <c r="C64" s="66"/>
    </row>
    <row r="65" spans="1:9">
      <c r="A65" s="3" t="s">
        <v>30</v>
      </c>
      <c r="B65" s="66"/>
      <c r="C65" s="66"/>
    </row>
    <row r="66" spans="1:9">
      <c r="A66" s="42"/>
      <c r="B66" s="66"/>
      <c r="C66" s="66"/>
    </row>
    <row r="67" spans="1:9">
      <c r="A67" s="42"/>
      <c r="B67" s="89">
        <v>0</v>
      </c>
      <c r="C67" s="66">
        <f>SUM(B66:B67)</f>
        <v>0</v>
      </c>
    </row>
    <row r="68" spans="1:9">
      <c r="A68" s="42"/>
      <c r="B68" s="66"/>
      <c r="C68" s="66"/>
    </row>
    <row r="69" spans="1:9">
      <c r="A69" s="2" t="s">
        <v>31</v>
      </c>
      <c r="B69" s="66"/>
      <c r="C69" s="66"/>
    </row>
    <row r="70" spans="1:9" ht="38.25">
      <c r="A70" s="43" t="s">
        <v>267</v>
      </c>
      <c r="B70" s="66">
        <v>7300</v>
      </c>
      <c r="C70" s="66"/>
    </row>
    <row r="71" spans="1:9">
      <c r="A71" s="44"/>
      <c r="B71" s="89">
        <v>0</v>
      </c>
      <c r="C71" s="89">
        <f>SUM(B70:B71)</f>
        <v>7300</v>
      </c>
    </row>
    <row r="72" spans="1:9">
      <c r="A72" s="3"/>
      <c r="B72" s="66"/>
      <c r="C72" s="66"/>
    </row>
    <row r="73" spans="1:9">
      <c r="A73" s="45" t="s">
        <v>32</v>
      </c>
      <c r="B73" s="66"/>
      <c r="C73" s="91">
        <f>SUM(C62+C67+C71)</f>
        <v>538316</v>
      </c>
    </row>
    <row r="74" spans="1:9">
      <c r="A74" s="46"/>
      <c r="B74" s="66"/>
      <c r="C74" s="66"/>
      <c r="D74"/>
    </row>
    <row r="75" spans="1:9">
      <c r="A75" s="2" t="s">
        <v>33</v>
      </c>
      <c r="B75" s="66"/>
      <c r="C75" s="66"/>
    </row>
    <row r="76" spans="1:9">
      <c r="A76" s="2"/>
      <c r="B76" s="66"/>
      <c r="C76" s="66"/>
    </row>
    <row r="77" spans="1:9">
      <c r="A77" s="3" t="s">
        <v>19</v>
      </c>
      <c r="B77" s="66">
        <v>0</v>
      </c>
      <c r="C77" s="66"/>
    </row>
    <row r="78" spans="1:9">
      <c r="A78" s="3" t="s">
        <v>271</v>
      </c>
      <c r="B78" s="89">
        <f>-'1ST TR FUAR'!E290</f>
        <v>-10625</v>
      </c>
      <c r="C78" s="89">
        <f>SUM(B77:B78)</f>
        <v>-10625</v>
      </c>
      <c r="I78" s="7"/>
    </row>
    <row r="79" spans="1:9">
      <c r="A79" s="3"/>
      <c r="B79" s="89"/>
      <c r="C79" s="89"/>
      <c r="I79" s="7"/>
    </row>
    <row r="80" spans="1:9">
      <c r="A80" s="2" t="s">
        <v>274</v>
      </c>
      <c r="B80" s="66"/>
      <c r="C80" s="66"/>
    </row>
    <row r="81" spans="1:9">
      <c r="A81" s="2"/>
      <c r="B81" s="66"/>
      <c r="C81" s="66"/>
    </row>
    <row r="82" spans="1:9">
      <c r="A82" s="3" t="s">
        <v>19</v>
      </c>
      <c r="B82" s="66">
        <v>0</v>
      </c>
      <c r="C82" s="66"/>
    </row>
    <row r="83" spans="1:9">
      <c r="A83" s="3" t="s">
        <v>270</v>
      </c>
      <c r="B83" s="89">
        <f>-'1ST TR FUAR'!H290</f>
        <v>7998</v>
      </c>
      <c r="C83" s="89">
        <f>SUM(B82:B83)</f>
        <v>7998</v>
      </c>
      <c r="I83" s="7"/>
    </row>
    <row r="84" spans="1:9">
      <c r="A84" s="3"/>
      <c r="B84" s="66"/>
      <c r="C84" s="66"/>
    </row>
    <row r="85" spans="1:9" ht="13.5" thickBot="1">
      <c r="A85" s="1" t="s">
        <v>24</v>
      </c>
      <c r="B85" s="66"/>
      <c r="C85" s="92">
        <f>C73+C78+C83</f>
        <v>535689</v>
      </c>
    </row>
    <row r="86" spans="1:9">
      <c r="A86" s="3"/>
      <c r="B86" s="66"/>
      <c r="C86" s="66"/>
    </row>
    <row r="87" spans="1:9">
      <c r="A87" s="1" t="s">
        <v>23</v>
      </c>
      <c r="B87" s="66"/>
      <c r="C87" s="91">
        <f>C26-C85</f>
        <v>0</v>
      </c>
      <c r="H87" s="7"/>
    </row>
  </sheetData>
  <phoneticPr fontId="0" type="noConversion"/>
  <pageMargins left="0.59" right="0.4" top="0.5" bottom="0.49" header="0.5" footer="0.5"/>
  <pageSetup scale="8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K65"/>
  <sheetViews>
    <sheetView workbookViewId="0">
      <selection activeCell="B23" sqref="B23"/>
    </sheetView>
  </sheetViews>
  <sheetFormatPr defaultRowHeight="12.75"/>
  <cols>
    <col min="1" max="1" width="5" customWidth="1"/>
    <col min="2" max="2" width="34.140625" customWidth="1"/>
    <col min="3" max="3" width="16.85546875" customWidth="1"/>
    <col min="4" max="4" width="12.42578125" customWidth="1"/>
    <col min="5" max="5" width="14.7109375" customWidth="1"/>
    <col min="6" max="6" width="22.140625" customWidth="1"/>
    <col min="7" max="7" width="14.140625" bestFit="1" customWidth="1"/>
    <col min="8" max="8" width="5.42578125" bestFit="1" customWidth="1"/>
    <col min="9" max="9" width="6.28515625" hidden="1" customWidth="1"/>
    <col min="10" max="10" width="15.7109375" customWidth="1"/>
  </cols>
  <sheetData>
    <row r="1" spans="1:10">
      <c r="A1" s="4"/>
      <c r="B1" s="1" t="str">
        <f>'1ST TR FUAR'!A1</f>
        <v>Ngarua Environmental Conservation &amp; Livelihoods Improvedment Project</v>
      </c>
      <c r="C1" s="3"/>
      <c r="D1" s="3"/>
      <c r="E1" s="3"/>
      <c r="F1" s="3"/>
      <c r="G1" s="3"/>
      <c r="H1" s="3"/>
      <c r="I1" s="3"/>
      <c r="J1" s="3"/>
    </row>
    <row r="2" spans="1:10">
      <c r="A2" s="4"/>
      <c r="B2" s="3"/>
      <c r="C2" s="3"/>
      <c r="D2" s="3"/>
      <c r="E2" s="3"/>
      <c r="F2" s="3"/>
      <c r="G2" s="3"/>
      <c r="H2" s="3"/>
      <c r="I2" s="3"/>
      <c r="J2" s="3"/>
    </row>
    <row r="3" spans="1:10">
      <c r="A3" s="4"/>
      <c r="B3" s="3" t="s">
        <v>37</v>
      </c>
      <c r="C3" s="3"/>
      <c r="D3" s="3"/>
      <c r="E3" s="3"/>
      <c r="F3" s="3"/>
      <c r="G3" s="3"/>
      <c r="H3" s="3"/>
      <c r="I3" s="3"/>
      <c r="J3" s="3"/>
    </row>
    <row r="4" spans="1:10">
      <c r="A4" s="4"/>
      <c r="B4" s="3"/>
      <c r="C4" s="3"/>
      <c r="D4" s="3"/>
      <c r="E4" s="3"/>
      <c r="F4" s="3"/>
      <c r="G4" s="3"/>
      <c r="H4" s="3"/>
      <c r="I4" s="3"/>
      <c r="J4" s="3"/>
    </row>
    <row r="5" spans="1:10">
      <c r="A5" s="4"/>
      <c r="B5" s="2" t="s">
        <v>174</v>
      </c>
      <c r="C5" s="3"/>
      <c r="D5" s="3"/>
      <c r="E5" s="3"/>
      <c r="F5" s="3"/>
      <c r="G5" s="3"/>
      <c r="H5" s="3"/>
      <c r="I5" s="3"/>
      <c r="J5" s="3"/>
    </row>
    <row r="6" spans="1:10">
      <c r="A6" s="4"/>
      <c r="B6" s="3"/>
      <c r="C6" s="3"/>
      <c r="D6" s="3"/>
      <c r="E6" s="3"/>
      <c r="F6" s="3"/>
      <c r="G6" s="3"/>
      <c r="H6" s="3"/>
      <c r="I6" s="3"/>
      <c r="J6" s="3"/>
    </row>
    <row r="7" spans="1:10">
      <c r="A7" s="4"/>
      <c r="B7" s="1" t="s">
        <v>38</v>
      </c>
      <c r="C7" s="1" t="s">
        <v>39</v>
      </c>
      <c r="D7" s="1" t="s">
        <v>40</v>
      </c>
      <c r="E7" s="1" t="s">
        <v>41</v>
      </c>
      <c r="F7" s="1" t="s">
        <v>42</v>
      </c>
      <c r="G7" s="1" t="s">
        <v>43</v>
      </c>
      <c r="H7" s="1" t="s">
        <v>45</v>
      </c>
      <c r="I7" s="3"/>
      <c r="J7" s="1" t="s">
        <v>44</v>
      </c>
    </row>
    <row r="8" spans="1:10">
      <c r="A8" s="4">
        <v>1</v>
      </c>
      <c r="B8" s="3" t="s">
        <v>123</v>
      </c>
      <c r="C8" s="3" t="s">
        <v>130</v>
      </c>
      <c r="D8" s="3" t="s">
        <v>138</v>
      </c>
      <c r="E8" s="3">
        <v>1</v>
      </c>
      <c r="F8" s="3" t="s">
        <v>139</v>
      </c>
      <c r="G8" s="50">
        <v>40162</v>
      </c>
      <c r="H8" s="3">
        <v>1</v>
      </c>
      <c r="I8" s="3"/>
      <c r="J8" s="66">
        <v>17000</v>
      </c>
    </row>
    <row r="9" spans="1:10">
      <c r="A9" s="4">
        <v>2</v>
      </c>
      <c r="B9" s="3" t="s">
        <v>124</v>
      </c>
      <c r="C9" s="3" t="s">
        <v>131</v>
      </c>
      <c r="D9" s="3" t="s">
        <v>138</v>
      </c>
      <c r="E9" s="3">
        <v>2</v>
      </c>
      <c r="F9" s="3" t="s">
        <v>139</v>
      </c>
      <c r="G9" s="50">
        <v>40162</v>
      </c>
      <c r="H9" s="3">
        <v>1</v>
      </c>
      <c r="I9" s="3"/>
      <c r="J9" s="66">
        <v>2000</v>
      </c>
    </row>
    <row r="10" spans="1:10">
      <c r="A10" s="4">
        <v>3</v>
      </c>
      <c r="B10" s="3" t="s">
        <v>125</v>
      </c>
      <c r="C10" s="3" t="s">
        <v>132</v>
      </c>
      <c r="D10" s="3" t="s">
        <v>138</v>
      </c>
      <c r="E10" s="3">
        <v>3</v>
      </c>
      <c r="F10" s="3" t="s">
        <v>139</v>
      </c>
      <c r="G10" s="50">
        <v>40162</v>
      </c>
      <c r="H10" s="3">
        <v>1</v>
      </c>
      <c r="I10" s="3"/>
      <c r="J10" s="66">
        <v>16500</v>
      </c>
    </row>
    <row r="11" spans="1:10">
      <c r="A11" s="4">
        <v>4</v>
      </c>
      <c r="B11" s="3" t="s">
        <v>126</v>
      </c>
      <c r="C11" s="3" t="s">
        <v>133</v>
      </c>
      <c r="D11" s="3" t="s">
        <v>138</v>
      </c>
      <c r="E11" s="3">
        <v>4</v>
      </c>
      <c r="F11" s="3" t="s">
        <v>139</v>
      </c>
      <c r="G11" s="50">
        <v>40162</v>
      </c>
      <c r="H11" s="3">
        <v>1</v>
      </c>
      <c r="I11" s="3"/>
      <c r="J11" s="66">
        <v>1500</v>
      </c>
    </row>
    <row r="12" spans="1:10">
      <c r="A12" s="4">
        <v>5</v>
      </c>
      <c r="B12" s="3" t="s">
        <v>127</v>
      </c>
      <c r="C12" s="3" t="s">
        <v>134</v>
      </c>
      <c r="D12" s="3" t="s">
        <v>138</v>
      </c>
      <c r="E12" s="3">
        <v>5</v>
      </c>
      <c r="F12" s="3" t="s">
        <v>139</v>
      </c>
      <c r="G12" s="50">
        <v>40162</v>
      </c>
      <c r="H12" s="3">
        <v>1</v>
      </c>
      <c r="I12" s="3"/>
      <c r="J12" s="66">
        <v>3500</v>
      </c>
    </row>
    <row r="13" spans="1:10">
      <c r="A13" s="4">
        <v>6</v>
      </c>
      <c r="B13" s="3" t="s">
        <v>128</v>
      </c>
      <c r="C13" s="3" t="s">
        <v>135</v>
      </c>
      <c r="D13" s="3" t="s">
        <v>138</v>
      </c>
      <c r="E13" s="3">
        <v>6</v>
      </c>
      <c r="F13" s="3" t="s">
        <v>139</v>
      </c>
      <c r="G13" s="50">
        <v>40162</v>
      </c>
      <c r="H13" s="3">
        <v>1</v>
      </c>
      <c r="I13" s="3"/>
      <c r="J13" s="66">
        <v>18000</v>
      </c>
    </row>
    <row r="14" spans="1:10">
      <c r="A14" s="4">
        <v>7</v>
      </c>
      <c r="B14" s="3" t="s">
        <v>140</v>
      </c>
      <c r="C14" s="3" t="s">
        <v>136</v>
      </c>
      <c r="D14" s="3" t="s">
        <v>138</v>
      </c>
      <c r="E14" s="3">
        <v>7</v>
      </c>
      <c r="F14" s="3" t="s">
        <v>139</v>
      </c>
      <c r="G14" s="50">
        <v>40162</v>
      </c>
      <c r="H14" s="3">
        <v>20</v>
      </c>
      <c r="I14" s="3"/>
      <c r="J14" s="66">
        <v>32000</v>
      </c>
    </row>
    <row r="15" spans="1:10">
      <c r="A15" s="4">
        <v>8</v>
      </c>
      <c r="B15" s="3" t="s">
        <v>129</v>
      </c>
      <c r="C15" s="3" t="s">
        <v>137</v>
      </c>
      <c r="D15" s="3" t="s">
        <v>138</v>
      </c>
      <c r="E15" s="3">
        <v>8</v>
      </c>
      <c r="F15" s="3" t="s">
        <v>139</v>
      </c>
      <c r="G15" s="50">
        <v>40162</v>
      </c>
      <c r="H15" s="3">
        <v>1</v>
      </c>
      <c r="I15" s="3"/>
      <c r="J15" s="66">
        <v>2000</v>
      </c>
    </row>
    <row r="16" spans="1:10">
      <c r="A16" s="4">
        <v>9</v>
      </c>
      <c r="B16" s="3" t="s">
        <v>144</v>
      </c>
      <c r="C16" s="3" t="s">
        <v>142</v>
      </c>
      <c r="D16" s="3" t="s">
        <v>143</v>
      </c>
      <c r="E16" s="3">
        <v>9</v>
      </c>
      <c r="F16" s="3" t="s">
        <v>139</v>
      </c>
      <c r="G16" s="50">
        <v>40147</v>
      </c>
      <c r="H16" s="3">
        <v>1</v>
      </c>
      <c r="I16" s="3"/>
      <c r="J16" s="6">
        <v>3999</v>
      </c>
    </row>
    <row r="17" spans="1:10">
      <c r="A17" s="4">
        <v>10</v>
      </c>
      <c r="B17" s="3" t="s">
        <v>145</v>
      </c>
      <c r="C17" s="3" t="s">
        <v>146</v>
      </c>
      <c r="D17" s="3" t="s">
        <v>173</v>
      </c>
      <c r="E17" s="3">
        <v>10</v>
      </c>
      <c r="F17" s="3" t="s">
        <v>139</v>
      </c>
      <c r="G17" s="50">
        <v>40145</v>
      </c>
      <c r="H17" s="3">
        <v>1</v>
      </c>
      <c r="I17" s="3"/>
      <c r="J17" s="6">
        <v>47500</v>
      </c>
    </row>
    <row r="18" spans="1:10">
      <c r="A18" s="4">
        <v>11</v>
      </c>
      <c r="B18" s="3" t="s">
        <v>161</v>
      </c>
      <c r="C18" s="3" t="s">
        <v>162</v>
      </c>
      <c r="D18" s="3" t="s">
        <v>163</v>
      </c>
      <c r="E18" s="3">
        <v>11</v>
      </c>
      <c r="F18" s="3" t="s">
        <v>139</v>
      </c>
      <c r="G18" s="50">
        <v>40186</v>
      </c>
      <c r="H18" s="3">
        <v>1</v>
      </c>
      <c r="I18" s="3"/>
      <c r="J18" s="6">
        <v>330000</v>
      </c>
    </row>
    <row r="19" spans="1:10">
      <c r="A19" s="4">
        <v>12</v>
      </c>
      <c r="B19" s="3" t="s">
        <v>175</v>
      </c>
      <c r="C19" s="3" t="s">
        <v>176</v>
      </c>
      <c r="D19" s="3" t="s">
        <v>184</v>
      </c>
      <c r="E19" s="3">
        <v>12</v>
      </c>
      <c r="F19" s="3" t="s">
        <v>139</v>
      </c>
      <c r="G19" s="50">
        <v>40158</v>
      </c>
      <c r="H19" s="3">
        <v>1</v>
      </c>
      <c r="I19" s="3"/>
      <c r="J19" s="6">
        <v>750</v>
      </c>
    </row>
    <row r="20" spans="1:10">
      <c r="A20" s="4">
        <v>13</v>
      </c>
      <c r="B20" s="3" t="s">
        <v>177</v>
      </c>
      <c r="C20" s="3" t="s">
        <v>178</v>
      </c>
      <c r="D20" s="3" t="s">
        <v>179</v>
      </c>
      <c r="E20" s="3">
        <v>13</v>
      </c>
      <c r="F20" s="3" t="s">
        <v>139</v>
      </c>
      <c r="G20" s="50">
        <v>40158</v>
      </c>
      <c r="H20" s="3">
        <v>2</v>
      </c>
      <c r="I20" s="3"/>
      <c r="J20" s="6">
        <v>1800</v>
      </c>
    </row>
    <row r="21" spans="1:10">
      <c r="A21" s="4">
        <v>14</v>
      </c>
      <c r="B21" s="3" t="s">
        <v>180</v>
      </c>
      <c r="C21" s="3" t="s">
        <v>181</v>
      </c>
      <c r="D21" s="3" t="s">
        <v>184</v>
      </c>
      <c r="E21" s="3">
        <v>14</v>
      </c>
      <c r="F21" s="3" t="s">
        <v>139</v>
      </c>
      <c r="G21" s="50">
        <v>40158</v>
      </c>
      <c r="H21" s="3">
        <v>1</v>
      </c>
      <c r="I21" s="3"/>
      <c r="J21" s="6">
        <v>2700</v>
      </c>
    </row>
    <row r="22" spans="1:10">
      <c r="A22" s="4">
        <v>15</v>
      </c>
      <c r="B22" s="3" t="s">
        <v>182</v>
      </c>
      <c r="C22" s="3" t="s">
        <v>183</v>
      </c>
      <c r="D22" s="3"/>
      <c r="E22" s="3">
        <v>15</v>
      </c>
      <c r="F22" s="3" t="s">
        <v>139</v>
      </c>
      <c r="G22" s="50">
        <v>40158</v>
      </c>
      <c r="H22" s="3">
        <v>2</v>
      </c>
      <c r="I22" s="3"/>
      <c r="J22" s="6">
        <v>1000</v>
      </c>
    </row>
    <row r="23" spans="1:10">
      <c r="A23" s="4">
        <v>16</v>
      </c>
      <c r="B23" s="3"/>
      <c r="C23" s="3"/>
      <c r="D23" s="3"/>
      <c r="E23" s="3"/>
      <c r="F23" s="3"/>
      <c r="G23" s="50"/>
      <c r="H23" s="3"/>
      <c r="I23" s="3"/>
      <c r="J23" s="6"/>
    </row>
    <row r="24" spans="1:10">
      <c r="A24" s="4">
        <v>17</v>
      </c>
      <c r="B24" s="1"/>
      <c r="C24" s="3"/>
      <c r="D24" s="3"/>
      <c r="E24" s="3"/>
      <c r="F24" s="3"/>
      <c r="G24" s="50"/>
      <c r="H24" s="3"/>
      <c r="I24" s="3"/>
      <c r="J24" s="6"/>
    </row>
    <row r="25" spans="1:10">
      <c r="A25" s="4">
        <v>18</v>
      </c>
      <c r="B25" s="3"/>
      <c r="C25" s="3"/>
      <c r="D25" s="3"/>
      <c r="E25" s="3"/>
      <c r="F25" s="3"/>
      <c r="G25" s="50"/>
      <c r="H25" s="3"/>
      <c r="I25" s="3"/>
      <c r="J25" s="6"/>
    </row>
    <row r="26" spans="1:10">
      <c r="A26" s="4">
        <v>19</v>
      </c>
      <c r="B26" s="3"/>
      <c r="C26" s="3"/>
      <c r="D26" s="3"/>
      <c r="E26" s="3"/>
      <c r="F26" s="3"/>
      <c r="G26" s="50"/>
      <c r="H26" s="3"/>
      <c r="I26" s="3"/>
      <c r="J26" s="10"/>
    </row>
    <row r="27" spans="1:10">
      <c r="A27" s="4">
        <v>20</v>
      </c>
      <c r="B27" s="3"/>
      <c r="C27" s="3"/>
      <c r="D27" s="3"/>
      <c r="E27" s="3"/>
      <c r="F27" s="3"/>
      <c r="G27" s="50"/>
      <c r="H27" s="3"/>
      <c r="I27" s="3"/>
      <c r="J27" s="6"/>
    </row>
    <row r="28" spans="1:10">
      <c r="A28" s="4">
        <v>21</v>
      </c>
      <c r="B28" s="3"/>
      <c r="C28" s="3"/>
      <c r="D28" s="3"/>
      <c r="E28" s="3"/>
      <c r="F28" s="3"/>
      <c r="G28" s="50"/>
      <c r="H28" s="3"/>
      <c r="I28" s="3"/>
      <c r="J28" s="6"/>
    </row>
    <row r="29" spans="1:10">
      <c r="A29" s="4">
        <v>22</v>
      </c>
      <c r="B29" s="1"/>
      <c r="C29" s="3"/>
      <c r="D29" s="3"/>
      <c r="E29" s="3"/>
      <c r="F29" s="3"/>
      <c r="G29" s="50"/>
      <c r="H29" s="3"/>
      <c r="I29" s="3"/>
      <c r="J29" s="6"/>
    </row>
    <row r="30" spans="1:10">
      <c r="A30" s="4">
        <v>23</v>
      </c>
      <c r="B30" s="1"/>
      <c r="C30" s="3"/>
      <c r="D30" s="3"/>
      <c r="E30" s="3"/>
      <c r="F30" s="3"/>
      <c r="G30" s="50"/>
      <c r="H30" s="3"/>
      <c r="I30" s="3"/>
      <c r="J30" s="6"/>
    </row>
    <row r="31" spans="1:10">
      <c r="A31" s="4">
        <v>24</v>
      </c>
      <c r="B31" s="1"/>
      <c r="C31" s="3"/>
      <c r="D31" s="3"/>
      <c r="E31" s="3"/>
      <c r="F31" s="3"/>
      <c r="G31" s="50"/>
      <c r="H31" s="3"/>
      <c r="I31" s="3"/>
      <c r="J31" s="6"/>
    </row>
    <row r="32" spans="1:10">
      <c r="A32" s="4">
        <v>25</v>
      </c>
      <c r="B32" s="1"/>
      <c r="C32" s="3"/>
      <c r="D32" s="3"/>
      <c r="E32" s="3"/>
      <c r="F32" s="3"/>
      <c r="G32" s="50"/>
      <c r="H32" s="3"/>
      <c r="I32" s="3"/>
      <c r="J32" s="6"/>
    </row>
    <row r="33" spans="1:10">
      <c r="A33" s="4">
        <v>26</v>
      </c>
      <c r="B33" s="1"/>
      <c r="C33" s="3"/>
      <c r="D33" s="3"/>
      <c r="E33" s="3"/>
      <c r="F33" s="3"/>
      <c r="G33" s="50"/>
      <c r="H33" s="3"/>
      <c r="I33" s="3"/>
      <c r="J33" s="10"/>
    </row>
    <row r="34" spans="1:10">
      <c r="A34" s="4">
        <v>27</v>
      </c>
      <c r="B34" s="3"/>
      <c r="C34" s="3"/>
      <c r="D34" s="3"/>
      <c r="E34" s="3"/>
      <c r="F34" s="3"/>
      <c r="G34" s="50"/>
      <c r="H34" s="3"/>
      <c r="I34" s="3"/>
      <c r="J34" s="6"/>
    </row>
    <row r="35" spans="1:10">
      <c r="A35" s="4">
        <v>28</v>
      </c>
      <c r="B35" s="3"/>
      <c r="C35" s="3"/>
      <c r="D35" s="3"/>
      <c r="E35" s="3"/>
      <c r="F35" s="3"/>
      <c r="G35" s="50"/>
      <c r="H35" s="3"/>
      <c r="I35" s="3"/>
      <c r="J35" s="6"/>
    </row>
    <row r="36" spans="1:10">
      <c r="A36" s="4">
        <v>29</v>
      </c>
      <c r="B36" s="3"/>
      <c r="C36" s="3"/>
      <c r="D36" s="3"/>
      <c r="E36" s="3"/>
      <c r="F36" s="3"/>
      <c r="G36" s="50"/>
      <c r="H36" s="3"/>
      <c r="I36" s="3"/>
      <c r="J36" s="6"/>
    </row>
    <row r="37" spans="1:10">
      <c r="A37" s="4">
        <v>30</v>
      </c>
      <c r="B37" s="3"/>
      <c r="C37" s="3"/>
      <c r="D37" s="3"/>
      <c r="E37" s="3"/>
      <c r="F37" s="3"/>
      <c r="G37" s="50"/>
      <c r="H37" s="3"/>
      <c r="I37" s="3"/>
      <c r="J37" s="6"/>
    </row>
    <row r="38" spans="1:10">
      <c r="A38" s="4">
        <v>31</v>
      </c>
      <c r="B38" s="3"/>
      <c r="C38" s="3"/>
      <c r="D38" s="3"/>
      <c r="E38" s="3"/>
      <c r="F38" s="3"/>
      <c r="G38" s="50"/>
      <c r="H38" s="3"/>
      <c r="I38" s="3"/>
      <c r="J38" s="6"/>
    </row>
    <row r="39" spans="1:10">
      <c r="A39" s="4">
        <v>32</v>
      </c>
      <c r="C39" s="3"/>
      <c r="D39" s="3"/>
      <c r="E39" s="3"/>
      <c r="F39" s="3"/>
      <c r="G39" s="3"/>
      <c r="H39" s="3"/>
      <c r="I39" s="3"/>
      <c r="J39" s="3"/>
    </row>
    <row r="40" spans="1:10">
      <c r="A40" s="4">
        <v>33</v>
      </c>
      <c r="B40" s="1"/>
      <c r="C40" s="3"/>
      <c r="D40" s="3"/>
      <c r="E40" s="3"/>
      <c r="F40" s="3"/>
      <c r="G40" s="50"/>
      <c r="H40" s="3"/>
      <c r="I40" s="3"/>
      <c r="J40" s="6"/>
    </row>
    <row r="41" spans="1:10">
      <c r="A41" s="4">
        <v>34</v>
      </c>
      <c r="B41" s="52"/>
      <c r="C41" s="3"/>
      <c r="D41" s="3"/>
      <c r="E41" s="3"/>
      <c r="F41" s="3"/>
      <c r="G41" s="50"/>
      <c r="H41" s="3"/>
      <c r="I41" s="3"/>
      <c r="J41" s="6"/>
    </row>
    <row r="42" spans="1:10">
      <c r="A42" s="4"/>
      <c r="B42" s="3"/>
      <c r="C42" s="3"/>
      <c r="D42" s="3"/>
      <c r="E42" s="3"/>
      <c r="F42" s="3"/>
      <c r="G42" s="50"/>
      <c r="H42" s="3"/>
      <c r="I42" s="3"/>
      <c r="J42" s="6"/>
    </row>
    <row r="43" spans="1:10">
      <c r="A43" s="4"/>
      <c r="B43" s="3"/>
      <c r="C43" s="3"/>
      <c r="D43" s="3"/>
      <c r="E43" s="3"/>
      <c r="F43" s="3"/>
      <c r="G43" s="50"/>
      <c r="H43" s="3"/>
      <c r="I43" s="3"/>
      <c r="J43" s="10"/>
    </row>
    <row r="44" spans="1:10">
      <c r="A44" s="4"/>
      <c r="B44" s="53"/>
      <c r="C44" s="3"/>
      <c r="D44" s="3"/>
      <c r="E44" s="3"/>
      <c r="F44" s="3"/>
      <c r="G44" s="50"/>
      <c r="H44" s="3"/>
      <c r="I44" s="3"/>
      <c r="J44" s="6"/>
    </row>
    <row r="45" spans="1:10">
      <c r="A45" s="4"/>
      <c r="B45" s="3"/>
      <c r="C45" s="3"/>
      <c r="D45" s="3"/>
      <c r="E45" s="3"/>
      <c r="F45" s="3"/>
      <c r="G45" s="50"/>
      <c r="H45" s="3"/>
      <c r="I45" s="3"/>
      <c r="J45" s="6"/>
    </row>
    <row r="46" spans="1:10">
      <c r="A46" s="4"/>
      <c r="B46" s="3"/>
      <c r="C46" s="3"/>
      <c r="D46" s="3"/>
      <c r="E46" s="3"/>
      <c r="F46" s="3"/>
      <c r="G46" s="50"/>
      <c r="H46" s="3"/>
      <c r="I46" s="3"/>
      <c r="J46" s="6"/>
    </row>
    <row r="47" spans="1:10">
      <c r="A47" s="4"/>
      <c r="B47" s="3"/>
      <c r="C47" s="3"/>
      <c r="D47" s="3"/>
      <c r="E47" s="3"/>
      <c r="F47" s="3"/>
      <c r="G47" s="50"/>
      <c r="H47" s="3"/>
      <c r="I47" s="3"/>
      <c r="J47" s="10"/>
    </row>
    <row r="48" spans="1:10">
      <c r="A48" s="4"/>
      <c r="B48" s="51"/>
      <c r="C48" s="3"/>
      <c r="D48" s="3"/>
      <c r="E48" s="3"/>
      <c r="F48" s="3"/>
      <c r="G48" s="50"/>
      <c r="H48" s="3"/>
      <c r="I48" s="3"/>
      <c r="J48" s="6"/>
    </row>
    <row r="49" spans="1:11">
      <c r="A49" s="4"/>
      <c r="B49" s="3"/>
      <c r="C49" s="3"/>
      <c r="D49" s="3"/>
      <c r="E49" s="3"/>
      <c r="F49" s="3"/>
      <c r="G49" s="50"/>
      <c r="H49" s="3"/>
      <c r="I49" s="3"/>
      <c r="J49" s="6"/>
    </row>
    <row r="50" spans="1:11">
      <c r="A50" s="4"/>
      <c r="B50" s="3"/>
      <c r="C50" s="3"/>
      <c r="D50" s="3"/>
      <c r="E50" s="3"/>
      <c r="F50" s="3"/>
      <c r="G50" s="50"/>
      <c r="H50" s="3"/>
      <c r="I50" s="3"/>
      <c r="J50" s="6"/>
    </row>
    <row r="51" spans="1:11">
      <c r="A51" s="4"/>
      <c r="B51" s="3"/>
      <c r="C51" s="3"/>
      <c r="D51" s="3"/>
      <c r="E51" s="3"/>
      <c r="F51" s="3"/>
      <c r="G51" s="50"/>
      <c r="H51" s="3"/>
      <c r="I51" s="3"/>
      <c r="J51" s="10"/>
      <c r="K51" s="1"/>
    </row>
    <row r="52" spans="1:11">
      <c r="B52" s="1" t="s">
        <v>185</v>
      </c>
      <c r="C52" s="3"/>
      <c r="D52" s="3"/>
      <c r="E52" s="3"/>
      <c r="F52" s="3"/>
      <c r="G52" s="3"/>
      <c r="H52" s="3"/>
      <c r="I52" s="3"/>
      <c r="J52" s="3"/>
    </row>
    <row r="53" spans="1:11">
      <c r="B53" s="3"/>
      <c r="C53" s="3"/>
      <c r="D53" s="3"/>
      <c r="E53" s="3"/>
      <c r="F53" s="3"/>
      <c r="G53" s="50"/>
      <c r="H53" s="3"/>
      <c r="I53" s="3"/>
      <c r="J53" s="3"/>
    </row>
    <row r="54" spans="1:11">
      <c r="B54" s="3"/>
      <c r="C54" s="3"/>
      <c r="D54" s="3"/>
      <c r="E54" s="3"/>
      <c r="F54" s="3"/>
      <c r="G54" s="50"/>
      <c r="H54" s="3"/>
      <c r="I54" s="3"/>
      <c r="J54" s="3"/>
    </row>
    <row r="55" spans="1:11">
      <c r="B55" s="3"/>
      <c r="C55" s="3"/>
      <c r="D55" s="3"/>
      <c r="E55" s="3"/>
      <c r="F55" s="3"/>
      <c r="G55" s="50"/>
      <c r="H55" s="3"/>
      <c r="I55" s="3"/>
      <c r="J55" s="3"/>
    </row>
    <row r="56" spans="1:11">
      <c r="B56" s="3"/>
      <c r="C56" s="3"/>
      <c r="D56" s="3"/>
      <c r="E56" s="3"/>
      <c r="F56" s="3"/>
      <c r="G56" s="50"/>
      <c r="H56" s="3"/>
      <c r="I56" s="3"/>
      <c r="J56" s="6"/>
    </row>
    <row r="57" spans="1:11">
      <c r="B57" s="3"/>
      <c r="C57" s="3"/>
      <c r="D57" s="3"/>
      <c r="E57" s="3"/>
      <c r="F57" s="3"/>
      <c r="G57" s="50"/>
      <c r="H57" s="3"/>
      <c r="I57" s="3"/>
      <c r="J57" s="6"/>
    </row>
    <row r="58" spans="1:11">
      <c r="D58" s="3"/>
      <c r="E58" s="3"/>
      <c r="F58" s="3"/>
      <c r="G58" s="55"/>
      <c r="J58" s="7"/>
    </row>
    <row r="59" spans="1:11">
      <c r="E59" s="3"/>
      <c r="F59" s="3"/>
      <c r="G59" s="55"/>
    </row>
    <row r="60" spans="1:11">
      <c r="E60" s="3"/>
      <c r="F60" s="3"/>
      <c r="G60" s="55"/>
    </row>
    <row r="61" spans="1:11">
      <c r="E61" s="3"/>
      <c r="F61" s="3"/>
      <c r="G61" s="55"/>
    </row>
    <row r="62" spans="1:11">
      <c r="E62" s="3"/>
      <c r="F62" s="3"/>
      <c r="G62" s="55"/>
      <c r="J62" s="7"/>
    </row>
    <row r="63" spans="1:11">
      <c r="D63" s="3"/>
      <c r="E63" s="3"/>
      <c r="F63" s="3"/>
      <c r="G63" s="55"/>
      <c r="J63" s="7"/>
    </row>
    <row r="64" spans="1:11">
      <c r="D64" s="3"/>
      <c r="E64" s="3"/>
      <c r="F64" s="3"/>
      <c r="G64" s="55"/>
      <c r="J64" s="7"/>
    </row>
    <row r="65" spans="10:10">
      <c r="J65" s="10"/>
    </row>
  </sheetData>
  <phoneticPr fontId="0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52"/>
  <sheetViews>
    <sheetView topLeftCell="A324" workbookViewId="0">
      <selection activeCell="A305" sqref="A305"/>
    </sheetView>
  </sheetViews>
  <sheetFormatPr defaultRowHeight="12.75"/>
  <cols>
    <col min="1" max="1" width="37.42578125" bestFit="1" customWidth="1"/>
    <col min="2" max="2" width="7.7109375" customWidth="1"/>
    <col min="3" max="3" width="14.7109375" customWidth="1"/>
    <col min="4" max="4" width="11.42578125" customWidth="1"/>
    <col min="5" max="5" width="14.42578125" customWidth="1"/>
    <col min="8" max="8" width="9.7109375" bestFit="1" customWidth="1"/>
  </cols>
  <sheetData>
    <row r="1" spans="1:5">
      <c r="A1" s="1" t="s">
        <v>386</v>
      </c>
    </row>
    <row r="3" spans="1:5">
      <c r="A3" s="5" t="s">
        <v>63</v>
      </c>
      <c r="B3" s="68"/>
      <c r="C3" s="68"/>
      <c r="D3" s="68"/>
      <c r="E3" s="7"/>
    </row>
    <row r="4" spans="1:5">
      <c r="B4" s="68"/>
      <c r="C4" s="68"/>
      <c r="D4" s="68"/>
      <c r="E4" s="7"/>
    </row>
    <row r="5" spans="1:5">
      <c r="A5" s="1" t="s">
        <v>387</v>
      </c>
      <c r="C5" s="91"/>
      <c r="D5" s="91"/>
      <c r="E5" s="90">
        <v>4846025</v>
      </c>
    </row>
    <row r="6" spans="1:5">
      <c r="A6" s="3"/>
      <c r="C6" s="66"/>
      <c r="D6" s="66"/>
      <c r="E6" s="66"/>
    </row>
    <row r="7" spans="1:5">
      <c r="A7" s="2" t="s">
        <v>28</v>
      </c>
      <c r="C7" s="66"/>
      <c r="D7" s="66"/>
      <c r="E7" s="66"/>
    </row>
    <row r="8" spans="1:5">
      <c r="A8" s="3" t="s">
        <v>21</v>
      </c>
      <c r="C8" s="66"/>
      <c r="D8" s="66"/>
      <c r="E8" s="66"/>
    </row>
    <row r="9" spans="1:5">
      <c r="A9" s="3"/>
      <c r="C9" s="68">
        <v>0</v>
      </c>
      <c r="D9" s="68"/>
      <c r="E9" s="66"/>
    </row>
    <row r="10" spans="1:5" ht="15">
      <c r="A10" s="3"/>
      <c r="C10" s="68"/>
      <c r="D10" s="68"/>
      <c r="E10" s="110">
        <f>SUM(C9:C10)</f>
        <v>0</v>
      </c>
    </row>
    <row r="11" spans="1:5">
      <c r="A11" s="3"/>
      <c r="C11" s="66"/>
      <c r="D11" s="66"/>
      <c r="E11" s="66"/>
    </row>
    <row r="12" spans="1:5">
      <c r="A12" s="3"/>
      <c r="C12" s="66"/>
      <c r="D12" s="66"/>
      <c r="E12" s="66">
        <f>E5-E10</f>
        <v>4846025</v>
      </c>
    </row>
    <row r="13" spans="1:5">
      <c r="A13" s="3"/>
      <c r="C13" s="66"/>
      <c r="D13" s="66"/>
      <c r="E13" s="66"/>
    </row>
    <row r="14" spans="1:5">
      <c r="A14" s="2" t="s">
        <v>29</v>
      </c>
      <c r="C14" s="66"/>
      <c r="D14" s="66"/>
      <c r="E14" s="66"/>
    </row>
    <row r="15" spans="1:5">
      <c r="A15" s="3" t="s">
        <v>30</v>
      </c>
      <c r="C15" s="66"/>
      <c r="D15" s="66"/>
      <c r="E15" s="66"/>
    </row>
    <row r="16" spans="1:5">
      <c r="A16" s="42"/>
      <c r="C16" s="66"/>
      <c r="D16" s="66"/>
      <c r="E16" s="66"/>
    </row>
    <row r="17" spans="1:9" ht="15">
      <c r="A17" s="42"/>
      <c r="C17" s="89">
        <v>0</v>
      </c>
      <c r="D17" s="89"/>
      <c r="E17" s="110">
        <f>SUM(C16:C17)</f>
        <v>0</v>
      </c>
    </row>
    <row r="18" spans="1:9">
      <c r="A18" s="3"/>
      <c r="C18" s="66"/>
      <c r="D18" s="66"/>
      <c r="E18" s="66"/>
    </row>
    <row r="19" spans="1:9" ht="15">
      <c r="A19" s="45" t="s">
        <v>32</v>
      </c>
      <c r="C19" s="66"/>
      <c r="D19" s="66"/>
      <c r="E19" s="111">
        <f>SUM(E12+E17)</f>
        <v>4846025</v>
      </c>
    </row>
    <row r="20" spans="1:9">
      <c r="A20" s="46"/>
      <c r="B20" s="66"/>
      <c r="C20" s="66"/>
      <c r="D20" s="66"/>
    </row>
    <row r="21" spans="1:9">
      <c r="A21" s="46"/>
      <c r="B21" s="66"/>
      <c r="C21" s="66"/>
      <c r="D21" s="66"/>
    </row>
    <row r="22" spans="1:9">
      <c r="A22" s="46"/>
      <c r="B22" s="66"/>
      <c r="C22" s="66"/>
      <c r="D22" s="66"/>
    </row>
    <row r="23" spans="1:9">
      <c r="A23" s="46"/>
      <c r="B23" s="66"/>
      <c r="C23" s="66"/>
      <c r="D23" s="66"/>
    </row>
    <row r="25" spans="1:9">
      <c r="A25" s="3" t="s">
        <v>388</v>
      </c>
      <c r="C25" s="3" t="s">
        <v>64</v>
      </c>
      <c r="E25" t="s">
        <v>389</v>
      </c>
    </row>
    <row r="26" spans="1:9">
      <c r="A26" s="42" t="s">
        <v>3</v>
      </c>
      <c r="I26" s="67"/>
    </row>
    <row r="31" spans="1:9">
      <c r="A31" s="3" t="s">
        <v>65</v>
      </c>
      <c r="C31" s="3" t="s">
        <v>64</v>
      </c>
      <c r="E31" t="s">
        <v>389</v>
      </c>
    </row>
    <row r="32" spans="1:9">
      <c r="A32" s="42" t="s">
        <v>390</v>
      </c>
      <c r="I32" s="67"/>
    </row>
    <row r="34" spans="1:5">
      <c r="A34" s="1" t="s">
        <v>386</v>
      </c>
    </row>
    <row r="36" spans="1:5">
      <c r="A36" s="5" t="s">
        <v>391</v>
      </c>
      <c r="B36" s="68"/>
      <c r="C36" s="68"/>
      <c r="D36" s="68"/>
      <c r="E36" s="7"/>
    </row>
    <row r="38" spans="1:5">
      <c r="A38" s="1" t="s">
        <v>392</v>
      </c>
      <c r="C38" s="68"/>
      <c r="D38" s="91"/>
      <c r="E38" s="90">
        <v>3687887</v>
      </c>
    </row>
    <row r="39" spans="1:5">
      <c r="A39" s="3"/>
      <c r="C39" s="68"/>
      <c r="D39" s="66"/>
      <c r="E39" s="66"/>
    </row>
    <row r="40" spans="1:5">
      <c r="A40" s="2" t="s">
        <v>28</v>
      </c>
      <c r="C40" s="68"/>
      <c r="D40" s="66"/>
      <c r="E40" s="66"/>
    </row>
    <row r="41" spans="1:5">
      <c r="A41" s="3" t="s">
        <v>21</v>
      </c>
      <c r="C41" s="68"/>
      <c r="D41" s="66"/>
      <c r="E41" s="66"/>
    </row>
    <row r="42" spans="1:5">
      <c r="A42" s="3" t="s">
        <v>393</v>
      </c>
      <c r="C42" s="112">
        <v>28</v>
      </c>
      <c r="D42" s="68">
        <v>47500</v>
      </c>
      <c r="E42" s="66"/>
    </row>
    <row r="43" spans="1:5" ht="15">
      <c r="A43" s="3" t="s">
        <v>394</v>
      </c>
      <c r="C43" s="112">
        <v>27</v>
      </c>
      <c r="D43" s="68">
        <v>330000</v>
      </c>
      <c r="E43" s="110">
        <f>SUM(D42:D43)</f>
        <v>377500</v>
      </c>
    </row>
    <row r="44" spans="1:5">
      <c r="C44" s="68"/>
      <c r="D44" s="68"/>
      <c r="E44" s="66"/>
    </row>
    <row r="45" spans="1:5">
      <c r="A45" s="3"/>
      <c r="C45" s="68"/>
      <c r="D45" s="66"/>
      <c r="E45" s="66">
        <f>E38-E43</f>
        <v>3310387</v>
      </c>
    </row>
    <row r="46" spans="1:5">
      <c r="A46" s="3"/>
      <c r="C46" s="68"/>
      <c r="D46" s="66"/>
      <c r="E46" s="66"/>
    </row>
    <row r="47" spans="1:5">
      <c r="A47" s="2" t="s">
        <v>29</v>
      </c>
      <c r="C47" s="68"/>
      <c r="D47" s="66"/>
      <c r="E47" s="66"/>
    </row>
    <row r="48" spans="1:5">
      <c r="A48" s="3" t="s">
        <v>30</v>
      </c>
      <c r="C48" s="68"/>
      <c r="D48" s="66"/>
      <c r="E48" s="66"/>
    </row>
    <row r="49" spans="1:9">
      <c r="A49" s="42"/>
      <c r="C49" s="68"/>
      <c r="D49" s="66"/>
      <c r="E49" s="66"/>
    </row>
    <row r="50" spans="1:9" ht="15">
      <c r="A50" s="42"/>
      <c r="C50" s="68"/>
      <c r="D50" s="89">
        <v>0</v>
      </c>
      <c r="E50" s="110">
        <f>SUM(D49:D50)</f>
        <v>0</v>
      </c>
    </row>
    <row r="51" spans="1:9">
      <c r="A51" s="3"/>
      <c r="C51" s="68"/>
      <c r="D51" s="66"/>
      <c r="E51" s="66"/>
    </row>
    <row r="52" spans="1:9" ht="15">
      <c r="A52" s="45" t="s">
        <v>32</v>
      </c>
      <c r="C52" s="68"/>
      <c r="D52" s="66"/>
      <c r="E52" s="111">
        <f>SUM(E45+E50)</f>
        <v>3310387</v>
      </c>
    </row>
    <row r="57" spans="1:9">
      <c r="A57" s="3" t="s">
        <v>388</v>
      </c>
      <c r="C57" s="3" t="s">
        <v>64</v>
      </c>
      <c r="E57" t="s">
        <v>389</v>
      </c>
    </row>
    <row r="58" spans="1:9">
      <c r="A58" s="42" t="s">
        <v>3</v>
      </c>
      <c r="I58" s="67"/>
    </row>
    <row r="63" spans="1:9">
      <c r="A63" s="3" t="s">
        <v>65</v>
      </c>
      <c r="C63" s="3" t="s">
        <v>64</v>
      </c>
      <c r="E63" t="s">
        <v>389</v>
      </c>
    </row>
    <row r="64" spans="1:9">
      <c r="A64" s="42" t="s">
        <v>390</v>
      </c>
      <c r="I64" s="67"/>
    </row>
    <row r="66" spans="1:5">
      <c r="A66" s="1" t="s">
        <v>386</v>
      </c>
    </row>
    <row r="68" spans="1:5">
      <c r="A68" s="5" t="s">
        <v>395</v>
      </c>
      <c r="B68" s="68"/>
      <c r="C68" s="68"/>
      <c r="D68" s="68"/>
      <c r="E68" s="7"/>
    </row>
    <row r="70" spans="1:5">
      <c r="A70" s="1" t="s">
        <v>396</v>
      </c>
      <c r="C70" s="68"/>
      <c r="D70" s="91"/>
      <c r="E70" s="90">
        <v>2530827</v>
      </c>
    </row>
    <row r="71" spans="1:5">
      <c r="A71" s="3"/>
      <c r="C71" s="68"/>
      <c r="D71" s="66"/>
      <c r="E71" s="66"/>
    </row>
    <row r="72" spans="1:5">
      <c r="A72" s="2" t="s">
        <v>28</v>
      </c>
      <c r="C72" s="68"/>
      <c r="D72" s="66"/>
      <c r="E72" s="66"/>
    </row>
    <row r="73" spans="1:5">
      <c r="A73" s="3" t="s">
        <v>21</v>
      </c>
      <c r="C73" s="68"/>
      <c r="D73" s="66"/>
      <c r="E73" s="66"/>
    </row>
    <row r="74" spans="1:5">
      <c r="A74" s="3" t="s">
        <v>299</v>
      </c>
      <c r="C74" s="112">
        <v>44</v>
      </c>
      <c r="D74" s="68">
        <v>8430</v>
      </c>
      <c r="E74" s="66"/>
    </row>
    <row r="75" spans="1:5">
      <c r="A75" s="3" t="s">
        <v>397</v>
      </c>
      <c r="C75" s="112">
        <v>37</v>
      </c>
      <c r="D75" s="68">
        <v>3000</v>
      </c>
      <c r="E75" s="66"/>
    </row>
    <row r="76" spans="1:5">
      <c r="A76" s="3" t="s">
        <v>398</v>
      </c>
      <c r="C76" s="112">
        <v>33</v>
      </c>
      <c r="D76" s="68">
        <v>25975</v>
      </c>
      <c r="E76" s="66"/>
    </row>
    <row r="77" spans="1:5" ht="15">
      <c r="A77" s="3"/>
      <c r="C77" s="68"/>
      <c r="D77" s="68"/>
      <c r="E77" s="110">
        <f>SUM(D74:D77)</f>
        <v>37405</v>
      </c>
    </row>
    <row r="78" spans="1:5">
      <c r="A78" s="3"/>
      <c r="C78" s="68"/>
      <c r="D78" s="66"/>
      <c r="E78" s="66"/>
    </row>
    <row r="79" spans="1:5">
      <c r="A79" s="3"/>
      <c r="C79" s="68"/>
      <c r="D79" s="66"/>
      <c r="E79" s="66">
        <f>E70-E77</f>
        <v>2493422</v>
      </c>
    </row>
    <row r="80" spans="1:5">
      <c r="A80" s="3"/>
      <c r="C80" s="68"/>
      <c r="D80" s="66"/>
      <c r="E80" s="66"/>
    </row>
    <row r="81" spans="1:9">
      <c r="A81" s="2" t="s">
        <v>29</v>
      </c>
      <c r="C81" s="68"/>
      <c r="D81" s="66"/>
      <c r="E81" s="66"/>
    </row>
    <row r="82" spans="1:9">
      <c r="A82" s="3" t="s">
        <v>30</v>
      </c>
      <c r="C82" s="68"/>
      <c r="D82" s="66"/>
      <c r="E82" s="66"/>
    </row>
    <row r="83" spans="1:9">
      <c r="A83" s="42"/>
      <c r="C83" s="68"/>
      <c r="D83" s="66"/>
      <c r="E83" s="66"/>
    </row>
    <row r="84" spans="1:9" ht="15">
      <c r="A84" s="42"/>
      <c r="C84" s="68"/>
      <c r="D84" s="89">
        <v>0</v>
      </c>
      <c r="E84" s="110">
        <f>SUM(D83:D84)</f>
        <v>0</v>
      </c>
    </row>
    <row r="85" spans="1:9">
      <c r="A85" s="3"/>
      <c r="C85" s="68"/>
      <c r="D85" s="66"/>
      <c r="E85" s="66"/>
    </row>
    <row r="86" spans="1:9" ht="15">
      <c r="A86" s="45" t="s">
        <v>32</v>
      </c>
      <c r="C86" s="68"/>
      <c r="D86" s="66"/>
      <c r="E86" s="111">
        <f>SUM(E79+E84)</f>
        <v>2493422</v>
      </c>
    </row>
    <row r="90" spans="1:9">
      <c r="A90" s="3" t="s">
        <v>388</v>
      </c>
      <c r="C90" s="3" t="s">
        <v>64</v>
      </c>
      <c r="E90" t="s">
        <v>389</v>
      </c>
    </row>
    <row r="91" spans="1:9">
      <c r="A91" s="42" t="s">
        <v>3</v>
      </c>
      <c r="I91" s="67"/>
    </row>
    <row r="96" spans="1:9">
      <c r="A96" s="3" t="s">
        <v>65</v>
      </c>
      <c r="C96" s="3" t="s">
        <v>64</v>
      </c>
      <c r="E96" t="s">
        <v>389</v>
      </c>
    </row>
    <row r="97" spans="1:9">
      <c r="A97" s="42" t="s">
        <v>390</v>
      </c>
      <c r="I97" s="67"/>
    </row>
    <row r="99" spans="1:9">
      <c r="A99" s="1" t="s">
        <v>386</v>
      </c>
    </row>
    <row r="101" spans="1:9">
      <c r="A101" s="5" t="s">
        <v>399</v>
      </c>
      <c r="B101" s="68"/>
      <c r="C101" s="68"/>
      <c r="D101" s="68"/>
      <c r="E101" s="7"/>
    </row>
    <row r="103" spans="1:9">
      <c r="A103" s="1" t="s">
        <v>400</v>
      </c>
      <c r="C103" s="68"/>
      <c r="D103" s="91"/>
      <c r="E103" s="90">
        <v>2173216</v>
      </c>
    </row>
    <row r="104" spans="1:9">
      <c r="A104" s="3"/>
      <c r="C104" s="68"/>
      <c r="D104" s="66"/>
      <c r="E104" s="66"/>
    </row>
    <row r="105" spans="1:9">
      <c r="A105" s="2" t="s">
        <v>28</v>
      </c>
      <c r="C105" s="68"/>
      <c r="D105" s="66"/>
      <c r="E105" s="66"/>
    </row>
    <row r="106" spans="1:9">
      <c r="A106" s="3" t="s">
        <v>21</v>
      </c>
      <c r="C106" s="68"/>
      <c r="D106" s="66"/>
      <c r="E106" s="66"/>
    </row>
    <row r="107" spans="1:9">
      <c r="A107" s="3"/>
      <c r="C107" s="68"/>
      <c r="D107" s="68">
        <v>0</v>
      </c>
      <c r="E107" s="66"/>
    </row>
    <row r="108" spans="1:9">
      <c r="A108" s="113" t="s">
        <v>401</v>
      </c>
      <c r="C108" s="3">
        <v>53</v>
      </c>
      <c r="D108" s="68">
        <v>5577</v>
      </c>
      <c r="E108" s="66"/>
    </row>
    <row r="109" spans="1:9">
      <c r="A109" s="113" t="s">
        <v>300</v>
      </c>
      <c r="C109" s="3">
        <v>55</v>
      </c>
      <c r="D109" s="68">
        <v>320</v>
      </c>
      <c r="E109" s="66"/>
    </row>
    <row r="110" spans="1:9">
      <c r="A110" s="113" t="s">
        <v>290</v>
      </c>
      <c r="C110" s="3">
        <v>56</v>
      </c>
      <c r="D110" s="68">
        <v>400</v>
      </c>
      <c r="E110" s="66"/>
    </row>
    <row r="111" spans="1:9">
      <c r="A111" s="113" t="s">
        <v>300</v>
      </c>
      <c r="C111" s="3">
        <v>57</v>
      </c>
      <c r="D111" s="68">
        <v>320</v>
      </c>
      <c r="E111" s="66"/>
    </row>
    <row r="112" spans="1:9">
      <c r="A112" s="113" t="s">
        <v>290</v>
      </c>
      <c r="C112" s="3">
        <v>58</v>
      </c>
      <c r="D112" s="68">
        <v>400</v>
      </c>
      <c r="E112" s="66"/>
    </row>
    <row r="113" spans="1:5">
      <c r="A113" s="113" t="s">
        <v>401</v>
      </c>
      <c r="C113" s="3">
        <v>59</v>
      </c>
      <c r="D113" s="68">
        <v>3327</v>
      </c>
      <c r="E113" s="66"/>
    </row>
    <row r="114" spans="1:5">
      <c r="A114" s="113" t="s">
        <v>193</v>
      </c>
      <c r="C114" s="3">
        <v>64</v>
      </c>
      <c r="D114" s="114">
        <v>9985</v>
      </c>
      <c r="E114" s="66"/>
    </row>
    <row r="115" spans="1:5" ht="15">
      <c r="A115" s="3"/>
      <c r="C115" s="68"/>
      <c r="D115" s="68"/>
      <c r="E115" s="110">
        <f>SUM(D107:D115)</f>
        <v>20329</v>
      </c>
    </row>
    <row r="116" spans="1:5">
      <c r="C116" s="68"/>
      <c r="D116" s="68"/>
      <c r="E116" s="66"/>
    </row>
    <row r="117" spans="1:5">
      <c r="A117" s="3"/>
      <c r="C117" s="68"/>
      <c r="D117" s="66"/>
      <c r="E117" s="66">
        <f>E103-E115</f>
        <v>2152887</v>
      </c>
    </row>
    <row r="118" spans="1:5">
      <c r="A118" s="3"/>
      <c r="C118" s="68"/>
      <c r="D118" s="66"/>
      <c r="E118" s="66"/>
    </row>
    <row r="119" spans="1:5">
      <c r="A119" s="2" t="s">
        <v>29</v>
      </c>
      <c r="C119" s="68"/>
      <c r="D119" s="66"/>
      <c r="E119" s="66"/>
    </row>
    <row r="120" spans="1:5">
      <c r="A120" s="3" t="s">
        <v>30</v>
      </c>
      <c r="C120" s="68"/>
      <c r="D120" s="66"/>
      <c r="E120" s="66"/>
    </row>
    <row r="121" spans="1:5">
      <c r="A121" s="42"/>
      <c r="C121" s="68"/>
      <c r="D121" s="66"/>
      <c r="E121" s="66"/>
    </row>
    <row r="122" spans="1:5">
      <c r="A122" s="42"/>
      <c r="C122" s="68"/>
      <c r="D122" s="89">
        <v>0</v>
      </c>
      <c r="E122" s="66">
        <f>SUM(D121:D122)</f>
        <v>0</v>
      </c>
    </row>
    <row r="123" spans="1:5">
      <c r="A123" s="3"/>
      <c r="C123" s="68"/>
      <c r="D123" s="66"/>
      <c r="E123" s="66"/>
    </row>
    <row r="124" spans="1:5" ht="15">
      <c r="A124" s="45" t="s">
        <v>32</v>
      </c>
      <c r="C124" s="68"/>
      <c r="D124" s="66"/>
      <c r="E124" s="111">
        <f>SUM(E117+E122)</f>
        <v>2152887</v>
      </c>
    </row>
    <row r="128" spans="1:5">
      <c r="A128" s="3" t="s">
        <v>388</v>
      </c>
      <c r="C128" s="3" t="s">
        <v>64</v>
      </c>
      <c r="E128" t="s">
        <v>389</v>
      </c>
    </row>
    <row r="129" spans="1:9">
      <c r="A129" s="42" t="s">
        <v>3</v>
      </c>
      <c r="I129" s="67"/>
    </row>
    <row r="134" spans="1:9">
      <c r="A134" s="3" t="s">
        <v>65</v>
      </c>
      <c r="C134" s="3" t="s">
        <v>64</v>
      </c>
      <c r="E134" t="s">
        <v>389</v>
      </c>
    </row>
    <row r="135" spans="1:9">
      <c r="A135" s="42" t="s">
        <v>390</v>
      </c>
      <c r="I135" s="67"/>
    </row>
    <row r="137" spans="1:9">
      <c r="A137" s="1" t="s">
        <v>386</v>
      </c>
    </row>
    <row r="139" spans="1:9">
      <c r="A139" s="5" t="s">
        <v>402</v>
      </c>
      <c r="B139" s="68"/>
      <c r="C139" s="68"/>
      <c r="D139" s="68"/>
      <c r="E139" s="7"/>
    </row>
    <row r="141" spans="1:9">
      <c r="A141" s="1" t="s">
        <v>302</v>
      </c>
      <c r="D141" s="91"/>
      <c r="E141" s="90">
        <v>1164248</v>
      </c>
    </row>
    <row r="142" spans="1:9">
      <c r="A142" s="3"/>
      <c r="D142" s="66"/>
      <c r="E142" s="66"/>
    </row>
    <row r="143" spans="1:9">
      <c r="A143" s="2" t="s">
        <v>28</v>
      </c>
      <c r="D143" s="66"/>
      <c r="E143" s="66"/>
    </row>
    <row r="144" spans="1:9">
      <c r="A144" s="3" t="s">
        <v>21</v>
      </c>
      <c r="D144" s="66"/>
      <c r="E144" s="66"/>
    </row>
    <row r="145" spans="1:5">
      <c r="A145" s="3"/>
      <c r="D145" s="68">
        <v>0</v>
      </c>
      <c r="E145" s="66"/>
    </row>
    <row r="146" spans="1:5">
      <c r="A146" s="113" t="s">
        <v>401</v>
      </c>
      <c r="C146" s="3">
        <v>53</v>
      </c>
      <c r="D146" s="68">
        <v>5577</v>
      </c>
      <c r="E146" s="66"/>
    </row>
    <row r="147" spans="1:5">
      <c r="A147" s="113" t="s">
        <v>300</v>
      </c>
      <c r="C147" s="3">
        <v>55</v>
      </c>
      <c r="D147" s="68">
        <v>320</v>
      </c>
      <c r="E147" s="66"/>
    </row>
    <row r="148" spans="1:5">
      <c r="A148" s="113" t="s">
        <v>290</v>
      </c>
      <c r="C148" s="3">
        <v>56</v>
      </c>
      <c r="D148" s="68">
        <v>400</v>
      </c>
      <c r="E148" s="66"/>
    </row>
    <row r="149" spans="1:5">
      <c r="A149" s="113" t="s">
        <v>300</v>
      </c>
      <c r="C149" s="3">
        <v>57</v>
      </c>
      <c r="D149" s="68">
        <v>320</v>
      </c>
      <c r="E149" s="66"/>
    </row>
    <row r="150" spans="1:5">
      <c r="A150" s="113" t="s">
        <v>290</v>
      </c>
      <c r="C150" s="3">
        <v>58</v>
      </c>
      <c r="D150" s="68">
        <v>400</v>
      </c>
      <c r="E150" s="66"/>
    </row>
    <row r="151" spans="1:5">
      <c r="A151" s="113" t="s">
        <v>401</v>
      </c>
      <c r="C151" s="3">
        <v>59</v>
      </c>
      <c r="D151" s="68">
        <v>3327</v>
      </c>
      <c r="E151" s="66"/>
    </row>
    <row r="152" spans="1:5">
      <c r="A152" s="113" t="s">
        <v>193</v>
      </c>
      <c r="C152" s="3">
        <v>68</v>
      </c>
      <c r="D152" s="68">
        <v>320</v>
      </c>
      <c r="E152" s="66"/>
    </row>
    <row r="153" spans="1:5">
      <c r="A153" s="113" t="s">
        <v>290</v>
      </c>
      <c r="C153" s="3">
        <v>69</v>
      </c>
      <c r="D153" s="68">
        <v>400</v>
      </c>
      <c r="E153" s="66"/>
    </row>
    <row r="154" spans="1:5">
      <c r="A154" s="113" t="s">
        <v>401</v>
      </c>
      <c r="C154" s="3">
        <v>70</v>
      </c>
      <c r="D154" s="68">
        <v>3327</v>
      </c>
      <c r="E154" s="66"/>
    </row>
    <row r="155" spans="1:5" ht="15">
      <c r="A155" s="3"/>
      <c r="D155" s="68">
        <v>0</v>
      </c>
      <c r="E155" s="110">
        <f>SUM(D145:D155)</f>
        <v>14391</v>
      </c>
    </row>
    <row r="156" spans="1:5">
      <c r="D156" s="68"/>
      <c r="E156" s="66"/>
    </row>
    <row r="157" spans="1:5">
      <c r="A157" s="3"/>
      <c r="D157" s="66"/>
      <c r="E157" s="66">
        <f>E141-E155</f>
        <v>1149857</v>
      </c>
    </row>
    <row r="158" spans="1:5">
      <c r="A158" s="3"/>
      <c r="D158" s="66"/>
      <c r="E158" s="66"/>
    </row>
    <row r="159" spans="1:5">
      <c r="A159" s="2" t="s">
        <v>29</v>
      </c>
      <c r="D159" s="66"/>
      <c r="E159" s="66"/>
    </row>
    <row r="160" spans="1:5">
      <c r="A160" s="3" t="s">
        <v>30</v>
      </c>
      <c r="D160" s="66"/>
      <c r="E160" s="66"/>
    </row>
    <row r="161" spans="1:9">
      <c r="A161" s="42"/>
      <c r="D161" s="66"/>
      <c r="E161" s="66"/>
    </row>
    <row r="162" spans="1:9" ht="15">
      <c r="A162" s="42"/>
      <c r="D162" s="89">
        <v>0</v>
      </c>
      <c r="E162" s="110">
        <f>SUM(D161:D162)</f>
        <v>0</v>
      </c>
    </row>
    <row r="163" spans="1:9">
      <c r="A163" s="42"/>
      <c r="D163" s="66"/>
      <c r="E163" s="66"/>
    </row>
    <row r="164" spans="1:9" ht="15">
      <c r="A164" s="45" t="s">
        <v>32</v>
      </c>
      <c r="D164" s="66"/>
      <c r="E164" s="111">
        <f>SUM(E157+E162)</f>
        <v>1149857</v>
      </c>
    </row>
    <row r="168" spans="1:9">
      <c r="A168" s="3" t="s">
        <v>388</v>
      </c>
      <c r="C168" s="3" t="s">
        <v>64</v>
      </c>
      <c r="E168" t="s">
        <v>389</v>
      </c>
    </row>
    <row r="169" spans="1:9">
      <c r="A169" s="42" t="s">
        <v>3</v>
      </c>
      <c r="I169" s="67"/>
    </row>
    <row r="174" spans="1:9">
      <c r="A174" s="3" t="s">
        <v>65</v>
      </c>
      <c r="C174" s="3" t="s">
        <v>64</v>
      </c>
      <c r="E174" t="s">
        <v>389</v>
      </c>
    </row>
    <row r="175" spans="1:9">
      <c r="A175" s="42" t="s">
        <v>390</v>
      </c>
      <c r="I175" s="67"/>
    </row>
    <row r="177" spans="1:5">
      <c r="A177" s="1" t="s">
        <v>386</v>
      </c>
    </row>
    <row r="179" spans="1:5">
      <c r="A179" s="5" t="s">
        <v>403</v>
      </c>
      <c r="B179" s="68"/>
      <c r="C179" s="68"/>
      <c r="D179" s="68"/>
      <c r="E179" s="7"/>
    </row>
    <row r="181" spans="1:5">
      <c r="A181" s="1" t="s">
        <v>302</v>
      </c>
      <c r="B181" s="91"/>
      <c r="C181" s="91"/>
      <c r="D181" s="91"/>
      <c r="E181" s="90">
        <v>650164</v>
      </c>
    </row>
    <row r="182" spans="1:5">
      <c r="A182" s="3"/>
      <c r="B182" s="66"/>
      <c r="C182" s="66"/>
      <c r="D182" s="66"/>
      <c r="E182" s="66"/>
    </row>
    <row r="183" spans="1:5">
      <c r="A183" s="2" t="s">
        <v>28</v>
      </c>
      <c r="B183" s="66"/>
      <c r="C183" s="66"/>
      <c r="D183" s="66"/>
      <c r="E183" s="66"/>
    </row>
    <row r="184" spans="1:5">
      <c r="A184" s="3" t="s">
        <v>21</v>
      </c>
      <c r="B184" s="66"/>
      <c r="C184" s="66"/>
      <c r="D184" s="66"/>
      <c r="E184" s="66"/>
    </row>
    <row r="185" spans="1:5">
      <c r="A185" s="113" t="s">
        <v>401</v>
      </c>
      <c r="C185" s="3">
        <v>53</v>
      </c>
      <c r="D185" s="68">
        <v>5577</v>
      </c>
      <c r="E185" s="66"/>
    </row>
    <row r="186" spans="1:5">
      <c r="A186" s="113" t="s">
        <v>300</v>
      </c>
      <c r="C186" s="3">
        <v>55</v>
      </c>
      <c r="D186" s="68">
        <v>320</v>
      </c>
      <c r="E186" s="66"/>
    </row>
    <row r="187" spans="1:5">
      <c r="A187" s="113" t="s">
        <v>300</v>
      </c>
      <c r="C187" s="3">
        <v>57</v>
      </c>
      <c r="D187" s="68">
        <v>320</v>
      </c>
      <c r="E187" s="66"/>
    </row>
    <row r="188" spans="1:5">
      <c r="A188" s="113" t="s">
        <v>401</v>
      </c>
      <c r="C188" s="3">
        <v>59</v>
      </c>
      <c r="D188" s="68">
        <v>3327</v>
      </c>
      <c r="E188" s="66"/>
    </row>
    <row r="189" spans="1:5">
      <c r="A189" s="113" t="s">
        <v>193</v>
      </c>
      <c r="C189" s="3">
        <v>68</v>
      </c>
      <c r="D189" s="68">
        <v>320</v>
      </c>
      <c r="E189" s="66"/>
    </row>
    <row r="190" spans="1:5">
      <c r="A190" s="113" t="s">
        <v>401</v>
      </c>
      <c r="C190" s="3">
        <v>70</v>
      </c>
      <c r="D190" s="68">
        <v>3327</v>
      </c>
      <c r="E190" s="66"/>
    </row>
    <row r="191" spans="1:5">
      <c r="A191" s="113" t="s">
        <v>401</v>
      </c>
      <c r="C191" s="3">
        <v>80</v>
      </c>
      <c r="D191" s="66">
        <v>3327</v>
      </c>
      <c r="E191" s="66"/>
    </row>
    <row r="192" spans="1:5">
      <c r="A192" s="113" t="s">
        <v>410</v>
      </c>
      <c r="C192" s="3">
        <v>82</v>
      </c>
      <c r="D192" s="68">
        <v>200000</v>
      </c>
      <c r="E192" s="66"/>
    </row>
    <row r="193" spans="1:9" ht="15">
      <c r="A193" s="3"/>
      <c r="B193" s="68"/>
      <c r="C193" s="68"/>
      <c r="D193" s="68"/>
      <c r="E193" s="110">
        <f>SUM(D185:D192)</f>
        <v>216518</v>
      </c>
    </row>
    <row r="194" spans="1:9">
      <c r="A194" s="3"/>
      <c r="B194" s="66"/>
      <c r="C194" s="66"/>
      <c r="D194" s="66"/>
      <c r="E194" s="66"/>
    </row>
    <row r="195" spans="1:9">
      <c r="A195" s="3"/>
      <c r="B195" s="66"/>
      <c r="C195" s="66"/>
      <c r="D195" s="66"/>
      <c r="E195" s="66">
        <f>E181-E193</f>
        <v>433646</v>
      </c>
    </row>
    <row r="196" spans="1:9">
      <c r="A196" s="3"/>
      <c r="B196" s="66"/>
      <c r="C196" s="66"/>
      <c r="D196" s="66"/>
      <c r="E196" s="66"/>
    </row>
    <row r="197" spans="1:9">
      <c r="A197" s="2" t="s">
        <v>29</v>
      </c>
      <c r="B197" s="66"/>
      <c r="C197" s="66"/>
      <c r="D197" s="66"/>
      <c r="E197" s="66"/>
    </row>
    <row r="198" spans="1:9">
      <c r="A198" s="3" t="s">
        <v>30</v>
      </c>
      <c r="B198" s="66"/>
      <c r="C198" s="66"/>
      <c r="D198" s="66"/>
      <c r="E198" s="66"/>
    </row>
    <row r="199" spans="1:9">
      <c r="A199" s="42"/>
      <c r="B199" s="66"/>
      <c r="C199" s="66"/>
      <c r="D199" s="66"/>
      <c r="E199" s="66"/>
    </row>
    <row r="200" spans="1:9" ht="15">
      <c r="A200" s="42"/>
      <c r="B200" s="68"/>
      <c r="D200" s="89">
        <v>0</v>
      </c>
      <c r="E200" s="110">
        <f>SUM(B199:B200)</f>
        <v>0</v>
      </c>
    </row>
    <row r="201" spans="1:9">
      <c r="A201" s="42"/>
      <c r="B201" s="66"/>
      <c r="D201" s="66"/>
      <c r="E201" s="66"/>
    </row>
    <row r="202" spans="1:9" ht="15">
      <c r="A202" s="45" t="s">
        <v>32</v>
      </c>
      <c r="B202" s="66"/>
      <c r="C202" s="66"/>
      <c r="D202" s="66"/>
      <c r="E202" s="111">
        <f>SUM(E195+E200)</f>
        <v>433646</v>
      </c>
    </row>
    <row r="206" spans="1:9">
      <c r="A206" s="3" t="s">
        <v>388</v>
      </c>
      <c r="C206" s="3" t="s">
        <v>64</v>
      </c>
      <c r="E206" t="s">
        <v>389</v>
      </c>
    </row>
    <row r="207" spans="1:9">
      <c r="A207" s="42" t="s">
        <v>3</v>
      </c>
      <c r="I207" s="67"/>
    </row>
    <row r="212" spans="1:9">
      <c r="A212" s="3" t="s">
        <v>65</v>
      </c>
      <c r="C212" s="3" t="s">
        <v>64</v>
      </c>
      <c r="E212" t="s">
        <v>389</v>
      </c>
    </row>
    <row r="213" spans="1:9">
      <c r="A213" s="42" t="s">
        <v>390</v>
      </c>
      <c r="I213" s="67"/>
    </row>
    <row r="215" spans="1:9">
      <c r="A215" s="1" t="s">
        <v>386</v>
      </c>
    </row>
    <row r="217" spans="1:9">
      <c r="A217" s="5" t="s">
        <v>404</v>
      </c>
      <c r="B217" s="68"/>
      <c r="C217" s="68"/>
      <c r="D217" s="68"/>
      <c r="E217" s="68"/>
    </row>
    <row r="218" spans="1:9">
      <c r="B218" s="68"/>
      <c r="C218" s="68"/>
      <c r="D218" s="68"/>
      <c r="E218" s="68"/>
    </row>
    <row r="219" spans="1:9">
      <c r="A219" s="1" t="s">
        <v>302</v>
      </c>
      <c r="B219" s="91"/>
      <c r="C219" s="91"/>
      <c r="D219" s="91"/>
      <c r="E219" s="90">
        <v>9977314</v>
      </c>
    </row>
    <row r="220" spans="1:9">
      <c r="A220" s="3"/>
      <c r="B220" s="66"/>
      <c r="C220" s="66"/>
      <c r="D220" s="66"/>
      <c r="E220" s="66"/>
    </row>
    <row r="221" spans="1:9">
      <c r="A221" s="2" t="s">
        <v>28</v>
      </c>
      <c r="B221" s="66"/>
      <c r="C221" s="66"/>
      <c r="D221" s="66"/>
      <c r="E221" s="66"/>
    </row>
    <row r="222" spans="1:9">
      <c r="A222" s="3" t="s">
        <v>21</v>
      </c>
      <c r="C222" s="66"/>
      <c r="D222" s="66"/>
      <c r="E222" s="66"/>
    </row>
    <row r="223" spans="1:9">
      <c r="A223" s="3"/>
      <c r="C223" s="68">
        <v>0</v>
      </c>
      <c r="D223" s="68"/>
      <c r="E223" s="66"/>
    </row>
    <row r="224" spans="1:9">
      <c r="A224" s="113" t="s">
        <v>411</v>
      </c>
      <c r="C224" s="3">
        <v>98</v>
      </c>
      <c r="D224" s="7">
        <v>10208</v>
      </c>
      <c r="E224" s="66"/>
    </row>
    <row r="225" spans="1:9">
      <c r="A225" s="113" t="s">
        <v>290</v>
      </c>
      <c r="C225" s="3">
        <v>88</v>
      </c>
      <c r="D225" s="7">
        <v>2000</v>
      </c>
      <c r="E225" s="66"/>
    </row>
    <row r="226" spans="1:9" ht="15">
      <c r="A226" s="3"/>
      <c r="C226" s="68"/>
      <c r="D226" s="68"/>
      <c r="E226" s="110">
        <f>SUM(D224:D226)</f>
        <v>12208</v>
      </c>
    </row>
    <row r="227" spans="1:9">
      <c r="A227" s="3"/>
      <c r="C227" s="66"/>
      <c r="D227" s="66"/>
      <c r="E227" s="66"/>
    </row>
    <row r="228" spans="1:9">
      <c r="A228" s="3"/>
      <c r="C228" s="66"/>
      <c r="D228" s="66"/>
      <c r="E228" s="66">
        <f>E219-E226</f>
        <v>9965106</v>
      </c>
    </row>
    <row r="229" spans="1:9">
      <c r="A229" s="3"/>
      <c r="C229" s="66"/>
      <c r="D229" s="66"/>
      <c r="E229" s="66"/>
    </row>
    <row r="230" spans="1:9">
      <c r="A230" s="2" t="s">
        <v>29</v>
      </c>
      <c r="C230" s="66"/>
      <c r="D230" s="66"/>
      <c r="E230" s="66"/>
    </row>
    <row r="231" spans="1:9">
      <c r="A231" s="3" t="s">
        <v>30</v>
      </c>
      <c r="C231" s="66"/>
      <c r="D231" s="66"/>
      <c r="E231" s="66"/>
    </row>
    <row r="232" spans="1:9">
      <c r="A232" s="42"/>
      <c r="C232" s="66"/>
      <c r="D232" s="66"/>
      <c r="E232" s="66"/>
    </row>
    <row r="233" spans="1:9" ht="15">
      <c r="A233" s="42"/>
      <c r="C233" s="68"/>
      <c r="D233" s="89">
        <v>0</v>
      </c>
      <c r="E233" s="110">
        <f>SUM(C232:C233)</f>
        <v>0</v>
      </c>
    </row>
    <row r="234" spans="1:9">
      <c r="A234" s="42"/>
      <c r="C234" s="66"/>
      <c r="D234" s="66"/>
      <c r="E234" s="66"/>
    </row>
    <row r="235" spans="1:9" ht="15">
      <c r="A235" s="45" t="s">
        <v>32</v>
      </c>
      <c r="B235" s="66"/>
      <c r="C235" s="66"/>
      <c r="D235" s="66"/>
      <c r="E235" s="111">
        <f>SUM(E228+E233)</f>
        <v>9965106</v>
      </c>
    </row>
    <row r="239" spans="1:9">
      <c r="A239" s="3" t="s">
        <v>388</v>
      </c>
      <c r="C239" s="3" t="s">
        <v>64</v>
      </c>
      <c r="E239" t="s">
        <v>389</v>
      </c>
    </row>
    <row r="240" spans="1:9">
      <c r="A240" s="42" t="s">
        <v>3</v>
      </c>
      <c r="I240" s="67"/>
    </row>
    <row r="245" spans="1:9">
      <c r="A245" s="3" t="s">
        <v>65</v>
      </c>
      <c r="C245" s="3" t="s">
        <v>64</v>
      </c>
      <c r="E245" t="s">
        <v>389</v>
      </c>
    </row>
    <row r="246" spans="1:9">
      <c r="A246" s="42" t="s">
        <v>390</v>
      </c>
      <c r="I246" s="67"/>
    </row>
    <row r="248" spans="1:9">
      <c r="A248" s="1" t="s">
        <v>386</v>
      </c>
    </row>
    <row r="250" spans="1:9">
      <c r="A250" s="5" t="s">
        <v>405</v>
      </c>
      <c r="B250" s="68"/>
      <c r="C250" s="68"/>
      <c r="D250" s="68"/>
      <c r="E250" s="68"/>
    </row>
    <row r="251" spans="1:9">
      <c r="B251" s="68"/>
      <c r="C251" s="68"/>
      <c r="D251" s="68"/>
      <c r="E251" s="68"/>
    </row>
    <row r="252" spans="1:9">
      <c r="A252" s="1" t="s">
        <v>302</v>
      </c>
      <c r="B252" s="91"/>
      <c r="C252" s="91"/>
      <c r="D252" s="91"/>
      <c r="E252" s="90">
        <v>9764363</v>
      </c>
    </row>
    <row r="253" spans="1:9">
      <c r="A253" s="3"/>
      <c r="B253" s="66"/>
      <c r="C253" s="66"/>
      <c r="D253" s="66"/>
      <c r="E253" s="66"/>
    </row>
    <row r="254" spans="1:9">
      <c r="A254" s="2" t="s">
        <v>28</v>
      </c>
      <c r="B254" s="66"/>
      <c r="C254" s="66"/>
      <c r="D254" s="66"/>
      <c r="E254" s="66"/>
    </row>
    <row r="255" spans="1:9">
      <c r="A255" s="3" t="s">
        <v>21</v>
      </c>
      <c r="B255" s="66"/>
      <c r="C255" s="66"/>
      <c r="D255" s="66"/>
      <c r="E255" s="66"/>
    </row>
    <row r="256" spans="1:9">
      <c r="A256" s="3"/>
      <c r="C256" s="68">
        <v>0</v>
      </c>
      <c r="D256" s="68"/>
      <c r="E256" s="66"/>
    </row>
    <row r="257" spans="1:9">
      <c r="A257" s="113" t="s">
        <v>411</v>
      </c>
      <c r="C257" s="3">
        <v>98</v>
      </c>
      <c r="D257" s="7">
        <v>10208</v>
      </c>
      <c r="E257" s="66"/>
    </row>
    <row r="258" spans="1:9" ht="15">
      <c r="A258" s="3"/>
      <c r="C258" s="68"/>
      <c r="D258" s="68"/>
      <c r="E258" s="110">
        <f>SUM(D257:D258)</f>
        <v>10208</v>
      </c>
    </row>
    <row r="259" spans="1:9">
      <c r="A259" s="3"/>
      <c r="C259" s="66"/>
      <c r="D259" s="66"/>
      <c r="E259" s="66"/>
    </row>
    <row r="260" spans="1:9">
      <c r="A260" s="3"/>
      <c r="C260" s="66"/>
      <c r="D260" s="66"/>
      <c r="E260" s="66">
        <f>E252-E258</f>
        <v>9754155</v>
      </c>
    </row>
    <row r="261" spans="1:9">
      <c r="A261" s="3"/>
      <c r="C261" s="66"/>
      <c r="D261" s="66"/>
      <c r="E261" s="66"/>
    </row>
    <row r="262" spans="1:9">
      <c r="A262" s="2" t="s">
        <v>29</v>
      </c>
      <c r="C262" s="66"/>
      <c r="D262" s="66"/>
      <c r="E262" s="66"/>
    </row>
    <row r="263" spans="1:9">
      <c r="A263" s="3" t="s">
        <v>30</v>
      </c>
      <c r="C263" s="66"/>
      <c r="D263" s="66"/>
      <c r="E263" s="66"/>
    </row>
    <row r="264" spans="1:9">
      <c r="A264" s="42"/>
      <c r="C264" s="66"/>
      <c r="D264" s="66"/>
      <c r="E264" s="66"/>
    </row>
    <row r="265" spans="1:9" ht="15">
      <c r="A265" s="42"/>
      <c r="C265" s="68"/>
      <c r="D265" s="89">
        <v>0</v>
      </c>
      <c r="E265" s="110">
        <f>SUM(C264:C265)</f>
        <v>0</v>
      </c>
    </row>
    <row r="266" spans="1:9">
      <c r="A266" s="3"/>
      <c r="B266" s="66"/>
      <c r="C266" s="66"/>
      <c r="D266" s="66"/>
      <c r="E266" s="66"/>
    </row>
    <row r="267" spans="1:9" ht="15">
      <c r="A267" s="45" t="s">
        <v>32</v>
      </c>
      <c r="B267" s="66"/>
      <c r="C267" s="66"/>
      <c r="D267" s="66"/>
      <c r="E267" s="111">
        <f>SUM(E260+E265)</f>
        <v>9754155</v>
      </c>
    </row>
    <row r="268" spans="1:9">
      <c r="A268" s="46"/>
      <c r="B268" s="66"/>
      <c r="C268" s="66"/>
      <c r="D268" s="66"/>
      <c r="E268" s="66"/>
    </row>
    <row r="269" spans="1:9">
      <c r="A269" s="46"/>
      <c r="B269" s="66"/>
      <c r="C269" s="66"/>
      <c r="D269" s="66"/>
      <c r="E269" s="66"/>
    </row>
    <row r="271" spans="1:9">
      <c r="A271" s="3" t="s">
        <v>388</v>
      </c>
      <c r="C271" s="3" t="s">
        <v>64</v>
      </c>
      <c r="E271" t="s">
        <v>389</v>
      </c>
    </row>
    <row r="272" spans="1:9">
      <c r="A272" s="42" t="s">
        <v>3</v>
      </c>
      <c r="I272" s="67"/>
    </row>
    <row r="277" spans="1:9">
      <c r="A277" s="3" t="s">
        <v>65</v>
      </c>
      <c r="C277" s="3" t="s">
        <v>64</v>
      </c>
      <c r="E277" t="s">
        <v>389</v>
      </c>
    </row>
    <row r="278" spans="1:9">
      <c r="A278" s="42" t="s">
        <v>390</v>
      </c>
      <c r="I278" s="67"/>
    </row>
    <row r="280" spans="1:9">
      <c r="A280" s="1" t="s">
        <v>386</v>
      </c>
    </row>
    <row r="282" spans="1:9">
      <c r="A282" s="5" t="s">
        <v>406</v>
      </c>
      <c r="B282" s="68"/>
      <c r="C282" s="68"/>
      <c r="D282" s="68"/>
      <c r="E282" s="68"/>
    </row>
    <row r="283" spans="1:9">
      <c r="B283" s="68"/>
      <c r="C283" s="68"/>
      <c r="D283" s="68"/>
      <c r="E283" s="68"/>
    </row>
    <row r="284" spans="1:9">
      <c r="A284" s="1" t="s">
        <v>302</v>
      </c>
      <c r="B284" s="91"/>
      <c r="C284" s="91"/>
      <c r="D284" s="91"/>
      <c r="E284" s="90">
        <v>9344912</v>
      </c>
    </row>
    <row r="285" spans="1:9">
      <c r="A285" s="3"/>
      <c r="B285" s="66"/>
      <c r="C285" s="66"/>
      <c r="D285" s="66"/>
      <c r="E285" s="66"/>
    </row>
    <row r="286" spans="1:9">
      <c r="A286" s="2" t="s">
        <v>28</v>
      </c>
      <c r="B286" s="66"/>
      <c r="C286" s="66"/>
      <c r="D286" s="66"/>
      <c r="E286" s="66"/>
    </row>
    <row r="287" spans="1:9">
      <c r="A287" s="3" t="s">
        <v>21</v>
      </c>
      <c r="B287" s="66"/>
      <c r="C287" s="66"/>
      <c r="D287" s="66"/>
      <c r="E287" s="66"/>
    </row>
    <row r="288" spans="1:9">
      <c r="A288" s="3"/>
      <c r="C288" s="68">
        <v>0</v>
      </c>
      <c r="D288" s="68"/>
      <c r="E288" s="66"/>
    </row>
    <row r="289" spans="1:5">
      <c r="A289" s="113" t="s">
        <v>411</v>
      </c>
      <c r="C289" s="3">
        <v>98</v>
      </c>
      <c r="D289" s="7">
        <v>10208</v>
      </c>
      <c r="E289" s="66"/>
    </row>
    <row r="290" spans="1:5">
      <c r="A290" s="113" t="s">
        <v>290</v>
      </c>
      <c r="C290" s="3">
        <v>119</v>
      </c>
      <c r="D290" s="7">
        <v>1800</v>
      </c>
      <c r="E290" s="66"/>
    </row>
    <row r="291" spans="1:5">
      <c r="A291" s="113" t="s">
        <v>401</v>
      </c>
      <c r="C291" s="3">
        <v>120</v>
      </c>
      <c r="D291" s="7">
        <v>6654</v>
      </c>
      <c r="E291" s="66"/>
    </row>
    <row r="292" spans="1:5">
      <c r="A292" s="113" t="s">
        <v>407</v>
      </c>
      <c r="C292" s="115">
        <v>122</v>
      </c>
      <c r="D292" s="7">
        <v>59900</v>
      </c>
      <c r="E292" s="66"/>
    </row>
    <row r="293" spans="1:5" ht="15">
      <c r="A293" s="113" t="s">
        <v>322</v>
      </c>
      <c r="C293" s="112">
        <v>124</v>
      </c>
      <c r="D293" s="68">
        <v>645015</v>
      </c>
      <c r="E293" s="110">
        <f>SUM(D289:D293)</f>
        <v>723577</v>
      </c>
    </row>
    <row r="294" spans="1:5">
      <c r="C294" s="68"/>
      <c r="D294" s="68"/>
      <c r="E294" s="66"/>
    </row>
    <row r="295" spans="1:5">
      <c r="A295" s="3"/>
      <c r="C295" s="66"/>
      <c r="D295" s="66"/>
      <c r="E295" s="66">
        <f>E284-E293</f>
        <v>8621335</v>
      </c>
    </row>
    <row r="296" spans="1:5">
      <c r="A296" s="3"/>
      <c r="C296" s="66"/>
      <c r="D296" s="66"/>
      <c r="E296" s="66"/>
    </row>
    <row r="297" spans="1:5">
      <c r="A297" s="2" t="s">
        <v>29</v>
      </c>
      <c r="C297" s="66"/>
      <c r="D297" s="66"/>
      <c r="E297" s="66"/>
    </row>
    <row r="298" spans="1:5">
      <c r="A298" s="3" t="s">
        <v>30</v>
      </c>
      <c r="C298" s="66"/>
      <c r="D298" s="66"/>
      <c r="E298" s="66"/>
    </row>
    <row r="299" spans="1:5">
      <c r="A299" s="42"/>
      <c r="C299" s="66"/>
      <c r="D299" s="66"/>
      <c r="E299" s="66"/>
    </row>
    <row r="300" spans="1:5" ht="15">
      <c r="A300" s="42"/>
      <c r="C300" s="68"/>
      <c r="D300" s="89">
        <v>0</v>
      </c>
      <c r="E300" s="110">
        <f>SUM(C299:C300)</f>
        <v>0</v>
      </c>
    </row>
    <row r="301" spans="1:5">
      <c r="A301" s="42"/>
      <c r="C301" s="66"/>
      <c r="D301" s="66"/>
      <c r="E301" s="66"/>
    </row>
    <row r="302" spans="1:5" ht="15">
      <c r="A302" s="45" t="s">
        <v>32</v>
      </c>
      <c r="B302" s="66"/>
      <c r="C302" s="66"/>
      <c r="D302" s="66"/>
      <c r="E302" s="111">
        <f>SUM(E295+E300)</f>
        <v>8621335</v>
      </c>
    </row>
    <row r="306" spans="1:9">
      <c r="A306" s="3" t="s">
        <v>388</v>
      </c>
      <c r="C306" s="3" t="s">
        <v>64</v>
      </c>
      <c r="E306" t="s">
        <v>389</v>
      </c>
    </row>
    <row r="307" spans="1:9">
      <c r="A307" s="42" t="s">
        <v>3</v>
      </c>
      <c r="I307" s="67"/>
    </row>
    <row r="312" spans="1:9">
      <c r="A312" s="3" t="s">
        <v>65</v>
      </c>
      <c r="C312" s="3" t="s">
        <v>64</v>
      </c>
      <c r="E312" t="s">
        <v>389</v>
      </c>
    </row>
    <row r="313" spans="1:9">
      <c r="A313" s="42" t="s">
        <v>390</v>
      </c>
      <c r="I313" s="67"/>
    </row>
    <row r="315" spans="1:9">
      <c r="A315" s="1" t="s">
        <v>412</v>
      </c>
    </row>
    <row r="317" spans="1:9">
      <c r="A317" s="5" t="s">
        <v>373</v>
      </c>
      <c r="B317" s="68"/>
      <c r="C317" s="68"/>
      <c r="D317" s="68"/>
      <c r="E317" s="68"/>
    </row>
    <row r="318" spans="1:9">
      <c r="B318" s="68"/>
      <c r="C318" s="68"/>
      <c r="D318" s="68"/>
      <c r="E318" s="68"/>
    </row>
    <row r="319" spans="1:9">
      <c r="A319" s="1" t="s">
        <v>302</v>
      </c>
      <c r="B319" s="91"/>
      <c r="C319" s="91"/>
      <c r="D319" s="91"/>
      <c r="E319" s="90">
        <v>1773489</v>
      </c>
    </row>
    <row r="320" spans="1:9">
      <c r="A320" s="3"/>
      <c r="B320" s="66"/>
      <c r="C320" s="66"/>
      <c r="D320" s="66"/>
      <c r="E320" s="66"/>
    </row>
    <row r="321" spans="1:5">
      <c r="A321" s="2" t="s">
        <v>28</v>
      </c>
      <c r="B321" s="66"/>
      <c r="C321" s="66"/>
      <c r="D321" s="66"/>
      <c r="E321" s="66"/>
    </row>
    <row r="322" spans="1:5">
      <c r="A322" s="3" t="s">
        <v>21</v>
      </c>
      <c r="C322" s="66"/>
      <c r="D322" s="66"/>
      <c r="E322" s="66"/>
    </row>
    <row r="323" spans="1:5">
      <c r="A323" s="3"/>
      <c r="C323" s="68"/>
      <c r="D323" s="68"/>
      <c r="E323" s="66"/>
    </row>
    <row r="324" spans="1:5">
      <c r="A324" s="113" t="s">
        <v>411</v>
      </c>
      <c r="C324" s="3">
        <v>98</v>
      </c>
      <c r="D324" s="7">
        <v>10208</v>
      </c>
      <c r="E324" s="66"/>
    </row>
    <row r="325" spans="1:5">
      <c r="A325" s="113" t="s">
        <v>290</v>
      </c>
      <c r="C325" s="3">
        <v>119</v>
      </c>
      <c r="D325" s="7">
        <v>1800</v>
      </c>
      <c r="E325" s="66"/>
    </row>
    <row r="326" spans="1:5">
      <c r="A326" s="113" t="s">
        <v>401</v>
      </c>
      <c r="C326" s="3">
        <v>120</v>
      </c>
      <c r="D326" s="7">
        <v>6654</v>
      </c>
      <c r="E326" s="66"/>
    </row>
    <row r="327" spans="1:5">
      <c r="A327" s="113" t="s">
        <v>408</v>
      </c>
      <c r="C327" s="113">
        <v>133</v>
      </c>
      <c r="D327" s="116">
        <v>37000</v>
      </c>
      <c r="E327" s="66"/>
    </row>
    <row r="328" spans="1:5">
      <c r="A328" s="113" t="s">
        <v>409</v>
      </c>
      <c r="C328" s="113">
        <v>134</v>
      </c>
      <c r="D328" s="116">
        <v>26195</v>
      </c>
      <c r="E328" s="66"/>
    </row>
    <row r="329" spans="1:5">
      <c r="A329" s="113" t="s">
        <v>407</v>
      </c>
      <c r="C329" s="113">
        <v>142</v>
      </c>
      <c r="D329" s="116">
        <v>60000</v>
      </c>
      <c r="E329" s="66"/>
    </row>
    <row r="330" spans="1:5">
      <c r="A330" s="113" t="s">
        <v>407</v>
      </c>
      <c r="C330" s="113">
        <v>143</v>
      </c>
      <c r="D330" s="116">
        <v>26215</v>
      </c>
      <c r="E330" s="66"/>
    </row>
    <row r="331" spans="1:5">
      <c r="A331" s="3"/>
      <c r="C331" s="68"/>
      <c r="D331" s="68"/>
      <c r="E331" s="66"/>
    </row>
    <row r="332" spans="1:5" ht="15">
      <c r="A332" s="3"/>
      <c r="C332" s="68"/>
      <c r="D332" s="68"/>
      <c r="E332" s="110">
        <f>SUM(D324:D332)</f>
        <v>168072</v>
      </c>
    </row>
    <row r="333" spans="1:5">
      <c r="C333" s="68"/>
      <c r="D333" s="68"/>
      <c r="E333" s="66"/>
    </row>
    <row r="334" spans="1:5">
      <c r="A334" s="3"/>
      <c r="C334" s="66"/>
      <c r="D334" s="66"/>
      <c r="E334" s="66">
        <f>E319-E332</f>
        <v>1605417</v>
      </c>
    </row>
    <row r="335" spans="1:5">
      <c r="A335" s="3"/>
      <c r="C335" s="66"/>
      <c r="D335" s="66"/>
      <c r="E335" s="66"/>
    </row>
    <row r="336" spans="1:5">
      <c r="A336" s="2" t="s">
        <v>29</v>
      </c>
      <c r="C336" s="66"/>
      <c r="D336" s="66"/>
      <c r="E336" s="66"/>
    </row>
    <row r="337" spans="1:9">
      <c r="A337" s="3" t="s">
        <v>30</v>
      </c>
      <c r="C337" s="66"/>
      <c r="D337" s="66"/>
      <c r="E337" s="66"/>
    </row>
    <row r="338" spans="1:9">
      <c r="A338" s="42"/>
      <c r="C338" s="66"/>
      <c r="D338" s="66"/>
      <c r="E338" s="66"/>
    </row>
    <row r="339" spans="1:9" ht="15">
      <c r="A339" s="42"/>
      <c r="C339" s="68"/>
      <c r="D339" s="89">
        <v>0</v>
      </c>
      <c r="E339" s="110">
        <f>SUM(C338:C339)</f>
        <v>0</v>
      </c>
    </row>
    <row r="340" spans="1:9">
      <c r="A340" s="42"/>
      <c r="C340" s="66"/>
      <c r="D340" s="66"/>
      <c r="E340" s="66"/>
    </row>
    <row r="341" spans="1:9" ht="15">
      <c r="A341" s="45" t="s">
        <v>32</v>
      </c>
      <c r="B341" s="66"/>
      <c r="C341" s="66"/>
      <c r="D341" s="66"/>
      <c r="E341" s="111">
        <f>SUM(E334+E339)</f>
        <v>1605417</v>
      </c>
    </row>
    <row r="342" spans="1:9">
      <c r="A342" s="46"/>
      <c r="B342" s="66"/>
      <c r="C342" s="66"/>
      <c r="D342" s="66"/>
      <c r="E342" s="66"/>
    </row>
    <row r="345" spans="1:9">
      <c r="A345" s="3" t="s">
        <v>388</v>
      </c>
      <c r="C345" s="3" t="s">
        <v>64</v>
      </c>
      <c r="E345" t="s">
        <v>389</v>
      </c>
    </row>
    <row r="346" spans="1:9">
      <c r="A346" s="42" t="s">
        <v>3</v>
      </c>
      <c r="I346" s="67"/>
    </row>
    <row r="351" spans="1:9">
      <c r="A351" s="3" t="s">
        <v>65</v>
      </c>
      <c r="C351" s="3" t="s">
        <v>64</v>
      </c>
      <c r="E351" t="s">
        <v>389</v>
      </c>
    </row>
    <row r="352" spans="1:9">
      <c r="A352" s="42" t="s">
        <v>390</v>
      </c>
      <c r="I352" s="67"/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1ST TR FUAR</vt:lpstr>
      <vt:lpstr>2ND TR FUAR</vt:lpstr>
      <vt:lpstr>2ND TR BAAR</vt:lpstr>
      <vt:lpstr>1ST TR BAAR </vt:lpstr>
      <vt:lpstr>Asset register</vt:lpstr>
      <vt:lpstr>Bank reconciliation</vt:lpstr>
      <vt:lpstr>'Asset register'!Print_Area</vt:lpstr>
    </vt:vector>
  </TitlesOfParts>
  <Company>CDTF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WAITHAKA</dc:creator>
  <cp:lastModifiedBy>Muya</cp:lastModifiedBy>
  <cp:lastPrinted>2010-05-24T06:43:52Z</cp:lastPrinted>
  <dcterms:created xsi:type="dcterms:W3CDTF">2003-04-11T17:24:41Z</dcterms:created>
  <dcterms:modified xsi:type="dcterms:W3CDTF">2010-10-23T17:18:16Z</dcterms:modified>
</cp:coreProperties>
</file>