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esktop\projects for Github\"/>
    </mc:Choice>
  </mc:AlternateContent>
  <xr:revisionPtr revIDLastSave="0" documentId="8_{294E0ADF-76EE-4D44-AAB3-67380C81CF33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NSEData" sheetId="1" r:id="rId1"/>
    <sheet name="Sheet1" sheetId="2" r:id="rId2"/>
    <sheet name="Sheet2" sheetId="3" r:id="rId3"/>
  </sheets>
  <definedNames>
    <definedName name="_xlnm._FilterDatabase" localSheetId="0" hidden="1">NSEData!$A$1:$Z$502</definedName>
  </definedNames>
  <calcPr calcId="181029"/>
</workbook>
</file>

<file path=xl/calcChain.xml><?xml version="1.0" encoding="utf-8"?>
<calcChain xmlns="http://schemas.openxmlformats.org/spreadsheetml/2006/main">
  <c r="D7" i="2" l="1"/>
  <c r="F7" i="2" s="1"/>
  <c r="D6" i="2"/>
  <c r="F6" i="2" s="1"/>
  <c r="D5" i="2"/>
  <c r="F5" i="2" s="1"/>
  <c r="D4" i="2"/>
  <c r="F4" i="2" s="1"/>
  <c r="D3" i="2"/>
  <c r="F3" i="2" s="1"/>
  <c r="D2" i="2"/>
  <c r="F2" i="2" s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P60" i="1"/>
  <c r="O60" i="1"/>
  <c r="N60" i="1"/>
  <c r="M60" i="1"/>
  <c r="L60" i="1"/>
  <c r="K60" i="1"/>
  <c r="H60" i="1"/>
  <c r="G60" i="1"/>
  <c r="F60" i="1"/>
  <c r="E60" i="1"/>
  <c r="P59" i="1"/>
  <c r="O59" i="1"/>
  <c r="N59" i="1"/>
  <c r="M59" i="1"/>
  <c r="L59" i="1"/>
  <c r="K59" i="1"/>
  <c r="H59" i="1"/>
  <c r="G59" i="1"/>
  <c r="F59" i="1"/>
  <c r="E59" i="1"/>
  <c r="P58" i="1"/>
  <c r="O58" i="1"/>
  <c r="N58" i="1"/>
  <c r="M58" i="1"/>
  <c r="L58" i="1"/>
  <c r="K58" i="1"/>
  <c r="H58" i="1"/>
  <c r="G58" i="1"/>
  <c r="F58" i="1"/>
  <c r="E58" i="1"/>
  <c r="P57" i="1"/>
  <c r="O57" i="1"/>
  <c r="N57" i="1"/>
  <c r="M57" i="1"/>
  <c r="L57" i="1"/>
  <c r="K57" i="1"/>
  <c r="H57" i="1"/>
  <c r="G57" i="1"/>
  <c r="F57" i="1"/>
  <c r="E57" i="1"/>
  <c r="P56" i="1"/>
  <c r="O56" i="1"/>
  <c r="N56" i="1"/>
  <c r="M56" i="1"/>
  <c r="L56" i="1"/>
  <c r="K56" i="1"/>
  <c r="H56" i="1"/>
  <c r="G56" i="1"/>
  <c r="F56" i="1"/>
  <c r="E56" i="1"/>
  <c r="P55" i="1"/>
  <c r="O55" i="1"/>
  <c r="N55" i="1"/>
  <c r="M55" i="1"/>
  <c r="L55" i="1"/>
  <c r="K55" i="1"/>
  <c r="H55" i="1"/>
  <c r="G55" i="1"/>
  <c r="F55" i="1"/>
  <c r="E55" i="1"/>
  <c r="P54" i="1"/>
  <c r="O54" i="1"/>
  <c r="N54" i="1"/>
  <c r="M54" i="1"/>
  <c r="L54" i="1"/>
  <c r="K54" i="1"/>
  <c r="H54" i="1"/>
  <c r="G54" i="1"/>
  <c r="F54" i="1"/>
  <c r="E54" i="1"/>
  <c r="P53" i="1"/>
  <c r="O53" i="1"/>
  <c r="N53" i="1"/>
  <c r="M53" i="1"/>
  <c r="L53" i="1"/>
  <c r="K53" i="1"/>
  <c r="H53" i="1"/>
  <c r="G53" i="1"/>
  <c r="F53" i="1"/>
  <c r="E53" i="1"/>
  <c r="P52" i="1"/>
  <c r="O52" i="1"/>
  <c r="N52" i="1"/>
  <c r="M52" i="1"/>
  <c r="L52" i="1"/>
  <c r="K52" i="1"/>
  <c r="H52" i="1"/>
  <c r="G52" i="1"/>
  <c r="F52" i="1"/>
  <c r="E52" i="1"/>
  <c r="P51" i="1"/>
  <c r="O51" i="1"/>
  <c r="N51" i="1"/>
  <c r="M51" i="1"/>
  <c r="L51" i="1"/>
  <c r="K51" i="1"/>
  <c r="H51" i="1"/>
  <c r="G51" i="1"/>
  <c r="F51" i="1"/>
  <c r="E51" i="1"/>
  <c r="P50" i="1"/>
  <c r="O50" i="1"/>
  <c r="N50" i="1"/>
  <c r="M50" i="1"/>
  <c r="L50" i="1"/>
  <c r="K50" i="1"/>
  <c r="H50" i="1"/>
  <c r="G50" i="1"/>
  <c r="F50" i="1"/>
  <c r="E50" i="1"/>
  <c r="P49" i="1"/>
  <c r="O49" i="1"/>
  <c r="N49" i="1"/>
  <c r="M49" i="1"/>
  <c r="L49" i="1"/>
  <c r="K49" i="1"/>
  <c r="H49" i="1"/>
  <c r="G49" i="1"/>
  <c r="F49" i="1"/>
  <c r="E49" i="1"/>
  <c r="P48" i="1"/>
  <c r="O48" i="1"/>
  <c r="N48" i="1"/>
  <c r="M48" i="1"/>
  <c r="L48" i="1"/>
  <c r="K48" i="1"/>
  <c r="H48" i="1"/>
  <c r="G48" i="1"/>
  <c r="F48" i="1"/>
  <c r="E48" i="1"/>
  <c r="P47" i="1"/>
  <c r="O47" i="1"/>
  <c r="N47" i="1"/>
  <c r="M47" i="1"/>
  <c r="L47" i="1"/>
  <c r="K47" i="1"/>
  <c r="H47" i="1"/>
  <c r="G47" i="1"/>
  <c r="F47" i="1"/>
  <c r="E47" i="1"/>
  <c r="P46" i="1"/>
  <c r="O46" i="1"/>
  <c r="N46" i="1"/>
  <c r="M46" i="1"/>
  <c r="L46" i="1"/>
  <c r="K46" i="1"/>
  <c r="H46" i="1"/>
  <c r="G46" i="1"/>
  <c r="F46" i="1"/>
  <c r="E46" i="1"/>
  <c r="P45" i="1"/>
  <c r="O45" i="1"/>
  <c r="N45" i="1"/>
  <c r="M45" i="1"/>
  <c r="L45" i="1"/>
  <c r="K45" i="1"/>
  <c r="H45" i="1"/>
  <c r="G45" i="1"/>
  <c r="F45" i="1"/>
  <c r="E45" i="1"/>
  <c r="P44" i="1"/>
  <c r="O44" i="1"/>
  <c r="N44" i="1"/>
  <c r="M44" i="1"/>
  <c r="L44" i="1"/>
  <c r="K44" i="1"/>
  <c r="H44" i="1"/>
  <c r="G44" i="1"/>
  <c r="F44" i="1"/>
  <c r="E44" i="1"/>
  <c r="P43" i="1"/>
  <c r="O43" i="1"/>
  <c r="N43" i="1"/>
  <c r="M43" i="1"/>
  <c r="L43" i="1"/>
  <c r="K43" i="1"/>
  <c r="H43" i="1"/>
  <c r="G43" i="1"/>
  <c r="F43" i="1"/>
  <c r="E43" i="1"/>
  <c r="P42" i="1"/>
  <c r="O42" i="1"/>
  <c r="N42" i="1"/>
  <c r="M42" i="1"/>
  <c r="L42" i="1"/>
  <c r="K42" i="1"/>
  <c r="H42" i="1"/>
  <c r="G42" i="1"/>
  <c r="F42" i="1"/>
  <c r="E42" i="1"/>
  <c r="P41" i="1"/>
  <c r="O41" i="1"/>
  <c r="N41" i="1"/>
  <c r="M41" i="1"/>
  <c r="L41" i="1"/>
  <c r="K41" i="1"/>
  <c r="H41" i="1"/>
  <c r="G41" i="1"/>
  <c r="F41" i="1"/>
  <c r="E41" i="1"/>
  <c r="P40" i="1"/>
  <c r="O40" i="1"/>
  <c r="N40" i="1"/>
  <c r="M40" i="1"/>
  <c r="L40" i="1"/>
  <c r="K40" i="1"/>
  <c r="H40" i="1"/>
  <c r="G40" i="1"/>
  <c r="F40" i="1"/>
  <c r="E40" i="1"/>
  <c r="P39" i="1"/>
  <c r="O39" i="1"/>
  <c r="N39" i="1"/>
  <c r="M39" i="1"/>
  <c r="L39" i="1"/>
  <c r="K39" i="1"/>
  <c r="H39" i="1"/>
  <c r="G39" i="1"/>
  <c r="F39" i="1"/>
  <c r="E39" i="1"/>
  <c r="P38" i="1"/>
  <c r="O38" i="1"/>
  <c r="N38" i="1"/>
  <c r="M38" i="1"/>
  <c r="L38" i="1"/>
  <c r="K38" i="1"/>
  <c r="H38" i="1"/>
  <c r="G38" i="1"/>
  <c r="F38" i="1"/>
  <c r="E38" i="1"/>
  <c r="P37" i="1"/>
  <c r="O37" i="1"/>
  <c r="N37" i="1"/>
  <c r="M37" i="1"/>
  <c r="L37" i="1"/>
  <c r="K37" i="1"/>
  <c r="H37" i="1"/>
  <c r="G37" i="1"/>
  <c r="F37" i="1"/>
  <c r="E37" i="1"/>
  <c r="P36" i="1"/>
  <c r="O36" i="1"/>
  <c r="N36" i="1"/>
  <c r="M36" i="1"/>
  <c r="L36" i="1"/>
  <c r="K36" i="1"/>
  <c r="H36" i="1"/>
  <c r="G36" i="1"/>
  <c r="F36" i="1"/>
  <c r="E36" i="1"/>
  <c r="P35" i="1"/>
  <c r="O35" i="1"/>
  <c r="N35" i="1"/>
  <c r="M35" i="1"/>
  <c r="L35" i="1"/>
  <c r="K35" i="1"/>
  <c r="H35" i="1"/>
  <c r="G35" i="1"/>
  <c r="F35" i="1"/>
  <c r="E35" i="1"/>
  <c r="P34" i="1"/>
  <c r="O34" i="1"/>
  <c r="N34" i="1"/>
  <c r="M34" i="1"/>
  <c r="L34" i="1"/>
  <c r="K34" i="1"/>
  <c r="H34" i="1"/>
  <c r="G34" i="1"/>
  <c r="F34" i="1"/>
  <c r="E34" i="1"/>
  <c r="P33" i="1"/>
  <c r="O33" i="1"/>
  <c r="N33" i="1"/>
  <c r="M33" i="1"/>
  <c r="L33" i="1"/>
  <c r="K33" i="1"/>
  <c r="H33" i="1"/>
  <c r="G33" i="1"/>
  <c r="F33" i="1"/>
  <c r="E33" i="1"/>
  <c r="P32" i="1"/>
  <c r="O32" i="1"/>
  <c r="N32" i="1"/>
  <c r="M32" i="1"/>
  <c r="L32" i="1"/>
  <c r="K32" i="1"/>
  <c r="H32" i="1"/>
  <c r="G32" i="1"/>
  <c r="F32" i="1"/>
  <c r="E32" i="1"/>
  <c r="P31" i="1"/>
  <c r="O31" i="1"/>
  <c r="N31" i="1"/>
  <c r="M31" i="1"/>
  <c r="L31" i="1"/>
  <c r="K31" i="1"/>
  <c r="H31" i="1"/>
  <c r="G31" i="1"/>
  <c r="F31" i="1"/>
  <c r="E31" i="1"/>
  <c r="P30" i="1"/>
  <c r="O30" i="1"/>
  <c r="N30" i="1"/>
  <c r="M30" i="1"/>
  <c r="L30" i="1"/>
  <c r="K30" i="1"/>
  <c r="H30" i="1"/>
  <c r="G30" i="1"/>
  <c r="F30" i="1"/>
  <c r="E30" i="1"/>
  <c r="P29" i="1"/>
  <c r="O29" i="1"/>
  <c r="N29" i="1"/>
  <c r="M29" i="1"/>
  <c r="L29" i="1"/>
  <c r="K29" i="1"/>
  <c r="H29" i="1"/>
  <c r="G29" i="1"/>
  <c r="F29" i="1"/>
  <c r="E29" i="1"/>
  <c r="P28" i="1"/>
  <c r="O28" i="1"/>
  <c r="N28" i="1"/>
  <c r="M28" i="1"/>
  <c r="L28" i="1"/>
  <c r="K28" i="1"/>
  <c r="H28" i="1"/>
  <c r="G28" i="1"/>
  <c r="F28" i="1"/>
  <c r="E28" i="1"/>
  <c r="P27" i="1"/>
  <c r="O27" i="1"/>
  <c r="N27" i="1"/>
  <c r="M27" i="1"/>
  <c r="L27" i="1"/>
  <c r="K27" i="1"/>
  <c r="H27" i="1"/>
  <c r="G27" i="1"/>
  <c r="F27" i="1"/>
  <c r="E27" i="1"/>
  <c r="P26" i="1"/>
  <c r="O26" i="1"/>
  <c r="N26" i="1"/>
  <c r="M26" i="1"/>
  <c r="L26" i="1"/>
  <c r="K26" i="1"/>
  <c r="H26" i="1"/>
  <c r="G26" i="1"/>
  <c r="F26" i="1"/>
  <c r="E26" i="1"/>
  <c r="P25" i="1"/>
  <c r="O25" i="1"/>
  <c r="N25" i="1"/>
  <c r="M25" i="1"/>
  <c r="L25" i="1"/>
  <c r="K25" i="1"/>
  <c r="H25" i="1"/>
  <c r="G25" i="1"/>
  <c r="F25" i="1"/>
  <c r="E25" i="1"/>
  <c r="P24" i="1"/>
  <c r="O24" i="1"/>
  <c r="N24" i="1"/>
  <c r="M24" i="1"/>
  <c r="L24" i="1"/>
  <c r="K24" i="1"/>
  <c r="H24" i="1"/>
  <c r="G24" i="1"/>
  <c r="F24" i="1"/>
  <c r="E24" i="1"/>
  <c r="P23" i="1"/>
  <c r="O23" i="1"/>
  <c r="N23" i="1"/>
  <c r="M23" i="1"/>
  <c r="L23" i="1"/>
  <c r="K23" i="1"/>
  <c r="H23" i="1"/>
  <c r="G23" i="1"/>
  <c r="F23" i="1"/>
  <c r="E23" i="1"/>
  <c r="P22" i="1"/>
  <c r="O22" i="1"/>
  <c r="N22" i="1"/>
  <c r="M22" i="1"/>
  <c r="L22" i="1"/>
  <c r="K22" i="1"/>
  <c r="H22" i="1"/>
  <c r="G22" i="1"/>
  <c r="F22" i="1"/>
  <c r="E22" i="1"/>
  <c r="P21" i="1"/>
  <c r="O21" i="1"/>
  <c r="N21" i="1"/>
  <c r="M21" i="1"/>
  <c r="L21" i="1"/>
  <c r="K21" i="1"/>
  <c r="H21" i="1"/>
  <c r="G21" i="1"/>
  <c r="F21" i="1"/>
  <c r="E21" i="1"/>
  <c r="P20" i="1"/>
  <c r="O20" i="1"/>
  <c r="N20" i="1"/>
  <c r="M20" i="1"/>
  <c r="L20" i="1"/>
  <c r="K20" i="1"/>
  <c r="H20" i="1"/>
  <c r="G20" i="1"/>
  <c r="F20" i="1"/>
  <c r="E20" i="1"/>
  <c r="P19" i="1"/>
  <c r="O19" i="1"/>
  <c r="N19" i="1"/>
  <c r="M19" i="1"/>
  <c r="L19" i="1"/>
  <c r="K19" i="1"/>
  <c r="H19" i="1"/>
  <c r="G19" i="1"/>
  <c r="F19" i="1"/>
  <c r="E19" i="1"/>
  <c r="P18" i="1"/>
  <c r="O18" i="1"/>
  <c r="N18" i="1"/>
  <c r="M18" i="1"/>
  <c r="L18" i="1"/>
  <c r="K18" i="1"/>
  <c r="H18" i="1"/>
  <c r="G18" i="1"/>
  <c r="F18" i="1"/>
  <c r="E18" i="1"/>
  <c r="P17" i="1"/>
  <c r="O17" i="1"/>
  <c r="N17" i="1"/>
  <c r="M17" i="1"/>
  <c r="L17" i="1"/>
  <c r="K17" i="1"/>
  <c r="H17" i="1"/>
  <c r="G17" i="1"/>
  <c r="F17" i="1"/>
  <c r="E17" i="1"/>
  <c r="P16" i="1"/>
  <c r="O16" i="1"/>
  <c r="N16" i="1"/>
  <c r="M16" i="1"/>
  <c r="L16" i="1"/>
  <c r="K16" i="1"/>
  <c r="H16" i="1"/>
  <c r="G16" i="1"/>
  <c r="F16" i="1"/>
  <c r="E16" i="1"/>
  <c r="P15" i="1"/>
  <c r="O15" i="1"/>
  <c r="N15" i="1"/>
  <c r="M15" i="1"/>
  <c r="L15" i="1"/>
  <c r="K15" i="1"/>
  <c r="H15" i="1"/>
  <c r="G15" i="1"/>
  <c r="F15" i="1"/>
  <c r="E15" i="1"/>
  <c r="P14" i="1"/>
  <c r="O14" i="1"/>
  <c r="N14" i="1"/>
  <c r="M14" i="1"/>
  <c r="L14" i="1"/>
  <c r="K14" i="1"/>
  <c r="H14" i="1"/>
  <c r="G14" i="1"/>
  <c r="F14" i="1"/>
  <c r="E14" i="1"/>
  <c r="P13" i="1"/>
  <c r="O13" i="1"/>
  <c r="N13" i="1"/>
  <c r="M13" i="1"/>
  <c r="L13" i="1"/>
  <c r="K13" i="1"/>
  <c r="H13" i="1"/>
  <c r="G13" i="1"/>
  <c r="F13" i="1"/>
  <c r="E13" i="1"/>
  <c r="P12" i="1"/>
  <c r="O12" i="1"/>
  <c r="N12" i="1"/>
  <c r="M12" i="1"/>
  <c r="L12" i="1"/>
  <c r="K12" i="1"/>
  <c r="H12" i="1"/>
  <c r="G12" i="1"/>
  <c r="F12" i="1"/>
  <c r="E12" i="1"/>
  <c r="P11" i="1"/>
  <c r="O11" i="1"/>
  <c r="N11" i="1"/>
  <c r="M11" i="1"/>
  <c r="L11" i="1"/>
  <c r="K11" i="1"/>
  <c r="H11" i="1"/>
  <c r="G11" i="1"/>
  <c r="F11" i="1"/>
  <c r="E11" i="1"/>
  <c r="P10" i="1"/>
  <c r="O10" i="1"/>
  <c r="N10" i="1"/>
  <c r="M10" i="1"/>
  <c r="L10" i="1"/>
  <c r="K10" i="1"/>
  <c r="H10" i="1"/>
  <c r="G10" i="1"/>
  <c r="F10" i="1"/>
  <c r="E10" i="1"/>
  <c r="P9" i="1"/>
  <c r="O9" i="1"/>
  <c r="N9" i="1"/>
  <c r="M9" i="1"/>
  <c r="L9" i="1"/>
  <c r="K9" i="1"/>
  <c r="H9" i="1"/>
  <c r="G9" i="1"/>
  <c r="F9" i="1"/>
  <c r="E9" i="1"/>
  <c r="P8" i="1"/>
  <c r="O8" i="1"/>
  <c r="N8" i="1"/>
  <c r="M8" i="1"/>
  <c r="L8" i="1"/>
  <c r="K8" i="1"/>
  <c r="H8" i="1"/>
  <c r="G8" i="1"/>
  <c r="F8" i="1"/>
  <c r="E8" i="1"/>
  <c r="P7" i="1"/>
  <c r="O7" i="1"/>
  <c r="N7" i="1"/>
  <c r="M7" i="1"/>
  <c r="L7" i="1"/>
  <c r="K7" i="1"/>
  <c r="H7" i="1"/>
  <c r="G7" i="1"/>
  <c r="F7" i="1"/>
  <c r="E7" i="1"/>
  <c r="P6" i="1"/>
  <c r="O6" i="1"/>
  <c r="N6" i="1"/>
  <c r="M6" i="1"/>
  <c r="L6" i="1"/>
  <c r="K6" i="1"/>
  <c r="H6" i="1"/>
  <c r="G6" i="1"/>
  <c r="F6" i="1"/>
  <c r="E6" i="1"/>
  <c r="P5" i="1"/>
  <c r="O5" i="1"/>
  <c r="N5" i="1"/>
  <c r="M5" i="1"/>
  <c r="L5" i="1"/>
  <c r="K5" i="1"/>
  <c r="H5" i="1"/>
  <c r="G5" i="1"/>
  <c r="F5" i="1"/>
  <c r="E5" i="1"/>
  <c r="P4" i="1"/>
  <c r="O4" i="1"/>
  <c r="N4" i="1"/>
  <c r="M4" i="1"/>
  <c r="L4" i="1"/>
  <c r="K4" i="1"/>
  <c r="H4" i="1"/>
  <c r="G4" i="1"/>
  <c r="F4" i="1"/>
  <c r="E4" i="1"/>
  <c r="P3" i="1"/>
  <c r="O3" i="1"/>
  <c r="N3" i="1"/>
  <c r="M3" i="1"/>
  <c r="L3" i="1"/>
  <c r="K3" i="1"/>
  <c r="H3" i="1"/>
  <c r="G3" i="1"/>
  <c r="F3" i="1"/>
  <c r="E3" i="1"/>
  <c r="P2" i="1"/>
  <c r="O2" i="1"/>
  <c r="N2" i="1"/>
  <c r="M2" i="1"/>
  <c r="L2" i="1"/>
  <c r="K2" i="1"/>
  <c r="J2" i="1"/>
  <c r="I2" i="1"/>
  <c r="H2" i="1"/>
  <c r="G2" i="1"/>
  <c r="F2" i="1"/>
  <c r="E2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<sst xmlns="http://schemas.openxmlformats.org/spreadsheetml/2006/main" count="2034" uniqueCount="1046">
  <si>
    <t>Company Name</t>
  </si>
  <si>
    <t>Industry</t>
  </si>
  <si>
    <t>Symbol</t>
  </si>
  <si>
    <t>Cash/FnO</t>
  </si>
  <si>
    <t>Price</t>
  </si>
  <si>
    <t>Change Absolute</t>
  </si>
  <si>
    <t>Change %</t>
  </si>
  <si>
    <t>Market Cap</t>
  </si>
  <si>
    <t>Nifty</t>
  </si>
  <si>
    <t>Nifty % Change</t>
  </si>
  <si>
    <t>3M India Ltd.</t>
  </si>
  <si>
    <t>SERVICES</t>
  </si>
  <si>
    <t>NSE:3MINDIA</t>
  </si>
  <si>
    <t>Cash</t>
  </si>
  <si>
    <t>ABB India Ltd.</t>
  </si>
  <si>
    <t>INDUSTRIAL MANUFACTURING</t>
  </si>
  <si>
    <t>NSE:ABB</t>
  </si>
  <si>
    <t>ABB Power Products and Systems India Ltd.</t>
  </si>
  <si>
    <t>NSE:POWERINDIA</t>
  </si>
  <si>
    <t>ACC Ltd.</t>
  </si>
  <si>
    <t>CEMENT &amp; CEMENT PRODUCTS</t>
  </si>
  <si>
    <t>NSE:ACC</t>
  </si>
  <si>
    <t>FnO</t>
  </si>
  <si>
    <t>AIA Engineering Ltd.</t>
  </si>
  <si>
    <t>NSE:AIAENG</t>
  </si>
  <si>
    <t>APL Apollo Tubes Ltd.</t>
  </si>
  <si>
    <t>METALS</t>
  </si>
  <si>
    <t>NSE:APLAPOLLO</t>
  </si>
  <si>
    <t>AU Small Finance Bank Ltd.</t>
  </si>
  <si>
    <t>FINANCIAL SERVICES</t>
  </si>
  <si>
    <t>NSE:AUBANK</t>
  </si>
  <si>
    <t>Aarti Drugs Ltd.</t>
  </si>
  <si>
    <t>PHARMA</t>
  </si>
  <si>
    <t>NSE:AARTIDRUGS</t>
  </si>
  <si>
    <t>Aarti Industries Ltd.</t>
  </si>
  <si>
    <t>CHEMICALS</t>
  </si>
  <si>
    <t>NSE:AARTIIND</t>
  </si>
  <si>
    <t>Aavas Financiers Ltd.</t>
  </si>
  <si>
    <t>NSE:AAVAS</t>
  </si>
  <si>
    <t>Abbott India Ltd.</t>
  </si>
  <si>
    <t>NSE:ABBOTINDIA</t>
  </si>
  <si>
    <t>Adani Enterprises Ltd.</t>
  </si>
  <si>
    <t>NSE:ADANIENT</t>
  </si>
  <si>
    <t>Adani Green Energy Ltd.</t>
  </si>
  <si>
    <t>POWER</t>
  </si>
  <si>
    <t>NSE:ADANIGREEN</t>
  </si>
  <si>
    <t>Adani Ports and Special Economic Zone Ltd.</t>
  </si>
  <si>
    <t>NSE:ADANIPORTS</t>
  </si>
  <si>
    <t>Adani Total Gas Ltd.</t>
  </si>
  <si>
    <t>OIL &amp; GAS</t>
  </si>
  <si>
    <t>NSE:ATGL</t>
  </si>
  <si>
    <t>Adani Transmission Ltd.</t>
  </si>
  <si>
    <t>NSE:ADANITRANS</t>
  </si>
  <si>
    <t>Aditya Birla Capital Ltd.</t>
  </si>
  <si>
    <t>NSE:ABCAPITAL</t>
  </si>
  <si>
    <t>Aditya Birla Fashion and Retail Ltd.</t>
  </si>
  <si>
    <t>CONSUMER GOODS</t>
  </si>
  <si>
    <t>NSE:ABFRL</t>
  </si>
  <si>
    <t>Advanced Enzyme Tech Ltd.</t>
  </si>
  <si>
    <t>NSE:ADVENZYMES</t>
  </si>
  <si>
    <t>Aegis Logistics Ltd.</t>
  </si>
  <si>
    <t>NSE:AEGISCHEM</t>
  </si>
  <si>
    <t>Affle (India) Ltd.</t>
  </si>
  <si>
    <t>IT</t>
  </si>
  <si>
    <t>NSE:AFFLE</t>
  </si>
  <si>
    <t>Ajanta Pharmaceuticals Ltd.</t>
  </si>
  <si>
    <t>NSE:AJANTPHARM</t>
  </si>
  <si>
    <t>Akzo Nobel India Ltd.</t>
  </si>
  <si>
    <t>NSE:AKZOINDIA</t>
  </si>
  <si>
    <t>Alembic Ltd.</t>
  </si>
  <si>
    <t>NSE:ALEMBICLTD</t>
  </si>
  <si>
    <t>Alembic Pharmaceuticals Ltd.</t>
  </si>
  <si>
    <t>NSE:APLLTD</t>
  </si>
  <si>
    <t>Alkem Laboratories Ltd.</t>
  </si>
  <si>
    <t>NSE:ALKEM</t>
  </si>
  <si>
    <t>Alkyl Amines Chemicals Ltd.</t>
  </si>
  <si>
    <t>NSE:ALKYLAMINE</t>
  </si>
  <si>
    <t>Alok Industries Ltd.</t>
  </si>
  <si>
    <t>TEXTILES</t>
  </si>
  <si>
    <t>NSE:ALOKINDS</t>
  </si>
  <si>
    <t>Amara Raja Batteries Ltd.</t>
  </si>
  <si>
    <t>AUTOMOBILE</t>
  </si>
  <si>
    <t>NSE:AMARAJABAT</t>
  </si>
  <si>
    <t>Amber Enterprises India Ltd.</t>
  </si>
  <si>
    <t>NSE:AMBER</t>
  </si>
  <si>
    <t>Ambuja Cements Ltd.</t>
  </si>
  <si>
    <t>NSE:AMBUJACEM</t>
  </si>
  <si>
    <t>Apollo Hospitals Enterprise Ltd.</t>
  </si>
  <si>
    <t>HEALTHCARE SERVICES</t>
  </si>
  <si>
    <t>NSE:APOLLOHOSP</t>
  </si>
  <si>
    <t>Apollo Tyres Ltd.</t>
  </si>
  <si>
    <t>NSE:APOLLOTYRE</t>
  </si>
  <si>
    <t>Ashok Leyland Ltd.</t>
  </si>
  <si>
    <t>NSE:ASHOKLEY</t>
  </si>
  <si>
    <t>Ashoka Buildcon Ltd.</t>
  </si>
  <si>
    <t>CONSTRUCTION</t>
  </si>
  <si>
    <t>NSE:ASHOKA</t>
  </si>
  <si>
    <t>Asian Paints Ltd.</t>
  </si>
  <si>
    <t>NSE:ASIANPAINT</t>
  </si>
  <si>
    <t>Aster DM Healthcare Ltd.</t>
  </si>
  <si>
    <t>NSE:ASTERDM</t>
  </si>
  <si>
    <t>AstraZenca Pharma India Ltd.</t>
  </si>
  <si>
    <t>NSE:ASTRAZEN</t>
  </si>
  <si>
    <t>Astral Poly Technik Ltd.</t>
  </si>
  <si>
    <t>NSE:ASTRAL</t>
  </si>
  <si>
    <t>Atul Ltd.</t>
  </si>
  <si>
    <t>NSE:ATUL</t>
  </si>
  <si>
    <t>Aurobindo Pharma Ltd.</t>
  </si>
  <si>
    <t>NSE:AUROPHARMA</t>
  </si>
  <si>
    <t>Avanti Feeds Ltd.</t>
  </si>
  <si>
    <t>NSE:AVANTIFEED</t>
  </si>
  <si>
    <t>Avenue Supermarts Ltd.</t>
  </si>
  <si>
    <t>NSE:DMART</t>
  </si>
  <si>
    <t>Axis Bank Ltd.</t>
  </si>
  <si>
    <t>NSE:AXISBANK</t>
  </si>
  <si>
    <t>BASF India Ltd.</t>
  </si>
  <si>
    <t>NSE:BASF</t>
  </si>
  <si>
    <t>BEML Ltd.</t>
  </si>
  <si>
    <t>NSE:BEML</t>
  </si>
  <si>
    <t>BSE Ltd.</t>
  </si>
  <si>
    <t>NSE:BSE</t>
  </si>
  <si>
    <t>Bajaj Auto Ltd.</t>
  </si>
  <si>
    <t>NSE:BAJAJ-AUTO</t>
  </si>
  <si>
    <t>Bajaj Consumer Care Ltd.</t>
  </si>
  <si>
    <t>NSE:BAJAJCON</t>
  </si>
  <si>
    <t>Bajaj Electricals Ltd</t>
  </si>
  <si>
    <t>NSE:BAJAJELEC</t>
  </si>
  <si>
    <t>Bajaj Finance Ltd.</t>
  </si>
  <si>
    <t>NSE:BAJFINANCE</t>
  </si>
  <si>
    <t>Bajaj Finserv Ltd.</t>
  </si>
  <si>
    <t>NSE:BAJAJFINSV</t>
  </si>
  <si>
    <t>Bajaj Holdings &amp; Investment Ltd.</t>
  </si>
  <si>
    <t>NSE:BAJAJHLDNG</t>
  </si>
  <si>
    <t>Balkrishna Industries Ltd.</t>
  </si>
  <si>
    <t>NSE:BALKRISIND</t>
  </si>
  <si>
    <t>Balmer Lawrie &amp; Co. Ltd.</t>
  </si>
  <si>
    <t>NSE:BALMLAWRIE</t>
  </si>
  <si>
    <t>Balrampur Chini Mills Ltd.</t>
  </si>
  <si>
    <t>NSE:BALRAMCHIN</t>
  </si>
  <si>
    <t>Bandhan Bank Ltd.</t>
  </si>
  <si>
    <t>NSE:BANDHANBNK</t>
  </si>
  <si>
    <t>Bank of Baroda</t>
  </si>
  <si>
    <t>NSE:BANKBARODA</t>
  </si>
  <si>
    <t>Bank of India</t>
  </si>
  <si>
    <t>NSE:BANKINDIA</t>
  </si>
  <si>
    <t>Bank of Maharashtra.</t>
  </si>
  <si>
    <t>NSE:MAHABANK</t>
  </si>
  <si>
    <t>Bata India Ltd.</t>
  </si>
  <si>
    <t>NSE:BATAINDIA</t>
  </si>
  <si>
    <t>Bayer Cropscience Ltd.</t>
  </si>
  <si>
    <t>FERTILISERS &amp; PESTICIDES</t>
  </si>
  <si>
    <t>NSE:BAYERCROP</t>
  </si>
  <si>
    <t>Berger Paints India Ltd.</t>
  </si>
  <si>
    <t>NSE:BERGEPAINT</t>
  </si>
  <si>
    <t>Bharat Dynamics Ltd.</t>
  </si>
  <si>
    <t>NSE:BDL</t>
  </si>
  <si>
    <t>Bharat Electronics Ltd.</t>
  </si>
  <si>
    <t>NSE:BEL</t>
  </si>
  <si>
    <t>Bharat Forge Ltd.</t>
  </si>
  <si>
    <t>NSE:BHARATFORG</t>
  </si>
  <si>
    <t>Bharat Heavy Electricals Ltd.</t>
  </si>
  <si>
    <t>NSE:BHEL</t>
  </si>
  <si>
    <t>Bharat Petroleum Corporation Ltd.</t>
  </si>
  <si>
    <t>NSE:BPCL</t>
  </si>
  <si>
    <t>Bharat Rasayan Ltd.</t>
  </si>
  <si>
    <t>NSE:BHARATRAS</t>
  </si>
  <si>
    <t>Bharti Airtel Ltd.</t>
  </si>
  <si>
    <t>TELECOM</t>
  </si>
  <si>
    <t>NSE:BHARTIARTL</t>
  </si>
  <si>
    <t>Biocon Ltd.</t>
  </si>
  <si>
    <t>NSE:BIOCON</t>
  </si>
  <si>
    <t>Birla Corporation Ltd.</t>
  </si>
  <si>
    <t>NSE:BIRLACORPN</t>
  </si>
  <si>
    <t>Birlasoft Ltd.</t>
  </si>
  <si>
    <t>NSE:BSOFT</t>
  </si>
  <si>
    <t>Bliss GVS Pharma Ltd.</t>
  </si>
  <si>
    <t>NSE:BLISSGVS</t>
  </si>
  <si>
    <t>Blue Dart Express Ltd.</t>
  </si>
  <si>
    <t>NSE:BLUEDART</t>
  </si>
  <si>
    <t>Blue Star Ltd.</t>
  </si>
  <si>
    <t>NSE:BLUESTARCO</t>
  </si>
  <si>
    <t>Bombay Burmah Trading Corporation Ltd.</t>
  </si>
  <si>
    <t>NSE:BBTC</t>
  </si>
  <si>
    <t>Bombay Dyeing &amp; Manufacturing Co. Ltd.</t>
  </si>
  <si>
    <t>NSE:BOMDYEING</t>
  </si>
  <si>
    <t>Bosch Ltd.</t>
  </si>
  <si>
    <t>NSE:BOSCHLTD</t>
  </si>
  <si>
    <t>Brigade Enterprises Ltd.</t>
  </si>
  <si>
    <t>NSE:BRIGADE</t>
  </si>
  <si>
    <t>Britannia Industries Ltd.</t>
  </si>
  <si>
    <t>NSE:BRITANNIA</t>
  </si>
  <si>
    <t>CARE Ratings Ltd.</t>
  </si>
  <si>
    <t>NSE:CARERATING</t>
  </si>
  <si>
    <t>CCL Products (I) Ltd.</t>
  </si>
  <si>
    <t>NSE:CCL</t>
  </si>
  <si>
    <t>CESC Ltd.</t>
  </si>
  <si>
    <t>NSE:CESC</t>
  </si>
  <si>
    <t>CRISIL Ltd.</t>
  </si>
  <si>
    <t>NSE:CRISIL</t>
  </si>
  <si>
    <t>CSB Bank Ltd.</t>
  </si>
  <si>
    <t>NSE:CSBBANK</t>
  </si>
  <si>
    <t>Cadila Healthcare Ltd.</t>
  </si>
  <si>
    <t>NSE:CADILAHC</t>
  </si>
  <si>
    <t>Can Fin Homes Ltd.</t>
  </si>
  <si>
    <t>NSE:CANFINHOME</t>
  </si>
  <si>
    <t>Canara Bank</t>
  </si>
  <si>
    <t>NSE:CANBK</t>
  </si>
  <si>
    <t>Caplin Point Laboratories Ltd.</t>
  </si>
  <si>
    <t>NSE:CAPLIPOINT</t>
  </si>
  <si>
    <t>Capri Global Capital Ltd.</t>
  </si>
  <si>
    <t>NSE:CGCL</t>
  </si>
  <si>
    <t>Carborundum Universal Ltd.</t>
  </si>
  <si>
    <t>NSE:CARBORUNIV</t>
  </si>
  <si>
    <t>Castrol India Ltd.</t>
  </si>
  <si>
    <t>NSE:CASTROLIND</t>
  </si>
  <si>
    <t>Ceat Ltd.</t>
  </si>
  <si>
    <t>NSE:CEATLTD</t>
  </si>
  <si>
    <t>Central Bank of India</t>
  </si>
  <si>
    <t>NSE:CENTRALBK</t>
  </si>
  <si>
    <t>Central Depository Services (India) Ltd.</t>
  </si>
  <si>
    <t>NSE:CDSL</t>
  </si>
  <si>
    <t>Century Plyboards (India) Ltd.</t>
  </si>
  <si>
    <t>NSE:CENTURYPLY</t>
  </si>
  <si>
    <t>Century Textile &amp; Industries Ltd.</t>
  </si>
  <si>
    <t>PAPER</t>
  </si>
  <si>
    <t>NSE:CENTURYTEX</t>
  </si>
  <si>
    <t>Cera Sanitaryware Ltd</t>
  </si>
  <si>
    <t>NSE:CERA</t>
  </si>
  <si>
    <t>Chalet Hotels Ltd.</t>
  </si>
  <si>
    <t>NSE:CHALET</t>
  </si>
  <si>
    <t>Chambal Fertilizers &amp; Chemicals Ltd.</t>
  </si>
  <si>
    <t>NSE:CHAMBLFERT</t>
  </si>
  <si>
    <t>Chennai Petroleum Corporation Ltd.</t>
  </si>
  <si>
    <t>NSE:CHENNPETRO</t>
  </si>
  <si>
    <t>Cholamandalam Financial Holdings Ltd.</t>
  </si>
  <si>
    <t>NSE:CHOLAHLDNG</t>
  </si>
  <si>
    <t>Cholamandalam Investment and Finance Company Ltd.</t>
  </si>
  <si>
    <t>NSE:CHOLAFIN</t>
  </si>
  <si>
    <t>Cipla Ltd.</t>
  </si>
  <si>
    <t>NSE:CIPLA</t>
  </si>
  <si>
    <t>City Union Bank Ltd.</t>
  </si>
  <si>
    <t>NSE:CUB</t>
  </si>
  <si>
    <t>Coal India Ltd.</t>
  </si>
  <si>
    <t>NSE:COALINDIA</t>
  </si>
  <si>
    <t>Cochin Shipyard Ltd.</t>
  </si>
  <si>
    <t>NSE:COCHINSHIP</t>
  </si>
  <si>
    <t>Coforge Ltd.</t>
  </si>
  <si>
    <t>NSE:COFORGE</t>
  </si>
  <si>
    <t>Colgate Palmolive (India) Ltd.</t>
  </si>
  <si>
    <t>NSE:COLPAL</t>
  </si>
  <si>
    <t>Container Corporation of India Ltd.</t>
  </si>
  <si>
    <t>NSE:CONCOR</t>
  </si>
  <si>
    <t>Coromandel International Ltd.</t>
  </si>
  <si>
    <t>NSE:COROMANDEL</t>
  </si>
  <si>
    <t>CreditAccess Grameen Ltd.</t>
  </si>
  <si>
    <t>NSE:CREDITACC</t>
  </si>
  <si>
    <t>Crompton Greaves Consumer Electricals Ltd.</t>
  </si>
  <si>
    <t>NSE:CROMPTON</t>
  </si>
  <si>
    <t>Cummins India Ltd.</t>
  </si>
  <si>
    <t>NSE:CUMMINSIND</t>
  </si>
  <si>
    <t>Cyient Ltd.</t>
  </si>
  <si>
    <t>NSE:CYIENT</t>
  </si>
  <si>
    <t>D.B.Corp Ltd.</t>
  </si>
  <si>
    <t>MEDIA &amp; ENTERTAINMENT</t>
  </si>
  <si>
    <t>NSE:DBCORP</t>
  </si>
  <si>
    <t>DCB Bank Ltd.</t>
  </si>
  <si>
    <t>NSE:DCBBANK</t>
  </si>
  <si>
    <t>DCM Shriram Ltd.</t>
  </si>
  <si>
    <t>NSE:DCMSHRIRAM</t>
  </si>
  <si>
    <t>DLF Ltd.</t>
  </si>
  <si>
    <t>NSE:DLF</t>
  </si>
  <si>
    <t>Dabur India Ltd.</t>
  </si>
  <si>
    <t>NSE:DABUR</t>
  </si>
  <si>
    <t>Dalmia Bharat Ltd.</t>
  </si>
  <si>
    <t>NSE:DALBHARAT</t>
  </si>
  <si>
    <t>Deepak Nitrite Ltd.</t>
  </si>
  <si>
    <t>NSE:DEEPAKNTR</t>
  </si>
  <si>
    <t>Delta Corp Ltd.</t>
  </si>
  <si>
    <t>NSE:DELTACORP</t>
  </si>
  <si>
    <t>Dhani Services Ltd.</t>
  </si>
  <si>
    <t>NSE:DHANI</t>
  </si>
  <si>
    <t>Dhanuka Agritech Ltd.</t>
  </si>
  <si>
    <t>NSE:DHANUKA</t>
  </si>
  <si>
    <t>Dilip Buildcon Ltd.</t>
  </si>
  <si>
    <t>NSE:DBL</t>
  </si>
  <si>
    <t>Dish TV India Ltd.</t>
  </si>
  <si>
    <t>NSE:DISHTV</t>
  </si>
  <si>
    <t>Dishman Carbogen Amcis Ltd.</t>
  </si>
  <si>
    <t>NSE:DCAL</t>
  </si>
  <si>
    <t>Divi's Laboratories Ltd.</t>
  </si>
  <si>
    <t>NSE:DIVISLAB</t>
  </si>
  <si>
    <t>Dixon Technologies (India) Ltd.</t>
  </si>
  <si>
    <t>NSE:DIXON</t>
  </si>
  <si>
    <t>Dr. Lal Path Labs Ltd.</t>
  </si>
  <si>
    <t>NSE:LALPATHLAB</t>
  </si>
  <si>
    <t>Dr. Reddy's Laboratories Ltd.</t>
  </si>
  <si>
    <t>NSE:DRREDDY</t>
  </si>
  <si>
    <t>E.I.D. Parry (India) Ltd.</t>
  </si>
  <si>
    <t>NSE:EIDPARRY</t>
  </si>
  <si>
    <t>EIH Ltd.</t>
  </si>
  <si>
    <t>NSE:EIHOTEL</t>
  </si>
  <si>
    <t>EPL Ltd.</t>
  </si>
  <si>
    <t>NSE:EPL</t>
  </si>
  <si>
    <t>ESAB India Ltd.</t>
  </si>
  <si>
    <t>NSE:ESABINDIA</t>
  </si>
  <si>
    <t>Edelweiss Financial Services Ltd.</t>
  </si>
  <si>
    <t>NSE:EDELWEISS</t>
  </si>
  <si>
    <t>Eicher Motors Ltd.</t>
  </si>
  <si>
    <t>NSE:EICHERMOT</t>
  </si>
  <si>
    <t>Elgi Equipments Ltd.</t>
  </si>
  <si>
    <t>NSE:ELGIEQUIP</t>
  </si>
  <si>
    <t>Emami Ltd.</t>
  </si>
  <si>
    <t>NSE:EMAMILTD</t>
  </si>
  <si>
    <t>Endurance Technologies Ltd.</t>
  </si>
  <si>
    <t>NSE:ENDURANCE</t>
  </si>
  <si>
    <t>Engineers India Ltd.</t>
  </si>
  <si>
    <t>NSE:ENGINERSIN</t>
  </si>
  <si>
    <t>Equitas Holdings Ltd.</t>
  </si>
  <si>
    <t>NSE:EQUITAS</t>
  </si>
  <si>
    <t>Eris Lifesciences Ltd.</t>
  </si>
  <si>
    <t>NSE:ERIS</t>
  </si>
  <si>
    <t>Escorts Ltd.</t>
  </si>
  <si>
    <t>NSE:ESCORTS</t>
  </si>
  <si>
    <t>Exide Industries Ltd.</t>
  </si>
  <si>
    <t>NSE:EXIDEIND</t>
  </si>
  <si>
    <t>FDC Ltd.</t>
  </si>
  <si>
    <t>NSE:FDC</t>
  </si>
  <si>
    <t>Federal Bank Ltd.</t>
  </si>
  <si>
    <t>NSE:FEDERALBNK</t>
  </si>
  <si>
    <t>Fine Organic Industries Ltd.</t>
  </si>
  <si>
    <t>NSE:FINEORG</t>
  </si>
  <si>
    <t>Finolex Cables Ltd.</t>
  </si>
  <si>
    <t>NSE:FINCABLES</t>
  </si>
  <si>
    <t>Finolex Industries Ltd.</t>
  </si>
  <si>
    <t>NSE:FINPIPE</t>
  </si>
  <si>
    <t>Firstsource Solutions Ltd.</t>
  </si>
  <si>
    <t>NSE:FSL</t>
  </si>
  <si>
    <t>Fortis Healthcare Ltd.</t>
  </si>
  <si>
    <t>NSE:FORTIS</t>
  </si>
  <si>
    <t>Future Consumer Ltd.</t>
  </si>
  <si>
    <t>NSE:FCONSUMER</t>
  </si>
  <si>
    <t>Future Retail Ltd.</t>
  </si>
  <si>
    <t>NSE:FRETAIL</t>
  </si>
  <si>
    <t>GAIL (India) Ltd.</t>
  </si>
  <si>
    <t>NSE:GAIL</t>
  </si>
  <si>
    <t>GE Power India Ltd.</t>
  </si>
  <si>
    <t>NSE:GEPIL</t>
  </si>
  <si>
    <t>GHCL Ltd.</t>
  </si>
  <si>
    <t>NSE:GHCL</t>
  </si>
  <si>
    <t>GMM Pfaudler Ltd.</t>
  </si>
  <si>
    <t>NSE:GMMPFAUDLR</t>
  </si>
  <si>
    <t>GMR Infrastructure Ltd.</t>
  </si>
  <si>
    <t>NSE:GMRINFRA</t>
  </si>
  <si>
    <t>Galaxy Surfactants Ltd.</t>
  </si>
  <si>
    <t>NSE:GALAXYSURF</t>
  </si>
  <si>
    <t>Garden Reach Shipbuilders &amp; Engineers Ltd.</t>
  </si>
  <si>
    <t>NSE:GRSE</t>
  </si>
  <si>
    <t>Garware Technical Fibres Ltd.</t>
  </si>
  <si>
    <t>NSE:GARFIBRES</t>
  </si>
  <si>
    <t>General Insurance Corporation of India</t>
  </si>
  <si>
    <t>NSE:GICRE</t>
  </si>
  <si>
    <t>Gillette India Ltd.</t>
  </si>
  <si>
    <t>NSE:GILLETTE</t>
  </si>
  <si>
    <t>Glaxosmithkline Pharmaceuticals Ltd.</t>
  </si>
  <si>
    <t>NSE:GLAXO</t>
  </si>
  <si>
    <t>Glenmark Pharmaceuticals Ltd.</t>
  </si>
  <si>
    <t>NSE:GLENMARK</t>
  </si>
  <si>
    <t>Godfrey Phillips India Ltd.</t>
  </si>
  <si>
    <t>NSE:GODFRYPHLP</t>
  </si>
  <si>
    <t>Godrej Agrovet Ltd.</t>
  </si>
  <si>
    <t>NSE:GODREJAGRO</t>
  </si>
  <si>
    <t>Godrej Consumer Products Ltd.</t>
  </si>
  <si>
    <t>NSE:GODREJCP</t>
  </si>
  <si>
    <t>Godrej Industries Ltd.</t>
  </si>
  <si>
    <t>NSE:GODREJIND</t>
  </si>
  <si>
    <t>Godrej Properties Ltd.</t>
  </si>
  <si>
    <t>NSE:GODREJPROP</t>
  </si>
  <si>
    <t>Granules India Ltd.</t>
  </si>
  <si>
    <t>NSE:GRANULES</t>
  </si>
  <si>
    <t>Graphite India Ltd.</t>
  </si>
  <si>
    <t>NSE:GRAPHITE</t>
  </si>
  <si>
    <t>Grasim Industries Ltd.</t>
  </si>
  <si>
    <t>NSE:GRASIM</t>
  </si>
  <si>
    <t>Great Eastern Shipping Co. Ltd.</t>
  </si>
  <si>
    <t>NSE:GESHIP</t>
  </si>
  <si>
    <t>Greaves Cotton Ltd.</t>
  </si>
  <si>
    <t>NSE:GREAVESCOT</t>
  </si>
  <si>
    <t>Grindwell Norton Ltd.</t>
  </si>
  <si>
    <t>NSE:GRINDWELL</t>
  </si>
  <si>
    <t>Gujarat Alkalies &amp; Chemicals Ltd.</t>
  </si>
  <si>
    <t>NSE:GUJALKALI</t>
  </si>
  <si>
    <t>Gujarat Ambuja Exports Ltd.</t>
  </si>
  <si>
    <t>NSE:GAEL</t>
  </si>
  <si>
    <t>Gujarat Fluorochemicals Ltd.</t>
  </si>
  <si>
    <t>NSE:FLUOROCHEM</t>
  </si>
  <si>
    <t>Gujarat Gas Ltd.</t>
  </si>
  <si>
    <t>NSE:GUJGASLTD</t>
  </si>
  <si>
    <t>Gujarat Mineral Development Corporation Ltd.</t>
  </si>
  <si>
    <t>NSE:GMDCLTD</t>
  </si>
  <si>
    <t>Gujarat Narmada Valley Fertilizers and Chemicals Ltd.</t>
  </si>
  <si>
    <t>NSE:GNFC</t>
  </si>
  <si>
    <t>Gujarat Pipavav Port Ltd.</t>
  </si>
  <si>
    <t>NSE:GPPL</t>
  </si>
  <si>
    <t>Gujarat State Fertilizers &amp; Chemicals Ltd.</t>
  </si>
  <si>
    <t>NSE:GSFC</t>
  </si>
  <si>
    <t>Gujarat State Petronet Ltd.</t>
  </si>
  <si>
    <t>NSE:GSPL</t>
  </si>
  <si>
    <t>Gulf Oil Lubricants India Ltd.</t>
  </si>
  <si>
    <t>NSE:GULFOILLUB</t>
  </si>
  <si>
    <t>H.E.G. Ltd.</t>
  </si>
  <si>
    <t>NSE:HEG</t>
  </si>
  <si>
    <t>HCL Technologies Ltd.</t>
  </si>
  <si>
    <t>NSE:HCLTECH</t>
  </si>
  <si>
    <t>HDFC Asset Management Company Ltd.</t>
  </si>
  <si>
    <t>NSE:HDFCAMC</t>
  </si>
  <si>
    <t>HDFC Bank Ltd.</t>
  </si>
  <si>
    <t>NSE:HDFCBANK</t>
  </si>
  <si>
    <t>HDFC Life Insurance Company Ltd.</t>
  </si>
  <si>
    <t>NSE:HDFCLIFE</t>
  </si>
  <si>
    <t>HFCL Ltd.</t>
  </si>
  <si>
    <t>NSE:HFCL</t>
  </si>
  <si>
    <t>Hathway Cable &amp; Datacom Ltd.</t>
  </si>
  <si>
    <t>NSE:HATHWAY</t>
  </si>
  <si>
    <t>Hatsun Agro Product Ltd.</t>
  </si>
  <si>
    <t>NSE:HATSUN</t>
  </si>
  <si>
    <t>Havells India Ltd.</t>
  </si>
  <si>
    <t>NSE:HAVELLS</t>
  </si>
  <si>
    <t>HeidelbergCement India Ltd.</t>
  </si>
  <si>
    <t>NSE:HEIDELBERG</t>
  </si>
  <si>
    <t>Heritage Foods Ltd.</t>
  </si>
  <si>
    <t>NSE:HERITGFOOD</t>
  </si>
  <si>
    <t>Hero MotoCorp Ltd.</t>
  </si>
  <si>
    <t>NSE:HEROMOTOCO</t>
  </si>
  <si>
    <t>Himadri Speciality Chemical Ltd.</t>
  </si>
  <si>
    <t>NSE:HSCL</t>
  </si>
  <si>
    <t>Hindalco Industries Ltd.</t>
  </si>
  <si>
    <t>NSE:HINDALCO</t>
  </si>
  <si>
    <t>Hindustan Aeronautics Ltd.</t>
  </si>
  <si>
    <t>NSE:HAL</t>
  </si>
  <si>
    <t>Hindustan Copper Ltd.</t>
  </si>
  <si>
    <t>NSE:HINDCOPPER</t>
  </si>
  <si>
    <t>Hindustan Petroleum Corporation Ltd.</t>
  </si>
  <si>
    <t>NSE:HINDPETRO</t>
  </si>
  <si>
    <t>Hindustan Unilever Ltd.</t>
  </si>
  <si>
    <t>NSE:HINDUNILVR</t>
  </si>
  <si>
    <t>Hindustan Zinc Ltd.</t>
  </si>
  <si>
    <t>NSE:HINDZINC</t>
  </si>
  <si>
    <t>Honeywell Automation India Ltd.</t>
  </si>
  <si>
    <t>NSE:HONAUT</t>
  </si>
  <si>
    <t>Housing &amp; Urban Development Corporation Ltd.</t>
  </si>
  <si>
    <t>NSE:HUDCO</t>
  </si>
  <si>
    <t>Housing Development Finance Corporation Ltd.</t>
  </si>
  <si>
    <t>NSE:HDFC</t>
  </si>
  <si>
    <t>Huhtamaki India Ltd.</t>
  </si>
  <si>
    <t>NSE:HUHTAMAKI</t>
  </si>
  <si>
    <t>ICICI Bank Ltd.</t>
  </si>
  <si>
    <t>NSE:ICICIBANK</t>
  </si>
  <si>
    <t>ICICI Lombard General Insurance Company Ltd.</t>
  </si>
  <si>
    <t>NSE:ICICIGI</t>
  </si>
  <si>
    <t>ICICI Prudential Life Insurance Company Ltd.</t>
  </si>
  <si>
    <t>NSE:ICICIPRULI</t>
  </si>
  <si>
    <t>ICICI Securities Ltd.</t>
  </si>
  <si>
    <t>NSE:ISEC</t>
  </si>
  <si>
    <t>ICRA Ltd.</t>
  </si>
  <si>
    <t>NSE:ICRA</t>
  </si>
  <si>
    <t>IDBI Bank Ltd.</t>
  </si>
  <si>
    <t>NSE:IDBI</t>
  </si>
  <si>
    <t>IDFC First Bank Ltd.</t>
  </si>
  <si>
    <t>NSE:IDFCFIRSTB</t>
  </si>
  <si>
    <t>IDFC Ltd.</t>
  </si>
  <si>
    <t>NSE:IDFC</t>
  </si>
  <si>
    <t>IFB Industries Ltd.</t>
  </si>
  <si>
    <t>NSE:IFBIND</t>
  </si>
  <si>
    <t>IIFL Finance Ltd.</t>
  </si>
  <si>
    <t>NSE:IIFL</t>
  </si>
  <si>
    <t>IIFL Wealth Management Ltd.</t>
  </si>
  <si>
    <t>NSE:IIFLWAM</t>
  </si>
  <si>
    <t>IOL Chem and Pharma Ltd.</t>
  </si>
  <si>
    <t>NSE:IOLCP</t>
  </si>
  <si>
    <t>IRB Infrastructure Developers Ltd.</t>
  </si>
  <si>
    <t>NSE:IRB</t>
  </si>
  <si>
    <t>IRCON International Ltd.</t>
  </si>
  <si>
    <t>NSE:IRCON</t>
  </si>
  <si>
    <t>ITC Ltd.</t>
  </si>
  <si>
    <t>NSE:ITC</t>
  </si>
  <si>
    <t>ITI Ltd.</t>
  </si>
  <si>
    <t>NSE:ITI</t>
  </si>
  <si>
    <t>India Cements Ltd.</t>
  </si>
  <si>
    <t>NSE:INDIACEM</t>
  </si>
  <si>
    <t>Indiabulls Housing Finance Ltd.</t>
  </si>
  <si>
    <t>NSE:IBULHSGFIN</t>
  </si>
  <si>
    <t>Indiabulls Real Estate Ltd.</t>
  </si>
  <si>
    <t>NSE:IBREALEST</t>
  </si>
  <si>
    <t>Indiamart Intermesh Ltd.</t>
  </si>
  <si>
    <t>NSE:INDIAMART</t>
  </si>
  <si>
    <t>Indian Bank</t>
  </si>
  <si>
    <t>NSE:INDIANB</t>
  </si>
  <si>
    <t>Indian Energy Exchange Ltd.</t>
  </si>
  <si>
    <t>NSE:IEX</t>
  </si>
  <si>
    <t>Indian Hotels Co. Ltd.</t>
  </si>
  <si>
    <t>NSE:INDHOTEL</t>
  </si>
  <si>
    <t>Indian Oil Corporation Ltd.</t>
  </si>
  <si>
    <t>NSE:IOC</t>
  </si>
  <si>
    <t>Indian Overseas Bank</t>
  </si>
  <si>
    <t>NSE:IOB</t>
  </si>
  <si>
    <t>Indian Railway Catering And Tourism Corporation Ltd.</t>
  </si>
  <si>
    <t>NSE:IRCTC</t>
  </si>
  <si>
    <t>Indoco Remedies Ltd.</t>
  </si>
  <si>
    <t>NSE:INDOCO</t>
  </si>
  <si>
    <t>Indraprastha Gas Ltd.</t>
  </si>
  <si>
    <t>NSE:IGL</t>
  </si>
  <si>
    <t>Indus Towers Ltd.</t>
  </si>
  <si>
    <t>NSE:INDUSTOWER</t>
  </si>
  <si>
    <t>IndusInd Bank Ltd.</t>
  </si>
  <si>
    <t>NSE:INDUSINDBK</t>
  </si>
  <si>
    <t>Info Edge (India) Ltd.</t>
  </si>
  <si>
    <t>NSE:NAUKRI</t>
  </si>
  <si>
    <t>Infosys Ltd.</t>
  </si>
  <si>
    <t>NSE:INFY</t>
  </si>
  <si>
    <t>Ingersoll Rand (India) Ltd.</t>
  </si>
  <si>
    <t>NSE:INGERRAND</t>
  </si>
  <si>
    <t>Inox Leisure Ltd.</t>
  </si>
  <si>
    <t>NSE:INOXLEISUR</t>
  </si>
  <si>
    <t>InterGlobe Aviation Ltd.</t>
  </si>
  <si>
    <t>NSE:INDIGO</t>
  </si>
  <si>
    <t>Ipca Laboratories Ltd.</t>
  </si>
  <si>
    <t>NSE:IPCALAB</t>
  </si>
  <si>
    <t>J.B. Chemicals &amp; Pharmaceuticals Ltd.</t>
  </si>
  <si>
    <t>NSE:JBCHEPHARM</t>
  </si>
  <si>
    <t>J.K. Cement Ltd.</t>
  </si>
  <si>
    <t>NSE:JKCEMENT</t>
  </si>
  <si>
    <t>JK Lakshmi Cement Ltd.</t>
  </si>
  <si>
    <t>NSE:JKLAKSHMI</t>
  </si>
  <si>
    <t>JK Paper Ltd.</t>
  </si>
  <si>
    <t>NSE:JKPAPER</t>
  </si>
  <si>
    <t>JK Tyre &amp; Industries Ltd.</t>
  </si>
  <si>
    <t>NSE:JKTYRE</t>
  </si>
  <si>
    <t>JM Financial Ltd.</t>
  </si>
  <si>
    <t>NSE:JMFINANCIL</t>
  </si>
  <si>
    <t>JSW Energy Ltd.</t>
  </si>
  <si>
    <t>NSE:JSWENERGY</t>
  </si>
  <si>
    <t>JSW Steel Ltd.</t>
  </si>
  <si>
    <t>NSE:JSWSTEEL</t>
  </si>
  <si>
    <t>JTEKT India Ltd.</t>
  </si>
  <si>
    <t>NSE:JTEKTINDIA</t>
  </si>
  <si>
    <t>Jagran Prakashan Ltd.</t>
  </si>
  <si>
    <t>NSE:JAGRAN</t>
  </si>
  <si>
    <t>Jai Corp Ltd.</t>
  </si>
  <si>
    <t>NSE:JAICORPLTD</t>
  </si>
  <si>
    <t>Jammu &amp; Kashmir Bank Ltd.</t>
  </si>
  <si>
    <t>NSE:J&amp;KBANK</t>
  </si>
  <si>
    <t>Jamna Auto Industries Ltd.</t>
  </si>
  <si>
    <t>NSE:JAMNAAUTO</t>
  </si>
  <si>
    <t>Jindal Saw Ltd.</t>
  </si>
  <si>
    <t>NSE:JINDALSAW</t>
  </si>
  <si>
    <t>Jindal Stainless (Hisar) Ltd.</t>
  </si>
  <si>
    <t>NSE:JSLHISAR</t>
  </si>
  <si>
    <t>Jindal Stainless Ltd.</t>
  </si>
  <si>
    <t>NSE:JSL</t>
  </si>
  <si>
    <t>Jindal Steel &amp; Power Ltd.</t>
  </si>
  <si>
    <t>NSE:JINDALSTEL</t>
  </si>
  <si>
    <t>Johnson Controls - Hitachi Air Conditioning India Ltd.</t>
  </si>
  <si>
    <t>NSE:JCHAC</t>
  </si>
  <si>
    <t>Jubilant Foodworks Ltd.</t>
  </si>
  <si>
    <t>NSE:JUBLFOOD</t>
  </si>
  <si>
    <t>Justdial Ltd.</t>
  </si>
  <si>
    <t>NSE:JUSTDIAL</t>
  </si>
  <si>
    <t>Jyothy Labs Ltd.</t>
  </si>
  <si>
    <t>NSE:JYOTHYLAB</t>
  </si>
  <si>
    <t>KEI Industries Ltd.</t>
  </si>
  <si>
    <t>NSE:KEI</t>
  </si>
  <si>
    <t>KNR Constructions Ltd.</t>
  </si>
  <si>
    <t>NSE:KNRCON</t>
  </si>
  <si>
    <t>KRBL Ltd.</t>
  </si>
  <si>
    <t>NSE:KRBL</t>
  </si>
  <si>
    <t>KSB Ltd.</t>
  </si>
  <si>
    <t>NSE:KSB</t>
  </si>
  <si>
    <t>Kajaria Ceramics Ltd.</t>
  </si>
  <si>
    <t>NSE:KAJARIACER</t>
  </si>
  <si>
    <t>Kalpataru Power Transmission Ltd.</t>
  </si>
  <si>
    <t>NSE:KALPATPOWR</t>
  </si>
  <si>
    <t>Kansai Nerolac Paints Ltd.</t>
  </si>
  <si>
    <t>NSE:KANSAINER</t>
  </si>
  <si>
    <t>Karnataka Bank Ltd.</t>
  </si>
  <si>
    <t>NSE:KTKBANK</t>
  </si>
  <si>
    <t>Karur Vysya Bank Ltd.</t>
  </si>
  <si>
    <t>NSE:KARURVYSYA</t>
  </si>
  <si>
    <t>Kaveri Seed Company Ltd.</t>
  </si>
  <si>
    <t>NSE:KSCL</t>
  </si>
  <si>
    <t>Kec International Ltd.</t>
  </si>
  <si>
    <t>NSE:KEC</t>
  </si>
  <si>
    <t>Kolte-Patil Developers Ltd.</t>
  </si>
  <si>
    <t>NSE:KOLTEPATIL</t>
  </si>
  <si>
    <t>Kotak Mahindra Bank Ltd.</t>
  </si>
  <si>
    <t>NSE:KOTAKBANK</t>
  </si>
  <si>
    <t>L&amp;T Finance Holdings Ltd.</t>
  </si>
  <si>
    <t>NSE:L&amp;TFH</t>
  </si>
  <si>
    <t>L&amp;T Technology Services Ltd.</t>
  </si>
  <si>
    <t>NSE:LTTS</t>
  </si>
  <si>
    <t>LIC Housing Finance Ltd.</t>
  </si>
  <si>
    <t>NSE:LICHSGFIN</t>
  </si>
  <si>
    <t>La Opala RG Ltd.</t>
  </si>
  <si>
    <t>NSE:LAOPALA</t>
  </si>
  <si>
    <t>Lakshmi Machine Works Ltd.</t>
  </si>
  <si>
    <t>NSE:LAXMIMACH</t>
  </si>
  <si>
    <t>Larsen &amp; Toubro Infotech Ltd.</t>
  </si>
  <si>
    <t>NSE:LTI</t>
  </si>
  <si>
    <t>Larsen &amp; Toubro Ltd.</t>
  </si>
  <si>
    <t>NSE:LT</t>
  </si>
  <si>
    <t>Laurus Labs Ltd.</t>
  </si>
  <si>
    <t>NSE:LAURUSLABS</t>
  </si>
  <si>
    <t>Lemon Tree Hotels Ltd.</t>
  </si>
  <si>
    <t>NSE:LEMONTREE</t>
  </si>
  <si>
    <t>Linde India Ltd.</t>
  </si>
  <si>
    <t>NSE:LINDEINDIA</t>
  </si>
  <si>
    <t>Lupin Ltd.</t>
  </si>
  <si>
    <t>NSE:LUPIN</t>
  </si>
  <si>
    <t>Lux Industries Ltd.</t>
  </si>
  <si>
    <t>NSE:LUXIND</t>
  </si>
  <si>
    <t>MAS Financial Services Ltd.</t>
  </si>
  <si>
    <t>NSE:MASFIN</t>
  </si>
  <si>
    <t>MMTC Ltd.</t>
  </si>
  <si>
    <t>NSE:MMTC</t>
  </si>
  <si>
    <t>MOIL Ltd.</t>
  </si>
  <si>
    <t>NSE:MOIL</t>
  </si>
  <si>
    <t>MRF Ltd.</t>
  </si>
  <si>
    <t>NSE:MRF</t>
  </si>
  <si>
    <t>Mahanagar Gas Ltd.</t>
  </si>
  <si>
    <t>NSE:MGL</t>
  </si>
  <si>
    <t>Maharashtra Scooters Ltd.</t>
  </si>
  <si>
    <t>NSE:MAHSCOOTER</t>
  </si>
  <si>
    <t>Maharashtra Seamless Ltd.</t>
  </si>
  <si>
    <t>NSE:MAHSEAMLES</t>
  </si>
  <si>
    <t>Mahindra &amp; Mahindra Financial Services Ltd.</t>
  </si>
  <si>
    <t>NSE:M&amp;MFIN</t>
  </si>
  <si>
    <t>Mahindra &amp; Mahindra Ltd.</t>
  </si>
  <si>
    <t>NSE:M&amp;M</t>
  </si>
  <si>
    <t>Mahindra CIE Automotive Ltd.</t>
  </si>
  <si>
    <t>NSE:MAHINDCIE</t>
  </si>
  <si>
    <t>Mahindra Holidays &amp; Resorts India Ltd.</t>
  </si>
  <si>
    <t>NSE:MHRIL</t>
  </si>
  <si>
    <t>Mahindra Logistics Ltd.</t>
  </si>
  <si>
    <t>NSE:MAHLOG</t>
  </si>
  <si>
    <t>Manappuram Finance Ltd.</t>
  </si>
  <si>
    <t>NSE:MANAPPURAM</t>
  </si>
  <si>
    <t>Mangalore Refinery &amp; Petrochemicals Ltd.</t>
  </si>
  <si>
    <t>NSE:MRPL</t>
  </si>
  <si>
    <t>Marico Ltd.</t>
  </si>
  <si>
    <t>NSE:MARICO</t>
  </si>
  <si>
    <t>Maruti Suzuki India Ltd.</t>
  </si>
  <si>
    <t>NSE:MARUTI</t>
  </si>
  <si>
    <t>Max Financial Services Ltd.</t>
  </si>
  <si>
    <t>NSE:MFSL</t>
  </si>
  <si>
    <t>Metropolis Healthcare Ltd.</t>
  </si>
  <si>
    <t>NSE:METROPOLIS</t>
  </si>
  <si>
    <t>MindTree Ltd.</t>
  </si>
  <si>
    <t>NSE:MINDTREE</t>
  </si>
  <si>
    <t>Minda Corporation Ltd.</t>
  </si>
  <si>
    <t>NSE:MINDACORP</t>
  </si>
  <si>
    <t>Minda Industries Ltd.</t>
  </si>
  <si>
    <t>NSE:MINDAIND</t>
  </si>
  <si>
    <t>Mishra Dhatu Nigam Ltd.</t>
  </si>
  <si>
    <t>NSE:MIDHANI</t>
  </si>
  <si>
    <t>Motherson Sumi Systems Ltd.</t>
  </si>
  <si>
    <t>NSE:MOTHERSUMI</t>
  </si>
  <si>
    <t>Motilal Oswal Financial Services Ltd.</t>
  </si>
  <si>
    <t>NSE:MOTILALOFS</t>
  </si>
  <si>
    <t>MphasiS Ltd.</t>
  </si>
  <si>
    <t>NSE:MPHASIS</t>
  </si>
  <si>
    <t>Multi Commodity Exchange of India Ltd.</t>
  </si>
  <si>
    <t>NSE:MCX</t>
  </si>
  <si>
    <t>Muthoot Finance Ltd.</t>
  </si>
  <si>
    <t>NSE:MUTHOOTFIN</t>
  </si>
  <si>
    <t>NATCO Pharma Ltd.</t>
  </si>
  <si>
    <t>NSE:NATCOPHARM</t>
  </si>
  <si>
    <t>NBCC (India) Ltd.</t>
  </si>
  <si>
    <t>NSE:NBCC</t>
  </si>
  <si>
    <t>NCC Ltd.</t>
  </si>
  <si>
    <t>NSE:NCC</t>
  </si>
  <si>
    <t>NESCO Ltd.</t>
  </si>
  <si>
    <t>NSE:NESCO</t>
  </si>
  <si>
    <t>NHPC Ltd.</t>
  </si>
  <si>
    <t>NSE:NHPC</t>
  </si>
  <si>
    <t>NLC India Ltd.</t>
  </si>
  <si>
    <t>NSE:NLCINDIA</t>
  </si>
  <si>
    <t>NMDC Ltd.</t>
  </si>
  <si>
    <t>NSE:NMDC</t>
  </si>
  <si>
    <t>NOCIL Ltd.</t>
  </si>
  <si>
    <t>NSE:NOCIL</t>
  </si>
  <si>
    <t>NTPC Ltd.</t>
  </si>
  <si>
    <t>NSE:NTPC</t>
  </si>
  <si>
    <t>Narayana Hrudayalaya Ltd.</t>
  </si>
  <si>
    <t>NSE:NH</t>
  </si>
  <si>
    <t>National Aluminium Co. Ltd.</t>
  </si>
  <si>
    <t>NSE:NATIONALUM</t>
  </si>
  <si>
    <t>National Fertilizers Ltd.</t>
  </si>
  <si>
    <t>NSE:NFL</t>
  </si>
  <si>
    <t>Navin Fluorine International Ltd.</t>
  </si>
  <si>
    <t>NSE:NAVINFLUOR</t>
  </si>
  <si>
    <t>Navneet Education Ltd.</t>
  </si>
  <si>
    <t>NSE:NAVNETEDUL</t>
  </si>
  <si>
    <t>Nestle India Ltd.</t>
  </si>
  <si>
    <t>NSE:NESTLEIND</t>
  </si>
  <si>
    <t>Network18 Media &amp; Investments Ltd.</t>
  </si>
  <si>
    <t>NSE:NETWORK18</t>
  </si>
  <si>
    <t>Nilkamal Ltd.</t>
  </si>
  <si>
    <t>NSE:NILKAMAL</t>
  </si>
  <si>
    <t>Nippon Life India Asset Management Ltd.</t>
  </si>
  <si>
    <t>NSE:NAM-INDIA</t>
  </si>
  <si>
    <t>Oberoi Realty Ltd.</t>
  </si>
  <si>
    <t>NSE:OBEROIRLTY</t>
  </si>
  <si>
    <t>Oil &amp; Natural Gas Corporation Ltd.</t>
  </si>
  <si>
    <t>NSE:ONGC</t>
  </si>
  <si>
    <t>Oil India Ltd.</t>
  </si>
  <si>
    <t>NSE:OIL</t>
  </si>
  <si>
    <t>Omaxe Ltd.</t>
  </si>
  <si>
    <t>NSE:OMAXE</t>
  </si>
  <si>
    <t>Oracle Financial Services Software Ltd.</t>
  </si>
  <si>
    <t>NSE:OFSS</t>
  </si>
  <si>
    <t>Orient Cement Ltd.</t>
  </si>
  <si>
    <t>NSE:ORIENTCEM</t>
  </si>
  <si>
    <t>Orient Electric Ltd.</t>
  </si>
  <si>
    <t>NSE:ORIENTELEC</t>
  </si>
  <si>
    <t>Orient Refractories Ltd.</t>
  </si>
  <si>
    <t>NSE:ORIENTREF</t>
  </si>
  <si>
    <t>PI Industries Ltd.</t>
  </si>
  <si>
    <t>NSE:PIIND</t>
  </si>
  <si>
    <t>PNB Housing Finance Ltd.</t>
  </si>
  <si>
    <t>NSE:PNBHOUSING</t>
  </si>
  <si>
    <t>PNC Infratech Ltd.</t>
  </si>
  <si>
    <t>NSE:PNCINFRA</t>
  </si>
  <si>
    <t>PSP Projects Ltd.</t>
  </si>
  <si>
    <t>NSE:PSPPROJECT</t>
  </si>
  <si>
    <t>PTC India Ltd.</t>
  </si>
  <si>
    <t>NSE:PTC</t>
  </si>
  <si>
    <t>PVR Ltd.</t>
  </si>
  <si>
    <t>NSE:PVR</t>
  </si>
  <si>
    <t>Page Industries Ltd.</t>
  </si>
  <si>
    <t>NSE:PAGEIND</t>
  </si>
  <si>
    <t>Persistent Systems Ltd.</t>
  </si>
  <si>
    <t>NSE:PERSISTENT</t>
  </si>
  <si>
    <t>Petronet LNG Ltd.</t>
  </si>
  <si>
    <t>NSE:PETRONET</t>
  </si>
  <si>
    <t>Pfizer Ltd.</t>
  </si>
  <si>
    <t>NSE:PFIZER</t>
  </si>
  <si>
    <t>Phillips Carbon Black Ltd.</t>
  </si>
  <si>
    <t>NSE:PHILIPCARB</t>
  </si>
  <si>
    <t>Phoenix Mills Ltd.</t>
  </si>
  <si>
    <t>NSE:PHOENIXLTD</t>
  </si>
  <si>
    <t>Pidilite Industries Ltd.</t>
  </si>
  <si>
    <t>NSE:PIDILITIND</t>
  </si>
  <si>
    <t>Piramal Enterprises Ltd.</t>
  </si>
  <si>
    <t>NSE:PEL</t>
  </si>
  <si>
    <t>Poly Medicure Ltd.</t>
  </si>
  <si>
    <t>NSE:POLYMED</t>
  </si>
  <si>
    <t>Polycab India Ltd.</t>
  </si>
  <si>
    <t>NSE:POLYCAB</t>
  </si>
  <si>
    <t>Polyplex Corporation Ltd.</t>
  </si>
  <si>
    <t>NSE:POLYPLEX</t>
  </si>
  <si>
    <t>Power Finance Corporation Ltd.</t>
  </si>
  <si>
    <t>NSE:PFC</t>
  </si>
  <si>
    <t>Power Grid Corporation of India Ltd.</t>
  </si>
  <si>
    <t>NSE:POWERGRID</t>
  </si>
  <si>
    <t>Praj Industries Ltd.</t>
  </si>
  <si>
    <t>NSE:PRAJIND</t>
  </si>
  <si>
    <t>Prestige Estates Projects Ltd.</t>
  </si>
  <si>
    <t>NSE:PRESTIGE</t>
  </si>
  <si>
    <t>Prism Johnson Ltd.</t>
  </si>
  <si>
    <t>NSE:PRSMJOHNSN</t>
  </si>
  <si>
    <t>Procter &amp; Gamble Health Ltd.</t>
  </si>
  <si>
    <t>NSE:PGHL</t>
  </si>
  <si>
    <t>Procter &amp; Gamble Hygiene &amp; Health Care Ltd.</t>
  </si>
  <si>
    <t>NSE:PGHH</t>
  </si>
  <si>
    <t>Punjab National Bank</t>
  </si>
  <si>
    <t>NSE:PNB</t>
  </si>
  <si>
    <t>Quess Corp Ltd.</t>
  </si>
  <si>
    <t>NSE:QUESS</t>
  </si>
  <si>
    <t>RBL Bank Ltd.</t>
  </si>
  <si>
    <t>NSE:RBLBANK</t>
  </si>
  <si>
    <t>REC Ltd.</t>
  </si>
  <si>
    <t>NSE:RECLTD</t>
  </si>
  <si>
    <t>RITES Ltd.</t>
  </si>
  <si>
    <t>NSE:RITES</t>
  </si>
  <si>
    <t>Radico Khaitan Ltd</t>
  </si>
  <si>
    <t>NSE:RADICO</t>
  </si>
  <si>
    <t>Rail Vikas Nigam Ltd.</t>
  </si>
  <si>
    <t>NSE:RVNL</t>
  </si>
  <si>
    <t>Rain Industries Ltd</t>
  </si>
  <si>
    <t>NSE:RAIN</t>
  </si>
  <si>
    <t>Rajesh Exports Ltd.</t>
  </si>
  <si>
    <t>NSE:RAJESHEXPO</t>
  </si>
  <si>
    <t>Rallis India Ltd.</t>
  </si>
  <si>
    <t>NSE:RALLIS</t>
  </si>
  <si>
    <t>Rashtriya Chemicals &amp; Fertilizers Ltd.</t>
  </si>
  <si>
    <t>NSE:RCF</t>
  </si>
  <si>
    <t>Ratnamani Metals &amp; Tubes Ltd.</t>
  </si>
  <si>
    <t>NSE:RATNAMANI</t>
  </si>
  <si>
    <t>Raymond Ltd.</t>
  </si>
  <si>
    <t>NSE:RAYMOND</t>
  </si>
  <si>
    <t>Redington (India) Ltd.</t>
  </si>
  <si>
    <t>NSE:REDINGTON</t>
  </si>
  <si>
    <t>Relaxo Footwears Ltd.</t>
  </si>
  <si>
    <t>NSE:RELAXO</t>
  </si>
  <si>
    <t>Reliance Industries Ltd.</t>
  </si>
  <si>
    <t>NSE:RELIANCE</t>
  </si>
  <si>
    <t>SBI Cards and Payment Services Ltd.</t>
  </si>
  <si>
    <t>NSE:SBICARD</t>
  </si>
  <si>
    <t>SBI Life Insurance Company Ltd.</t>
  </si>
  <si>
    <t>NSE:SBILIFE</t>
  </si>
  <si>
    <t>SJVN Ltd.</t>
  </si>
  <si>
    <t>NSE:SJVN</t>
  </si>
  <si>
    <t>SKF India Ltd.</t>
  </si>
  <si>
    <t>NSE:SKFINDIA</t>
  </si>
  <si>
    <t>SRF Ltd.</t>
  </si>
  <si>
    <t>NSE:SRF</t>
  </si>
  <si>
    <t>Sanofi India Ltd.</t>
  </si>
  <si>
    <t>NSE:SANOFI</t>
  </si>
  <si>
    <t>Schaeffler India Ltd.</t>
  </si>
  <si>
    <t>NSE:SCHAEFFLER</t>
  </si>
  <si>
    <t>Schneider Electric Infrastructure Ltd.</t>
  </si>
  <si>
    <t>NSE:SCHNEIDER</t>
  </si>
  <si>
    <t>Security and Intelligence Services (India) Ltd.</t>
  </si>
  <si>
    <t>NSE:SIS</t>
  </si>
  <si>
    <t>Sequent Scientific Ltd.</t>
  </si>
  <si>
    <t>NSE:SEQUENT</t>
  </si>
  <si>
    <t>Sheela Foam Ltd.</t>
  </si>
  <si>
    <t>NSE:SFL</t>
  </si>
  <si>
    <t>Shilpa Medicare Ltd.</t>
  </si>
  <si>
    <t>NSE:SHILPAMED</t>
  </si>
  <si>
    <t>Shipping Corporation of India Ltd.</t>
  </si>
  <si>
    <t>NSE:SCI</t>
  </si>
  <si>
    <t>Shoppers Stop Ltd.</t>
  </si>
  <si>
    <t>NSE:SHOPERSTOP</t>
  </si>
  <si>
    <t>Shree Cement Ltd.</t>
  </si>
  <si>
    <t>NSE:SHREECEM</t>
  </si>
  <si>
    <t>Shriram City Union Finance Ltd.</t>
  </si>
  <si>
    <t>NSE:SHRIRAMCIT</t>
  </si>
  <si>
    <t>Shriram Transport Finance Co. Ltd.</t>
  </si>
  <si>
    <t>NSE:SRTRANSFIN</t>
  </si>
  <si>
    <t>Siemens Ltd.</t>
  </si>
  <si>
    <t>NSE:SIEMENS</t>
  </si>
  <si>
    <t>Sobha Ltd.</t>
  </si>
  <si>
    <t>NSE:SOBHA</t>
  </si>
  <si>
    <t>Solar Industries India Ltd.</t>
  </si>
  <si>
    <t>NSE:SOLARINDS</t>
  </si>
  <si>
    <t>Solara Active Pharma Sciences Ltd.</t>
  </si>
  <si>
    <t>NSE:SOLARA</t>
  </si>
  <si>
    <t>Sonata Software Ltd.</t>
  </si>
  <si>
    <t>NSE:SONATSOFTW</t>
  </si>
  <si>
    <t>South Indian Bank Ltd.</t>
  </si>
  <si>
    <t>NSE:SOUTHBANK</t>
  </si>
  <si>
    <t>Spicejet Ltd.</t>
  </si>
  <si>
    <t>NSE:SPICEJET</t>
  </si>
  <si>
    <t>Star Cement Ltd.</t>
  </si>
  <si>
    <t>NSE:STARCEMENT</t>
  </si>
  <si>
    <t>State Bank of India</t>
  </si>
  <si>
    <t>NSE:SBIN</t>
  </si>
  <si>
    <t>Steel Authority of India Ltd.</t>
  </si>
  <si>
    <t>NSE:SAIL</t>
  </si>
  <si>
    <t>Sterling And Wilson Solar Ltd.</t>
  </si>
  <si>
    <t>NSE:SWSOLAR</t>
  </si>
  <si>
    <t>Sterlite Technologies Ltd.</t>
  </si>
  <si>
    <t>NSE:STLTECH</t>
  </si>
  <si>
    <t>Strides Pharma Science Ltd.</t>
  </si>
  <si>
    <t>NSE:STAR</t>
  </si>
  <si>
    <t>Sudarshan Chemical Industries Ltd.</t>
  </si>
  <si>
    <t>NSE:SUDARSCHEM</t>
  </si>
  <si>
    <t>Sumitomo Chemical India Ltd.</t>
  </si>
  <si>
    <t>NSE:SUMICHEM</t>
  </si>
  <si>
    <t>Sun Pharma Advanced Research Company Ltd.</t>
  </si>
  <si>
    <t>NSE:SPARC</t>
  </si>
  <si>
    <t>Sun Pharmaceutical Industries Ltd.</t>
  </si>
  <si>
    <t>NSE:SUNPHARMA</t>
  </si>
  <si>
    <t>Sun TV Network Ltd.</t>
  </si>
  <si>
    <t>NSE:SUNTV</t>
  </si>
  <si>
    <t>Sundaram Finance Ltd.</t>
  </si>
  <si>
    <t>NSE:SUNDARMFIN</t>
  </si>
  <si>
    <t>Sundram Fasteners Ltd.</t>
  </si>
  <si>
    <t>NSE:SUNDRMFAST</t>
  </si>
  <si>
    <t>Sunteck Realty Ltd.</t>
  </si>
  <si>
    <t>NSE:SUNTECK</t>
  </si>
  <si>
    <t>Suprajit Engineering Ltd.</t>
  </si>
  <si>
    <t>NSE:SUPRAJIT</t>
  </si>
  <si>
    <t>Supreme Industries Ltd.</t>
  </si>
  <si>
    <t>NSE:SUPREMEIND</t>
  </si>
  <si>
    <t>Supreme Petrochem Ltd.</t>
  </si>
  <si>
    <t>NSE:SUPPETRO</t>
  </si>
  <si>
    <t>Suven Pharmaceuticals Ltd.</t>
  </si>
  <si>
    <t>NSE:SUVENPHAR</t>
  </si>
  <si>
    <t>Suzlon Energy Ltd.</t>
  </si>
  <si>
    <t>NSE:SUZLON</t>
  </si>
  <si>
    <t>Swan Energy Ltd.</t>
  </si>
  <si>
    <t>NSE:SWANENERGY</t>
  </si>
  <si>
    <t>Swaraj Engines Ltd.</t>
  </si>
  <si>
    <t>NSE:SWARAJENG</t>
  </si>
  <si>
    <t>Symphony Ltd.</t>
  </si>
  <si>
    <t>NSE:SYMPHONY</t>
  </si>
  <si>
    <t>Syngene International Ltd.</t>
  </si>
  <si>
    <t>NSE:SYNGENE</t>
  </si>
  <si>
    <t>TCI Express Ltd.</t>
  </si>
  <si>
    <t>NSE:TCIEXP</t>
  </si>
  <si>
    <t>TCNS Clothing Co. Ltd.</t>
  </si>
  <si>
    <t>NSE:TCNSBRANDS</t>
  </si>
  <si>
    <t>TTK Prestige Ltd.</t>
  </si>
  <si>
    <t>NSE:TTKPRESTIG</t>
  </si>
  <si>
    <t>TV Today Network Ltd.</t>
  </si>
  <si>
    <t>NSE:TVTODAY</t>
  </si>
  <si>
    <t>TV18 Broadcast Ltd.</t>
  </si>
  <si>
    <t>NSE:TV18BRDCST</t>
  </si>
  <si>
    <t>TVS Motor Company Ltd.</t>
  </si>
  <si>
    <t>NSE:TVSMOTOR</t>
  </si>
  <si>
    <t>Tasty Bite Eatables Ltd.</t>
  </si>
  <si>
    <t>NSE:TASTYBITE</t>
  </si>
  <si>
    <t>Tata Chemicals Ltd.</t>
  </si>
  <si>
    <t>NSE:TATACHEM</t>
  </si>
  <si>
    <t>Tata Coffee Ltd.</t>
  </si>
  <si>
    <t>NSE:TATACOFFEE</t>
  </si>
  <si>
    <t>Tata Communications Ltd.</t>
  </si>
  <si>
    <t>NSE:TATACOMM</t>
  </si>
  <si>
    <t>Tata Consultancy Services Ltd.</t>
  </si>
  <si>
    <t>NSE:TCS</t>
  </si>
  <si>
    <t>Tata Consumer Products Ltd.</t>
  </si>
  <si>
    <t>NSE:TATACONSUM</t>
  </si>
  <si>
    <t>Tata Elxsi Ltd.</t>
  </si>
  <si>
    <t>NSE:TATAELXSI</t>
  </si>
  <si>
    <t>Tata Investment Corporation Ltd.</t>
  </si>
  <si>
    <t>NSE:TATAINVEST</t>
  </si>
  <si>
    <t>Tata Motors Ltd DVR</t>
  </si>
  <si>
    <t>NSE:TATAMTRDVR</t>
  </si>
  <si>
    <t>Tata Motors Ltd.</t>
  </si>
  <si>
    <t>NSE:TATAMOTORS</t>
  </si>
  <si>
    <t>Tata Power Co. Ltd.</t>
  </si>
  <si>
    <t>NSE:TATAPOWER</t>
  </si>
  <si>
    <t>Tata Steel BSL Ltd.</t>
  </si>
  <si>
    <t>NSE:TATASTLBSL</t>
  </si>
  <si>
    <t>Tata Steel Ltd.</t>
  </si>
  <si>
    <t>NSE:TATASTEEL</t>
  </si>
  <si>
    <t>Teamlease Services Ltd.</t>
  </si>
  <si>
    <t>NSE:TEAMLEASE</t>
  </si>
  <si>
    <t>Tech Mahindra Ltd.</t>
  </si>
  <si>
    <t>NSE:TECHM</t>
  </si>
  <si>
    <t>The New India Assurance Company Ltd.</t>
  </si>
  <si>
    <t>NSE:NIACL</t>
  </si>
  <si>
    <t>The Ramco Cements Ltd.</t>
  </si>
  <si>
    <t>NSE:RAMCOCEM</t>
  </si>
  <si>
    <t>Thermax Ltd.</t>
  </si>
  <si>
    <t>NSE:THERMAX</t>
  </si>
  <si>
    <t>Thyrocare Technologies Ltd.</t>
  </si>
  <si>
    <t>NSE:THYROCARE</t>
  </si>
  <si>
    <t>Timken India Ltd.</t>
  </si>
  <si>
    <t>NSE:TIMKEN</t>
  </si>
  <si>
    <t>Titan Company Ltd.</t>
  </si>
  <si>
    <t>NSE:TITAN</t>
  </si>
  <si>
    <t>Torrent Pharmaceuticals Ltd.</t>
  </si>
  <si>
    <t>NSE:TORNTPHARM</t>
  </si>
  <si>
    <t>Torrent Power Ltd.</t>
  </si>
  <si>
    <t>NSE:TORNTPOWER</t>
  </si>
  <si>
    <t>Trent Ltd.</t>
  </si>
  <si>
    <t>NSE:TRENT</t>
  </si>
  <si>
    <t>Trident Ltd.</t>
  </si>
  <si>
    <t>NSE:TRIDENT</t>
  </si>
  <si>
    <t>Tube Investments of India Ltd.</t>
  </si>
  <si>
    <t>NSE:TIINDIA</t>
  </si>
  <si>
    <t>UCO Bank</t>
  </si>
  <si>
    <t>NSE:UCOBANK</t>
  </si>
  <si>
    <t>UFLEX Ltd.</t>
  </si>
  <si>
    <t>NSE:UFLEX</t>
  </si>
  <si>
    <t>UPL Ltd.</t>
  </si>
  <si>
    <t>NSE:UPL</t>
  </si>
  <si>
    <t>Ujjivan Financial Services Ltd.</t>
  </si>
  <si>
    <t>NSE:UJJIVAN</t>
  </si>
  <si>
    <t>Ujjivan Small Finance Bank Ltd.</t>
  </si>
  <si>
    <t>NSE:UJJIVANSFB</t>
  </si>
  <si>
    <t>UltraTech Cement Ltd.</t>
  </si>
  <si>
    <t>NSE:ULTRACEMCO</t>
  </si>
  <si>
    <t>Union Bank of India</t>
  </si>
  <si>
    <t>NSE:UNIONBANK</t>
  </si>
  <si>
    <t>United Breweries Ltd.</t>
  </si>
  <si>
    <t>NSE:UBL</t>
  </si>
  <si>
    <t>United Spirits Ltd.</t>
  </si>
  <si>
    <t>NSE:MCDOWELL-N</t>
  </si>
  <si>
    <t>V-Guard Industries Ltd.</t>
  </si>
  <si>
    <t>NSE:VGUARD</t>
  </si>
  <si>
    <t>V-Mart Retail Ltd.</t>
  </si>
  <si>
    <t>NSE:VMART</t>
  </si>
  <si>
    <t>V.I.P. Industries Ltd.</t>
  </si>
  <si>
    <t>NSE:VIPIND</t>
  </si>
  <si>
    <t>VRL Logistics Ltd.</t>
  </si>
  <si>
    <t>NSE:VRLLOG</t>
  </si>
  <si>
    <t>VST Industries Ltd.</t>
  </si>
  <si>
    <t>NSE:VSTIND</t>
  </si>
  <si>
    <t>Vaibhav Global Ltd.</t>
  </si>
  <si>
    <t>NSE:VAIBHAVGBL</t>
  </si>
  <si>
    <t>Vakrangee Ltd.</t>
  </si>
  <si>
    <t>NSE:VAKRANGEE</t>
  </si>
  <si>
    <t>Vardhman Textiles Ltd.</t>
  </si>
  <si>
    <t>NSE:VTL</t>
  </si>
  <si>
    <t>Varroc Engineering Ltd.</t>
  </si>
  <si>
    <t>NSE:VARROC</t>
  </si>
  <si>
    <t>Varun Beverages Ltd.</t>
  </si>
  <si>
    <t>NSE:VBL</t>
  </si>
  <si>
    <t>Venky's (India) Ltd.</t>
  </si>
  <si>
    <t>NSE:VENKEYS</t>
  </si>
  <si>
    <t>Vinati Organics Ltd.</t>
  </si>
  <si>
    <t>NSE:VINATIORGA</t>
  </si>
  <si>
    <t>Vodafone Idea Ltd.</t>
  </si>
  <si>
    <t>NSE:IDEA</t>
  </si>
  <si>
    <t>Voltas Ltd.</t>
  </si>
  <si>
    <t>NSE:VOLTAS</t>
  </si>
  <si>
    <t>WABCO India Ltd.</t>
  </si>
  <si>
    <t>NSE:WABCOINDIA</t>
  </si>
  <si>
    <t>Welspun Corp Ltd.</t>
  </si>
  <si>
    <t>NSE:WELCORP</t>
  </si>
  <si>
    <t>Welspun India Ltd.</t>
  </si>
  <si>
    <t>NSE:WELSPUNIND</t>
  </si>
  <si>
    <t>Westlife Development Ltd.</t>
  </si>
  <si>
    <t>NSE:WESTLIFE</t>
  </si>
  <si>
    <t>Whirlpool of India Ltd.</t>
  </si>
  <si>
    <t>NSE:WHIRLPOOL</t>
  </si>
  <si>
    <t>Wipro Ltd.</t>
  </si>
  <si>
    <t>NSE:WIPRO</t>
  </si>
  <si>
    <t>Wockhardt Ltd.</t>
  </si>
  <si>
    <t>NSE:WOCKPHARMA</t>
  </si>
  <si>
    <t>Yes Bank Ltd.</t>
  </si>
  <si>
    <t>NSE:YESBANK</t>
  </si>
  <si>
    <t>Zee Entertainment Enterprises Ltd.</t>
  </si>
  <si>
    <t>NSE:ZEEL</t>
  </si>
  <si>
    <t>Zensar Technolgies Ltd.</t>
  </si>
  <si>
    <t>NSE:ZENSARTECH</t>
  </si>
  <si>
    <t>Zydus Wellness Ltd.</t>
  </si>
  <si>
    <t>NSE:ZYDUSWELL</t>
  </si>
  <si>
    <t>eClerx Services Ltd.</t>
  </si>
  <si>
    <t>NSE:ECLERX</t>
  </si>
  <si>
    <t>Stock Name</t>
  </si>
  <si>
    <t>Amount Invested</t>
  </si>
  <si>
    <t>Stock Price</t>
  </si>
  <si>
    <t>Qty Bought</t>
  </si>
  <si>
    <t>Market Value</t>
  </si>
  <si>
    <t>Reliance</t>
  </si>
  <si>
    <t>Bata India</t>
  </si>
  <si>
    <t>TATA Motors</t>
  </si>
  <si>
    <t>Lupin</t>
  </si>
  <si>
    <t>Dr Reddy Lab</t>
  </si>
  <si>
    <t>Cipla</t>
  </si>
  <si>
    <t>Date of Trade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</si>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</sst>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m/dd/yyyy"/>
  </numFmts>
  <fonts count="3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165" fontId="2" fillId="0" borderId="0" xfId="0" applyNumberFormat="1" applyFont="1" applyAlignme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502"/>
  <sheetViews>
    <sheetView workbookViewId="0"/>
  </sheetViews>
  <sheetFormatPr defaultColWidth="14.42578125" defaultRowHeight="15.75" customHeight="1" x14ac:dyDescent="0.2"/>
  <cols>
    <col min="1" max="1" width="48.28515625" customWidth="1"/>
    <col min="6" max="6" width="15.7109375" customWidth="1"/>
    <col min="8" max="8" width="20.8554687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tr">
        <f ca="1">IFERROR(__xludf.DUMMYFUNCTION("GOOGLEFINANCE(""INDEXNSE:NIFTY_50"",""all"",""01/01/2020"", today(),""weekly"")"),"Date")</f>
        <v>Date</v>
      </c>
      <c r="L1" t="str">
        <f ca="1">IFERROR(__xludf.DUMMYFUNCTION("""COMPUTED_VALUE"""),"Open")</f>
        <v>Open</v>
      </c>
      <c r="M1" t="str">
        <f ca="1">IFERROR(__xludf.DUMMYFUNCTION("""COMPUTED_VALUE"""),"High")</f>
        <v>High</v>
      </c>
      <c r="N1" t="str">
        <f ca="1">IFERROR(__xludf.DUMMYFUNCTION("""COMPUTED_VALUE"""),"Low")</f>
        <v>Low</v>
      </c>
      <c r="O1" t="str">
        <f ca="1">IFERROR(__xludf.DUMMYFUNCTION("""COMPUTED_VALUE"""),"Close")</f>
        <v>Close</v>
      </c>
      <c r="P1" t="str">
        <f ca="1">IFERROR(__xludf.DUMMYFUNCTION("""COMPUTED_VALUE"""),"Volume")</f>
        <v>Volume</v>
      </c>
    </row>
    <row r="2" spans="1:16" ht="12.75" hidden="1" x14ac:dyDescent="0.2">
      <c r="A2" s="1" t="s">
        <v>10</v>
      </c>
      <c r="B2" s="1" t="s">
        <v>11</v>
      </c>
      <c r="C2" s="1" t="s">
        <v>12</v>
      </c>
      <c r="D2" s="1" t="s">
        <v>13</v>
      </c>
      <c r="E2">
        <f ca="1">IFERROR(__xludf.DUMMYFUNCTION("GOOGLEFINANCE(C2)"),21040)</f>
        <v>21040</v>
      </c>
      <c r="F2">
        <f ca="1">IFERROR(__xludf.DUMMYFUNCTION("GOOGLEFINANCE(C2,""change"")"),329.1)</f>
        <v>329.1</v>
      </c>
      <c r="G2" s="2">
        <f ca="1">IFERROR(__xludf.DUMMYFUNCTION("GOOGLEFINANCE(C2,""changepct"")/100"),0.0159)</f>
        <v>1.5900000000000001E-2</v>
      </c>
      <c r="H2">
        <f ca="1">IFERROR(__xludf.DUMMYFUNCTION("GOOGLEFINANCE(C2,""marketcap"")"),235794427315)</f>
        <v>235794427315</v>
      </c>
      <c r="I2">
        <f ca="1">IFERROR(__xludf.DUMMYFUNCTION("GOOGLEFINANCE(""INDEXNSE:NIFTY_50"")"),15314.7)</f>
        <v>15314.7</v>
      </c>
      <c r="J2" s="2">
        <f ca="1">IFERROR(__xludf.DUMMYFUNCTION("GOOGLEFINANCE(""INDEXNSE:NIFTY_50"",""changepct"")/100"),0.01)</f>
        <v>0.01</v>
      </c>
      <c r="K2" s="3">
        <f ca="1">IFERROR(__xludf.DUMMYFUNCTION("""COMPUTED_VALUE"""),43833.6458333333)</f>
        <v>43833.645833333299</v>
      </c>
      <c r="L2">
        <f ca="1">IFERROR(__xludf.DUMMYFUNCTION("""COMPUTED_VALUE"""),12274.9)</f>
        <v>12274.9</v>
      </c>
      <c r="M2">
        <f ca="1">IFERROR(__xludf.DUMMYFUNCTION("""COMPUTED_VALUE"""),12289.9)</f>
        <v>12289.9</v>
      </c>
      <c r="N2">
        <f ca="1">IFERROR(__xludf.DUMMYFUNCTION("""COMPUTED_VALUE"""),12151.8)</f>
        <v>12151.8</v>
      </c>
      <c r="O2">
        <f ca="1">IFERROR(__xludf.DUMMYFUNCTION("""COMPUTED_VALUE"""),12226.65)</f>
        <v>12226.65</v>
      </c>
      <c r="P2">
        <f ca="1">IFERROR(__xludf.DUMMYFUNCTION("""COMPUTED_VALUE"""),0)</f>
        <v>0</v>
      </c>
    </row>
    <row r="3" spans="1:16" ht="12.75" hidden="1" x14ac:dyDescent="0.2">
      <c r="A3" s="1" t="s">
        <v>14</v>
      </c>
      <c r="B3" s="1" t="s">
        <v>15</v>
      </c>
      <c r="C3" s="1" t="s">
        <v>16</v>
      </c>
      <c r="D3" s="1" t="s">
        <v>13</v>
      </c>
      <c r="E3">
        <f ca="1">IFERROR(__xludf.DUMMYFUNCTION("GOOGLEFINANCE(C3)"),1473.95)</f>
        <v>1473.95</v>
      </c>
      <c r="F3">
        <f ca="1">IFERROR(__xludf.DUMMYFUNCTION("GOOGLEFINANCE(C3,""change"")"),7.1)</f>
        <v>7.1</v>
      </c>
      <c r="G3" s="2">
        <f ca="1">IFERROR(__xludf.DUMMYFUNCTION("GOOGLEFINANCE(C3,""changepct"")/100"),0.0048)</f>
        <v>4.7999999999999996E-3</v>
      </c>
      <c r="H3">
        <f ca="1">IFERROR(__xludf.DUMMYFUNCTION("GOOGLEFINANCE(C3,""marketcap"")"),310806100000)</f>
        <v>310806100000</v>
      </c>
      <c r="K3" s="3">
        <f ca="1">IFERROR(__xludf.DUMMYFUNCTION("""COMPUTED_VALUE"""),43840.6458333333)</f>
        <v>43840.645833333299</v>
      </c>
      <c r="L3">
        <f ca="1">IFERROR(__xludf.DUMMYFUNCTION("""COMPUTED_VALUE"""),12170.6)</f>
        <v>12170.6</v>
      </c>
      <c r="M3">
        <f ca="1">IFERROR(__xludf.DUMMYFUNCTION("""COMPUTED_VALUE"""),12311.2)</f>
        <v>12311.2</v>
      </c>
      <c r="N3">
        <f ca="1">IFERROR(__xludf.DUMMYFUNCTION("""COMPUTED_VALUE"""),11929.6)</f>
        <v>11929.6</v>
      </c>
      <c r="O3">
        <f ca="1">IFERROR(__xludf.DUMMYFUNCTION("""COMPUTED_VALUE"""),12256.8)</f>
        <v>12256.8</v>
      </c>
      <c r="P3">
        <f ca="1">IFERROR(__xludf.DUMMYFUNCTION("""COMPUTED_VALUE"""),0)</f>
        <v>0</v>
      </c>
    </row>
    <row r="4" spans="1:16" ht="12.75" hidden="1" x14ac:dyDescent="0.2">
      <c r="A4" s="1" t="s">
        <v>17</v>
      </c>
      <c r="B4" s="1" t="s">
        <v>15</v>
      </c>
      <c r="C4" s="1" t="s">
        <v>18</v>
      </c>
      <c r="D4" s="1" t="s">
        <v>13</v>
      </c>
      <c r="E4">
        <f ca="1">IFERROR(__xludf.DUMMYFUNCTION("GOOGLEFINANCE(C4)"),1340)</f>
        <v>1340</v>
      </c>
      <c r="F4">
        <f ca="1">IFERROR(__xludf.DUMMYFUNCTION("GOOGLEFINANCE(C4,""change"")"),43.45)</f>
        <v>43.45</v>
      </c>
      <c r="G4" s="2">
        <f ca="1">IFERROR(__xludf.DUMMYFUNCTION("GOOGLEFINANCE(C4,""changepct"")/100"),0.0335)</f>
        <v>3.3500000000000002E-2</v>
      </c>
      <c r="H4">
        <f ca="1">IFERROR(__xludf.DUMMYFUNCTION("GOOGLEFINANCE(C4,""marketcap"")"),57316776698)</f>
        <v>57316776698</v>
      </c>
      <c r="K4" s="3">
        <f ca="1">IFERROR(__xludf.DUMMYFUNCTION("""COMPUTED_VALUE"""),43847.6458333333)</f>
        <v>43847.645833333299</v>
      </c>
      <c r="L4">
        <f ca="1">IFERROR(__xludf.DUMMYFUNCTION("""COMPUTED_VALUE"""),12296.7)</f>
        <v>12296.7</v>
      </c>
      <c r="M4">
        <f ca="1">IFERROR(__xludf.DUMMYFUNCTION("""COMPUTED_VALUE"""),12389.05)</f>
        <v>12389.05</v>
      </c>
      <c r="N4">
        <f ca="1">IFERROR(__xludf.DUMMYFUNCTION("""COMPUTED_VALUE"""),12278.75)</f>
        <v>12278.75</v>
      </c>
      <c r="O4">
        <f ca="1">IFERROR(__xludf.DUMMYFUNCTION("""COMPUTED_VALUE"""),12352.35)</f>
        <v>12352.35</v>
      </c>
      <c r="P4">
        <f ca="1">IFERROR(__xludf.DUMMYFUNCTION("""COMPUTED_VALUE"""),0)</f>
        <v>0</v>
      </c>
    </row>
    <row r="5" spans="1:16" ht="12.75" x14ac:dyDescent="0.2">
      <c r="A5" s="1" t="s">
        <v>19</v>
      </c>
      <c r="B5" s="1" t="s">
        <v>20</v>
      </c>
      <c r="C5" s="1" t="s">
        <v>21</v>
      </c>
      <c r="D5" s="1" t="s">
        <v>22</v>
      </c>
      <c r="E5">
        <f ca="1">IFERROR(__xludf.DUMMYFUNCTION("GOOGLEFINANCE(C5)"),1787.25)</f>
        <v>1787.25</v>
      </c>
      <c r="F5">
        <f ca="1">IFERROR(__xludf.DUMMYFUNCTION("GOOGLEFINANCE(C5,""change"")"),21.5)</f>
        <v>21.5</v>
      </c>
      <c r="G5" s="2">
        <f ca="1">IFERROR(__xludf.DUMMYFUNCTION("GOOGLEFINANCE(C5,""changepct"")/100"),0.0121999999999999)</f>
        <v>1.21999999999999E-2</v>
      </c>
      <c r="H5">
        <f ca="1">IFERROR(__xludf.DUMMYFUNCTION("GOOGLEFINANCE(C5,""marketcap"")"),335123671005)</f>
        <v>335123671005</v>
      </c>
      <c r="K5" s="3">
        <f ca="1">IFERROR(__xludf.DUMMYFUNCTION("""COMPUTED_VALUE"""),43854.6458333333)</f>
        <v>43854.645833333299</v>
      </c>
      <c r="L5">
        <f ca="1">IFERROR(__xludf.DUMMYFUNCTION("""COMPUTED_VALUE"""),12430.5)</f>
        <v>12430.5</v>
      </c>
      <c r="M5">
        <f ca="1">IFERROR(__xludf.DUMMYFUNCTION("""COMPUTED_VALUE"""),12430.5)</f>
        <v>12430.5</v>
      </c>
      <c r="N5">
        <f ca="1">IFERROR(__xludf.DUMMYFUNCTION("""COMPUTED_VALUE"""),12087.9)</f>
        <v>12087.9</v>
      </c>
      <c r="O5">
        <f ca="1">IFERROR(__xludf.DUMMYFUNCTION("""COMPUTED_VALUE"""),12248.25)</f>
        <v>12248.25</v>
      </c>
      <c r="P5">
        <f ca="1">IFERROR(__xludf.DUMMYFUNCTION("""COMPUTED_VALUE"""),0)</f>
        <v>0</v>
      </c>
    </row>
    <row r="6" spans="1:16" ht="12.75" hidden="1" x14ac:dyDescent="0.2">
      <c r="A6" s="1" t="s">
        <v>23</v>
      </c>
      <c r="B6" s="1" t="s">
        <v>15</v>
      </c>
      <c r="C6" s="1" t="s">
        <v>24</v>
      </c>
      <c r="D6" s="1" t="s">
        <v>13</v>
      </c>
      <c r="E6">
        <f ca="1">IFERROR(__xludf.DUMMYFUNCTION("GOOGLEFINANCE(C6)"),1960)</f>
        <v>1960</v>
      </c>
      <c r="F6">
        <f ca="1">IFERROR(__xludf.DUMMYFUNCTION("GOOGLEFINANCE(C6,""change"")"),-7.15)</f>
        <v>-7.15</v>
      </c>
      <c r="G6" s="2">
        <f ca="1">IFERROR(__xludf.DUMMYFUNCTION("GOOGLEFINANCE(C6,""changepct"")/100"),-0.0036)</f>
        <v>-3.5999999999999999E-3</v>
      </c>
      <c r="H6">
        <f ca="1">IFERROR(__xludf.DUMMYFUNCTION("GOOGLEFINANCE(C6,""marketcap"")"),184867905600)</f>
        <v>184867905600</v>
      </c>
      <c r="K6" s="3">
        <f ca="1">IFERROR(__xludf.DUMMYFUNCTION("""COMPUTED_VALUE"""),43862.7083333333)</f>
        <v>43862.708333333299</v>
      </c>
      <c r="L6">
        <f ca="1">IFERROR(__xludf.DUMMYFUNCTION("""COMPUTED_VALUE"""),12197.1)</f>
        <v>12197.1</v>
      </c>
      <c r="M6">
        <f ca="1">IFERROR(__xludf.DUMMYFUNCTION("""COMPUTED_VALUE"""),12216.6)</f>
        <v>12216.6</v>
      </c>
      <c r="N6">
        <f ca="1">IFERROR(__xludf.DUMMYFUNCTION("""COMPUTED_VALUE"""),11633.3)</f>
        <v>11633.3</v>
      </c>
      <c r="O6">
        <f ca="1">IFERROR(__xludf.DUMMYFUNCTION("""COMPUTED_VALUE"""),11641.25)</f>
        <v>11641.25</v>
      </c>
      <c r="P6">
        <f ca="1">IFERROR(__xludf.DUMMYFUNCTION("""COMPUTED_VALUE"""),0)</f>
        <v>0</v>
      </c>
    </row>
    <row r="7" spans="1:16" ht="12.75" hidden="1" x14ac:dyDescent="0.2">
      <c r="A7" s="1" t="s">
        <v>25</v>
      </c>
      <c r="B7" s="1" t="s">
        <v>26</v>
      </c>
      <c r="C7" s="1" t="s">
        <v>27</v>
      </c>
      <c r="D7" s="1" t="s">
        <v>13</v>
      </c>
      <c r="E7">
        <f ca="1">IFERROR(__xludf.DUMMYFUNCTION("GOOGLEFINANCE(C7)"),980)</f>
        <v>980</v>
      </c>
      <c r="F7">
        <f ca="1">IFERROR(__xludf.DUMMYFUNCTION("GOOGLEFINANCE(C7,""change"")"),32.45)</f>
        <v>32.450000000000003</v>
      </c>
      <c r="G7" s="2">
        <f ca="1">IFERROR(__xludf.DUMMYFUNCTION("GOOGLEFINANCE(C7,""changepct"")/100"),0.0342)</f>
        <v>3.4200000000000001E-2</v>
      </c>
      <c r="H7">
        <f ca="1">IFERROR(__xludf.DUMMYFUNCTION("GOOGLEFINANCE(C7,""marketcap"")"),122079486250)</f>
        <v>122079486250</v>
      </c>
      <c r="K7" s="3">
        <f ca="1">IFERROR(__xludf.DUMMYFUNCTION("""COMPUTED_VALUE"""),43868.6458333333)</f>
        <v>43868.645833333299</v>
      </c>
      <c r="L7">
        <f ca="1">IFERROR(__xludf.DUMMYFUNCTION("""COMPUTED_VALUE"""),11627.45)</f>
        <v>11627.45</v>
      </c>
      <c r="M7">
        <f ca="1">IFERROR(__xludf.DUMMYFUNCTION("""COMPUTED_VALUE"""),12160.6)</f>
        <v>12160.6</v>
      </c>
      <c r="N7">
        <f ca="1">IFERROR(__xludf.DUMMYFUNCTION("""COMPUTED_VALUE"""),11614.5)</f>
        <v>11614.5</v>
      </c>
      <c r="O7">
        <f ca="1">IFERROR(__xludf.DUMMYFUNCTION("""COMPUTED_VALUE"""),12098.35)</f>
        <v>12098.35</v>
      </c>
      <c r="P7">
        <f ca="1">IFERROR(__xludf.DUMMYFUNCTION("""COMPUTED_VALUE"""),0)</f>
        <v>0</v>
      </c>
    </row>
    <row r="8" spans="1:16" ht="12.75" hidden="1" x14ac:dyDescent="0.2">
      <c r="A8" s="1" t="s">
        <v>28</v>
      </c>
      <c r="B8" s="1" t="s">
        <v>29</v>
      </c>
      <c r="C8" s="1" t="s">
        <v>30</v>
      </c>
      <c r="D8" s="1" t="s">
        <v>13</v>
      </c>
      <c r="E8">
        <f ca="1">IFERROR(__xludf.DUMMYFUNCTION("GOOGLEFINANCE(C8)"),1097.55)</f>
        <v>1097.55</v>
      </c>
      <c r="F8">
        <f ca="1">IFERROR(__xludf.DUMMYFUNCTION("GOOGLEFINANCE(C8,""change"")"),-1.75)</f>
        <v>-1.75</v>
      </c>
      <c r="G8" s="2">
        <f ca="1">IFERROR(__xludf.DUMMYFUNCTION("GOOGLEFINANCE(C8,""changepct"")/100"),-0.0016)</f>
        <v>-1.6000000000000001E-3</v>
      </c>
      <c r="H8">
        <f ca="1">IFERROR(__xludf.DUMMYFUNCTION("GOOGLEFINANCE(C8,""marketcap"")"),334013444436)</f>
        <v>334013444436</v>
      </c>
      <c r="K8" s="3">
        <f ca="1">IFERROR(__xludf.DUMMYFUNCTION("""COMPUTED_VALUE"""),43875.6458333333)</f>
        <v>43875.645833333299</v>
      </c>
      <c r="L8">
        <f ca="1">IFERROR(__xludf.DUMMYFUNCTION("""COMPUTED_VALUE"""),12102.35)</f>
        <v>12102.35</v>
      </c>
      <c r="M8">
        <f ca="1">IFERROR(__xludf.DUMMYFUNCTION("""COMPUTED_VALUE"""),12246.7)</f>
        <v>12246.7</v>
      </c>
      <c r="N8">
        <f ca="1">IFERROR(__xludf.DUMMYFUNCTION("""COMPUTED_VALUE"""),11990.75)</f>
        <v>11990.75</v>
      </c>
      <c r="O8">
        <f ca="1">IFERROR(__xludf.DUMMYFUNCTION("""COMPUTED_VALUE"""),12113.45)</f>
        <v>12113.45</v>
      </c>
      <c r="P8">
        <f ca="1">IFERROR(__xludf.DUMMYFUNCTION("""COMPUTED_VALUE"""),0)</f>
        <v>0</v>
      </c>
    </row>
    <row r="9" spans="1:16" ht="12.75" hidden="1" x14ac:dyDescent="0.2">
      <c r="A9" s="1" t="s">
        <v>31</v>
      </c>
      <c r="B9" s="1" t="s">
        <v>32</v>
      </c>
      <c r="C9" s="1" t="s">
        <v>33</v>
      </c>
      <c r="D9" s="1" t="s">
        <v>13</v>
      </c>
      <c r="E9">
        <f ca="1">IFERROR(__xludf.DUMMYFUNCTION("GOOGLEFINANCE(C9)"),644.75)</f>
        <v>644.75</v>
      </c>
      <c r="F9">
        <f ca="1">IFERROR(__xludf.DUMMYFUNCTION("GOOGLEFINANCE(C9,""change"")"),-11.25)</f>
        <v>-11.25</v>
      </c>
      <c r="G9" s="2">
        <f ca="1">IFERROR(__xludf.DUMMYFUNCTION("GOOGLEFINANCE(C9,""changepct"")/100"),-0.0171)</f>
        <v>-1.7100000000000001E-2</v>
      </c>
      <c r="H9">
        <f ca="1">IFERROR(__xludf.DUMMYFUNCTION("GOOGLEFINANCE(C9,""marketcap"")"),59956641310)</f>
        <v>59956641310</v>
      </c>
      <c r="K9" s="3">
        <f ca="1">IFERROR(__xludf.DUMMYFUNCTION("""COMPUTED_VALUE"""),43881.6458333333)</f>
        <v>43881.645833333299</v>
      </c>
      <c r="L9">
        <f ca="1">IFERROR(__xludf.DUMMYFUNCTION("""COMPUTED_VALUE"""),12131.8)</f>
        <v>12131.8</v>
      </c>
      <c r="M9">
        <f ca="1">IFERROR(__xludf.DUMMYFUNCTION("""COMPUTED_VALUE"""),12159.6)</f>
        <v>12159.6</v>
      </c>
      <c r="N9">
        <f ca="1">IFERROR(__xludf.DUMMYFUNCTION("""COMPUTED_VALUE"""),11908.05)</f>
        <v>11908.05</v>
      </c>
      <c r="O9">
        <f ca="1">IFERROR(__xludf.DUMMYFUNCTION("""COMPUTED_VALUE"""),12080.85)</f>
        <v>12080.85</v>
      </c>
      <c r="P9">
        <f ca="1">IFERROR(__xludf.DUMMYFUNCTION("""COMPUTED_VALUE"""),0)</f>
        <v>0</v>
      </c>
    </row>
    <row r="10" spans="1:16" ht="12.75" x14ac:dyDescent="0.2">
      <c r="A10" s="1" t="s">
        <v>34</v>
      </c>
      <c r="B10" s="1" t="s">
        <v>35</v>
      </c>
      <c r="C10" s="1" t="s">
        <v>36</v>
      </c>
      <c r="D10" s="1" t="s">
        <v>22</v>
      </c>
      <c r="E10">
        <f ca="1">IFERROR(__xludf.DUMMYFUNCTION("GOOGLEFINANCE(C10)"),1215)</f>
        <v>1215</v>
      </c>
      <c r="F10">
        <f ca="1">IFERROR(__xludf.DUMMYFUNCTION("GOOGLEFINANCE(C10,""change"")"),0.85)</f>
        <v>0.85</v>
      </c>
      <c r="G10" s="2">
        <f ca="1">IFERROR(__xludf.DUMMYFUNCTION("GOOGLEFINANCE(C10,""changepct"")/100"),0.0007)</f>
        <v>6.9999999999999999E-4</v>
      </c>
      <c r="H10">
        <f ca="1">IFERROR(__xludf.DUMMYFUNCTION("GOOGLEFINANCE(C10,""marketcap"")"),211817178350)</f>
        <v>211817178350</v>
      </c>
      <c r="K10" s="3">
        <f ca="1">IFERROR(__xludf.DUMMYFUNCTION("""COMPUTED_VALUE"""),43889.6458333333)</f>
        <v>43889.645833333299</v>
      </c>
      <c r="L10">
        <f ca="1">IFERROR(__xludf.DUMMYFUNCTION("""COMPUTED_VALUE"""),12012.55)</f>
        <v>12012.55</v>
      </c>
      <c r="M10">
        <f ca="1">IFERROR(__xludf.DUMMYFUNCTION("""COMPUTED_VALUE"""),12012.55)</f>
        <v>12012.55</v>
      </c>
      <c r="N10">
        <f ca="1">IFERROR(__xludf.DUMMYFUNCTION("""COMPUTED_VALUE"""),11175.05)</f>
        <v>11175.05</v>
      </c>
      <c r="O10">
        <f ca="1">IFERROR(__xludf.DUMMYFUNCTION("""COMPUTED_VALUE"""),11201.75)</f>
        <v>11201.75</v>
      </c>
      <c r="P10">
        <f ca="1">IFERROR(__xludf.DUMMYFUNCTION("""COMPUTED_VALUE"""),0)</f>
        <v>0</v>
      </c>
    </row>
    <row r="11" spans="1:16" ht="12.75" hidden="1" x14ac:dyDescent="0.2">
      <c r="A11" s="1" t="s">
        <v>37</v>
      </c>
      <c r="B11" s="1" t="s">
        <v>29</v>
      </c>
      <c r="C11" s="1" t="s">
        <v>38</v>
      </c>
      <c r="D11" s="1" t="s">
        <v>13</v>
      </c>
      <c r="E11">
        <f ca="1">IFERROR(__xludf.DUMMYFUNCTION("GOOGLEFINANCE(C11)"),2213)</f>
        <v>2213</v>
      </c>
      <c r="F11">
        <f ca="1">IFERROR(__xludf.DUMMYFUNCTION("GOOGLEFINANCE(C11,""change"")"),-87.2)</f>
        <v>-87.2</v>
      </c>
      <c r="G11" s="2">
        <f ca="1">IFERROR(__xludf.DUMMYFUNCTION("GOOGLEFINANCE(C11,""changepct"")/100"),-0.0379)</f>
        <v>-3.7900000000000003E-2</v>
      </c>
      <c r="H11">
        <f ca="1">IFERROR(__xludf.DUMMYFUNCTION("GOOGLEFINANCE(C11,""marketcap"")"),173847411673)</f>
        <v>173847411673</v>
      </c>
      <c r="K11" s="3">
        <f ca="1">IFERROR(__xludf.DUMMYFUNCTION("""COMPUTED_VALUE"""),43896.6458333333)</f>
        <v>43896.645833333299</v>
      </c>
      <c r="L11">
        <f ca="1">IFERROR(__xludf.DUMMYFUNCTION("""COMPUTED_VALUE"""),11387.35)</f>
        <v>11387.35</v>
      </c>
      <c r="M11">
        <f ca="1">IFERROR(__xludf.DUMMYFUNCTION("""COMPUTED_VALUE"""),11433)</f>
        <v>11433</v>
      </c>
      <c r="N11">
        <f ca="1">IFERROR(__xludf.DUMMYFUNCTION("""COMPUTED_VALUE"""),10827.4)</f>
        <v>10827.4</v>
      </c>
      <c r="O11">
        <f ca="1">IFERROR(__xludf.DUMMYFUNCTION("""COMPUTED_VALUE"""),10989.45)</f>
        <v>10989.45</v>
      </c>
      <c r="P11">
        <f ca="1">IFERROR(__xludf.DUMMYFUNCTION("""COMPUTED_VALUE"""),0)</f>
        <v>0</v>
      </c>
    </row>
    <row r="12" spans="1:16" ht="12.75" hidden="1" x14ac:dyDescent="0.2">
      <c r="A12" s="1" t="s">
        <v>39</v>
      </c>
      <c r="B12" s="1" t="s">
        <v>32</v>
      </c>
      <c r="C12" s="1" t="s">
        <v>40</v>
      </c>
      <c r="D12" s="1" t="s">
        <v>13</v>
      </c>
      <c r="E12">
        <f ca="1">IFERROR(__xludf.DUMMYFUNCTION("GOOGLEFINANCE(C12)"),14430)</f>
        <v>14430</v>
      </c>
      <c r="F12">
        <f ca="1">IFERROR(__xludf.DUMMYFUNCTION("GOOGLEFINANCE(C12,""change"")"),-9.1)</f>
        <v>-9.1</v>
      </c>
      <c r="G12" s="2">
        <f ca="1">IFERROR(__xludf.DUMMYFUNCTION("GOOGLEFINANCE(C12,""changepct"")/100"),-0.0006)</f>
        <v>-5.9999999999999995E-4</v>
      </c>
      <c r="H12">
        <f ca="1">IFERROR(__xludf.DUMMYFUNCTION("GOOGLEFINANCE(C12,""marketcap"")"),306627399000)</f>
        <v>306627399000</v>
      </c>
      <c r="K12" s="3">
        <f ca="1">IFERROR(__xludf.DUMMYFUNCTION("""COMPUTED_VALUE"""),43903.6458333333)</f>
        <v>43903.645833333299</v>
      </c>
      <c r="L12">
        <f ca="1">IFERROR(__xludf.DUMMYFUNCTION("""COMPUTED_VALUE"""),10742.05)</f>
        <v>10742.05</v>
      </c>
      <c r="M12">
        <f ca="1">IFERROR(__xludf.DUMMYFUNCTION("""COMPUTED_VALUE"""),10751.55)</f>
        <v>10751.55</v>
      </c>
      <c r="N12">
        <f ca="1">IFERROR(__xludf.DUMMYFUNCTION("""COMPUTED_VALUE"""),8555.15)</f>
        <v>8555.15</v>
      </c>
      <c r="O12">
        <f ca="1">IFERROR(__xludf.DUMMYFUNCTION("""COMPUTED_VALUE"""),9955.2)</f>
        <v>9955.2000000000007</v>
      </c>
      <c r="P12">
        <f ca="1">IFERROR(__xludf.DUMMYFUNCTION("""COMPUTED_VALUE"""),0)</f>
        <v>0</v>
      </c>
    </row>
    <row r="13" spans="1:16" ht="12.75" x14ac:dyDescent="0.2">
      <c r="A13" s="1" t="s">
        <v>41</v>
      </c>
      <c r="B13" s="1" t="s">
        <v>11</v>
      </c>
      <c r="C13" s="1" t="s">
        <v>42</v>
      </c>
      <c r="D13" s="1" t="s">
        <v>22</v>
      </c>
      <c r="E13">
        <f ca="1">IFERROR(__xludf.DUMMYFUNCTION("GOOGLEFINANCE(C13)"),754.1)</f>
        <v>754.1</v>
      </c>
      <c r="F13">
        <f ca="1">IFERROR(__xludf.DUMMYFUNCTION("GOOGLEFINANCE(C13,""change"")"),35.15)</f>
        <v>35.15</v>
      </c>
      <c r="G13" s="2">
        <f ca="1">IFERROR(__xludf.DUMMYFUNCTION("GOOGLEFINANCE(C13,""changepct"")/100"),0.0489)</f>
        <v>4.8899999999999999E-2</v>
      </c>
      <c r="H13">
        <f ca="1">IFERROR(__xludf.DUMMYFUNCTION("GOOGLEFINANCE(C13,""marketcap"")"),838752885141)</f>
        <v>838752885141</v>
      </c>
      <c r="K13" s="3">
        <f ca="1">IFERROR(__xludf.DUMMYFUNCTION("""COMPUTED_VALUE"""),43910.6458333333)</f>
        <v>43910.645833333299</v>
      </c>
      <c r="L13">
        <f ca="1">IFERROR(__xludf.DUMMYFUNCTION("""COMPUTED_VALUE"""),9587.8)</f>
        <v>9587.7999999999993</v>
      </c>
      <c r="M13">
        <f ca="1">IFERROR(__xludf.DUMMYFUNCTION("""COMPUTED_VALUE"""),9602.2)</f>
        <v>9602.2000000000007</v>
      </c>
      <c r="N13">
        <f ca="1">IFERROR(__xludf.DUMMYFUNCTION("""COMPUTED_VALUE"""),7832.55)</f>
        <v>7832.55</v>
      </c>
      <c r="O13">
        <f ca="1">IFERROR(__xludf.DUMMYFUNCTION("""COMPUTED_VALUE"""),8745.45)</f>
        <v>8745.4500000000007</v>
      </c>
      <c r="P13">
        <f ca="1">IFERROR(__xludf.DUMMYFUNCTION("""COMPUTED_VALUE"""),0)</f>
        <v>0</v>
      </c>
    </row>
    <row r="14" spans="1:16" ht="12.75" hidden="1" x14ac:dyDescent="0.2">
      <c r="A14" s="1" t="s">
        <v>43</v>
      </c>
      <c r="B14" s="1" t="s">
        <v>44</v>
      </c>
      <c r="C14" s="1" t="s">
        <v>45</v>
      </c>
      <c r="D14" s="1" t="s">
        <v>13</v>
      </c>
      <c r="E14">
        <f ca="1">IFERROR(__xludf.DUMMYFUNCTION("GOOGLEFINANCE(C14)"),1038.15)</f>
        <v>1038.1500000000001</v>
      </c>
      <c r="F14">
        <f ca="1">IFERROR(__xludf.DUMMYFUNCTION("GOOGLEFINANCE(C14,""change"")"),-30.8)</f>
        <v>-30.8</v>
      </c>
      <c r="G14" s="2">
        <f ca="1">IFERROR(__xludf.DUMMYFUNCTION("GOOGLEFINANCE(C14,""changepct"")/100"),-0.0288)</f>
        <v>-2.8799999999999999E-2</v>
      </c>
      <c r="H14">
        <f ca="1">IFERROR(__xludf.DUMMYFUNCTION("GOOGLEFINANCE(C14,""marketcap"")"),1661612272274)</f>
        <v>1661612272274</v>
      </c>
      <c r="K14" s="3">
        <f ca="1">IFERROR(__xludf.DUMMYFUNCTION("""COMPUTED_VALUE"""),43917.6458333333)</f>
        <v>43917.645833333299</v>
      </c>
      <c r="L14">
        <f ca="1">IFERROR(__xludf.DUMMYFUNCTION("""COMPUTED_VALUE"""),7945.7)</f>
        <v>7945.7</v>
      </c>
      <c r="M14">
        <f ca="1">IFERROR(__xludf.DUMMYFUNCTION("""COMPUTED_VALUE"""),9038.9)</f>
        <v>9038.9</v>
      </c>
      <c r="N14">
        <f ca="1">IFERROR(__xludf.DUMMYFUNCTION("""COMPUTED_VALUE"""),7511.1)</f>
        <v>7511.1</v>
      </c>
      <c r="O14">
        <f ca="1">IFERROR(__xludf.DUMMYFUNCTION("""COMPUTED_VALUE"""),8660.25)</f>
        <v>8660.25</v>
      </c>
      <c r="P14">
        <f ca="1">IFERROR(__xludf.DUMMYFUNCTION("""COMPUTED_VALUE"""),0)</f>
        <v>0</v>
      </c>
    </row>
    <row r="15" spans="1:16" ht="12.75" x14ac:dyDescent="0.2">
      <c r="A15" s="1" t="s">
        <v>46</v>
      </c>
      <c r="B15" s="1" t="s">
        <v>11</v>
      </c>
      <c r="C15" s="1" t="s">
        <v>47</v>
      </c>
      <c r="D15" s="1" t="s">
        <v>22</v>
      </c>
      <c r="E15">
        <f ca="1">IFERROR(__xludf.DUMMYFUNCTION("GOOGLEFINANCE(C15)"),625.8)</f>
        <v>625.79999999999995</v>
      </c>
      <c r="F15">
        <f ca="1">IFERROR(__xludf.DUMMYFUNCTION("GOOGLEFINANCE(C15,""change"")"),9.2)</f>
        <v>9.1999999999999993</v>
      </c>
      <c r="G15" s="2">
        <f ca="1">IFERROR(__xludf.DUMMYFUNCTION("GOOGLEFINANCE(C15,""changepct"")/100"),0.0149)</f>
        <v>1.49E-2</v>
      </c>
      <c r="H15">
        <f ca="1">IFERROR(__xludf.DUMMYFUNCTION("GOOGLEFINANCE(C15,""marketcap"")"),1275119532806)</f>
        <v>1275119532806</v>
      </c>
      <c r="K15" s="3">
        <f ca="1">IFERROR(__xludf.DUMMYFUNCTION("""COMPUTED_VALUE"""),43924.6458333333)</f>
        <v>43924.645833333299</v>
      </c>
      <c r="L15">
        <f ca="1">IFERROR(__xludf.DUMMYFUNCTION("""COMPUTED_VALUE"""),8385.95)</f>
        <v>8385.9500000000007</v>
      </c>
      <c r="M15">
        <f ca="1">IFERROR(__xludf.DUMMYFUNCTION("""COMPUTED_VALUE"""),8678.3)</f>
        <v>8678.2999999999993</v>
      </c>
      <c r="N15">
        <f ca="1">IFERROR(__xludf.DUMMYFUNCTION("""COMPUTED_VALUE"""),8055.8)</f>
        <v>8055.8</v>
      </c>
      <c r="O15">
        <f ca="1">IFERROR(__xludf.DUMMYFUNCTION("""COMPUTED_VALUE"""),8083.8)</f>
        <v>8083.8</v>
      </c>
      <c r="P15">
        <f ca="1">IFERROR(__xludf.DUMMYFUNCTION("""COMPUTED_VALUE"""),0)</f>
        <v>0</v>
      </c>
    </row>
    <row r="16" spans="1:16" ht="12.75" hidden="1" x14ac:dyDescent="0.2">
      <c r="A16" s="1" t="s">
        <v>48</v>
      </c>
      <c r="B16" s="1" t="s">
        <v>49</v>
      </c>
      <c r="C16" s="1" t="s">
        <v>50</v>
      </c>
      <c r="D16" s="1" t="s">
        <v>13</v>
      </c>
      <c r="E16">
        <f ca="1">IFERROR(__xludf.DUMMYFUNCTION("GOOGLEFINANCE(C16)"),434.8)</f>
        <v>434.8</v>
      </c>
      <c r="F16">
        <f ca="1">IFERROR(__xludf.DUMMYFUNCTION("GOOGLEFINANCE(C16,""change"")"),52.25)</f>
        <v>52.25</v>
      </c>
      <c r="G16" s="2">
        <f ca="1">IFERROR(__xludf.DUMMYFUNCTION("GOOGLEFINANCE(C16,""changepct"")/100"),0.1366)</f>
        <v>0.1366</v>
      </c>
      <c r="H16">
        <f ca="1">IFERROR(__xludf.DUMMYFUNCTION("GOOGLEFINANCE(C16,""marketcap"")"),469722325188)</f>
        <v>469722325188</v>
      </c>
      <c r="K16" s="3">
        <f ca="1">IFERROR(__xludf.DUMMYFUNCTION("""COMPUTED_VALUE"""),43930.6458333333)</f>
        <v>43930.645833333299</v>
      </c>
      <c r="L16">
        <f ca="1">IFERROR(__xludf.DUMMYFUNCTION("""COMPUTED_VALUE"""),8446.3)</f>
        <v>8446.2999999999993</v>
      </c>
      <c r="M16">
        <f ca="1">IFERROR(__xludf.DUMMYFUNCTION("""COMPUTED_VALUE"""),9131.7)</f>
        <v>9131.7000000000007</v>
      </c>
      <c r="N16">
        <f ca="1">IFERROR(__xludf.DUMMYFUNCTION("""COMPUTED_VALUE"""),8360.95)</f>
        <v>8360.9500000000007</v>
      </c>
      <c r="O16">
        <f ca="1">IFERROR(__xludf.DUMMYFUNCTION("""COMPUTED_VALUE"""),9111.9)</f>
        <v>9111.9</v>
      </c>
      <c r="P16">
        <f ca="1">IFERROR(__xludf.DUMMYFUNCTION("""COMPUTED_VALUE"""),0)</f>
        <v>0</v>
      </c>
    </row>
    <row r="17" spans="1:16" ht="12.75" hidden="1" x14ac:dyDescent="0.2">
      <c r="A17" s="1" t="s">
        <v>51</v>
      </c>
      <c r="B17" s="1" t="s">
        <v>44</v>
      </c>
      <c r="C17" s="1" t="s">
        <v>52</v>
      </c>
      <c r="D17" s="1" t="s">
        <v>13</v>
      </c>
      <c r="E17">
        <f ca="1">IFERROR(__xludf.DUMMYFUNCTION("GOOGLEFINANCE(C17)"),688.2)</f>
        <v>688.2</v>
      </c>
      <c r="F17">
        <f ca="1">IFERROR(__xludf.DUMMYFUNCTION("GOOGLEFINANCE(C17,""change"")"),60.65)</f>
        <v>60.65</v>
      </c>
      <c r="G17" s="2">
        <f ca="1">IFERROR(__xludf.DUMMYFUNCTION("GOOGLEFINANCE(C17,""changepct"")/100"),0.0966)</f>
        <v>9.6600000000000005E-2</v>
      </c>
      <c r="H17">
        <f ca="1">IFERROR(__xludf.DUMMYFUNCTION("GOOGLEFINANCE(C17,""marketcap"")"),751495001851)</f>
        <v>751495001851</v>
      </c>
      <c r="K17" s="3">
        <f ca="1">IFERROR(__xludf.DUMMYFUNCTION("""COMPUTED_VALUE"""),43938.6458333333)</f>
        <v>43938.645833333299</v>
      </c>
      <c r="L17">
        <f ca="1">IFERROR(__xludf.DUMMYFUNCTION("""COMPUTED_VALUE"""),9103.95)</f>
        <v>9103.9500000000007</v>
      </c>
      <c r="M17">
        <f ca="1">IFERROR(__xludf.DUMMYFUNCTION("""COMPUTED_VALUE"""),9324)</f>
        <v>9324</v>
      </c>
      <c r="N17">
        <f ca="1">IFERROR(__xludf.DUMMYFUNCTION("""COMPUTED_VALUE"""),8821.9)</f>
        <v>8821.9</v>
      </c>
      <c r="O17">
        <f ca="1">IFERROR(__xludf.DUMMYFUNCTION("""COMPUTED_VALUE"""),9266.75)</f>
        <v>9266.75</v>
      </c>
      <c r="P17">
        <f ca="1">IFERROR(__xludf.DUMMYFUNCTION("""COMPUTED_VALUE"""),0)</f>
        <v>0</v>
      </c>
    </row>
    <row r="18" spans="1:16" ht="12.75" hidden="1" x14ac:dyDescent="0.2">
      <c r="A18" s="1" t="s">
        <v>53</v>
      </c>
      <c r="B18" s="1" t="s">
        <v>29</v>
      </c>
      <c r="C18" s="1" t="s">
        <v>54</v>
      </c>
      <c r="D18" s="1" t="s">
        <v>13</v>
      </c>
      <c r="E18">
        <f ca="1">IFERROR(__xludf.DUMMYFUNCTION("GOOGLEFINANCE(C18)"),93.75)</f>
        <v>93.75</v>
      </c>
      <c r="F18">
        <f ca="1">IFERROR(__xludf.DUMMYFUNCTION("GOOGLEFINANCE(C18,""change"")"),5.05)</f>
        <v>5.05</v>
      </c>
      <c r="G18" s="2">
        <f ca="1">IFERROR(__xludf.DUMMYFUNCTION("GOOGLEFINANCE(C18,""changepct"")/100"),0.0569)</f>
        <v>5.6899999999999999E-2</v>
      </c>
      <c r="H18">
        <f ca="1">IFERROR(__xludf.DUMMYFUNCTION("GOOGLEFINANCE(C18,""marketcap"")"),227262991674)</f>
        <v>227262991674</v>
      </c>
      <c r="K18" s="3">
        <f ca="1">IFERROR(__xludf.DUMMYFUNCTION("""COMPUTED_VALUE"""),43945.6458333333)</f>
        <v>43945.645833333299</v>
      </c>
      <c r="L18">
        <f ca="1">IFERROR(__xludf.DUMMYFUNCTION("""COMPUTED_VALUE"""),9390.2)</f>
        <v>9390.2000000000007</v>
      </c>
      <c r="M18">
        <f ca="1">IFERROR(__xludf.DUMMYFUNCTION("""COMPUTED_VALUE"""),9390.85)</f>
        <v>9390.85</v>
      </c>
      <c r="N18">
        <f ca="1">IFERROR(__xludf.DUMMYFUNCTION("""COMPUTED_VALUE"""),8909.4)</f>
        <v>8909.4</v>
      </c>
      <c r="O18">
        <f ca="1">IFERROR(__xludf.DUMMYFUNCTION("""COMPUTED_VALUE"""),9154.4)</f>
        <v>9154.4</v>
      </c>
      <c r="P18">
        <f ca="1">IFERROR(__xludf.DUMMYFUNCTION("""COMPUTED_VALUE"""),0)</f>
        <v>0</v>
      </c>
    </row>
    <row r="19" spans="1:16" ht="12.75" hidden="1" x14ac:dyDescent="0.2">
      <c r="A19" s="1" t="s">
        <v>55</v>
      </c>
      <c r="B19" s="1" t="s">
        <v>56</v>
      </c>
      <c r="C19" s="1" t="s">
        <v>57</v>
      </c>
      <c r="D19" s="1" t="s">
        <v>13</v>
      </c>
      <c r="E19">
        <f ca="1">IFERROR(__xludf.DUMMYFUNCTION("GOOGLEFINANCE(C19)"),167)</f>
        <v>167</v>
      </c>
      <c r="F19">
        <f ca="1">IFERROR(__xludf.DUMMYFUNCTION("GOOGLEFINANCE(C19,""change"")"),0.55)</f>
        <v>0.55000000000000004</v>
      </c>
      <c r="G19" s="2">
        <f ca="1">IFERROR(__xludf.DUMMYFUNCTION("GOOGLEFINANCE(C19,""changepct"")/100"),0.0033)</f>
        <v>3.3E-3</v>
      </c>
      <c r="H19">
        <f ca="1">IFERROR(__xludf.DUMMYFUNCTION("GOOGLEFINANCE(C19,""marketcap"")"),150102610192)</f>
        <v>150102610192</v>
      </c>
      <c r="K19" s="3">
        <f ca="1">IFERROR(__xludf.DUMMYFUNCTION("""COMPUTED_VALUE"""),43951.6458333333)</f>
        <v>43951.645833333299</v>
      </c>
      <c r="L19">
        <f ca="1">IFERROR(__xludf.DUMMYFUNCTION("""COMPUTED_VALUE"""),9259.7)</f>
        <v>9259.7000000000007</v>
      </c>
      <c r="M19">
        <f ca="1">IFERROR(__xludf.DUMMYFUNCTION("""COMPUTED_VALUE"""),9889.05)</f>
        <v>9889.0499999999993</v>
      </c>
      <c r="N19">
        <f ca="1">IFERROR(__xludf.DUMMYFUNCTION("""COMPUTED_VALUE"""),9250.35)</f>
        <v>9250.35</v>
      </c>
      <c r="O19">
        <f ca="1">IFERROR(__xludf.DUMMYFUNCTION("""COMPUTED_VALUE"""),9859.9)</f>
        <v>9859.9</v>
      </c>
      <c r="P19">
        <f ca="1">IFERROR(__xludf.DUMMYFUNCTION("""COMPUTED_VALUE"""),0)</f>
        <v>0</v>
      </c>
    </row>
    <row r="20" spans="1:16" ht="12.75" hidden="1" x14ac:dyDescent="0.2">
      <c r="A20" s="1" t="s">
        <v>58</v>
      </c>
      <c r="B20" s="1" t="s">
        <v>56</v>
      </c>
      <c r="C20" s="1" t="s">
        <v>59</v>
      </c>
      <c r="D20" s="1" t="s">
        <v>13</v>
      </c>
      <c r="E20">
        <f ca="1">IFERROR(__xludf.DUMMYFUNCTION("GOOGLEFINANCE(C20)"),362.25)</f>
        <v>362.25</v>
      </c>
      <c r="F20">
        <f ca="1">IFERROR(__xludf.DUMMYFUNCTION("GOOGLEFINANCE(C20,""change"")"),-13.4)</f>
        <v>-13.4</v>
      </c>
      <c r="G20" s="2">
        <f ca="1">IFERROR(__xludf.DUMMYFUNCTION("GOOGLEFINANCE(C20,""changepct"")/100"),-0.0356999999999999)</f>
        <v>-3.5699999999999898E-2</v>
      </c>
      <c r="H20">
        <f ca="1">IFERROR(__xludf.DUMMYFUNCTION("GOOGLEFINANCE(C20,""marketcap"")"),40267806021)</f>
        <v>40267806021</v>
      </c>
      <c r="K20" s="3">
        <f ca="1">IFERROR(__xludf.DUMMYFUNCTION("""COMPUTED_VALUE"""),43959.6458333333)</f>
        <v>43959.645833333299</v>
      </c>
      <c r="L20">
        <f ca="1">IFERROR(__xludf.DUMMYFUNCTION("""COMPUTED_VALUE"""),9533.5)</f>
        <v>9533.5</v>
      </c>
      <c r="M20">
        <f ca="1">IFERROR(__xludf.DUMMYFUNCTION("""COMPUTED_VALUE"""),9533.5)</f>
        <v>9533.5</v>
      </c>
      <c r="N20">
        <f ca="1">IFERROR(__xludf.DUMMYFUNCTION("""COMPUTED_VALUE"""),9116.5)</f>
        <v>9116.5</v>
      </c>
      <c r="O20">
        <f ca="1">IFERROR(__xludf.DUMMYFUNCTION("""COMPUTED_VALUE"""),9251.5)</f>
        <v>9251.5</v>
      </c>
      <c r="P20">
        <f ca="1">IFERROR(__xludf.DUMMYFUNCTION("""COMPUTED_VALUE"""),0)</f>
        <v>0</v>
      </c>
    </row>
    <row r="21" spans="1:16" ht="12.75" hidden="1" x14ac:dyDescent="0.2">
      <c r="A21" s="1" t="s">
        <v>60</v>
      </c>
      <c r="B21" s="1" t="s">
        <v>49</v>
      </c>
      <c r="C21" s="1" t="s">
        <v>61</v>
      </c>
      <c r="D21" s="1" t="s">
        <v>13</v>
      </c>
      <c r="E21">
        <f ca="1">IFERROR(__xludf.DUMMYFUNCTION("GOOGLEFINANCE(C21)"),296.55)</f>
        <v>296.55</v>
      </c>
      <c r="F21">
        <f ca="1">IFERROR(__xludf.DUMMYFUNCTION("GOOGLEFINANCE(C21,""change"")"),0.7)</f>
        <v>0.7</v>
      </c>
      <c r="G21" s="2">
        <f ca="1">IFERROR(__xludf.DUMMYFUNCTION("GOOGLEFINANCE(C21,""changepct"")/100"),0.0024)</f>
        <v>2.3999999999999998E-3</v>
      </c>
      <c r="H21">
        <f ca="1">IFERROR(__xludf.DUMMYFUNCTION("GOOGLEFINANCE(C21,""marketcap"")"),102805112800)</f>
        <v>102805112800</v>
      </c>
      <c r="K21" s="3">
        <f ca="1">IFERROR(__xludf.DUMMYFUNCTION("""COMPUTED_VALUE"""),43966.6458333333)</f>
        <v>43966.645833333299</v>
      </c>
      <c r="L21">
        <f ca="1">IFERROR(__xludf.DUMMYFUNCTION("""COMPUTED_VALUE"""),9348.15)</f>
        <v>9348.15</v>
      </c>
      <c r="M21">
        <f ca="1">IFERROR(__xludf.DUMMYFUNCTION("""COMPUTED_VALUE"""),9584.5)</f>
        <v>9584.5</v>
      </c>
      <c r="N21">
        <f ca="1">IFERROR(__xludf.DUMMYFUNCTION("""COMPUTED_VALUE"""),9043.95)</f>
        <v>9043.9500000000007</v>
      </c>
      <c r="O21">
        <f ca="1">IFERROR(__xludf.DUMMYFUNCTION("""COMPUTED_VALUE"""),9136.85)</f>
        <v>9136.85</v>
      </c>
      <c r="P21">
        <f ca="1">IFERROR(__xludf.DUMMYFUNCTION("""COMPUTED_VALUE"""),0)</f>
        <v>0</v>
      </c>
    </row>
    <row r="22" spans="1:16" ht="12.75" hidden="1" x14ac:dyDescent="0.2">
      <c r="A22" s="1" t="s">
        <v>62</v>
      </c>
      <c r="B22" s="1" t="s">
        <v>63</v>
      </c>
      <c r="C22" s="1" t="s">
        <v>64</v>
      </c>
      <c r="D22" s="1" t="s">
        <v>13</v>
      </c>
      <c r="E22">
        <f ca="1">IFERROR(__xludf.DUMMYFUNCTION("GOOGLEFINANCE(C22)"),5079.8)</f>
        <v>5079.8</v>
      </c>
      <c r="F22">
        <f ca="1">IFERROR(__xludf.DUMMYFUNCTION("GOOGLEFINANCE(C22,""change"")"),-267.35)</f>
        <v>-267.35000000000002</v>
      </c>
      <c r="G22" s="2">
        <f ca="1">IFERROR(__xludf.DUMMYFUNCTION("GOOGLEFINANCE(C22,""changepct"")/100"),-0.05)</f>
        <v>-0.05</v>
      </c>
      <c r="H22">
        <f ca="1">IFERROR(__xludf.DUMMYFUNCTION("GOOGLEFINANCE(C22,""marketcap"")"),131258522963)</f>
        <v>131258522963</v>
      </c>
      <c r="K22" s="3">
        <f ca="1">IFERROR(__xludf.DUMMYFUNCTION("""COMPUTED_VALUE"""),43973.6458333333)</f>
        <v>43973.645833333299</v>
      </c>
      <c r="L22">
        <f ca="1">IFERROR(__xludf.DUMMYFUNCTION("""COMPUTED_VALUE"""),9158.3)</f>
        <v>9158.2999999999993</v>
      </c>
      <c r="M22">
        <f ca="1">IFERROR(__xludf.DUMMYFUNCTION("""COMPUTED_VALUE"""),9178.55)</f>
        <v>9178.5499999999993</v>
      </c>
      <c r="N22">
        <f ca="1">IFERROR(__xludf.DUMMYFUNCTION("""COMPUTED_VALUE"""),8806.75)</f>
        <v>8806.75</v>
      </c>
      <c r="O22">
        <f ca="1">IFERROR(__xludf.DUMMYFUNCTION("""COMPUTED_VALUE"""),9039.25)</f>
        <v>9039.25</v>
      </c>
      <c r="P22">
        <f ca="1">IFERROR(__xludf.DUMMYFUNCTION("""COMPUTED_VALUE"""),0)</f>
        <v>0</v>
      </c>
    </row>
    <row r="23" spans="1:16" ht="12.75" hidden="1" x14ac:dyDescent="0.2">
      <c r="A23" s="1" t="s">
        <v>65</v>
      </c>
      <c r="B23" s="1" t="s">
        <v>32</v>
      </c>
      <c r="C23" s="1" t="s">
        <v>66</v>
      </c>
      <c r="D23" s="1" t="s">
        <v>13</v>
      </c>
      <c r="E23">
        <f ca="1">IFERROR(__xludf.DUMMYFUNCTION("GOOGLEFINANCE(C23)"),1809.8)</f>
        <v>1809.8</v>
      </c>
      <c r="F23">
        <f ca="1">IFERROR(__xludf.DUMMYFUNCTION("GOOGLEFINANCE(C23,""change"")"),5.2)</f>
        <v>5.2</v>
      </c>
      <c r="G23" s="2">
        <f ca="1">IFERROR(__xludf.DUMMYFUNCTION("GOOGLEFINANCE(C23,""changepct"")/100"),0.0029)</f>
        <v>2.8999999999999998E-3</v>
      </c>
      <c r="H23">
        <f ca="1">IFERROR(__xludf.DUMMYFUNCTION("GOOGLEFINANCE(C23,""marketcap"")"),156605165375)</f>
        <v>156605165375</v>
      </c>
      <c r="K23" s="3">
        <f ca="1">IFERROR(__xludf.DUMMYFUNCTION("""COMPUTED_VALUE"""),43980.6458333333)</f>
        <v>43980.645833333299</v>
      </c>
      <c r="L23">
        <f ca="1">IFERROR(__xludf.DUMMYFUNCTION("""COMPUTED_VALUE"""),9099.75)</f>
        <v>9099.75</v>
      </c>
      <c r="M23">
        <f ca="1">IFERROR(__xludf.DUMMYFUNCTION("""COMPUTED_VALUE"""),9598.85)</f>
        <v>9598.85</v>
      </c>
      <c r="N23">
        <f ca="1">IFERROR(__xludf.DUMMYFUNCTION("""COMPUTED_VALUE"""),8996.65)</f>
        <v>8996.65</v>
      </c>
      <c r="O23">
        <f ca="1">IFERROR(__xludf.DUMMYFUNCTION("""COMPUTED_VALUE"""),9580.3)</f>
        <v>9580.2999999999993</v>
      </c>
      <c r="P23">
        <f ca="1">IFERROR(__xludf.DUMMYFUNCTION("""COMPUTED_VALUE"""),0)</f>
        <v>0</v>
      </c>
    </row>
    <row r="24" spans="1:16" ht="12.75" hidden="1" x14ac:dyDescent="0.2">
      <c r="A24" s="1" t="s">
        <v>67</v>
      </c>
      <c r="B24" s="1" t="s">
        <v>56</v>
      </c>
      <c r="C24" s="1" t="s">
        <v>68</v>
      </c>
      <c r="D24" s="1" t="s">
        <v>13</v>
      </c>
      <c r="E24">
        <f ca="1">IFERROR(__xludf.DUMMYFUNCTION("GOOGLEFINANCE(C24)"),2194.75)</f>
        <v>2194.75</v>
      </c>
      <c r="F24">
        <f ca="1">IFERROR(__xludf.DUMMYFUNCTION("GOOGLEFINANCE(C24,""change"")"),1.55)</f>
        <v>1.55</v>
      </c>
      <c r="G24" s="2">
        <f ca="1">IFERROR(__xludf.DUMMYFUNCTION("GOOGLEFINANCE(C24,""changepct"")/100"),0.0007)</f>
        <v>6.9999999999999999E-4</v>
      </c>
      <c r="H24">
        <f ca="1">IFERROR(__xludf.DUMMYFUNCTION("GOOGLEFINANCE(C24,""marketcap"")"),99949595372)</f>
        <v>99949595372</v>
      </c>
      <c r="K24" s="3">
        <f ca="1">IFERROR(__xludf.DUMMYFUNCTION("""COMPUTED_VALUE"""),43987.6458333333)</f>
        <v>43987.645833333299</v>
      </c>
      <c r="L24">
        <f ca="1">IFERROR(__xludf.DUMMYFUNCTION("""COMPUTED_VALUE"""),9726.85)</f>
        <v>9726.85</v>
      </c>
      <c r="M24">
        <f ca="1">IFERROR(__xludf.DUMMYFUNCTION("""COMPUTED_VALUE"""),10177.8)</f>
        <v>10177.799999999999</v>
      </c>
      <c r="N24">
        <f ca="1">IFERROR(__xludf.DUMMYFUNCTION("""COMPUTED_VALUE"""),9706.95)</f>
        <v>9706.9500000000007</v>
      </c>
      <c r="O24">
        <f ca="1">IFERROR(__xludf.DUMMYFUNCTION("""COMPUTED_VALUE"""),10142.15)</f>
        <v>10142.15</v>
      </c>
      <c r="P24">
        <f ca="1">IFERROR(__xludf.DUMMYFUNCTION("""COMPUTED_VALUE"""),0)</f>
        <v>0</v>
      </c>
    </row>
    <row r="25" spans="1:16" ht="12.75" hidden="1" x14ac:dyDescent="0.2">
      <c r="A25" s="1" t="s">
        <v>69</v>
      </c>
      <c r="B25" s="1" t="s">
        <v>32</v>
      </c>
      <c r="C25" s="1" t="s">
        <v>70</v>
      </c>
      <c r="D25" s="1" t="s">
        <v>13</v>
      </c>
      <c r="E25">
        <f ca="1">IFERROR(__xludf.DUMMYFUNCTION("GOOGLEFINANCE(C25)"),101.05)</f>
        <v>101.05</v>
      </c>
      <c r="F25">
        <f ca="1">IFERROR(__xludf.DUMMYFUNCTION("GOOGLEFINANCE(C25,""change"")"),-0.3)</f>
        <v>-0.3</v>
      </c>
      <c r="G25" s="2">
        <f ca="1">IFERROR(__xludf.DUMMYFUNCTION("GOOGLEFINANCE(C25,""changepct"")/100"),-0.003)</f>
        <v>-3.0000000000000001E-3</v>
      </c>
      <c r="H25">
        <f ca="1">IFERROR(__xludf.DUMMYFUNCTION("GOOGLEFINANCE(C25,""marketcap"")"),25947801673)</f>
        <v>25947801673</v>
      </c>
      <c r="K25" s="3">
        <f ca="1">IFERROR(__xludf.DUMMYFUNCTION("""COMPUTED_VALUE"""),43994.6458333333)</f>
        <v>43994.645833333299</v>
      </c>
      <c r="L25">
        <f ca="1">IFERROR(__xludf.DUMMYFUNCTION("""COMPUTED_VALUE"""),10326.75)</f>
        <v>10326.75</v>
      </c>
      <c r="M25">
        <f ca="1">IFERROR(__xludf.DUMMYFUNCTION("""COMPUTED_VALUE"""),10328.5)</f>
        <v>10328.5</v>
      </c>
      <c r="N25">
        <f ca="1">IFERROR(__xludf.DUMMYFUNCTION("""COMPUTED_VALUE"""),9544.35)</f>
        <v>9544.35</v>
      </c>
      <c r="O25">
        <f ca="1">IFERROR(__xludf.DUMMYFUNCTION("""COMPUTED_VALUE"""),9972.9)</f>
        <v>9972.9</v>
      </c>
      <c r="P25">
        <f ca="1">IFERROR(__xludf.DUMMYFUNCTION("""COMPUTED_VALUE"""),0)</f>
        <v>0</v>
      </c>
    </row>
    <row r="26" spans="1:16" ht="12.75" hidden="1" x14ac:dyDescent="0.2">
      <c r="A26" s="1" t="s">
        <v>71</v>
      </c>
      <c r="B26" s="1" t="s">
        <v>32</v>
      </c>
      <c r="C26" s="1" t="s">
        <v>72</v>
      </c>
      <c r="D26" s="1" t="s">
        <v>13</v>
      </c>
      <c r="E26">
        <f ca="1">IFERROR(__xludf.DUMMYFUNCTION("GOOGLEFINANCE(C26)"),979)</f>
        <v>979</v>
      </c>
      <c r="F26">
        <f ca="1">IFERROR(__xludf.DUMMYFUNCTION("GOOGLEFINANCE(C26,""change"")"),13.1)</f>
        <v>13.1</v>
      </c>
      <c r="G26" s="2">
        <f ca="1">IFERROR(__xludf.DUMMYFUNCTION("GOOGLEFINANCE(C26,""changepct"")/100"),0.0136)</f>
        <v>1.3599999999999999E-2</v>
      </c>
      <c r="H26">
        <f ca="1">IFERROR(__xludf.DUMMYFUNCTION("GOOGLEFINANCE(C26,""marketcap"")"),192435274900)</f>
        <v>192435274900</v>
      </c>
      <c r="K26" s="3">
        <f ca="1">IFERROR(__xludf.DUMMYFUNCTION("""COMPUTED_VALUE"""),44001.6458333333)</f>
        <v>44001.645833333299</v>
      </c>
      <c r="L26">
        <f ca="1">IFERROR(__xludf.DUMMYFUNCTION("""COMPUTED_VALUE"""),9919.35)</f>
        <v>9919.35</v>
      </c>
      <c r="M26">
        <f ca="1">IFERROR(__xludf.DUMMYFUNCTION("""COMPUTED_VALUE"""),10272.4)</f>
        <v>10272.4</v>
      </c>
      <c r="N26">
        <f ca="1">IFERROR(__xludf.DUMMYFUNCTION("""COMPUTED_VALUE"""),9726.35)</f>
        <v>9726.35</v>
      </c>
      <c r="O26">
        <f ca="1">IFERROR(__xludf.DUMMYFUNCTION("""COMPUTED_VALUE"""),10244.4)</f>
        <v>10244.4</v>
      </c>
      <c r="P26">
        <f ca="1">IFERROR(__xludf.DUMMYFUNCTION("""COMPUTED_VALUE"""),0)</f>
        <v>0</v>
      </c>
    </row>
    <row r="27" spans="1:16" ht="12.75" hidden="1" x14ac:dyDescent="0.2">
      <c r="A27" s="1" t="s">
        <v>73</v>
      </c>
      <c r="B27" s="1" t="s">
        <v>32</v>
      </c>
      <c r="C27" s="1" t="s">
        <v>74</v>
      </c>
      <c r="D27" s="1" t="s">
        <v>13</v>
      </c>
      <c r="E27">
        <f ca="1">IFERROR(__xludf.DUMMYFUNCTION("GOOGLEFINANCE(C27)"),2878)</f>
        <v>2878</v>
      </c>
      <c r="F27">
        <f ca="1">IFERROR(__xludf.DUMMYFUNCTION("GOOGLEFINANCE(C27,""change"")"),8.75)</f>
        <v>8.75</v>
      </c>
      <c r="G27" s="2">
        <f ca="1">IFERROR(__xludf.DUMMYFUNCTION("GOOGLEFINANCE(C27,""changepct"")/100"),0.003)</f>
        <v>3.0000000000000001E-3</v>
      </c>
      <c r="H27">
        <f ca="1">IFERROR(__xludf.DUMMYFUNCTION("GOOGLEFINANCE(C27,""marketcap"")"),344371375678)</f>
        <v>344371375678</v>
      </c>
      <c r="K27" s="3">
        <f ca="1">IFERROR(__xludf.DUMMYFUNCTION("""COMPUTED_VALUE"""),44008.6458333333)</f>
        <v>44008.645833333299</v>
      </c>
      <c r="L27">
        <f ca="1">IFERROR(__xludf.DUMMYFUNCTION("""COMPUTED_VALUE"""),10318.75)</f>
        <v>10318.75</v>
      </c>
      <c r="M27">
        <f ca="1">IFERROR(__xludf.DUMMYFUNCTION("""COMPUTED_VALUE"""),10553.15)</f>
        <v>10553.15</v>
      </c>
      <c r="N27">
        <f ca="1">IFERROR(__xludf.DUMMYFUNCTION("""COMPUTED_VALUE"""),10194.5)</f>
        <v>10194.5</v>
      </c>
      <c r="O27">
        <f ca="1">IFERROR(__xludf.DUMMYFUNCTION("""COMPUTED_VALUE"""),10383)</f>
        <v>10383</v>
      </c>
      <c r="P27">
        <f ca="1">IFERROR(__xludf.DUMMYFUNCTION("""COMPUTED_VALUE"""),0)</f>
        <v>0</v>
      </c>
    </row>
    <row r="28" spans="1:16" ht="12.75" hidden="1" x14ac:dyDescent="0.2">
      <c r="A28" s="1" t="s">
        <v>75</v>
      </c>
      <c r="B28" s="1" t="s">
        <v>35</v>
      </c>
      <c r="C28" s="1" t="s">
        <v>76</v>
      </c>
      <c r="D28" s="1" t="s">
        <v>13</v>
      </c>
      <c r="E28">
        <f ca="1">IFERROR(__xludf.DUMMYFUNCTION("GOOGLEFINANCE(C28)"),5236)</f>
        <v>5236</v>
      </c>
      <c r="F28">
        <f ca="1">IFERROR(__xludf.DUMMYFUNCTION("GOOGLEFINANCE(C28,""change"")"),-104.8)</f>
        <v>-104.8</v>
      </c>
      <c r="G28" s="2">
        <f ca="1">IFERROR(__xludf.DUMMYFUNCTION("GOOGLEFINANCE(C28,""changepct"")/100"),-0.0196)</f>
        <v>-1.9599999999999999E-2</v>
      </c>
      <c r="H28">
        <f ca="1">IFERROR(__xludf.DUMMYFUNCTION("GOOGLEFINANCE(C28,""marketcap"")"),106880897200)</f>
        <v>106880897200</v>
      </c>
      <c r="K28" s="3">
        <f ca="1">IFERROR(__xludf.DUMMYFUNCTION("""COMPUTED_VALUE"""),44015.6458333333)</f>
        <v>44015.645833333299</v>
      </c>
      <c r="L28">
        <f ca="1">IFERROR(__xludf.DUMMYFUNCTION("""COMPUTED_VALUE"""),10311.95)</f>
        <v>10311.950000000001</v>
      </c>
      <c r="M28">
        <f ca="1">IFERROR(__xludf.DUMMYFUNCTION("""COMPUTED_VALUE"""),10631.3)</f>
        <v>10631.3</v>
      </c>
      <c r="N28">
        <f ca="1">IFERROR(__xludf.DUMMYFUNCTION("""COMPUTED_VALUE"""),10223.6)</f>
        <v>10223.6</v>
      </c>
      <c r="O28">
        <f ca="1">IFERROR(__xludf.DUMMYFUNCTION("""COMPUTED_VALUE"""),10607.35)</f>
        <v>10607.35</v>
      </c>
      <c r="P28">
        <f ca="1">IFERROR(__xludf.DUMMYFUNCTION("""COMPUTED_VALUE"""),0)</f>
        <v>0</v>
      </c>
    </row>
    <row r="29" spans="1:16" ht="12.75" hidden="1" x14ac:dyDescent="0.2">
      <c r="A29" s="1" t="s">
        <v>77</v>
      </c>
      <c r="B29" s="1" t="s">
        <v>78</v>
      </c>
      <c r="C29" s="1" t="s">
        <v>79</v>
      </c>
      <c r="D29" s="1" t="s">
        <v>13</v>
      </c>
      <c r="E29">
        <f ca="1">IFERROR(__xludf.DUMMYFUNCTION("GOOGLEFINANCE(C29)"),20.65)</f>
        <v>20.65</v>
      </c>
      <c r="F29">
        <f ca="1">IFERROR(__xludf.DUMMYFUNCTION("GOOGLEFINANCE(C29,""change"")"),-0.25)</f>
        <v>-0.25</v>
      </c>
      <c r="G29" s="2">
        <f ca="1">IFERROR(__xludf.DUMMYFUNCTION("GOOGLEFINANCE(C29,""changepct"")/100"),-0.012)</f>
        <v>-1.2E-2</v>
      </c>
      <c r="H29">
        <f ca="1">IFERROR(__xludf.DUMMYFUNCTION("GOOGLEFINANCE(C29,""marketcap"")"),102532183455)</f>
        <v>102532183455</v>
      </c>
      <c r="K29" s="3">
        <f ca="1">IFERROR(__xludf.DUMMYFUNCTION("""COMPUTED_VALUE"""),44022.6458333333)</f>
        <v>44022.645833333299</v>
      </c>
      <c r="L29">
        <f ca="1">IFERROR(__xludf.DUMMYFUNCTION("""COMPUTED_VALUE"""),10723.85)</f>
        <v>10723.85</v>
      </c>
      <c r="M29">
        <f ca="1">IFERROR(__xludf.DUMMYFUNCTION("""COMPUTED_VALUE"""),10847.85)</f>
        <v>10847.85</v>
      </c>
      <c r="N29">
        <f ca="1">IFERROR(__xludf.DUMMYFUNCTION("""COMPUTED_VALUE"""),10676.55)</f>
        <v>10676.55</v>
      </c>
      <c r="O29">
        <f ca="1">IFERROR(__xludf.DUMMYFUNCTION("""COMPUTED_VALUE"""),10768.05)</f>
        <v>10768.05</v>
      </c>
      <c r="P29">
        <f ca="1">IFERROR(__xludf.DUMMYFUNCTION("""COMPUTED_VALUE"""),0)</f>
        <v>0</v>
      </c>
    </row>
    <row r="30" spans="1:16" ht="12.75" x14ac:dyDescent="0.2">
      <c r="A30" s="1" t="s">
        <v>80</v>
      </c>
      <c r="B30" s="1" t="s">
        <v>81</v>
      </c>
      <c r="C30" s="1" t="s">
        <v>82</v>
      </c>
      <c r="D30" s="1" t="s">
        <v>22</v>
      </c>
      <c r="E30">
        <f ca="1">IFERROR(__xludf.DUMMYFUNCTION("GOOGLEFINANCE(C30)"),928.5)</f>
        <v>928.5</v>
      </c>
      <c r="F30">
        <f ca="1">IFERROR(__xludf.DUMMYFUNCTION("GOOGLEFINANCE(C30,""change"")"),-59.15)</f>
        <v>-59.15</v>
      </c>
      <c r="G30" s="2">
        <f ca="1">IFERROR(__xludf.DUMMYFUNCTION("GOOGLEFINANCE(C30,""changepct"")/100"),-0.0599)</f>
        <v>-5.9900000000000002E-2</v>
      </c>
      <c r="H30">
        <f ca="1">IFERROR(__xludf.DUMMYFUNCTION("GOOGLEFINANCE(C30,""marketcap"")"),158112679520)</f>
        <v>158112679520</v>
      </c>
      <c r="K30" s="3">
        <f ca="1">IFERROR(__xludf.DUMMYFUNCTION("""COMPUTED_VALUE"""),44029.6458333333)</f>
        <v>44029.645833333299</v>
      </c>
      <c r="L30">
        <f ca="1">IFERROR(__xludf.DUMMYFUNCTION("""COMPUTED_VALUE"""),10851.85)</f>
        <v>10851.85</v>
      </c>
      <c r="M30">
        <f ca="1">IFERROR(__xludf.DUMMYFUNCTION("""COMPUTED_VALUE"""),10933.45)</f>
        <v>10933.45</v>
      </c>
      <c r="N30">
        <f ca="1">IFERROR(__xludf.DUMMYFUNCTION("""COMPUTED_VALUE"""),10562.9)</f>
        <v>10562.9</v>
      </c>
      <c r="O30">
        <f ca="1">IFERROR(__xludf.DUMMYFUNCTION("""COMPUTED_VALUE"""),10901.7)</f>
        <v>10901.7</v>
      </c>
      <c r="P30">
        <f ca="1">IFERROR(__xludf.DUMMYFUNCTION("""COMPUTED_VALUE"""),0)</f>
        <v>0</v>
      </c>
    </row>
    <row r="31" spans="1:16" ht="12.75" hidden="1" x14ac:dyDescent="0.2">
      <c r="A31" s="1" t="s">
        <v>83</v>
      </c>
      <c r="B31" s="1" t="s">
        <v>56</v>
      </c>
      <c r="C31" s="1" t="s">
        <v>84</v>
      </c>
      <c r="D31" s="1" t="s">
        <v>13</v>
      </c>
      <c r="E31">
        <f ca="1">IFERROR(__xludf.DUMMYFUNCTION("GOOGLEFINANCE(C31)"),3229)</f>
        <v>3229</v>
      </c>
      <c r="F31">
        <f ca="1">IFERROR(__xludf.DUMMYFUNCTION("GOOGLEFINANCE(C31,""change"")"),42.95)</f>
        <v>42.95</v>
      </c>
      <c r="G31" s="2">
        <f ca="1">IFERROR(__xludf.DUMMYFUNCTION("GOOGLEFINANCE(C31,""changepct"")/100"),0.0135)</f>
        <v>1.35E-2</v>
      </c>
      <c r="H31">
        <f ca="1">IFERROR(__xludf.DUMMYFUNCTION("GOOGLEFINANCE(C31,""marketcap"")"),109051795804)</f>
        <v>109051795804</v>
      </c>
      <c r="K31" s="3">
        <f ca="1">IFERROR(__xludf.DUMMYFUNCTION("""COMPUTED_VALUE"""),44036.6458333333)</f>
        <v>44036.645833333299</v>
      </c>
      <c r="L31">
        <f ca="1">IFERROR(__xludf.DUMMYFUNCTION("""COMPUTED_VALUE"""),10999.45)</f>
        <v>10999.45</v>
      </c>
      <c r="M31">
        <f ca="1">IFERROR(__xludf.DUMMYFUNCTION("""COMPUTED_VALUE"""),11239.8)</f>
        <v>11239.8</v>
      </c>
      <c r="N31">
        <f ca="1">IFERROR(__xludf.DUMMYFUNCTION("""COMPUTED_VALUE"""),10953)</f>
        <v>10953</v>
      </c>
      <c r="O31">
        <f ca="1">IFERROR(__xludf.DUMMYFUNCTION("""COMPUTED_VALUE"""),11194.15)</f>
        <v>11194.15</v>
      </c>
      <c r="P31">
        <f ca="1">IFERROR(__xludf.DUMMYFUNCTION("""COMPUTED_VALUE"""),0)</f>
        <v>0</v>
      </c>
    </row>
    <row r="32" spans="1:16" ht="12.75" x14ac:dyDescent="0.2">
      <c r="A32" s="1" t="s">
        <v>85</v>
      </c>
      <c r="B32" s="1" t="s">
        <v>20</v>
      </c>
      <c r="C32" s="1" t="s">
        <v>86</v>
      </c>
      <c r="D32" s="1" t="s">
        <v>22</v>
      </c>
      <c r="E32">
        <f ca="1">IFERROR(__xludf.DUMMYFUNCTION("GOOGLEFINANCE(C32)"),285)</f>
        <v>285</v>
      </c>
      <c r="F32">
        <f ca="1">IFERROR(__xludf.DUMMYFUNCTION("GOOGLEFINANCE(C32,""change"")"),7.55)</f>
        <v>7.55</v>
      </c>
      <c r="G32" s="2">
        <f ca="1">IFERROR(__xludf.DUMMYFUNCTION("GOOGLEFINANCE(C32,""changepct"")/100"),0.0272)</f>
        <v>2.7199999999999998E-2</v>
      </c>
      <c r="H32">
        <f ca="1">IFERROR(__xludf.DUMMYFUNCTION("GOOGLEFINANCE(C32,""marketcap"")"),562833238078)</f>
        <v>562833238078</v>
      </c>
      <c r="K32" s="3">
        <f ca="1">IFERROR(__xludf.DUMMYFUNCTION("""COMPUTED_VALUE"""),44043.6458333333)</f>
        <v>44043.645833333299</v>
      </c>
      <c r="L32">
        <f ca="1">IFERROR(__xludf.DUMMYFUNCTION("""COMPUTED_VALUE"""),11225)</f>
        <v>11225</v>
      </c>
      <c r="M32">
        <f ca="1">IFERROR(__xludf.DUMMYFUNCTION("""COMPUTED_VALUE"""),11341.4)</f>
        <v>11341.4</v>
      </c>
      <c r="N32">
        <f ca="1">IFERROR(__xludf.DUMMYFUNCTION("""COMPUTED_VALUE"""),11026.65)</f>
        <v>11026.65</v>
      </c>
      <c r="O32">
        <f ca="1">IFERROR(__xludf.DUMMYFUNCTION("""COMPUTED_VALUE"""),11073.45)</f>
        <v>11073.45</v>
      </c>
      <c r="P32">
        <f ca="1">IFERROR(__xludf.DUMMYFUNCTION("""COMPUTED_VALUE"""),0)</f>
        <v>0</v>
      </c>
    </row>
    <row r="33" spans="1:16" ht="12.75" x14ac:dyDescent="0.2">
      <c r="A33" s="1" t="s">
        <v>87</v>
      </c>
      <c r="B33" s="1" t="s">
        <v>88</v>
      </c>
      <c r="C33" s="1" t="s">
        <v>89</v>
      </c>
      <c r="D33" s="1" t="s">
        <v>22</v>
      </c>
      <c r="E33">
        <f ca="1">IFERROR(__xludf.DUMMYFUNCTION("GOOGLEFINANCE(C33)"),3108)</f>
        <v>3108</v>
      </c>
      <c r="F33">
        <f ca="1">IFERROR(__xludf.DUMMYFUNCTION("GOOGLEFINANCE(C33,""change"")"),359.9)</f>
        <v>359.9</v>
      </c>
      <c r="G33" s="2">
        <f ca="1">IFERROR(__xludf.DUMMYFUNCTION("GOOGLEFINANCE(C33,""changepct"")/100"),0.131)</f>
        <v>0.13100000000000001</v>
      </c>
      <c r="H33">
        <f ca="1">IFERROR(__xludf.DUMMYFUNCTION("GOOGLEFINANCE(C33,""marketcap"")"),444281175800)</f>
        <v>444281175800</v>
      </c>
      <c r="K33" s="3">
        <f ca="1">IFERROR(__xludf.DUMMYFUNCTION("""COMPUTED_VALUE"""),44050.6458333333)</f>
        <v>44050.645833333299</v>
      </c>
      <c r="L33">
        <f ca="1">IFERROR(__xludf.DUMMYFUNCTION("""COMPUTED_VALUE"""),11057.55)</f>
        <v>11057.55</v>
      </c>
      <c r="M33">
        <f ca="1">IFERROR(__xludf.DUMMYFUNCTION("""COMPUTED_VALUE"""),11256.8)</f>
        <v>11256.8</v>
      </c>
      <c r="N33">
        <f ca="1">IFERROR(__xludf.DUMMYFUNCTION("""COMPUTED_VALUE"""),10882.25)</f>
        <v>10882.25</v>
      </c>
      <c r="O33">
        <f ca="1">IFERROR(__xludf.DUMMYFUNCTION("""COMPUTED_VALUE"""),11214.05)</f>
        <v>11214.05</v>
      </c>
      <c r="P33">
        <f ca="1">IFERROR(__xludf.DUMMYFUNCTION("""COMPUTED_VALUE"""),0)</f>
        <v>0</v>
      </c>
    </row>
    <row r="34" spans="1:16" ht="12.75" x14ac:dyDescent="0.2">
      <c r="A34" s="1" t="s">
        <v>90</v>
      </c>
      <c r="B34" s="1" t="s">
        <v>81</v>
      </c>
      <c r="C34" s="1" t="s">
        <v>91</v>
      </c>
      <c r="D34" s="1" t="s">
        <v>22</v>
      </c>
      <c r="E34">
        <f ca="1">IFERROR(__xludf.DUMMYFUNCTION("GOOGLEFINANCE(C34)"),238.1)</f>
        <v>238.1</v>
      </c>
      <c r="F34">
        <f ca="1">IFERROR(__xludf.DUMMYFUNCTION("GOOGLEFINANCE(C34,""change"")"),-1.5)</f>
        <v>-1.5</v>
      </c>
      <c r="G34" s="2">
        <f ca="1">IFERROR(__xludf.DUMMYFUNCTION("GOOGLEFINANCE(C34,""changepct"")/100"),-0.0063)</f>
        <v>-6.3E-3</v>
      </c>
      <c r="H34">
        <f ca="1">IFERROR(__xludf.DUMMYFUNCTION("GOOGLEFINANCE(C34,""marketcap"")"),151217551976)</f>
        <v>151217551976</v>
      </c>
      <c r="K34" s="3">
        <f ca="1">IFERROR(__xludf.DUMMYFUNCTION("""COMPUTED_VALUE"""),44057.6458333333)</f>
        <v>44057.645833333299</v>
      </c>
      <c r="L34">
        <f ca="1">IFERROR(__xludf.DUMMYFUNCTION("""COMPUTED_VALUE"""),11270.25)</f>
        <v>11270.25</v>
      </c>
      <c r="M34">
        <f ca="1">IFERROR(__xludf.DUMMYFUNCTION("""COMPUTED_VALUE"""),11373.6)</f>
        <v>11373.6</v>
      </c>
      <c r="N34">
        <f ca="1">IFERROR(__xludf.DUMMYFUNCTION("""COMPUTED_VALUE"""),11111.45)</f>
        <v>11111.45</v>
      </c>
      <c r="O34">
        <f ca="1">IFERROR(__xludf.DUMMYFUNCTION("""COMPUTED_VALUE"""),11178.4)</f>
        <v>11178.4</v>
      </c>
      <c r="P34">
        <f ca="1">IFERROR(__xludf.DUMMYFUNCTION("""COMPUTED_VALUE"""),0)</f>
        <v>0</v>
      </c>
    </row>
    <row r="35" spans="1:16" ht="12.75" x14ac:dyDescent="0.2">
      <c r="A35" s="1" t="s">
        <v>92</v>
      </c>
      <c r="B35" s="1" t="s">
        <v>81</v>
      </c>
      <c r="C35" s="1" t="s">
        <v>93</v>
      </c>
      <c r="D35" s="1" t="s">
        <v>22</v>
      </c>
      <c r="E35">
        <f ca="1">IFERROR(__xludf.DUMMYFUNCTION("GOOGLEFINANCE(C35)"),130.25)</f>
        <v>130.25</v>
      </c>
      <c r="F35">
        <f ca="1">IFERROR(__xludf.DUMMYFUNCTION("GOOGLEFINANCE(C35,""change"")"),2)</f>
        <v>2</v>
      </c>
      <c r="G35" s="2">
        <f ca="1">IFERROR(__xludf.DUMMYFUNCTION("GOOGLEFINANCE(C35,""changepct"")/100"),0.0156)</f>
        <v>1.5599999999999999E-2</v>
      </c>
      <c r="H35">
        <f ca="1">IFERROR(__xludf.DUMMYFUNCTION("GOOGLEFINANCE(C35,""marketcap"")"),382645962367)</f>
        <v>382645962367</v>
      </c>
      <c r="K35" s="3">
        <f ca="1">IFERROR(__xludf.DUMMYFUNCTION("""COMPUTED_VALUE"""),44064.6458333333)</f>
        <v>44064.645833333299</v>
      </c>
      <c r="L35">
        <f ca="1">IFERROR(__xludf.DUMMYFUNCTION("""COMPUTED_VALUE"""),11248.9)</f>
        <v>11248.9</v>
      </c>
      <c r="M35">
        <f ca="1">IFERROR(__xludf.DUMMYFUNCTION("""COMPUTED_VALUE"""),11460.35)</f>
        <v>11460.35</v>
      </c>
      <c r="N35">
        <f ca="1">IFERROR(__xludf.DUMMYFUNCTION("""COMPUTED_VALUE"""),11144.5)</f>
        <v>11144.5</v>
      </c>
      <c r="O35">
        <f ca="1">IFERROR(__xludf.DUMMYFUNCTION("""COMPUTED_VALUE"""),11371.6)</f>
        <v>11371.6</v>
      </c>
      <c r="P35">
        <f ca="1">IFERROR(__xludf.DUMMYFUNCTION("""COMPUTED_VALUE"""),0)</f>
        <v>0</v>
      </c>
    </row>
    <row r="36" spans="1:16" ht="12.75" hidden="1" x14ac:dyDescent="0.2">
      <c r="A36" s="1" t="s">
        <v>94</v>
      </c>
      <c r="B36" s="1" t="s">
        <v>95</v>
      </c>
      <c r="C36" s="1" t="s">
        <v>96</v>
      </c>
      <c r="D36" s="1" t="s">
        <v>13</v>
      </c>
      <c r="E36">
        <f ca="1">IFERROR(__xludf.DUMMYFUNCTION("GOOGLEFINANCE(C36)"),106.85)</f>
        <v>106.85</v>
      </c>
      <c r="F36">
        <f ca="1">IFERROR(__xludf.DUMMYFUNCTION("GOOGLEFINANCE(C36,""change"")"),-3)</f>
        <v>-3</v>
      </c>
      <c r="G36" s="2">
        <f ca="1">IFERROR(__xludf.DUMMYFUNCTION("GOOGLEFINANCE(C36,""changepct"")/100"),-0.0273)</f>
        <v>-2.7300000000000001E-2</v>
      </c>
      <c r="H36">
        <f ca="1">IFERROR(__xludf.DUMMYFUNCTION("GOOGLEFINANCE(C36,""marketcap"")"),29742622183)</f>
        <v>29742622183</v>
      </c>
      <c r="K36" s="3">
        <f ca="1">IFERROR(__xludf.DUMMYFUNCTION("""COMPUTED_VALUE"""),44071.6458333333)</f>
        <v>44071.645833333299</v>
      </c>
      <c r="L36">
        <f ca="1">IFERROR(__xludf.DUMMYFUNCTION("""COMPUTED_VALUE"""),11412)</f>
        <v>11412</v>
      </c>
      <c r="M36">
        <f ca="1">IFERROR(__xludf.DUMMYFUNCTION("""COMPUTED_VALUE"""),11686.05)</f>
        <v>11686.05</v>
      </c>
      <c r="N36">
        <f ca="1">IFERROR(__xludf.DUMMYFUNCTION("""COMPUTED_VALUE"""),11410.65)</f>
        <v>11410.65</v>
      </c>
      <c r="O36">
        <f ca="1">IFERROR(__xludf.DUMMYFUNCTION("""COMPUTED_VALUE"""),11647.6)</f>
        <v>11647.6</v>
      </c>
      <c r="P36">
        <f ca="1">IFERROR(__xludf.DUMMYFUNCTION("""COMPUTED_VALUE"""),0)</f>
        <v>0</v>
      </c>
    </row>
    <row r="37" spans="1:16" ht="12.75" x14ac:dyDescent="0.2">
      <c r="A37" s="1" t="s">
        <v>97</v>
      </c>
      <c r="B37" s="1" t="s">
        <v>56</v>
      </c>
      <c r="C37" s="1" t="s">
        <v>98</v>
      </c>
      <c r="D37" s="1" t="s">
        <v>22</v>
      </c>
      <c r="E37">
        <f ca="1">IFERROR(__xludf.DUMMYFUNCTION("GOOGLEFINANCE(C37)"),2463)</f>
        <v>2463</v>
      </c>
      <c r="F37">
        <f ca="1">IFERROR(__xludf.DUMMYFUNCTION("GOOGLEFINANCE(C37,""change"")"),-23.1)</f>
        <v>-23.1</v>
      </c>
      <c r="G37" s="2">
        <f ca="1">IFERROR(__xludf.DUMMYFUNCTION("GOOGLEFINANCE(C37,""changepct"")/100"),-0.0093)</f>
        <v>-9.2999999999999992E-3</v>
      </c>
      <c r="H37">
        <f ca="1">IFERROR(__xludf.DUMMYFUNCTION("GOOGLEFINANCE(C37,""marketcap"")"),2357515499212)</f>
        <v>2357515499212</v>
      </c>
      <c r="K37" s="3">
        <f ca="1">IFERROR(__xludf.DUMMYFUNCTION("""COMPUTED_VALUE"""),44078.6458333333)</f>
        <v>44078.645833333299</v>
      </c>
      <c r="L37">
        <f ca="1">IFERROR(__xludf.DUMMYFUNCTION("""COMPUTED_VALUE"""),11777.55)</f>
        <v>11777.55</v>
      </c>
      <c r="M37">
        <f ca="1">IFERROR(__xludf.DUMMYFUNCTION("""COMPUTED_VALUE"""),11794.25)</f>
        <v>11794.25</v>
      </c>
      <c r="N37">
        <f ca="1">IFERROR(__xludf.DUMMYFUNCTION("""COMPUTED_VALUE"""),11303.65)</f>
        <v>11303.65</v>
      </c>
      <c r="O37">
        <f ca="1">IFERROR(__xludf.DUMMYFUNCTION("""COMPUTED_VALUE"""),11333.85)</f>
        <v>11333.85</v>
      </c>
      <c r="P37">
        <f ca="1">IFERROR(__xludf.DUMMYFUNCTION("""COMPUTED_VALUE"""),0)</f>
        <v>0</v>
      </c>
    </row>
    <row r="38" spans="1:16" ht="12.75" hidden="1" x14ac:dyDescent="0.2">
      <c r="A38" s="1" t="s">
        <v>99</v>
      </c>
      <c r="B38" s="1" t="s">
        <v>88</v>
      </c>
      <c r="C38" s="1" t="s">
        <v>100</v>
      </c>
      <c r="D38" s="1" t="s">
        <v>13</v>
      </c>
      <c r="E38">
        <f ca="1">IFERROR(__xludf.DUMMYFUNCTION("GOOGLEFINANCE(C38)"),151)</f>
        <v>151</v>
      </c>
      <c r="F38">
        <f ca="1">IFERROR(__xludf.DUMMYFUNCTION("GOOGLEFINANCE(C38,""change"")"),2)</f>
        <v>2</v>
      </c>
      <c r="G38" s="2">
        <f ca="1">IFERROR(__xludf.DUMMYFUNCTION("GOOGLEFINANCE(C38,""changepct"")/100"),0.0134)</f>
        <v>1.34E-2</v>
      </c>
      <c r="H38">
        <f ca="1">IFERROR(__xludf.DUMMYFUNCTION("GOOGLEFINANCE(C38,""marketcap"")"),75521877750)</f>
        <v>75521877750</v>
      </c>
      <c r="K38" s="3">
        <f ca="1">IFERROR(__xludf.DUMMYFUNCTION("""COMPUTED_VALUE"""),44085.6458333333)</f>
        <v>44085.645833333299</v>
      </c>
      <c r="L38">
        <f ca="1">IFERROR(__xludf.DUMMYFUNCTION("""COMPUTED_VALUE"""),11359.6)</f>
        <v>11359.6</v>
      </c>
      <c r="M38">
        <f ca="1">IFERROR(__xludf.DUMMYFUNCTION("""COMPUTED_VALUE"""),11493.5)</f>
        <v>11493.5</v>
      </c>
      <c r="N38">
        <f ca="1">IFERROR(__xludf.DUMMYFUNCTION("""COMPUTED_VALUE"""),11185.15)</f>
        <v>11185.15</v>
      </c>
      <c r="O38">
        <f ca="1">IFERROR(__xludf.DUMMYFUNCTION("""COMPUTED_VALUE"""),11464.45)</f>
        <v>11464.45</v>
      </c>
      <c r="P38">
        <f ca="1">IFERROR(__xludf.DUMMYFUNCTION("""COMPUTED_VALUE"""),0)</f>
        <v>0</v>
      </c>
    </row>
    <row r="39" spans="1:16" ht="12.75" hidden="1" x14ac:dyDescent="0.2">
      <c r="A39" s="1" t="s">
        <v>101</v>
      </c>
      <c r="B39" s="1" t="s">
        <v>32</v>
      </c>
      <c r="C39" s="1" t="s">
        <v>102</v>
      </c>
      <c r="D39" s="1" t="s">
        <v>13</v>
      </c>
      <c r="E39">
        <f ca="1">IFERROR(__xludf.DUMMYFUNCTION("GOOGLEFINANCE(C39)"),3636)</f>
        <v>3636</v>
      </c>
      <c r="F39">
        <f ca="1">IFERROR(__xludf.DUMMYFUNCTION("GOOGLEFINANCE(C39,""change"")"),-34.35)</f>
        <v>-34.35</v>
      </c>
      <c r="G39" s="2">
        <f ca="1">IFERROR(__xludf.DUMMYFUNCTION("GOOGLEFINANCE(C39,""changepct"")/100"),-0.00939999999999999)</f>
        <v>-9.39999999999999E-3</v>
      </c>
      <c r="H39">
        <f ca="1">IFERROR(__xludf.DUMMYFUNCTION("GOOGLEFINANCE(C39,""marketcap"")"),90765271244)</f>
        <v>90765271244</v>
      </c>
      <c r="K39" s="3">
        <f ca="1">IFERROR(__xludf.DUMMYFUNCTION("""COMPUTED_VALUE"""),44092.6458333333)</f>
        <v>44092.645833333299</v>
      </c>
      <c r="L39">
        <f ca="1">IFERROR(__xludf.DUMMYFUNCTION("""COMPUTED_VALUE"""),11540.15)</f>
        <v>11540.15</v>
      </c>
      <c r="M39">
        <f ca="1">IFERROR(__xludf.DUMMYFUNCTION("""COMPUTED_VALUE"""),11618.1)</f>
        <v>11618.1</v>
      </c>
      <c r="N39">
        <f ca="1">IFERROR(__xludf.DUMMYFUNCTION("""COMPUTED_VALUE"""),11383.55)</f>
        <v>11383.55</v>
      </c>
      <c r="O39">
        <f ca="1">IFERROR(__xludf.DUMMYFUNCTION("""COMPUTED_VALUE"""),11504.95)</f>
        <v>11504.95</v>
      </c>
      <c r="P39">
        <f ca="1">IFERROR(__xludf.DUMMYFUNCTION("""COMPUTED_VALUE"""),0)</f>
        <v>0</v>
      </c>
    </row>
    <row r="40" spans="1:16" ht="12.75" hidden="1" x14ac:dyDescent="0.2">
      <c r="A40" s="1" t="s">
        <v>103</v>
      </c>
      <c r="B40" s="1" t="s">
        <v>15</v>
      </c>
      <c r="C40" s="1" t="s">
        <v>104</v>
      </c>
      <c r="D40" s="1" t="s">
        <v>13</v>
      </c>
      <c r="E40">
        <f ca="1">IFERROR(__xludf.DUMMYFUNCTION("GOOGLEFINANCE(C40)"),2030)</f>
        <v>2030</v>
      </c>
      <c r="F40">
        <f ca="1">IFERROR(__xludf.DUMMYFUNCTION("GOOGLEFINANCE(C40,""change"")"),11.4)</f>
        <v>11.4</v>
      </c>
      <c r="G40" s="2">
        <f ca="1">IFERROR(__xludf.DUMMYFUNCTION("GOOGLEFINANCE(C40,""changepct"")/100"),0.0056)</f>
        <v>5.5999999999999999E-3</v>
      </c>
      <c r="H40">
        <f ca="1">IFERROR(__xludf.DUMMYFUNCTION("GOOGLEFINANCE(C40,""marketcap"")"),304690815000)</f>
        <v>304690815000</v>
      </c>
      <c r="K40" s="3">
        <f ca="1">IFERROR(__xludf.DUMMYFUNCTION("""COMPUTED_VALUE"""),44099.6458333333)</f>
        <v>44099.645833333299</v>
      </c>
      <c r="L40">
        <f ca="1">IFERROR(__xludf.DUMMYFUNCTION("""COMPUTED_VALUE"""),11503.8)</f>
        <v>11503.8</v>
      </c>
      <c r="M40">
        <f ca="1">IFERROR(__xludf.DUMMYFUNCTION("""COMPUTED_VALUE"""),11535.25)</f>
        <v>11535.25</v>
      </c>
      <c r="N40">
        <f ca="1">IFERROR(__xludf.DUMMYFUNCTION("""COMPUTED_VALUE"""),10790.2)</f>
        <v>10790.2</v>
      </c>
      <c r="O40">
        <f ca="1">IFERROR(__xludf.DUMMYFUNCTION("""COMPUTED_VALUE"""),11050.25)</f>
        <v>11050.25</v>
      </c>
      <c r="P40">
        <f ca="1">IFERROR(__xludf.DUMMYFUNCTION("""COMPUTED_VALUE"""),0)</f>
        <v>0</v>
      </c>
    </row>
    <row r="41" spans="1:16" ht="12.75" hidden="1" x14ac:dyDescent="0.2">
      <c r="A41" s="1" t="s">
        <v>105</v>
      </c>
      <c r="B41" s="1" t="s">
        <v>35</v>
      </c>
      <c r="C41" s="1" t="s">
        <v>106</v>
      </c>
      <c r="D41" s="1" t="s">
        <v>13</v>
      </c>
      <c r="E41">
        <f ca="1">IFERROR(__xludf.DUMMYFUNCTION("GOOGLEFINANCE(C41)"),6750)</f>
        <v>6750</v>
      </c>
      <c r="F41">
        <f ca="1">IFERROR(__xludf.DUMMYFUNCTION("GOOGLEFINANCE(C41,""change"")"),-94.3)</f>
        <v>-94.3</v>
      </c>
      <c r="G41" s="2">
        <f ca="1">IFERROR(__xludf.DUMMYFUNCTION("GOOGLEFINANCE(C41,""changepct"")/100"),-0.0138)</f>
        <v>-1.38E-2</v>
      </c>
      <c r="H41">
        <f ca="1">IFERROR(__xludf.DUMMYFUNCTION("GOOGLEFINANCE(C41,""marketcap"")"),198726702813)</f>
        <v>198726702813</v>
      </c>
      <c r="K41" s="3">
        <f ca="1">IFERROR(__xludf.DUMMYFUNCTION("""COMPUTED_VALUE"""),44105.6458333333)</f>
        <v>44105.645833333299</v>
      </c>
      <c r="L41">
        <f ca="1">IFERROR(__xludf.DUMMYFUNCTION("""COMPUTED_VALUE"""),11140.85)</f>
        <v>11140.85</v>
      </c>
      <c r="M41">
        <f ca="1">IFERROR(__xludf.DUMMYFUNCTION("""COMPUTED_VALUE"""),11428.6)</f>
        <v>11428.6</v>
      </c>
      <c r="N41">
        <f ca="1">IFERROR(__xludf.DUMMYFUNCTION("""COMPUTED_VALUE"""),11099.85)</f>
        <v>11099.85</v>
      </c>
      <c r="O41">
        <f ca="1">IFERROR(__xludf.DUMMYFUNCTION("""COMPUTED_VALUE"""),11416.95)</f>
        <v>11416.95</v>
      </c>
      <c r="P41">
        <f ca="1">IFERROR(__xludf.DUMMYFUNCTION("""COMPUTED_VALUE"""),0)</f>
        <v>0</v>
      </c>
    </row>
    <row r="42" spans="1:16" ht="12.75" x14ac:dyDescent="0.2">
      <c r="A42" s="1" t="s">
        <v>107</v>
      </c>
      <c r="B42" s="1" t="s">
        <v>32</v>
      </c>
      <c r="C42" s="1" t="s">
        <v>108</v>
      </c>
      <c r="D42" s="1" t="s">
        <v>22</v>
      </c>
      <c r="E42">
        <f ca="1">IFERROR(__xludf.DUMMYFUNCTION("GOOGLEFINANCE(C42)"),933)</f>
        <v>933</v>
      </c>
      <c r="F42">
        <f ca="1">IFERROR(__xludf.DUMMYFUNCTION("GOOGLEFINANCE(C42,""change"")"),3.05)</f>
        <v>3.05</v>
      </c>
      <c r="G42" s="2">
        <f ca="1">IFERROR(__xludf.DUMMYFUNCTION("GOOGLEFINANCE(C42,""changepct"")/100"),0.0033)</f>
        <v>3.3E-3</v>
      </c>
      <c r="H42">
        <f ca="1">IFERROR(__xludf.DUMMYFUNCTION("GOOGLEFINANCE(C42,""marketcap"")"),546417118250)</f>
        <v>546417118250</v>
      </c>
      <c r="K42" s="3">
        <f ca="1">IFERROR(__xludf.DUMMYFUNCTION("""COMPUTED_VALUE"""),44113.6458333333)</f>
        <v>44113.645833333299</v>
      </c>
      <c r="L42">
        <f ca="1">IFERROR(__xludf.DUMMYFUNCTION("""COMPUTED_VALUE"""),11487.8)</f>
        <v>11487.8</v>
      </c>
      <c r="M42">
        <f ca="1">IFERROR(__xludf.DUMMYFUNCTION("""COMPUTED_VALUE"""),11938.6)</f>
        <v>11938.6</v>
      </c>
      <c r="N42">
        <f ca="1">IFERROR(__xludf.DUMMYFUNCTION("""COMPUTED_VALUE"""),11452.3)</f>
        <v>11452.3</v>
      </c>
      <c r="O42">
        <f ca="1">IFERROR(__xludf.DUMMYFUNCTION("""COMPUTED_VALUE"""),11914.2)</f>
        <v>11914.2</v>
      </c>
      <c r="P42">
        <f ca="1">IFERROR(__xludf.DUMMYFUNCTION("""COMPUTED_VALUE"""),0)</f>
        <v>0</v>
      </c>
    </row>
    <row r="43" spans="1:16" ht="12.75" hidden="1" x14ac:dyDescent="0.2">
      <c r="A43" s="1" t="s">
        <v>109</v>
      </c>
      <c r="B43" s="1" t="s">
        <v>56</v>
      </c>
      <c r="C43" s="1" t="s">
        <v>110</v>
      </c>
      <c r="D43" s="1" t="s">
        <v>13</v>
      </c>
      <c r="E43">
        <f ca="1">IFERROR(__xludf.DUMMYFUNCTION("GOOGLEFINANCE(C43)"),493)</f>
        <v>493</v>
      </c>
      <c r="F43">
        <f ca="1">IFERROR(__xludf.DUMMYFUNCTION("GOOGLEFINANCE(C43,""change"")"),-6.15)</f>
        <v>-6.15</v>
      </c>
      <c r="G43" s="2">
        <f ca="1">IFERROR(__xludf.DUMMYFUNCTION("GOOGLEFINANCE(C43,""changepct"")/100"),-0.0123)</f>
        <v>-1.23E-2</v>
      </c>
      <c r="H43">
        <f ca="1">IFERROR(__xludf.DUMMYFUNCTION("GOOGLEFINANCE(C43,""marketcap"")"),67169080800)</f>
        <v>67169080800</v>
      </c>
      <c r="K43" s="3">
        <f ca="1">IFERROR(__xludf.DUMMYFUNCTION("""COMPUTED_VALUE"""),44120.6458333333)</f>
        <v>44120.645833333299</v>
      </c>
      <c r="L43">
        <f ca="1">IFERROR(__xludf.DUMMYFUNCTION("""COMPUTED_VALUE"""),11973.55)</f>
        <v>11973.55</v>
      </c>
      <c r="M43">
        <f ca="1">IFERROR(__xludf.DUMMYFUNCTION("""COMPUTED_VALUE"""),12025.45)</f>
        <v>12025.45</v>
      </c>
      <c r="N43">
        <f ca="1">IFERROR(__xludf.DUMMYFUNCTION("""COMPUTED_VALUE"""),11661.3)</f>
        <v>11661.3</v>
      </c>
      <c r="O43">
        <f ca="1">IFERROR(__xludf.DUMMYFUNCTION("""COMPUTED_VALUE"""),11762.45)</f>
        <v>11762.45</v>
      </c>
      <c r="P43">
        <f ca="1">IFERROR(__xludf.DUMMYFUNCTION("""COMPUTED_VALUE"""),0)</f>
        <v>0</v>
      </c>
    </row>
    <row r="44" spans="1:16" ht="12.75" hidden="1" x14ac:dyDescent="0.2">
      <c r="A44" s="1" t="s">
        <v>111</v>
      </c>
      <c r="B44" s="1" t="s">
        <v>56</v>
      </c>
      <c r="C44" s="1" t="s">
        <v>112</v>
      </c>
      <c r="D44" s="1" t="s">
        <v>13</v>
      </c>
      <c r="E44">
        <f ca="1">IFERROR(__xludf.DUMMYFUNCTION("GOOGLEFINANCE(C44)"),3050)</f>
        <v>3050</v>
      </c>
      <c r="F44">
        <f ca="1">IFERROR(__xludf.DUMMYFUNCTION("GOOGLEFINANCE(C44,""change"")"),121.1)</f>
        <v>121.1</v>
      </c>
      <c r="G44" s="2">
        <f ca="1">IFERROR(__xludf.DUMMYFUNCTION("GOOGLEFINANCE(C44,""changepct"")/100"),0.0412999999999999)</f>
        <v>4.1299999999999899E-2</v>
      </c>
      <c r="H44">
        <f ca="1">IFERROR(__xludf.DUMMYFUNCTION("GOOGLEFINANCE(C44,""marketcap"")"),1971669996300)</f>
        <v>1971669996300</v>
      </c>
      <c r="K44" s="3">
        <f ca="1">IFERROR(__xludf.DUMMYFUNCTION("""COMPUTED_VALUE"""),44127.6458333333)</f>
        <v>44127.645833333299</v>
      </c>
      <c r="L44">
        <f ca="1">IFERROR(__xludf.DUMMYFUNCTION("""COMPUTED_VALUE"""),11879.2)</f>
        <v>11879.2</v>
      </c>
      <c r="M44">
        <f ca="1">IFERROR(__xludf.DUMMYFUNCTION("""COMPUTED_VALUE"""),12018.65)</f>
        <v>12018.65</v>
      </c>
      <c r="N44">
        <f ca="1">IFERROR(__xludf.DUMMYFUNCTION("""COMPUTED_VALUE"""),11775.75)</f>
        <v>11775.75</v>
      </c>
      <c r="O44">
        <f ca="1">IFERROR(__xludf.DUMMYFUNCTION("""COMPUTED_VALUE"""),11930.35)</f>
        <v>11930.35</v>
      </c>
      <c r="P44">
        <f ca="1">IFERROR(__xludf.DUMMYFUNCTION("""COMPUTED_VALUE"""),0)</f>
        <v>0</v>
      </c>
    </row>
    <row r="45" spans="1:16" ht="12.75" x14ac:dyDescent="0.2">
      <c r="A45" s="1" t="s">
        <v>113</v>
      </c>
      <c r="B45" s="1" t="s">
        <v>29</v>
      </c>
      <c r="C45" s="1" t="s">
        <v>114</v>
      </c>
      <c r="D45" s="1" t="s">
        <v>22</v>
      </c>
      <c r="E45">
        <f ca="1">IFERROR(__xludf.DUMMYFUNCTION("GOOGLEFINANCE(C45)"),797)</f>
        <v>797</v>
      </c>
      <c r="F45">
        <f ca="1">IFERROR(__xludf.DUMMYFUNCTION("GOOGLEFINANCE(C45,""change"")"),46.6)</f>
        <v>46.6</v>
      </c>
      <c r="G45" s="2">
        <f ca="1">IFERROR(__xludf.DUMMYFUNCTION("GOOGLEFINANCE(C45,""changepct"")/100"),0.0621)</f>
        <v>6.2100000000000002E-2</v>
      </c>
      <c r="H45">
        <f ca="1">IFERROR(__xludf.DUMMYFUNCTION("GOOGLEFINANCE(C45,""marketcap"")"),2433178496000)</f>
        <v>2433178496000</v>
      </c>
      <c r="K45" s="3">
        <f ca="1">IFERROR(__xludf.DUMMYFUNCTION("""COMPUTED_VALUE"""),44134.6458333333)</f>
        <v>44134.645833333299</v>
      </c>
      <c r="L45">
        <f ca="1">IFERROR(__xludf.DUMMYFUNCTION("""COMPUTED_VALUE"""),11937.4)</f>
        <v>11937.4</v>
      </c>
      <c r="M45">
        <f ca="1">IFERROR(__xludf.DUMMYFUNCTION("""COMPUTED_VALUE"""),11942.85)</f>
        <v>11942.85</v>
      </c>
      <c r="N45">
        <f ca="1">IFERROR(__xludf.DUMMYFUNCTION("""COMPUTED_VALUE"""),11535.45)</f>
        <v>11535.45</v>
      </c>
      <c r="O45">
        <f ca="1">IFERROR(__xludf.DUMMYFUNCTION("""COMPUTED_VALUE"""),11642.4)</f>
        <v>11642.4</v>
      </c>
      <c r="P45">
        <f ca="1">IFERROR(__xludf.DUMMYFUNCTION("""COMPUTED_VALUE"""),0)</f>
        <v>0</v>
      </c>
    </row>
    <row r="46" spans="1:16" ht="12.75" hidden="1" x14ac:dyDescent="0.2">
      <c r="A46" s="1" t="s">
        <v>115</v>
      </c>
      <c r="B46" s="1" t="s">
        <v>35</v>
      </c>
      <c r="C46" s="1" t="s">
        <v>116</v>
      </c>
      <c r="D46" s="1" t="s">
        <v>13</v>
      </c>
      <c r="E46">
        <f ca="1">IFERROR(__xludf.DUMMYFUNCTION("GOOGLEFINANCE(C46)"),2042)</f>
        <v>2042</v>
      </c>
      <c r="F46">
        <f ca="1">IFERROR(__xludf.DUMMYFUNCTION("GOOGLEFINANCE(C46,""change"")"),64.1)</f>
        <v>64.099999999999994</v>
      </c>
      <c r="G46" s="2">
        <f ca="1">IFERROR(__xludf.DUMMYFUNCTION("GOOGLEFINANCE(C46,""changepct"")/100"),0.0324)</f>
        <v>3.2399999999999998E-2</v>
      </c>
      <c r="H46">
        <f ca="1">IFERROR(__xludf.DUMMYFUNCTION("GOOGLEFINANCE(C46,""marketcap"")"),88494181785)</f>
        <v>88494181785</v>
      </c>
      <c r="K46" s="3">
        <f ca="1">IFERROR(__xludf.DUMMYFUNCTION("""COMPUTED_VALUE"""),44141.6458333333)</f>
        <v>44141.645833333299</v>
      </c>
      <c r="L46">
        <f ca="1">IFERROR(__xludf.DUMMYFUNCTION("""COMPUTED_VALUE"""),11697.35)</f>
        <v>11697.35</v>
      </c>
      <c r="M46">
        <f ca="1">IFERROR(__xludf.DUMMYFUNCTION("""COMPUTED_VALUE"""),12280.4)</f>
        <v>12280.4</v>
      </c>
      <c r="N46">
        <f ca="1">IFERROR(__xludf.DUMMYFUNCTION("""COMPUTED_VALUE"""),11557.4)</f>
        <v>11557.4</v>
      </c>
      <c r="O46">
        <f ca="1">IFERROR(__xludf.DUMMYFUNCTION("""COMPUTED_VALUE"""),12263.55)</f>
        <v>12263.55</v>
      </c>
      <c r="P46">
        <f ca="1">IFERROR(__xludf.DUMMYFUNCTION("""COMPUTED_VALUE"""),0)</f>
        <v>0</v>
      </c>
    </row>
    <row r="47" spans="1:16" ht="12.75" hidden="1" x14ac:dyDescent="0.2">
      <c r="A47" s="1" t="s">
        <v>117</v>
      </c>
      <c r="B47" s="1" t="s">
        <v>15</v>
      </c>
      <c r="C47" s="1" t="s">
        <v>118</v>
      </c>
      <c r="D47" s="1" t="s">
        <v>13</v>
      </c>
      <c r="E47">
        <f ca="1">IFERROR(__xludf.DUMMYFUNCTION("GOOGLEFINANCE(C47)"),956.7)</f>
        <v>956.7</v>
      </c>
      <c r="F47">
        <f ca="1">IFERROR(__xludf.DUMMYFUNCTION("GOOGLEFINANCE(C47,""change"")"),-14.9)</f>
        <v>-14.9</v>
      </c>
      <c r="G47" s="2">
        <f ca="1">IFERROR(__xludf.DUMMYFUNCTION("GOOGLEFINANCE(C47,""changepct"")/100"),-0.0153)</f>
        <v>-1.5299999999999999E-2</v>
      </c>
      <c r="H47">
        <f ca="1">IFERROR(__xludf.DUMMYFUNCTION("GOOGLEFINANCE(C47,""marketcap"")"),39900115640)</f>
        <v>39900115640</v>
      </c>
      <c r="K47" s="3">
        <f ca="1">IFERROR(__xludf.DUMMYFUNCTION("""COMPUTED_VALUE"""),44148.6458333333)</f>
        <v>44148.645833333299</v>
      </c>
      <c r="L47">
        <f ca="1">IFERROR(__xludf.DUMMYFUNCTION("""COMPUTED_VALUE"""),12399.4)</f>
        <v>12399.4</v>
      </c>
      <c r="M47">
        <f ca="1">IFERROR(__xludf.DUMMYFUNCTION("""COMPUTED_VALUE"""),12769.75)</f>
        <v>12769.75</v>
      </c>
      <c r="N47">
        <f ca="1">IFERROR(__xludf.DUMMYFUNCTION("""COMPUTED_VALUE"""),12367.35)</f>
        <v>12367.35</v>
      </c>
      <c r="O47">
        <f ca="1">IFERROR(__xludf.DUMMYFUNCTION("""COMPUTED_VALUE"""),12719.95)</f>
        <v>12719.95</v>
      </c>
      <c r="P47">
        <f ca="1">IFERROR(__xludf.DUMMYFUNCTION("""COMPUTED_VALUE"""),0)</f>
        <v>0</v>
      </c>
    </row>
    <row r="48" spans="1:16" ht="12.75" hidden="1" x14ac:dyDescent="0.2">
      <c r="A48" s="1" t="s">
        <v>119</v>
      </c>
      <c r="B48" s="1" t="s">
        <v>29</v>
      </c>
      <c r="C48" s="1" t="s">
        <v>120</v>
      </c>
      <c r="D48" s="1" t="s">
        <v>13</v>
      </c>
      <c r="E48">
        <f ca="1">IFERROR(__xludf.DUMMYFUNCTION("GOOGLEFINANCE(C48)"),607.65)</f>
        <v>607.65</v>
      </c>
      <c r="F48">
        <f ca="1">IFERROR(__xludf.DUMMYFUNCTION("GOOGLEFINANCE(C48,""change"")"),11.95)</f>
        <v>11.95</v>
      </c>
      <c r="G48" s="2">
        <f ca="1">IFERROR(__xludf.DUMMYFUNCTION("GOOGLEFINANCE(C48,""changepct"")/100"),0.0200999999999999)</f>
        <v>2.0099999999999899E-2</v>
      </c>
      <c r="H48">
        <f ca="1">IFERROR(__xludf.DUMMYFUNCTION("GOOGLEFINANCE(C48,""marketcap"")"),27359010917)</f>
        <v>27359010917</v>
      </c>
      <c r="K48" s="3">
        <f ca="1">IFERROR(__xludf.DUMMYFUNCTION("""COMPUTED_VALUE"""),44155.6458333333)</f>
        <v>44155.645833333299</v>
      </c>
      <c r="L48">
        <f ca="1">IFERROR(__xludf.DUMMYFUNCTION("""COMPUTED_VALUE"""),12932.5)</f>
        <v>12932.5</v>
      </c>
      <c r="M48">
        <f ca="1">IFERROR(__xludf.DUMMYFUNCTION("""COMPUTED_VALUE"""),12963)</f>
        <v>12963</v>
      </c>
      <c r="N48">
        <f ca="1">IFERROR(__xludf.DUMMYFUNCTION("""COMPUTED_VALUE"""),12730.25)</f>
        <v>12730.25</v>
      </c>
      <c r="O48">
        <f ca="1">IFERROR(__xludf.DUMMYFUNCTION("""COMPUTED_VALUE"""),12859.05)</f>
        <v>12859.05</v>
      </c>
      <c r="P48">
        <f ca="1">IFERROR(__xludf.DUMMYFUNCTION("""COMPUTED_VALUE"""),0)</f>
        <v>0</v>
      </c>
    </row>
    <row r="49" spans="1:16" ht="12.75" x14ac:dyDescent="0.2">
      <c r="A49" s="1" t="s">
        <v>121</v>
      </c>
      <c r="B49" s="1" t="s">
        <v>81</v>
      </c>
      <c r="C49" s="1" t="s">
        <v>122</v>
      </c>
      <c r="D49" s="1" t="s">
        <v>22</v>
      </c>
      <c r="E49">
        <f ca="1">IFERROR(__xludf.DUMMYFUNCTION("GOOGLEFINANCE(C49)"),4129)</f>
        <v>4129</v>
      </c>
      <c r="F49">
        <f ca="1">IFERROR(__xludf.DUMMYFUNCTION("GOOGLEFINANCE(C49,""change"")"),-7.05)</f>
        <v>-7.05</v>
      </c>
      <c r="G49" s="2">
        <f ca="1">IFERROR(__xludf.DUMMYFUNCTION("GOOGLEFINANCE(C49,""changepct"")/100"),-0.0017)</f>
        <v>-1.6999999999999999E-3</v>
      </c>
      <c r="H49">
        <f ca="1">IFERROR(__xludf.DUMMYFUNCTION("GOOGLEFINANCE(C49,""marketcap"")"),1192512277000)</f>
        <v>1192512277000</v>
      </c>
      <c r="K49" s="3">
        <f ca="1">IFERROR(__xludf.DUMMYFUNCTION("""COMPUTED_VALUE"""),44162.6458333333)</f>
        <v>44162.645833333299</v>
      </c>
      <c r="L49">
        <f ca="1">IFERROR(__xludf.DUMMYFUNCTION("""COMPUTED_VALUE"""),12960.3)</f>
        <v>12960.3</v>
      </c>
      <c r="M49">
        <f ca="1">IFERROR(__xludf.DUMMYFUNCTION("""COMPUTED_VALUE"""),13145.85)</f>
        <v>13145.85</v>
      </c>
      <c r="N49">
        <f ca="1">IFERROR(__xludf.DUMMYFUNCTION("""COMPUTED_VALUE"""),12790.4)</f>
        <v>12790.4</v>
      </c>
      <c r="O49">
        <f ca="1">IFERROR(__xludf.DUMMYFUNCTION("""COMPUTED_VALUE"""),12968.95)</f>
        <v>12968.95</v>
      </c>
      <c r="P49">
        <f ca="1">IFERROR(__xludf.DUMMYFUNCTION("""COMPUTED_VALUE"""),0)</f>
        <v>0</v>
      </c>
    </row>
    <row r="50" spans="1:16" ht="12.75" hidden="1" x14ac:dyDescent="0.2">
      <c r="A50" s="1" t="s">
        <v>123</v>
      </c>
      <c r="B50" s="1" t="s">
        <v>56</v>
      </c>
      <c r="C50" s="1" t="s">
        <v>124</v>
      </c>
      <c r="D50" s="1" t="s">
        <v>13</v>
      </c>
      <c r="E50">
        <f ca="1">IFERROR(__xludf.DUMMYFUNCTION("GOOGLEFINANCE(C50)"),243.7)</f>
        <v>243.7</v>
      </c>
      <c r="F50">
        <f ca="1">IFERROR(__xludf.DUMMYFUNCTION("GOOGLEFINANCE(C50,""change"")"),-1.15)</f>
        <v>-1.1499999999999999</v>
      </c>
      <c r="G50" s="2">
        <f ca="1">IFERROR(__xludf.DUMMYFUNCTION("GOOGLEFINANCE(C50,""changepct"")/100"),-0.00469999999999999)</f>
        <v>-4.6999999999999898E-3</v>
      </c>
      <c r="H50">
        <f ca="1">IFERROR(__xludf.DUMMYFUNCTION("GOOGLEFINANCE(C50,""marketcap"")"),35918610119)</f>
        <v>35918610119</v>
      </c>
      <c r="K50" s="3">
        <f ca="1">IFERROR(__xludf.DUMMYFUNCTION("""COMPUTED_VALUE"""),44169.6458333333)</f>
        <v>44169.645833333299</v>
      </c>
      <c r="L50">
        <f ca="1">IFERROR(__xludf.DUMMYFUNCTION("""COMPUTED_VALUE"""),13062.2)</f>
        <v>13062.2</v>
      </c>
      <c r="M50">
        <f ca="1">IFERROR(__xludf.DUMMYFUNCTION("""COMPUTED_VALUE"""),13280.05)</f>
        <v>13280.05</v>
      </c>
      <c r="N50">
        <f ca="1">IFERROR(__xludf.DUMMYFUNCTION("""COMPUTED_VALUE"""),12962.8)</f>
        <v>12962.8</v>
      </c>
      <c r="O50">
        <f ca="1">IFERROR(__xludf.DUMMYFUNCTION("""COMPUTED_VALUE"""),13258.55)</f>
        <v>13258.55</v>
      </c>
      <c r="P50">
        <f ca="1">IFERROR(__xludf.DUMMYFUNCTION("""COMPUTED_VALUE"""),0)</f>
        <v>0</v>
      </c>
    </row>
    <row r="51" spans="1:16" ht="12.75" hidden="1" x14ac:dyDescent="0.2">
      <c r="A51" s="1" t="s">
        <v>125</v>
      </c>
      <c r="B51" s="1" t="s">
        <v>56</v>
      </c>
      <c r="C51" s="1" t="s">
        <v>126</v>
      </c>
      <c r="D51" s="1" t="s">
        <v>13</v>
      </c>
      <c r="E51">
        <f ca="1">IFERROR(__xludf.DUMMYFUNCTION("GOOGLEFINANCE(C51)"),1076.5)</f>
        <v>1076.5</v>
      </c>
      <c r="F51">
        <f ca="1">IFERROR(__xludf.DUMMYFUNCTION("GOOGLEFINANCE(C51,""change"")"),7.5)</f>
        <v>7.5</v>
      </c>
      <c r="G51" s="2">
        <f ca="1">IFERROR(__xludf.DUMMYFUNCTION("GOOGLEFINANCE(C51,""changepct"")/100"),0.00699999999999999)</f>
        <v>6.9999999999999897E-3</v>
      </c>
      <c r="H51">
        <f ca="1">IFERROR(__xludf.DUMMYFUNCTION("GOOGLEFINANCE(C51,""marketcap"")"),122374479150)</f>
        <v>122374479150</v>
      </c>
      <c r="K51" s="3">
        <f ca="1">IFERROR(__xludf.DUMMYFUNCTION("""COMPUTED_VALUE"""),44176.6458333333)</f>
        <v>44176.645833333299</v>
      </c>
      <c r="L51">
        <f ca="1">IFERROR(__xludf.DUMMYFUNCTION("""COMPUTED_VALUE"""),13264.85)</f>
        <v>13264.85</v>
      </c>
      <c r="M51">
        <f ca="1">IFERROR(__xludf.DUMMYFUNCTION("""COMPUTED_VALUE"""),13579.35)</f>
        <v>13579.35</v>
      </c>
      <c r="N51">
        <f ca="1">IFERROR(__xludf.DUMMYFUNCTION("""COMPUTED_VALUE"""),13241.95)</f>
        <v>13241.95</v>
      </c>
      <c r="O51">
        <f ca="1">IFERROR(__xludf.DUMMYFUNCTION("""COMPUTED_VALUE"""),13513.85)</f>
        <v>13513.85</v>
      </c>
      <c r="P51">
        <f ca="1">IFERROR(__xludf.DUMMYFUNCTION("""COMPUTED_VALUE"""),0)</f>
        <v>0</v>
      </c>
    </row>
    <row r="52" spans="1:16" ht="12.75" x14ac:dyDescent="0.2">
      <c r="A52" s="1" t="s">
        <v>127</v>
      </c>
      <c r="B52" s="1" t="s">
        <v>29</v>
      </c>
      <c r="C52" s="1" t="s">
        <v>128</v>
      </c>
      <c r="D52" s="1" t="s">
        <v>22</v>
      </c>
      <c r="E52">
        <f ca="1">IFERROR(__xludf.DUMMYFUNCTION("GOOGLEFINANCE(C52)"),5777)</f>
        <v>5777</v>
      </c>
      <c r="F52">
        <f ca="1">IFERROR(__xludf.DUMMYFUNCTION("GOOGLEFINANCE(C52,""change"")"),199.55)</f>
        <v>199.55</v>
      </c>
      <c r="G52" s="2">
        <f ca="1">IFERROR(__xludf.DUMMYFUNCTION("GOOGLEFINANCE(C52,""changepct"")/100"),0.0358)</f>
        <v>3.5799999999999998E-2</v>
      </c>
      <c r="H52">
        <f ca="1">IFERROR(__xludf.DUMMYFUNCTION("GOOGLEFINANCE(C52,""marketcap"")"),3474214691063)</f>
        <v>3474214691063</v>
      </c>
      <c r="K52" s="3">
        <f ca="1">IFERROR(__xludf.DUMMYFUNCTION("""COMPUTED_VALUE"""),44183.6458333333)</f>
        <v>44183.645833333299</v>
      </c>
      <c r="L52">
        <f ca="1">IFERROR(__xludf.DUMMYFUNCTION("""COMPUTED_VALUE"""),13571.45)</f>
        <v>13571.45</v>
      </c>
      <c r="M52">
        <f ca="1">IFERROR(__xludf.DUMMYFUNCTION("""COMPUTED_VALUE"""),13773.25)</f>
        <v>13773.25</v>
      </c>
      <c r="N52">
        <f ca="1">IFERROR(__xludf.DUMMYFUNCTION("""COMPUTED_VALUE"""),13447.05)</f>
        <v>13447.05</v>
      </c>
      <c r="O52">
        <f ca="1">IFERROR(__xludf.DUMMYFUNCTION("""COMPUTED_VALUE"""),13760.55)</f>
        <v>13760.55</v>
      </c>
      <c r="P52">
        <f ca="1">IFERROR(__xludf.DUMMYFUNCTION("""COMPUTED_VALUE"""),0)</f>
        <v>0</v>
      </c>
    </row>
    <row r="53" spans="1:16" ht="12.75" x14ac:dyDescent="0.2">
      <c r="A53" s="1" t="s">
        <v>129</v>
      </c>
      <c r="B53" s="1" t="s">
        <v>29</v>
      </c>
      <c r="C53" s="1" t="s">
        <v>130</v>
      </c>
      <c r="D53" s="1" t="s">
        <v>22</v>
      </c>
      <c r="E53">
        <f ca="1">IFERROR(__xludf.DUMMYFUNCTION("GOOGLEFINANCE(C53)"),10500)</f>
        <v>10500</v>
      </c>
      <c r="F53">
        <f ca="1">IFERROR(__xludf.DUMMYFUNCTION("GOOGLEFINANCE(C53,""change"")"),221.2)</f>
        <v>221.2</v>
      </c>
      <c r="G53" s="2">
        <f ca="1">IFERROR(__xludf.DUMMYFUNCTION("GOOGLEFINANCE(C53,""changepct"")/100"),0.0215)</f>
        <v>2.1499999999999998E-2</v>
      </c>
      <c r="H53">
        <f ca="1">IFERROR(__xludf.DUMMYFUNCTION("GOOGLEFINANCE(C53,""marketcap"")"),1670210660840)</f>
        <v>1670210660840</v>
      </c>
      <c r="K53" s="3">
        <f ca="1">IFERROR(__xludf.DUMMYFUNCTION("""COMPUTED_VALUE"""),44189.6458333333)</f>
        <v>44189.645833333299</v>
      </c>
      <c r="L53">
        <f ca="1">IFERROR(__xludf.DUMMYFUNCTION("""COMPUTED_VALUE"""),13741.9)</f>
        <v>13741.9</v>
      </c>
      <c r="M53">
        <f ca="1">IFERROR(__xludf.DUMMYFUNCTION("""COMPUTED_VALUE"""),13777.5)</f>
        <v>13777.5</v>
      </c>
      <c r="N53">
        <f ca="1">IFERROR(__xludf.DUMMYFUNCTION("""COMPUTED_VALUE"""),13131.45)</f>
        <v>13131.45</v>
      </c>
      <c r="O53">
        <f ca="1">IFERROR(__xludf.DUMMYFUNCTION("""COMPUTED_VALUE"""),13749.25)</f>
        <v>13749.25</v>
      </c>
      <c r="P53">
        <f ca="1">IFERROR(__xludf.DUMMYFUNCTION("""COMPUTED_VALUE"""),0)</f>
        <v>0</v>
      </c>
    </row>
    <row r="54" spans="1:16" ht="12.75" hidden="1" x14ac:dyDescent="0.2">
      <c r="A54" s="1" t="s">
        <v>131</v>
      </c>
      <c r="B54" s="1" t="s">
        <v>29</v>
      </c>
      <c r="C54" s="1" t="s">
        <v>132</v>
      </c>
      <c r="D54" s="1" t="s">
        <v>13</v>
      </c>
      <c r="E54">
        <f ca="1">IFERROR(__xludf.DUMMYFUNCTION("GOOGLEFINANCE(C54)"),3550.2)</f>
        <v>3550.2</v>
      </c>
      <c r="F54">
        <f ca="1">IFERROR(__xludf.DUMMYFUNCTION("GOOGLEFINANCE(C54,""change"")"),5.6)</f>
        <v>5.6</v>
      </c>
      <c r="G54" s="2">
        <f ca="1">IFERROR(__xludf.DUMMYFUNCTION("GOOGLEFINANCE(C54,""changepct"")/100"),0.0016)</f>
        <v>1.6000000000000001E-3</v>
      </c>
      <c r="H54">
        <f ca="1">IFERROR(__xludf.DUMMYFUNCTION("GOOGLEFINANCE(C54,""marketcap"")"),395114178265)</f>
        <v>395114178265</v>
      </c>
      <c r="K54" s="3">
        <f ca="1">IFERROR(__xludf.DUMMYFUNCTION("""COMPUTED_VALUE"""),44197.6458333333)</f>
        <v>44197.645833333299</v>
      </c>
      <c r="L54">
        <f ca="1">IFERROR(__xludf.DUMMYFUNCTION("""COMPUTED_VALUE"""),13815.15)</f>
        <v>13815.15</v>
      </c>
      <c r="M54">
        <f ca="1">IFERROR(__xludf.DUMMYFUNCTION("""COMPUTED_VALUE"""),14049.85)</f>
        <v>14049.85</v>
      </c>
      <c r="N54">
        <f ca="1">IFERROR(__xludf.DUMMYFUNCTION("""COMPUTED_VALUE"""),13811.55)</f>
        <v>13811.55</v>
      </c>
      <c r="O54">
        <f ca="1">IFERROR(__xludf.DUMMYFUNCTION("""COMPUTED_VALUE"""),14018.5)</f>
        <v>14018.5</v>
      </c>
      <c r="P54">
        <f ca="1">IFERROR(__xludf.DUMMYFUNCTION("""COMPUTED_VALUE"""),0)</f>
        <v>0</v>
      </c>
    </row>
    <row r="55" spans="1:16" ht="12.75" x14ac:dyDescent="0.2">
      <c r="A55" s="1" t="s">
        <v>133</v>
      </c>
      <c r="B55" s="1" t="s">
        <v>81</v>
      </c>
      <c r="C55" s="1" t="s">
        <v>134</v>
      </c>
      <c r="D55" s="1" t="s">
        <v>22</v>
      </c>
      <c r="E55">
        <f ca="1">IFERROR(__xludf.DUMMYFUNCTION("GOOGLEFINANCE(C55)"),1646)</f>
        <v>1646</v>
      </c>
      <c r="F55">
        <f ca="1">IFERROR(__xludf.DUMMYFUNCTION("GOOGLEFINANCE(C55,""change"")"),-9.15)</f>
        <v>-9.15</v>
      </c>
      <c r="G55" s="2">
        <f ca="1">IFERROR(__xludf.DUMMYFUNCTION("GOOGLEFINANCE(C55,""changepct"")/100"),-0.0055)</f>
        <v>-5.4999999999999997E-3</v>
      </c>
      <c r="H55">
        <f ca="1">IFERROR(__xludf.DUMMYFUNCTION("GOOGLEFINANCE(C55,""marketcap"")"),318606254400)</f>
        <v>318606254400</v>
      </c>
      <c r="K55" s="3">
        <f ca="1">IFERROR(__xludf.DUMMYFUNCTION("""COMPUTED_VALUE"""),44204.6458333333)</f>
        <v>44204.645833333299</v>
      </c>
      <c r="L55">
        <f ca="1">IFERROR(__xludf.DUMMYFUNCTION("""COMPUTED_VALUE"""),14104.35)</f>
        <v>14104.35</v>
      </c>
      <c r="M55">
        <f ca="1">IFERROR(__xludf.DUMMYFUNCTION("""COMPUTED_VALUE"""),14367.3)</f>
        <v>14367.3</v>
      </c>
      <c r="N55">
        <f ca="1">IFERROR(__xludf.DUMMYFUNCTION("""COMPUTED_VALUE"""),13953.75)</f>
        <v>13953.75</v>
      </c>
      <c r="O55">
        <f ca="1">IFERROR(__xludf.DUMMYFUNCTION("""COMPUTED_VALUE"""),14347.25)</f>
        <v>14347.25</v>
      </c>
      <c r="P55">
        <f ca="1">IFERROR(__xludf.DUMMYFUNCTION("""COMPUTED_VALUE"""),0)</f>
        <v>0</v>
      </c>
    </row>
    <row r="56" spans="1:16" ht="12.75" hidden="1" x14ac:dyDescent="0.2">
      <c r="A56" s="1" t="s">
        <v>135</v>
      </c>
      <c r="B56" s="1" t="s">
        <v>15</v>
      </c>
      <c r="C56" s="1" t="s">
        <v>136</v>
      </c>
      <c r="D56" s="1" t="s">
        <v>13</v>
      </c>
      <c r="E56">
        <f ca="1">IFERROR(__xludf.DUMMYFUNCTION("GOOGLEFINANCE(C56)"),113.15)</f>
        <v>113.15</v>
      </c>
      <c r="F56">
        <f ca="1">IFERROR(__xludf.DUMMYFUNCTION("GOOGLEFINANCE(C56,""change"")"),-1.1)</f>
        <v>-1.1000000000000001</v>
      </c>
      <c r="G56" s="2">
        <f ca="1">IFERROR(__xludf.DUMMYFUNCTION("GOOGLEFINANCE(C56,""changepct"")/100"),-0.0096)</f>
        <v>-9.5999999999999992E-3</v>
      </c>
      <c r="H56">
        <f ca="1">IFERROR(__xludf.DUMMYFUNCTION("GOOGLEFINANCE(C56,""marketcap"")"),19357709250)</f>
        <v>19357709250</v>
      </c>
      <c r="K56" s="3">
        <f ca="1">IFERROR(__xludf.DUMMYFUNCTION("""COMPUTED_VALUE"""),44211.6458333333)</f>
        <v>44211.645833333299</v>
      </c>
      <c r="L56">
        <f ca="1">IFERROR(__xludf.DUMMYFUNCTION("""COMPUTED_VALUE"""),14474.05)</f>
        <v>14474.05</v>
      </c>
      <c r="M56">
        <f ca="1">IFERROR(__xludf.DUMMYFUNCTION("""COMPUTED_VALUE"""),14653.35)</f>
        <v>14653.35</v>
      </c>
      <c r="N56">
        <f ca="1">IFERROR(__xludf.DUMMYFUNCTION("""COMPUTED_VALUE"""),14357.85)</f>
        <v>14357.85</v>
      </c>
      <c r="O56">
        <f ca="1">IFERROR(__xludf.DUMMYFUNCTION("""COMPUTED_VALUE"""),14433.7)</f>
        <v>14433.7</v>
      </c>
      <c r="P56">
        <f ca="1">IFERROR(__xludf.DUMMYFUNCTION("""COMPUTED_VALUE"""),0)</f>
        <v>0</v>
      </c>
    </row>
    <row r="57" spans="1:16" ht="12.75" hidden="1" x14ac:dyDescent="0.2">
      <c r="A57" s="1" t="s">
        <v>137</v>
      </c>
      <c r="B57" s="1" t="s">
        <v>56</v>
      </c>
      <c r="C57" s="1" t="s">
        <v>138</v>
      </c>
      <c r="D57" s="1" t="s">
        <v>13</v>
      </c>
      <c r="E57">
        <f ca="1">IFERROR(__xludf.DUMMYFUNCTION("GOOGLEFINANCE(C57)"),157.25)</f>
        <v>157.25</v>
      </c>
      <c r="F57">
        <f ca="1">IFERROR(__xludf.DUMMYFUNCTION("GOOGLEFINANCE(C57,""change"")"),-1)</f>
        <v>-1</v>
      </c>
      <c r="G57" s="2">
        <f ca="1">IFERROR(__xludf.DUMMYFUNCTION("GOOGLEFINANCE(C57,""changepct"")/100"),-0.0063)</f>
        <v>-6.3E-3</v>
      </c>
      <c r="H57">
        <f ca="1">IFERROR(__xludf.DUMMYFUNCTION("GOOGLEFINANCE(C57,""marketcap"")"),32980569841)</f>
        <v>32980569841</v>
      </c>
      <c r="K57" s="3">
        <f ca="1">IFERROR(__xludf.DUMMYFUNCTION("""COMPUTED_VALUE"""),44218.6458333333)</f>
        <v>44218.645833333299</v>
      </c>
      <c r="L57">
        <f ca="1">IFERROR(__xludf.DUMMYFUNCTION("""COMPUTED_VALUE"""),14453.3)</f>
        <v>14453.3</v>
      </c>
      <c r="M57">
        <f ca="1">IFERROR(__xludf.DUMMYFUNCTION("""COMPUTED_VALUE"""),14753.55)</f>
        <v>14753.55</v>
      </c>
      <c r="N57">
        <f ca="1">IFERROR(__xludf.DUMMYFUNCTION("""COMPUTED_VALUE"""),14222.8)</f>
        <v>14222.8</v>
      </c>
      <c r="O57">
        <f ca="1">IFERROR(__xludf.DUMMYFUNCTION("""COMPUTED_VALUE"""),14371.9)</f>
        <v>14371.9</v>
      </c>
      <c r="P57">
        <f ca="1">IFERROR(__xludf.DUMMYFUNCTION("""COMPUTED_VALUE"""),0)</f>
        <v>0</v>
      </c>
    </row>
    <row r="58" spans="1:16" ht="12.75" x14ac:dyDescent="0.2">
      <c r="A58" s="1" t="s">
        <v>139</v>
      </c>
      <c r="B58" s="1" t="s">
        <v>29</v>
      </c>
      <c r="C58" s="1" t="s">
        <v>140</v>
      </c>
      <c r="D58" s="1" t="s">
        <v>22</v>
      </c>
      <c r="E58">
        <f ca="1">IFERROR(__xludf.DUMMYFUNCTION("GOOGLEFINANCE(C58)"),339.75)</f>
        <v>339.75</v>
      </c>
      <c r="F58">
        <f ca="1">IFERROR(__xludf.DUMMYFUNCTION("GOOGLEFINANCE(C58,""change"")"),2.25)</f>
        <v>2.25</v>
      </c>
      <c r="G58" s="2">
        <f ca="1">IFERROR(__xludf.DUMMYFUNCTION("GOOGLEFINANCE(C58,""changepct"")/100"),0.0067)</f>
        <v>6.7000000000000002E-3</v>
      </c>
      <c r="H58">
        <f ca="1">IFERROR(__xludf.DUMMYFUNCTION("GOOGLEFINANCE(C58,""marketcap"")"),547639700000)</f>
        <v>547639700000</v>
      </c>
      <c r="K58" s="3">
        <f ca="1">IFERROR(__xludf.DUMMYFUNCTION("""COMPUTED_VALUE"""),44225.6458333333)</f>
        <v>44225.645833333299</v>
      </c>
      <c r="L58">
        <f ca="1">IFERROR(__xludf.DUMMYFUNCTION("""COMPUTED_VALUE"""),14477.8)</f>
        <v>14477.8</v>
      </c>
      <c r="M58">
        <f ca="1">IFERROR(__xludf.DUMMYFUNCTION("""COMPUTED_VALUE"""),14491.1)</f>
        <v>14491.1</v>
      </c>
      <c r="N58">
        <f ca="1">IFERROR(__xludf.DUMMYFUNCTION("""COMPUTED_VALUE"""),13596.75)</f>
        <v>13596.75</v>
      </c>
      <c r="O58">
        <f ca="1">IFERROR(__xludf.DUMMYFUNCTION("""COMPUTED_VALUE"""),13634.6)</f>
        <v>13634.6</v>
      </c>
      <c r="P58">
        <f ca="1">IFERROR(__xludf.DUMMYFUNCTION("""COMPUTED_VALUE"""),0)</f>
        <v>0</v>
      </c>
    </row>
    <row r="59" spans="1:16" ht="12.75" x14ac:dyDescent="0.2">
      <c r="A59" s="1" t="s">
        <v>141</v>
      </c>
      <c r="B59" s="1" t="s">
        <v>29</v>
      </c>
      <c r="C59" s="1" t="s">
        <v>142</v>
      </c>
      <c r="D59" s="1" t="s">
        <v>22</v>
      </c>
      <c r="E59">
        <f ca="1">IFERROR(__xludf.DUMMYFUNCTION("GOOGLEFINANCE(C59)"),79.65)</f>
        <v>79.650000000000006</v>
      </c>
      <c r="F59">
        <f ca="1">IFERROR(__xludf.DUMMYFUNCTION("GOOGLEFINANCE(C59,""change"")"),1.3)</f>
        <v>1.3</v>
      </c>
      <c r="G59" s="2">
        <f ca="1">IFERROR(__xludf.DUMMYFUNCTION("GOOGLEFINANCE(C59,""changepct"")/100"),0.0166)</f>
        <v>1.66E-2</v>
      </c>
      <c r="H59">
        <f ca="1">IFERROR(__xludf.DUMMYFUNCTION("GOOGLEFINANCE(C59,""marketcap"")"),367797046549)</f>
        <v>367797046549</v>
      </c>
      <c r="K59" s="3">
        <f ca="1">IFERROR(__xludf.DUMMYFUNCTION("""COMPUTED_VALUE"""),44232.6458333333)</f>
        <v>44232.645833333299</v>
      </c>
      <c r="L59">
        <f ca="1">IFERROR(__xludf.DUMMYFUNCTION("""COMPUTED_VALUE"""),13758.6)</f>
        <v>13758.6</v>
      </c>
      <c r="M59">
        <f ca="1">IFERROR(__xludf.DUMMYFUNCTION("""COMPUTED_VALUE"""),15014.65)</f>
        <v>15014.65</v>
      </c>
      <c r="N59">
        <f ca="1">IFERROR(__xludf.DUMMYFUNCTION("""COMPUTED_VALUE"""),13661.75)</f>
        <v>13661.75</v>
      </c>
      <c r="O59">
        <f ca="1">IFERROR(__xludf.DUMMYFUNCTION("""COMPUTED_VALUE"""),14924.25)</f>
        <v>14924.25</v>
      </c>
      <c r="P59">
        <f ca="1">IFERROR(__xludf.DUMMYFUNCTION("""COMPUTED_VALUE"""),0)</f>
        <v>0</v>
      </c>
    </row>
    <row r="60" spans="1:16" ht="12.75" hidden="1" x14ac:dyDescent="0.2">
      <c r="A60" s="1" t="s">
        <v>143</v>
      </c>
      <c r="B60" s="1" t="s">
        <v>29</v>
      </c>
      <c r="C60" s="1" t="s">
        <v>144</v>
      </c>
      <c r="D60" s="1" t="s">
        <v>13</v>
      </c>
      <c r="E60">
        <f ca="1">IFERROR(__xludf.DUMMYFUNCTION("GOOGLEFINANCE(C60)"),58.8)</f>
        <v>58.8</v>
      </c>
      <c r="F60">
        <f ca="1">IFERROR(__xludf.DUMMYFUNCTION("GOOGLEFINANCE(C60,""change"")"),-0.05)</f>
        <v>-0.05</v>
      </c>
      <c r="G60" s="2">
        <f ca="1">IFERROR(__xludf.DUMMYFUNCTION("GOOGLEFINANCE(C60,""changepct"")/100"),-0.0008)</f>
        <v>-8.0000000000000004E-4</v>
      </c>
      <c r="H60">
        <f ca="1">IFERROR(__xludf.DUMMYFUNCTION("GOOGLEFINANCE(C60,""marketcap"")"),192846886697)</f>
        <v>192846886697</v>
      </c>
      <c r="K60" s="3">
        <f ca="1">IFERROR(__xludf.DUMMYFUNCTION("""COMPUTED_VALUE"""),44239.6458333333)</f>
        <v>44239.645833333299</v>
      </c>
      <c r="L60">
        <f ca="1">IFERROR(__xludf.DUMMYFUNCTION("""COMPUTED_VALUE"""),15064.3)</f>
        <v>15064.3</v>
      </c>
      <c r="M60">
        <f ca="1">IFERROR(__xludf.DUMMYFUNCTION("""COMPUTED_VALUE"""),15257.1)</f>
        <v>15257.1</v>
      </c>
      <c r="N60">
        <f ca="1">IFERROR(__xludf.DUMMYFUNCTION("""COMPUTED_VALUE"""),14977.2)</f>
        <v>14977.2</v>
      </c>
      <c r="O60">
        <f ca="1">IFERROR(__xludf.DUMMYFUNCTION("""COMPUTED_VALUE"""),15163.3)</f>
        <v>15163.3</v>
      </c>
      <c r="P60">
        <f ca="1">IFERROR(__xludf.DUMMYFUNCTION("""COMPUTED_VALUE"""),0)</f>
        <v>0</v>
      </c>
    </row>
    <row r="61" spans="1:16" ht="12.75" hidden="1" x14ac:dyDescent="0.2">
      <c r="A61" s="1" t="s">
        <v>145</v>
      </c>
      <c r="B61" s="1" t="s">
        <v>29</v>
      </c>
      <c r="C61" s="1" t="s">
        <v>146</v>
      </c>
      <c r="D61" s="1" t="s">
        <v>13</v>
      </c>
      <c r="E61">
        <f ca="1">IFERROR(__xludf.DUMMYFUNCTION("GOOGLEFINANCE(C61)"),15.85)</f>
        <v>15.85</v>
      </c>
      <c r="F61">
        <f ca="1">IFERROR(__xludf.DUMMYFUNCTION("GOOGLEFINANCE(C61,""change"")"),0.05)</f>
        <v>0.05</v>
      </c>
      <c r="G61" s="2">
        <f ca="1">IFERROR(__xludf.DUMMYFUNCTION("GOOGLEFINANCE(C61,""changepct"")/100"),0.0032)</f>
        <v>3.2000000000000002E-3</v>
      </c>
      <c r="H61">
        <f ca="1">IFERROR(__xludf.DUMMYFUNCTION("GOOGLEFINANCE(C61,""marketcap"")"),104570074741)</f>
        <v>104570074741</v>
      </c>
    </row>
    <row r="62" spans="1:16" ht="12.75" x14ac:dyDescent="0.2">
      <c r="A62" s="1" t="s">
        <v>147</v>
      </c>
      <c r="B62" s="1" t="s">
        <v>56</v>
      </c>
      <c r="C62" s="1" t="s">
        <v>148</v>
      </c>
      <c r="D62" s="1" t="s">
        <v>22</v>
      </c>
      <c r="E62">
        <f ca="1">IFERROR(__xludf.DUMMYFUNCTION("GOOGLEFINANCE(C62)"),1551)</f>
        <v>1551</v>
      </c>
      <c r="F62">
        <f ca="1">IFERROR(__xludf.DUMMYFUNCTION("GOOGLEFINANCE(C62,""change"")"),23.55)</f>
        <v>23.55</v>
      </c>
      <c r="G62" s="2">
        <f ca="1">IFERROR(__xludf.DUMMYFUNCTION("GOOGLEFINANCE(C62,""changepct"")/100"),0.0154)</f>
        <v>1.54E-2</v>
      </c>
      <c r="H62">
        <f ca="1">IFERROR(__xludf.DUMMYFUNCTION("GOOGLEFINANCE(C62,""marketcap"")"),199346152500)</f>
        <v>199346152500</v>
      </c>
    </row>
    <row r="63" spans="1:16" ht="12.75" hidden="1" x14ac:dyDescent="0.2">
      <c r="A63" s="1" t="s">
        <v>149</v>
      </c>
      <c r="B63" s="1" t="s">
        <v>150</v>
      </c>
      <c r="C63" s="1" t="s">
        <v>151</v>
      </c>
      <c r="D63" s="1" t="s">
        <v>13</v>
      </c>
      <c r="E63">
        <f ca="1">IFERROR(__xludf.DUMMYFUNCTION("GOOGLEFINANCE(C63)"),5125)</f>
        <v>5125</v>
      </c>
      <c r="F63">
        <f ca="1">IFERROR(__xludf.DUMMYFUNCTION("GOOGLEFINANCE(C63,""change"")"),-59.35)</f>
        <v>-59.35</v>
      </c>
      <c r="G63" s="2">
        <f ca="1">IFERROR(__xludf.DUMMYFUNCTION("GOOGLEFINANCE(C63,""changepct"")/100"),-0.0113999999999999)</f>
        <v>-1.13999999999999E-2</v>
      </c>
      <c r="H63">
        <f ca="1">IFERROR(__xludf.DUMMYFUNCTION("GOOGLEFINANCE(C63,""marketcap"")"),230328160000)</f>
        <v>230328160000</v>
      </c>
    </row>
    <row r="64" spans="1:16" ht="12.75" x14ac:dyDescent="0.2">
      <c r="A64" s="1" t="s">
        <v>152</v>
      </c>
      <c r="B64" s="1" t="s">
        <v>56</v>
      </c>
      <c r="C64" s="1" t="s">
        <v>153</v>
      </c>
      <c r="D64" s="1" t="s">
        <v>22</v>
      </c>
      <c r="E64">
        <f ca="1">IFERROR(__xludf.DUMMYFUNCTION("GOOGLEFINANCE(C64)"),765.45)</f>
        <v>765.45</v>
      </c>
      <c r="F64">
        <f ca="1">IFERROR(__xludf.DUMMYFUNCTION("GOOGLEFINANCE(C64,""change"")"),-4.9)</f>
        <v>-4.9000000000000004</v>
      </c>
      <c r="G64" s="2">
        <f ca="1">IFERROR(__xludf.DUMMYFUNCTION("GOOGLEFINANCE(C64,""changepct"")/100"),-0.0064)</f>
        <v>-6.4000000000000003E-3</v>
      </c>
      <c r="H64">
        <f ca="1">IFERROR(__xludf.DUMMYFUNCTION("GOOGLEFINANCE(C64,""marketcap"")"),744593016500)</f>
        <v>744593016500</v>
      </c>
    </row>
    <row r="65" spans="1:8" ht="12.75" hidden="1" x14ac:dyDescent="0.2">
      <c r="A65" s="1" t="s">
        <v>154</v>
      </c>
      <c r="B65" s="1" t="s">
        <v>15</v>
      </c>
      <c r="C65" s="1" t="s">
        <v>155</v>
      </c>
      <c r="D65" s="1" t="s">
        <v>13</v>
      </c>
      <c r="E65">
        <f ca="1">IFERROR(__xludf.DUMMYFUNCTION("GOOGLEFINANCE(C65)"),344.35)</f>
        <v>344.35</v>
      </c>
      <c r="F65">
        <f ca="1">IFERROR(__xludf.DUMMYFUNCTION("GOOGLEFINANCE(C65,""change"")"),-9.15)</f>
        <v>-9.15</v>
      </c>
      <c r="G65" s="2">
        <f ca="1">IFERROR(__xludf.DUMMYFUNCTION("GOOGLEFINANCE(C65,""changepct"")/100"),-0.0259)</f>
        <v>-2.5899999999999999E-2</v>
      </c>
      <c r="H65">
        <f ca="1">IFERROR(__xludf.DUMMYFUNCTION("GOOGLEFINANCE(C65,""marketcap"")"),63112882338)</f>
        <v>63112882338</v>
      </c>
    </row>
    <row r="66" spans="1:8" ht="12.75" x14ac:dyDescent="0.2">
      <c r="A66" s="1" t="s">
        <v>156</v>
      </c>
      <c r="B66" s="1" t="s">
        <v>15</v>
      </c>
      <c r="C66" s="1" t="s">
        <v>157</v>
      </c>
      <c r="D66" s="1" t="s">
        <v>22</v>
      </c>
      <c r="E66">
        <f ca="1">IFERROR(__xludf.DUMMYFUNCTION("GOOGLEFINANCE(C66)"),136)</f>
        <v>136</v>
      </c>
      <c r="F66">
        <f ca="1">IFERROR(__xludf.DUMMYFUNCTION("GOOGLEFINANCE(C66,""change"")"),-0.25)</f>
        <v>-0.25</v>
      </c>
      <c r="G66" s="2">
        <f ca="1">IFERROR(__xludf.DUMMYFUNCTION("GOOGLEFINANCE(C66,""changepct"")/100"),-0.0018)</f>
        <v>-1.8E-3</v>
      </c>
      <c r="H66">
        <f ca="1">IFERROR(__xludf.DUMMYFUNCTION("GOOGLEFINANCE(C66,""marketcap"")"),331376648000)</f>
        <v>331376648000</v>
      </c>
    </row>
    <row r="67" spans="1:8" ht="12.75" x14ac:dyDescent="0.2">
      <c r="A67" s="1" t="s">
        <v>158</v>
      </c>
      <c r="B67" s="1" t="s">
        <v>15</v>
      </c>
      <c r="C67" s="1" t="s">
        <v>159</v>
      </c>
      <c r="D67" s="1" t="s">
        <v>22</v>
      </c>
      <c r="E67">
        <f ca="1">IFERROR(__xludf.DUMMYFUNCTION("GOOGLEFINANCE(C67)"),626)</f>
        <v>626</v>
      </c>
      <c r="F67">
        <f ca="1">IFERROR(__xludf.DUMMYFUNCTION("GOOGLEFINANCE(C67,""change"")"),-14.1)</f>
        <v>-14.1</v>
      </c>
      <c r="G67" s="2">
        <f ca="1">IFERROR(__xludf.DUMMYFUNCTION("GOOGLEFINANCE(C67,""changepct"")/100"),-0.022)</f>
        <v>-2.1999999999999999E-2</v>
      </c>
      <c r="H67">
        <f ca="1">IFERROR(__xludf.DUMMYFUNCTION("GOOGLEFINANCE(C67,""marketcap"")"),292001164200)</f>
        <v>292001164200</v>
      </c>
    </row>
    <row r="68" spans="1:8" ht="12.75" x14ac:dyDescent="0.2">
      <c r="A68" s="1" t="s">
        <v>160</v>
      </c>
      <c r="B68" s="1" t="s">
        <v>15</v>
      </c>
      <c r="C68" s="1" t="s">
        <v>161</v>
      </c>
      <c r="D68" s="1" t="s">
        <v>22</v>
      </c>
      <c r="E68">
        <f ca="1">IFERROR(__xludf.DUMMYFUNCTION("GOOGLEFINANCE(C68)"),38.8)</f>
        <v>38.799999999999997</v>
      </c>
      <c r="F68">
        <f ca="1">IFERROR(__xludf.DUMMYFUNCTION("GOOGLEFINANCE(C68,""change"")"),0)</f>
        <v>0</v>
      </c>
      <c r="G68" s="2">
        <f ca="1">IFERROR(__xludf.DUMMYFUNCTION("GOOGLEFINANCE(C68,""changepct"")/100"),0)</f>
        <v>0</v>
      </c>
      <c r="H68">
        <f ca="1">IFERROR(__xludf.DUMMYFUNCTION("GOOGLEFINANCE(C68,""marketcap"")"),135626395456)</f>
        <v>135626395456</v>
      </c>
    </row>
    <row r="69" spans="1:8" ht="12.75" x14ac:dyDescent="0.2">
      <c r="A69" s="1" t="s">
        <v>162</v>
      </c>
      <c r="B69" s="1" t="s">
        <v>49</v>
      </c>
      <c r="C69" s="1" t="s">
        <v>163</v>
      </c>
      <c r="D69" s="1" t="s">
        <v>22</v>
      </c>
      <c r="E69">
        <f ca="1">IFERROR(__xludf.DUMMYFUNCTION("GOOGLEFINANCE(C69)"),419.45)</f>
        <v>419.45</v>
      </c>
      <c r="F69">
        <f ca="1">IFERROR(__xludf.DUMMYFUNCTION("GOOGLEFINANCE(C69,""change"")"),1.35)</f>
        <v>1.35</v>
      </c>
      <c r="G69" s="2">
        <f ca="1">IFERROR(__xludf.DUMMYFUNCTION("GOOGLEFINANCE(C69,""changepct"")/100"),0.0032)</f>
        <v>3.2000000000000002E-3</v>
      </c>
      <c r="H69">
        <f ca="1">IFERROR(__xludf.DUMMYFUNCTION("GOOGLEFINANCE(C69,""marketcap"")"),890314861214)</f>
        <v>890314861214</v>
      </c>
    </row>
    <row r="70" spans="1:8" ht="12.75" hidden="1" x14ac:dyDescent="0.2">
      <c r="A70" s="1" t="s">
        <v>164</v>
      </c>
      <c r="B70" s="1" t="s">
        <v>150</v>
      </c>
      <c r="C70" s="1" t="s">
        <v>165</v>
      </c>
      <c r="D70" s="1" t="s">
        <v>13</v>
      </c>
      <c r="E70">
        <f ca="1">IFERROR(__xludf.DUMMYFUNCTION("GOOGLEFINANCE(C70)"),9950)</f>
        <v>9950</v>
      </c>
      <c r="F70">
        <f ca="1">IFERROR(__xludf.DUMMYFUNCTION("GOOGLEFINANCE(C70,""change"")"),26.4)</f>
        <v>26.4</v>
      </c>
      <c r="G70" s="2">
        <f ca="1">IFERROR(__xludf.DUMMYFUNCTION("GOOGLEFINANCE(C70,""changepct"")/100"),0.0027)</f>
        <v>2.7000000000000001E-3</v>
      </c>
      <c r="H70">
        <f ca="1">IFERROR(__xludf.DUMMYFUNCTION("GOOGLEFINANCE(C70,""marketcap"")"),42245384106)</f>
        <v>42245384106</v>
      </c>
    </row>
    <row r="71" spans="1:8" ht="12.75" x14ac:dyDescent="0.2">
      <c r="A71" s="1" t="s">
        <v>166</v>
      </c>
      <c r="B71" s="1" t="s">
        <v>167</v>
      </c>
      <c r="C71" s="1" t="s">
        <v>168</v>
      </c>
      <c r="D71" s="1" t="s">
        <v>22</v>
      </c>
      <c r="E71">
        <f ca="1">IFERROR(__xludf.DUMMYFUNCTION("GOOGLEFINANCE(C71)"),593.55)</f>
        <v>593.54999999999995</v>
      </c>
      <c r="F71">
        <f ca="1">IFERROR(__xludf.DUMMYFUNCTION("GOOGLEFINANCE(C71,""change"")"),7.3)</f>
        <v>7.3</v>
      </c>
      <c r="G71" s="2">
        <f ca="1">IFERROR(__xludf.DUMMYFUNCTION("GOOGLEFINANCE(C71,""changepct"")/100"),0.0125)</f>
        <v>1.2500000000000001E-2</v>
      </c>
      <c r="H71">
        <f ca="1">IFERROR(__xludf.DUMMYFUNCTION("GOOGLEFINANCE(C71,""marketcap"")"),3235854841078)</f>
        <v>3235854841078</v>
      </c>
    </row>
    <row r="72" spans="1:8" ht="12.75" x14ac:dyDescent="0.2">
      <c r="A72" s="1" t="s">
        <v>169</v>
      </c>
      <c r="B72" s="1" t="s">
        <v>32</v>
      </c>
      <c r="C72" s="1" t="s">
        <v>170</v>
      </c>
      <c r="D72" s="1" t="s">
        <v>22</v>
      </c>
      <c r="E72">
        <f ca="1">IFERROR(__xludf.DUMMYFUNCTION("GOOGLEFINANCE(C72)"),407.1)</f>
        <v>407.1</v>
      </c>
      <c r="F72">
        <f ca="1">IFERROR(__xludf.DUMMYFUNCTION("GOOGLEFINANCE(C72,""change"")"),-0.95)</f>
        <v>-0.95</v>
      </c>
      <c r="G72" s="2">
        <f ca="1">IFERROR(__xludf.DUMMYFUNCTION("GOOGLEFINANCE(C72,""changepct"")/100"),-0.0023)</f>
        <v>-2.3E-3</v>
      </c>
      <c r="H72">
        <f ca="1">IFERROR(__xludf.DUMMYFUNCTION("GOOGLEFINANCE(C72,""marketcap"")"),484099598049)</f>
        <v>484099598049</v>
      </c>
    </row>
    <row r="73" spans="1:8" ht="12.75" hidden="1" x14ac:dyDescent="0.2">
      <c r="A73" s="1" t="s">
        <v>171</v>
      </c>
      <c r="B73" s="1" t="s">
        <v>20</v>
      </c>
      <c r="C73" s="1" t="s">
        <v>172</v>
      </c>
      <c r="D73" s="1" t="s">
        <v>13</v>
      </c>
      <c r="E73">
        <f ca="1">IFERROR(__xludf.DUMMYFUNCTION("GOOGLEFINANCE(C73)"),903)</f>
        <v>903</v>
      </c>
      <c r="F73">
        <f ca="1">IFERROR(__xludf.DUMMYFUNCTION("GOOGLEFINANCE(C73,""change"")"),78.35)</f>
        <v>78.349999999999994</v>
      </c>
      <c r="G73" s="2">
        <f ca="1">IFERROR(__xludf.DUMMYFUNCTION("GOOGLEFINANCE(C73,""changepct"")/100"),0.095)</f>
        <v>9.5000000000000001E-2</v>
      </c>
      <c r="H73">
        <f ca="1">IFERROR(__xludf.DUMMYFUNCTION("GOOGLEFINANCE(C73,""marketcap"")"),68972023839)</f>
        <v>68972023839</v>
      </c>
    </row>
    <row r="74" spans="1:8" ht="12.75" hidden="1" x14ac:dyDescent="0.2">
      <c r="A74" s="1" t="s">
        <v>173</v>
      </c>
      <c r="B74" s="1" t="s">
        <v>63</v>
      </c>
      <c r="C74" s="1" t="s">
        <v>174</v>
      </c>
      <c r="D74" s="1" t="s">
        <v>13</v>
      </c>
      <c r="E74">
        <f ca="1">IFERROR(__xludf.DUMMYFUNCTION("GOOGLEFINANCE(C74)"),244.4)</f>
        <v>244.4</v>
      </c>
      <c r="F74">
        <f ca="1">IFERROR(__xludf.DUMMYFUNCTION("GOOGLEFINANCE(C74,""change"")"),0.05)</f>
        <v>0.05</v>
      </c>
      <c r="G74" s="2">
        <f ca="1">IFERROR(__xludf.DUMMYFUNCTION("GOOGLEFINANCE(C74,""changepct"")/100"),0.0002)</f>
        <v>2.0000000000000001E-4</v>
      </c>
      <c r="H74">
        <f ca="1">IFERROR(__xludf.DUMMYFUNCTION("GOOGLEFINANCE(C74,""marketcap"")"),67529722393)</f>
        <v>67529722393</v>
      </c>
    </row>
    <row r="75" spans="1:8" ht="12.75" hidden="1" x14ac:dyDescent="0.2">
      <c r="A75" s="1" t="s">
        <v>175</v>
      </c>
      <c r="B75" s="1" t="s">
        <v>32</v>
      </c>
      <c r="C75" s="1" t="s">
        <v>176</v>
      </c>
      <c r="D75" s="1" t="s">
        <v>13</v>
      </c>
      <c r="E75">
        <f ca="1">IFERROR(__xludf.DUMMYFUNCTION("GOOGLEFINANCE(C75)"),177.5)</f>
        <v>177.5</v>
      </c>
      <c r="F75">
        <f ca="1">IFERROR(__xludf.DUMMYFUNCTION("GOOGLEFINANCE(C75,""change"")"),-3.4)</f>
        <v>-3.4</v>
      </c>
      <c r="G75" s="2">
        <f ca="1">IFERROR(__xludf.DUMMYFUNCTION("GOOGLEFINANCE(C75,""changepct"")/100"),-0.0187999999999999)</f>
        <v>-1.87999999999999E-2</v>
      </c>
      <c r="H75">
        <f ca="1">IFERROR(__xludf.DUMMYFUNCTION("GOOGLEFINANCE(C75,""marketcap"")"),18262546075)</f>
        <v>18262546075</v>
      </c>
    </row>
    <row r="76" spans="1:8" ht="12.75" hidden="1" x14ac:dyDescent="0.2">
      <c r="A76" s="1" t="s">
        <v>177</v>
      </c>
      <c r="B76" s="1" t="s">
        <v>11</v>
      </c>
      <c r="C76" s="1" t="s">
        <v>178</v>
      </c>
      <c r="D76" s="1" t="s">
        <v>13</v>
      </c>
      <c r="E76">
        <f ca="1">IFERROR(__xludf.DUMMYFUNCTION("GOOGLEFINANCE(C76)"),4665)</f>
        <v>4665</v>
      </c>
      <c r="F76">
        <f ca="1">IFERROR(__xludf.DUMMYFUNCTION("GOOGLEFINANCE(C76,""change"")"),67.4)</f>
        <v>67.400000000000006</v>
      </c>
      <c r="G76" s="2">
        <f ca="1">IFERROR(__xludf.DUMMYFUNCTION("GOOGLEFINANCE(C76,""changepct"")/100"),0.0147)</f>
        <v>1.47E-2</v>
      </c>
      <c r="H76">
        <f ca="1">IFERROR(__xludf.DUMMYFUNCTION("GOOGLEFINANCE(C76,""marketcap"")"),110697390757)</f>
        <v>110697390757</v>
      </c>
    </row>
    <row r="77" spans="1:8" ht="12.75" hidden="1" x14ac:dyDescent="0.2">
      <c r="A77" s="1" t="s">
        <v>179</v>
      </c>
      <c r="B77" s="1" t="s">
        <v>56</v>
      </c>
      <c r="C77" s="1" t="s">
        <v>180</v>
      </c>
      <c r="D77" s="1" t="s">
        <v>13</v>
      </c>
      <c r="E77">
        <f ca="1">IFERROR(__xludf.DUMMYFUNCTION("GOOGLEFINANCE(C77)"),819)</f>
        <v>819</v>
      </c>
      <c r="F77">
        <f ca="1">IFERROR(__xludf.DUMMYFUNCTION("GOOGLEFINANCE(C77,""change"")"),4.05)</f>
        <v>4.05</v>
      </c>
      <c r="G77" s="2">
        <f ca="1">IFERROR(__xludf.DUMMYFUNCTION("GOOGLEFINANCE(C77,""changepct"")/100"),0.005)</f>
        <v>5.0000000000000001E-3</v>
      </c>
      <c r="H77">
        <f ca="1">IFERROR(__xludf.DUMMYFUNCTION("GOOGLEFINANCE(C77,""marketcap"")"),78900934380)</f>
        <v>78900934380</v>
      </c>
    </row>
    <row r="78" spans="1:8" ht="12.75" hidden="1" x14ac:dyDescent="0.2">
      <c r="A78" s="1" t="s">
        <v>181</v>
      </c>
      <c r="B78" s="1" t="s">
        <v>56</v>
      </c>
      <c r="C78" s="1" t="s">
        <v>182</v>
      </c>
      <c r="D78" s="1" t="s">
        <v>13</v>
      </c>
      <c r="E78">
        <f ca="1">IFERROR(__xludf.DUMMYFUNCTION("GOOGLEFINANCE(C78)"),1206.05)</f>
        <v>1206.05</v>
      </c>
      <c r="F78">
        <f ca="1">IFERROR(__xludf.DUMMYFUNCTION("GOOGLEFINANCE(C78,""change"")"),-35.25)</f>
        <v>-35.25</v>
      </c>
      <c r="G78" s="2">
        <f ca="1">IFERROR(__xludf.DUMMYFUNCTION("GOOGLEFINANCE(C78,""changepct"")/100"),-0.0283999999999999)</f>
        <v>-2.8399999999999901E-2</v>
      </c>
      <c r="H78">
        <f ca="1">IFERROR(__xludf.DUMMYFUNCTION("GOOGLEFINANCE(C78,""marketcap"")"),84307569843)</f>
        <v>84307569843</v>
      </c>
    </row>
    <row r="79" spans="1:8" ht="12.75" hidden="1" x14ac:dyDescent="0.2">
      <c r="A79" s="1" t="s">
        <v>183</v>
      </c>
      <c r="B79" s="1" t="s">
        <v>95</v>
      </c>
      <c r="C79" s="1" t="s">
        <v>184</v>
      </c>
      <c r="D79" s="1" t="s">
        <v>13</v>
      </c>
      <c r="E79">
        <f ca="1">IFERROR(__xludf.DUMMYFUNCTION("GOOGLEFINANCE(C79)"),71.6)</f>
        <v>71.599999999999994</v>
      </c>
      <c r="F79">
        <f ca="1">IFERROR(__xludf.DUMMYFUNCTION("GOOGLEFINANCE(C79,""change"")"),-0.8)</f>
        <v>-0.8</v>
      </c>
      <c r="G79" s="2">
        <f ca="1">IFERROR(__xludf.DUMMYFUNCTION("GOOGLEFINANCE(C79,""changepct"")/100"),-0.011)</f>
        <v>-1.0999999999999999E-2</v>
      </c>
      <c r="H79">
        <f ca="1">IFERROR(__xludf.DUMMYFUNCTION("GOOGLEFINANCE(C79,""marketcap"")"),14808551699)</f>
        <v>14808551699</v>
      </c>
    </row>
    <row r="80" spans="1:8" ht="12.75" x14ac:dyDescent="0.2">
      <c r="A80" s="1" t="s">
        <v>185</v>
      </c>
      <c r="B80" s="1" t="s">
        <v>81</v>
      </c>
      <c r="C80" s="1" t="s">
        <v>186</v>
      </c>
      <c r="D80" s="1" t="s">
        <v>22</v>
      </c>
      <c r="E80">
        <f ca="1">IFERROR(__xludf.DUMMYFUNCTION("GOOGLEFINANCE(C80)"),15670.35)</f>
        <v>15670.35</v>
      </c>
      <c r="F80">
        <f ca="1">IFERROR(__xludf.DUMMYFUNCTION("GOOGLEFINANCE(C80,""change"")"),55)</f>
        <v>55</v>
      </c>
      <c r="G80" s="2">
        <f ca="1">IFERROR(__xludf.DUMMYFUNCTION("GOOGLEFINANCE(C80,""changepct"")/100"),0.00349999999999999)</f>
        <v>3.4999999999999901E-3</v>
      </c>
      <c r="H80">
        <f ca="1">IFERROR(__xludf.DUMMYFUNCTION("GOOGLEFINANCE(C80,""marketcap"")"),462509765426)</f>
        <v>462509765426</v>
      </c>
    </row>
    <row r="81" spans="1:8" ht="12.75" hidden="1" x14ac:dyDescent="0.2">
      <c r="A81" s="1" t="s">
        <v>187</v>
      </c>
      <c r="B81" s="1" t="s">
        <v>95</v>
      </c>
      <c r="C81" s="1" t="s">
        <v>188</v>
      </c>
      <c r="D81" s="1" t="s">
        <v>13</v>
      </c>
      <c r="E81">
        <f ca="1">IFERROR(__xludf.DUMMYFUNCTION("GOOGLEFINANCE(C81)"),281)</f>
        <v>281</v>
      </c>
      <c r="F81">
        <f ca="1">IFERROR(__xludf.DUMMYFUNCTION("GOOGLEFINANCE(C81,""change"")"),-7.65)</f>
        <v>-7.65</v>
      </c>
      <c r="G81" s="2">
        <f ca="1">IFERROR(__xludf.DUMMYFUNCTION("GOOGLEFINANCE(C81,""changepct"")/100"),-0.0265)</f>
        <v>-2.6499999999999999E-2</v>
      </c>
      <c r="H81">
        <f ca="1">IFERROR(__xludf.DUMMYFUNCTION("GOOGLEFINANCE(C81,""marketcap"")"),59288895177)</f>
        <v>59288895177</v>
      </c>
    </row>
    <row r="82" spans="1:8" ht="12.75" x14ac:dyDescent="0.2">
      <c r="A82" s="1" t="s">
        <v>189</v>
      </c>
      <c r="B82" s="1" t="s">
        <v>56</v>
      </c>
      <c r="C82" s="1" t="s">
        <v>190</v>
      </c>
      <c r="D82" s="1" t="s">
        <v>22</v>
      </c>
      <c r="E82">
        <f ca="1">IFERROR(__xludf.DUMMYFUNCTION("GOOGLEFINANCE(C82)"),3419.5)</f>
        <v>3419.5</v>
      </c>
      <c r="F82">
        <f ca="1">IFERROR(__xludf.DUMMYFUNCTION("GOOGLEFINANCE(C82,""change"")"),-1.75)</f>
        <v>-1.75</v>
      </c>
      <c r="G82" s="2">
        <f ca="1">IFERROR(__xludf.DUMMYFUNCTION("GOOGLEFINANCE(C82,""changepct"")/100"),-0.0005)</f>
        <v>-5.0000000000000001E-4</v>
      </c>
      <c r="H82">
        <f ca="1">IFERROR(__xludf.DUMMYFUNCTION("GOOGLEFINANCE(C82,""marketcap"")"),822866407156)</f>
        <v>822866407156</v>
      </c>
    </row>
    <row r="83" spans="1:8" ht="12.75" hidden="1" x14ac:dyDescent="0.2">
      <c r="A83" s="1" t="s">
        <v>191</v>
      </c>
      <c r="B83" s="1" t="s">
        <v>29</v>
      </c>
      <c r="C83" s="1" t="s">
        <v>192</v>
      </c>
      <c r="D83" s="1" t="s">
        <v>13</v>
      </c>
      <c r="E83">
        <f ca="1">IFERROR(__xludf.DUMMYFUNCTION("GOOGLEFINANCE(C83)"),481.25)</f>
        <v>481.25</v>
      </c>
      <c r="F83">
        <f ca="1">IFERROR(__xludf.DUMMYFUNCTION("GOOGLEFINANCE(C83,""change"")"),-0.9)</f>
        <v>-0.9</v>
      </c>
      <c r="G83" s="2">
        <f ca="1">IFERROR(__xludf.DUMMYFUNCTION("GOOGLEFINANCE(C83,""changepct"")/100"),-0.0019)</f>
        <v>-1.9E-3</v>
      </c>
      <c r="H83">
        <f ca="1">IFERROR(__xludf.DUMMYFUNCTION("GOOGLEFINANCE(C83,""marketcap"")"),14178202500)</f>
        <v>14178202500</v>
      </c>
    </row>
    <row r="84" spans="1:8" ht="12.75" hidden="1" x14ac:dyDescent="0.2">
      <c r="A84" s="1" t="s">
        <v>193</v>
      </c>
      <c r="B84" s="1" t="s">
        <v>56</v>
      </c>
      <c r="C84" s="1" t="s">
        <v>194</v>
      </c>
      <c r="D84" s="1" t="s">
        <v>13</v>
      </c>
      <c r="E84">
        <f ca="1">IFERROR(__xludf.DUMMYFUNCTION("GOOGLEFINANCE(C84)"),241.6)</f>
        <v>241.6</v>
      </c>
      <c r="F84">
        <f ca="1">IFERROR(__xludf.DUMMYFUNCTION("GOOGLEFINANCE(C84,""change"")"),-2.4)</f>
        <v>-2.4</v>
      </c>
      <c r="G84" s="2">
        <f ca="1">IFERROR(__xludf.DUMMYFUNCTION("GOOGLEFINANCE(C84,""changepct"")/100"),-0.0098)</f>
        <v>-9.7999999999999997E-3</v>
      </c>
      <c r="H84">
        <f ca="1">IFERROR(__xludf.DUMMYFUNCTION("GOOGLEFINANCE(C84,""marketcap"")"),31993098388)</f>
        <v>31993098388</v>
      </c>
    </row>
    <row r="85" spans="1:8" ht="12.75" hidden="1" x14ac:dyDescent="0.2">
      <c r="A85" s="1" t="s">
        <v>195</v>
      </c>
      <c r="B85" s="1" t="s">
        <v>44</v>
      </c>
      <c r="C85" s="1" t="s">
        <v>196</v>
      </c>
      <c r="D85" s="1" t="s">
        <v>13</v>
      </c>
      <c r="E85">
        <f ca="1">IFERROR(__xludf.DUMMYFUNCTION("GOOGLEFINANCE(C85)"),625.1)</f>
        <v>625.1</v>
      </c>
      <c r="F85">
        <f ca="1">IFERROR(__xludf.DUMMYFUNCTION("GOOGLEFINANCE(C85,""change"")"),3.85)</f>
        <v>3.85</v>
      </c>
      <c r="G85" s="2">
        <f ca="1">IFERROR(__xludf.DUMMYFUNCTION("GOOGLEFINANCE(C85,""changepct"")/100"),0.0062)</f>
        <v>6.1999999999999998E-3</v>
      </c>
      <c r="H85">
        <f ca="1">IFERROR(__xludf.DUMMYFUNCTION("GOOGLEFINANCE(C85,""marketcap"")"),82788574837)</f>
        <v>82788574837</v>
      </c>
    </row>
    <row r="86" spans="1:8" ht="12.75" hidden="1" x14ac:dyDescent="0.2">
      <c r="A86" s="1" t="s">
        <v>197</v>
      </c>
      <c r="B86" s="1" t="s">
        <v>29</v>
      </c>
      <c r="C86" s="1" t="s">
        <v>198</v>
      </c>
      <c r="D86" s="1" t="s">
        <v>13</v>
      </c>
      <c r="E86">
        <f ca="1">IFERROR(__xludf.DUMMYFUNCTION("GOOGLEFINANCE(C86)"),2022)</f>
        <v>2022</v>
      </c>
      <c r="F86">
        <f ca="1">IFERROR(__xludf.DUMMYFUNCTION("GOOGLEFINANCE(C86,""change"")"),76.45)</f>
        <v>76.45</v>
      </c>
      <c r="G86" s="2">
        <f ca="1">IFERROR(__xludf.DUMMYFUNCTION("GOOGLEFINANCE(C86,""changepct"")/100"),0.0393)</f>
        <v>3.9300000000000002E-2</v>
      </c>
      <c r="H86">
        <f ca="1">IFERROR(__xludf.DUMMYFUNCTION("GOOGLEFINANCE(C86,""marketcap"")"),146662171315)</f>
        <v>146662171315</v>
      </c>
    </row>
    <row r="87" spans="1:8" ht="12.75" hidden="1" x14ac:dyDescent="0.2">
      <c r="A87" s="1" t="s">
        <v>199</v>
      </c>
      <c r="B87" s="1" t="s">
        <v>29</v>
      </c>
      <c r="C87" s="1" t="s">
        <v>200</v>
      </c>
      <c r="D87" s="1" t="s">
        <v>13</v>
      </c>
      <c r="E87">
        <f ca="1">IFERROR(__xludf.DUMMYFUNCTION("GOOGLEFINANCE(C87)"),219)</f>
        <v>219</v>
      </c>
      <c r="F87">
        <f ca="1">IFERROR(__xludf.DUMMYFUNCTION("GOOGLEFINANCE(C87,""change"")"),-2.3)</f>
        <v>-2.2999999999999998</v>
      </c>
      <c r="G87" s="2">
        <f ca="1">IFERROR(__xludf.DUMMYFUNCTION("GOOGLEFINANCE(C87,""changepct"")/100"),-0.0104)</f>
        <v>-1.04E-2</v>
      </c>
      <c r="H87">
        <f ca="1">IFERROR(__xludf.DUMMYFUNCTION("GOOGLEFINANCE(C87,""marketcap"")"),36908567404)</f>
        <v>36908567404</v>
      </c>
    </row>
    <row r="88" spans="1:8" ht="12.75" x14ac:dyDescent="0.2">
      <c r="A88" s="1" t="s">
        <v>201</v>
      </c>
      <c r="B88" s="1" t="s">
        <v>32</v>
      </c>
      <c r="C88" s="1" t="s">
        <v>202</v>
      </c>
      <c r="D88" s="1" t="s">
        <v>22</v>
      </c>
      <c r="E88">
        <f ca="1">IFERROR(__xludf.DUMMYFUNCTION("GOOGLEFINANCE(C88)"),466)</f>
        <v>466</v>
      </c>
      <c r="F88">
        <f ca="1">IFERROR(__xludf.DUMMYFUNCTION("GOOGLEFINANCE(C88,""change"")"),-2.05)</f>
        <v>-2.0499999999999998</v>
      </c>
      <c r="G88" s="2">
        <f ca="1">IFERROR(__xludf.DUMMYFUNCTION("GOOGLEFINANCE(C88,""changepct"")/100"),-0.0044)</f>
        <v>-4.4000000000000003E-3</v>
      </c>
      <c r="H88">
        <f ca="1">IFERROR(__xludf.DUMMYFUNCTION("GOOGLEFINANCE(C88,""marketcap"")"),477063772000)</f>
        <v>477063772000</v>
      </c>
    </row>
    <row r="89" spans="1:8" ht="12.75" hidden="1" x14ac:dyDescent="0.2">
      <c r="A89" s="1" t="s">
        <v>203</v>
      </c>
      <c r="B89" s="1" t="s">
        <v>29</v>
      </c>
      <c r="C89" s="1" t="s">
        <v>204</v>
      </c>
      <c r="D89" s="1" t="s">
        <v>13</v>
      </c>
      <c r="E89">
        <f ca="1">IFERROR(__xludf.DUMMYFUNCTION("GOOGLEFINANCE(C89)"),508)</f>
        <v>508</v>
      </c>
      <c r="F89">
        <f ca="1">IFERROR(__xludf.DUMMYFUNCTION("GOOGLEFINANCE(C89,""change"")"),-9.5)</f>
        <v>-9.5</v>
      </c>
      <c r="G89" s="2">
        <f ca="1">IFERROR(__xludf.DUMMYFUNCTION("GOOGLEFINANCE(C89,""changepct"")/100"),-0.0184)</f>
        <v>-1.84E-2</v>
      </c>
      <c r="H89">
        <f ca="1">IFERROR(__xludf.DUMMYFUNCTION("GOOGLEFINANCE(C89,""marketcap"")"),67880740747)</f>
        <v>67880740747</v>
      </c>
    </row>
    <row r="90" spans="1:8" ht="12.75" x14ac:dyDescent="0.2">
      <c r="A90" s="1" t="s">
        <v>205</v>
      </c>
      <c r="B90" s="1" t="s">
        <v>29</v>
      </c>
      <c r="C90" s="1" t="s">
        <v>206</v>
      </c>
      <c r="D90" s="1" t="s">
        <v>22</v>
      </c>
      <c r="E90">
        <f ca="1">IFERROR(__xludf.DUMMYFUNCTION("GOOGLEFINANCE(C90)"),162.5)</f>
        <v>162.5</v>
      </c>
      <c r="F90">
        <f ca="1">IFERROR(__xludf.DUMMYFUNCTION("GOOGLEFINANCE(C90,""change"")"),5.4)</f>
        <v>5.4</v>
      </c>
      <c r="G90" s="2">
        <f ca="1">IFERROR(__xludf.DUMMYFUNCTION("GOOGLEFINANCE(C90,""changepct"")/100"),0.0344)</f>
        <v>3.44E-2</v>
      </c>
      <c r="H90">
        <f ca="1">IFERROR(__xludf.DUMMYFUNCTION("GOOGLEFINANCE(C90,""marketcap"")"),267844811254)</f>
        <v>267844811254</v>
      </c>
    </row>
    <row r="91" spans="1:8" ht="12.75" hidden="1" x14ac:dyDescent="0.2">
      <c r="A91" s="1" t="s">
        <v>207</v>
      </c>
      <c r="B91" s="1" t="s">
        <v>32</v>
      </c>
      <c r="C91" s="1" t="s">
        <v>208</v>
      </c>
      <c r="D91" s="1" t="s">
        <v>13</v>
      </c>
      <c r="E91">
        <f ca="1">IFERROR(__xludf.DUMMYFUNCTION("GOOGLEFINANCE(C91)"),480)</f>
        <v>480</v>
      </c>
      <c r="F91">
        <f ca="1">IFERROR(__xludf.DUMMYFUNCTION("GOOGLEFINANCE(C91,""change"")"),11.7)</f>
        <v>11.7</v>
      </c>
      <c r="G91" s="2">
        <f ca="1">IFERROR(__xludf.DUMMYFUNCTION("GOOGLEFINANCE(C91,""changepct"")/100"),0.025)</f>
        <v>2.5000000000000001E-2</v>
      </c>
      <c r="H91">
        <f ca="1">IFERROR(__xludf.DUMMYFUNCTION("GOOGLEFINANCE(C91,""marketcap"")"),36378535899)</f>
        <v>36378535899</v>
      </c>
    </row>
    <row r="92" spans="1:8" ht="12.75" hidden="1" x14ac:dyDescent="0.2">
      <c r="A92" s="1" t="s">
        <v>209</v>
      </c>
      <c r="B92" s="1" t="s">
        <v>29</v>
      </c>
      <c r="C92" s="1" t="s">
        <v>210</v>
      </c>
      <c r="D92" s="1" t="s">
        <v>13</v>
      </c>
      <c r="E92">
        <f ca="1">IFERROR(__xludf.DUMMYFUNCTION("GOOGLEFINANCE(C92)"),351.05)</f>
        <v>351.05</v>
      </c>
      <c r="F92">
        <f ca="1">IFERROR(__xludf.DUMMYFUNCTION("GOOGLEFINANCE(C92,""change"")"),-12.15)</f>
        <v>-12.15</v>
      </c>
      <c r="G92" s="2">
        <f ca="1">IFERROR(__xludf.DUMMYFUNCTION("GOOGLEFINANCE(C92,""changepct"")/100"),-0.0335)</f>
        <v>-3.3500000000000002E-2</v>
      </c>
      <c r="H92">
        <f ca="1">IFERROR(__xludf.DUMMYFUNCTION("GOOGLEFINANCE(C92,""marketcap"")"),61533902425)</f>
        <v>61533902425</v>
      </c>
    </row>
    <row r="93" spans="1:8" ht="12.75" hidden="1" x14ac:dyDescent="0.2">
      <c r="A93" s="1" t="s">
        <v>211</v>
      </c>
      <c r="B93" s="1" t="s">
        <v>15</v>
      </c>
      <c r="C93" s="1" t="s">
        <v>212</v>
      </c>
      <c r="D93" s="1" t="s">
        <v>13</v>
      </c>
      <c r="E93">
        <f ca="1">IFERROR(__xludf.DUMMYFUNCTION("GOOGLEFINANCE(C93)"),504.1)</f>
        <v>504.1</v>
      </c>
      <c r="F93">
        <f ca="1">IFERROR(__xludf.DUMMYFUNCTION("GOOGLEFINANCE(C93,""change"")"),-8.6)</f>
        <v>-8.6</v>
      </c>
      <c r="G93" s="2">
        <f ca="1">IFERROR(__xludf.DUMMYFUNCTION("GOOGLEFINANCE(C93,""changepct"")/100"),-0.0168)</f>
        <v>-1.6799999999999999E-2</v>
      </c>
      <c r="H93">
        <f ca="1">IFERROR(__xludf.DUMMYFUNCTION("GOOGLEFINANCE(C93,""marketcap"")"),95534563066)</f>
        <v>95534563066</v>
      </c>
    </row>
    <row r="94" spans="1:8" ht="12.75" hidden="1" x14ac:dyDescent="0.2">
      <c r="A94" s="1" t="s">
        <v>213</v>
      </c>
      <c r="B94" s="1" t="s">
        <v>49</v>
      </c>
      <c r="C94" s="1" t="s">
        <v>214</v>
      </c>
      <c r="D94" s="1" t="s">
        <v>13</v>
      </c>
      <c r="E94">
        <f ca="1">IFERROR(__xludf.DUMMYFUNCTION("GOOGLEFINANCE(C94)"),126.85)</f>
        <v>126.85</v>
      </c>
      <c r="F94">
        <f ca="1">IFERROR(__xludf.DUMMYFUNCTION("GOOGLEFINANCE(C94,""change"")"),-2.05)</f>
        <v>-2.0499999999999998</v>
      </c>
      <c r="G94" s="2">
        <f ca="1">IFERROR(__xludf.DUMMYFUNCTION("GOOGLEFINANCE(C94,""changepct"")/100"),-0.0159)</f>
        <v>-1.5900000000000001E-2</v>
      </c>
      <c r="H94">
        <f ca="1">IFERROR(__xludf.DUMMYFUNCTION("GOOGLEFINANCE(C94,""marketcap"")"),125372931721)</f>
        <v>125372931721</v>
      </c>
    </row>
    <row r="95" spans="1:8" ht="12.75" hidden="1" x14ac:dyDescent="0.2">
      <c r="A95" s="1" t="s">
        <v>215</v>
      </c>
      <c r="B95" s="1" t="s">
        <v>81</v>
      </c>
      <c r="C95" s="1" t="s">
        <v>216</v>
      </c>
      <c r="D95" s="1" t="s">
        <v>13</v>
      </c>
      <c r="E95">
        <f ca="1">IFERROR(__xludf.DUMMYFUNCTION("GOOGLEFINANCE(C95)"),1624)</f>
        <v>1624</v>
      </c>
      <c r="F95">
        <f ca="1">IFERROR(__xludf.DUMMYFUNCTION("GOOGLEFINANCE(C95,""change"")"),-41.7)</f>
        <v>-41.7</v>
      </c>
      <c r="G95" s="2">
        <f ca="1">IFERROR(__xludf.DUMMYFUNCTION("GOOGLEFINANCE(C95,""changepct"")/100"),-0.025)</f>
        <v>-2.5000000000000001E-2</v>
      </c>
      <c r="H95">
        <f ca="1">IFERROR(__xludf.DUMMYFUNCTION("GOOGLEFINANCE(C95,""marketcap"")"),65622865400)</f>
        <v>65622865400</v>
      </c>
    </row>
    <row r="96" spans="1:8" ht="12.75" hidden="1" x14ac:dyDescent="0.2">
      <c r="A96" s="1" t="s">
        <v>217</v>
      </c>
      <c r="B96" s="1" t="s">
        <v>29</v>
      </c>
      <c r="C96" s="1" t="s">
        <v>218</v>
      </c>
      <c r="D96" s="1" t="s">
        <v>13</v>
      </c>
      <c r="E96">
        <f ca="1">IFERROR(__xludf.DUMMYFUNCTION("GOOGLEFINANCE(C96)"),14.05)</f>
        <v>14.05</v>
      </c>
      <c r="F96">
        <f ca="1">IFERROR(__xludf.DUMMYFUNCTION("GOOGLEFINANCE(C96,""change"")"),0)</f>
        <v>0</v>
      </c>
      <c r="G96" s="2">
        <f ca="1">IFERROR(__xludf.DUMMYFUNCTION("GOOGLEFINANCE(C96,""changepct"")/100"),0)</f>
        <v>0</v>
      </c>
      <c r="H96">
        <f ca="1">IFERROR(__xludf.DUMMYFUNCTION("GOOGLEFINANCE(C96,""marketcap"")"),81672812621)</f>
        <v>81672812621</v>
      </c>
    </row>
    <row r="97" spans="1:8" ht="12.75" hidden="1" x14ac:dyDescent="0.2">
      <c r="A97" s="1" t="s">
        <v>219</v>
      </c>
      <c r="B97" s="1" t="s">
        <v>29</v>
      </c>
      <c r="C97" s="1" t="s">
        <v>220</v>
      </c>
      <c r="D97" s="1" t="s">
        <v>13</v>
      </c>
      <c r="E97">
        <f ca="1">IFERROR(__xludf.DUMMYFUNCTION("GOOGLEFINANCE(C97)"),571)</f>
        <v>571</v>
      </c>
      <c r="F97">
        <f ca="1">IFERROR(__xludf.DUMMYFUNCTION("GOOGLEFINANCE(C97,""change"")"),32.95)</f>
        <v>32.950000000000003</v>
      </c>
      <c r="G97" s="2">
        <f ca="1">IFERROR(__xludf.DUMMYFUNCTION("GOOGLEFINANCE(C97,""changepct"")/100"),0.0612)</f>
        <v>6.1199999999999997E-2</v>
      </c>
      <c r="H97">
        <f ca="1">IFERROR(__xludf.DUMMYFUNCTION("GOOGLEFINANCE(C97,""marketcap"")"),59669500000)</f>
        <v>59669500000</v>
      </c>
    </row>
    <row r="98" spans="1:8" ht="12.75" hidden="1" x14ac:dyDescent="0.2">
      <c r="A98" s="1" t="s">
        <v>221</v>
      </c>
      <c r="B98" s="1" t="s">
        <v>56</v>
      </c>
      <c r="C98" s="1" t="s">
        <v>222</v>
      </c>
      <c r="D98" s="1" t="s">
        <v>13</v>
      </c>
      <c r="E98">
        <f ca="1">IFERROR(__xludf.DUMMYFUNCTION("GOOGLEFINANCE(C98)"),309.85)</f>
        <v>309.85000000000002</v>
      </c>
      <c r="F98">
        <f ca="1">IFERROR(__xludf.DUMMYFUNCTION("GOOGLEFINANCE(C98,""change"")"),9.6)</f>
        <v>9.6</v>
      </c>
      <c r="G98" s="2">
        <f ca="1">IFERROR(__xludf.DUMMYFUNCTION("GOOGLEFINANCE(C98,""changepct"")/100"),0.032)</f>
        <v>3.2000000000000001E-2</v>
      </c>
      <c r="H98">
        <f ca="1">IFERROR(__xludf.DUMMYFUNCTION("GOOGLEFINANCE(C98,""marketcap"")"),68840274421)</f>
        <v>68840274421</v>
      </c>
    </row>
    <row r="99" spans="1:8" ht="12.75" hidden="1" x14ac:dyDescent="0.2">
      <c r="A99" s="1" t="s">
        <v>223</v>
      </c>
      <c r="B99" s="1" t="s">
        <v>224</v>
      </c>
      <c r="C99" s="1" t="s">
        <v>225</v>
      </c>
      <c r="D99" s="1" t="s">
        <v>13</v>
      </c>
      <c r="E99">
        <f ca="1">IFERROR(__xludf.DUMMYFUNCTION("GOOGLEFINANCE(C99)"),460.15)</f>
        <v>460.15</v>
      </c>
      <c r="F99">
        <f ca="1">IFERROR(__xludf.DUMMYFUNCTION("GOOGLEFINANCE(C99,""change"")"),0.85)</f>
        <v>0.85</v>
      </c>
      <c r="G99" s="2">
        <f ca="1">IFERROR(__xludf.DUMMYFUNCTION("GOOGLEFINANCE(C99,""changepct"")/100"),0.0019)</f>
        <v>1.9E-3</v>
      </c>
      <c r="H99">
        <f ca="1">IFERROR(__xludf.DUMMYFUNCTION("GOOGLEFINANCE(C99,""marketcap"")"),51396729658)</f>
        <v>51396729658</v>
      </c>
    </row>
    <row r="100" spans="1:8" ht="12.75" hidden="1" x14ac:dyDescent="0.2">
      <c r="A100" s="1" t="s">
        <v>226</v>
      </c>
      <c r="B100" s="1" t="s">
        <v>95</v>
      </c>
      <c r="C100" s="1" t="s">
        <v>227</v>
      </c>
      <c r="D100" s="1" t="s">
        <v>13</v>
      </c>
      <c r="E100">
        <f ca="1">IFERROR(__xludf.DUMMYFUNCTION("GOOGLEFINANCE(C100)"),3815)</f>
        <v>3815</v>
      </c>
      <c r="F100">
        <f ca="1">IFERROR(__xludf.DUMMYFUNCTION("GOOGLEFINANCE(C100,""change"")"),98)</f>
        <v>98</v>
      </c>
      <c r="G100" s="2">
        <f ca="1">IFERROR(__xludf.DUMMYFUNCTION("GOOGLEFINANCE(C100,""changepct"")/100"),0.0264)</f>
        <v>2.64E-2</v>
      </c>
      <c r="H100">
        <f ca="1">IFERROR(__xludf.DUMMYFUNCTION("GOOGLEFINANCE(C100,""marketcap"")"),49327897756)</f>
        <v>49327897756</v>
      </c>
    </row>
    <row r="101" spans="1:8" ht="12.75" hidden="1" x14ac:dyDescent="0.2">
      <c r="A101" s="1" t="s">
        <v>228</v>
      </c>
      <c r="B101" s="1" t="s">
        <v>11</v>
      </c>
      <c r="C101" s="1" t="s">
        <v>229</v>
      </c>
      <c r="D101" s="1" t="s">
        <v>13</v>
      </c>
      <c r="E101">
        <f ca="1">IFERROR(__xludf.DUMMYFUNCTION("GOOGLEFINANCE(C101)"),176.45)</f>
        <v>176.45</v>
      </c>
      <c r="F101">
        <f ca="1">IFERROR(__xludf.DUMMYFUNCTION("GOOGLEFINANCE(C101,""change"")"),1.2)</f>
        <v>1.2</v>
      </c>
      <c r="G101" s="2">
        <f ca="1">IFERROR(__xludf.DUMMYFUNCTION("GOOGLEFINANCE(C101,""changepct"")/100"),0.0068)</f>
        <v>6.7999999999999996E-3</v>
      </c>
      <c r="H101">
        <f ca="1">IFERROR(__xludf.DUMMYFUNCTION("GOOGLEFINANCE(C101,""marketcap"")"),36176448884)</f>
        <v>36176448884</v>
      </c>
    </row>
    <row r="102" spans="1:8" ht="12.75" hidden="1" x14ac:dyDescent="0.2">
      <c r="A102" s="1" t="s">
        <v>230</v>
      </c>
      <c r="B102" s="1" t="s">
        <v>150</v>
      </c>
      <c r="C102" s="1" t="s">
        <v>231</v>
      </c>
      <c r="D102" s="1" t="s">
        <v>13</v>
      </c>
      <c r="E102">
        <f ca="1">IFERROR(__xludf.DUMMYFUNCTION("GOOGLEFINANCE(C102)"),238.35)</f>
        <v>238.35</v>
      </c>
      <c r="F102">
        <f ca="1">IFERROR(__xludf.DUMMYFUNCTION("GOOGLEFINANCE(C102,""change"")"),-3.55)</f>
        <v>-3.55</v>
      </c>
      <c r="G102" s="2">
        <f ca="1">IFERROR(__xludf.DUMMYFUNCTION("GOOGLEFINANCE(C102,""changepct"")/100"),-0.0147)</f>
        <v>-1.47E-2</v>
      </c>
      <c r="H102">
        <f ca="1">IFERROR(__xludf.DUMMYFUNCTION("GOOGLEFINANCE(C102,""marketcap"")"),99059978656)</f>
        <v>99059978656</v>
      </c>
    </row>
    <row r="103" spans="1:8" ht="12.75" hidden="1" x14ac:dyDescent="0.2">
      <c r="A103" s="1" t="s">
        <v>232</v>
      </c>
      <c r="B103" s="1" t="s">
        <v>49</v>
      </c>
      <c r="C103" s="1" t="s">
        <v>233</v>
      </c>
      <c r="D103" s="1" t="s">
        <v>13</v>
      </c>
      <c r="E103">
        <f ca="1">IFERROR(__xludf.DUMMYFUNCTION("GOOGLEFINANCE(C103)"),95.25)</f>
        <v>95.25</v>
      </c>
      <c r="F103">
        <f ca="1">IFERROR(__xludf.DUMMYFUNCTION("GOOGLEFINANCE(C103,""change"")"),0.05)</f>
        <v>0.05</v>
      </c>
      <c r="G103" s="2">
        <f ca="1">IFERROR(__xludf.DUMMYFUNCTION("GOOGLEFINANCE(C103,""changepct"")/100"),0.0005)</f>
        <v>5.0000000000000001E-4</v>
      </c>
      <c r="H103">
        <f ca="1">IFERROR(__xludf.DUMMYFUNCTION("GOOGLEFINANCE(C103,""marketcap"")"),14161485066)</f>
        <v>14161485066</v>
      </c>
    </row>
    <row r="104" spans="1:8" ht="12.75" hidden="1" x14ac:dyDescent="0.2">
      <c r="A104" s="1" t="s">
        <v>234</v>
      </c>
      <c r="B104" s="1" t="s">
        <v>29</v>
      </c>
      <c r="C104" s="1" t="s">
        <v>235</v>
      </c>
      <c r="D104" s="1" t="s">
        <v>13</v>
      </c>
      <c r="E104">
        <f ca="1">IFERROR(__xludf.DUMMYFUNCTION("GOOGLEFINANCE(C104)"),572.2)</f>
        <v>572.20000000000005</v>
      </c>
      <c r="F104">
        <f ca="1">IFERROR(__xludf.DUMMYFUNCTION("GOOGLEFINANCE(C104,""change"")"),23.25)</f>
        <v>23.25</v>
      </c>
      <c r="G104" s="2">
        <f ca="1">IFERROR(__xludf.DUMMYFUNCTION("GOOGLEFINANCE(C104,""changepct"")/100"),0.0424)</f>
        <v>4.24E-2</v>
      </c>
      <c r="H104">
        <f ca="1">IFERROR(__xludf.DUMMYFUNCTION("GOOGLEFINANCE(C104,""marketcap"")"),107850060000)</f>
        <v>107850060000</v>
      </c>
    </row>
    <row r="105" spans="1:8" ht="12.75" x14ac:dyDescent="0.2">
      <c r="A105" s="1" t="s">
        <v>236</v>
      </c>
      <c r="B105" s="1" t="s">
        <v>29</v>
      </c>
      <c r="C105" s="1" t="s">
        <v>237</v>
      </c>
      <c r="D105" s="1" t="s">
        <v>22</v>
      </c>
      <c r="E105">
        <f ca="1">IFERROR(__xludf.DUMMYFUNCTION("GOOGLEFINANCE(C105)"),531.5)</f>
        <v>531.5</v>
      </c>
      <c r="F105">
        <f ca="1">IFERROR(__xludf.DUMMYFUNCTION("GOOGLEFINANCE(C105,""change"")"),62.95)</f>
        <v>62.95</v>
      </c>
      <c r="G105" s="2">
        <f ca="1">IFERROR(__xludf.DUMMYFUNCTION("GOOGLEFINANCE(C105,""changepct"")/100"),0.1344)</f>
        <v>0.13439999999999999</v>
      </c>
      <c r="H105">
        <f ca="1">IFERROR(__xludf.DUMMYFUNCTION("GOOGLEFINANCE(C105,""marketcap"")"),435723591178)</f>
        <v>435723591178</v>
      </c>
    </row>
    <row r="106" spans="1:8" ht="12.75" x14ac:dyDescent="0.2">
      <c r="A106" s="1" t="s">
        <v>238</v>
      </c>
      <c r="B106" s="1" t="s">
        <v>32</v>
      </c>
      <c r="C106" s="1" t="s">
        <v>239</v>
      </c>
      <c r="D106" s="1" t="s">
        <v>22</v>
      </c>
      <c r="E106">
        <f ca="1">IFERROR(__xludf.DUMMYFUNCTION("GOOGLEFINANCE(C106)"),845)</f>
        <v>845</v>
      </c>
      <c r="F106">
        <f ca="1">IFERROR(__xludf.DUMMYFUNCTION("GOOGLEFINANCE(C106,""change"")"),-3.55)</f>
        <v>-3.55</v>
      </c>
      <c r="G106" s="2">
        <f ca="1">IFERROR(__xludf.DUMMYFUNCTION("GOOGLEFINANCE(C106,""changepct"")/100"),-0.0042)</f>
        <v>-4.1999999999999997E-3</v>
      </c>
      <c r="H106">
        <f ca="1">IFERROR(__xludf.DUMMYFUNCTION("GOOGLEFINANCE(C106,""marketcap"")"),680414077325)</f>
        <v>680414077325</v>
      </c>
    </row>
    <row r="107" spans="1:8" ht="12.75" hidden="1" x14ac:dyDescent="0.2">
      <c r="A107" s="1" t="s">
        <v>240</v>
      </c>
      <c r="B107" s="1" t="s">
        <v>29</v>
      </c>
      <c r="C107" s="1" t="s">
        <v>241</v>
      </c>
      <c r="D107" s="1" t="s">
        <v>13</v>
      </c>
      <c r="E107">
        <f ca="1">IFERROR(__xludf.DUMMYFUNCTION("GOOGLEFINANCE(C107)"),169)</f>
        <v>169</v>
      </c>
      <c r="F107">
        <f ca="1">IFERROR(__xludf.DUMMYFUNCTION("GOOGLEFINANCE(C107,""change"")"),6.05)</f>
        <v>6.05</v>
      </c>
      <c r="G107" s="2">
        <f ca="1">IFERROR(__xludf.DUMMYFUNCTION("GOOGLEFINANCE(C107,""changepct"")/100"),0.0371)</f>
        <v>3.7100000000000001E-2</v>
      </c>
      <c r="H107">
        <f ca="1">IFERROR(__xludf.DUMMYFUNCTION("GOOGLEFINANCE(C107,""marketcap"")"),124640819485)</f>
        <v>124640819485</v>
      </c>
    </row>
    <row r="108" spans="1:8" ht="12.75" x14ac:dyDescent="0.2">
      <c r="A108" s="1" t="s">
        <v>242</v>
      </c>
      <c r="B108" s="1" t="s">
        <v>26</v>
      </c>
      <c r="C108" s="1" t="s">
        <v>243</v>
      </c>
      <c r="D108" s="1" t="s">
        <v>22</v>
      </c>
      <c r="E108">
        <f ca="1">IFERROR(__xludf.DUMMYFUNCTION("GOOGLEFINANCE(C108)"),132.25)</f>
        <v>132.25</v>
      </c>
      <c r="F108">
        <f ca="1">IFERROR(__xludf.DUMMYFUNCTION("GOOGLEFINANCE(C108,""change"")"),-1.6)</f>
        <v>-1.6</v>
      </c>
      <c r="G108" s="2">
        <f ca="1">IFERROR(__xludf.DUMMYFUNCTION("GOOGLEFINANCE(C108,""changepct"")/100"),-0.012)</f>
        <v>-1.2E-2</v>
      </c>
      <c r="H108">
        <f ca="1">IFERROR(__xludf.DUMMYFUNCTION("GOOGLEFINANCE(C108,""marketcap"")"),815328933207)</f>
        <v>815328933207</v>
      </c>
    </row>
    <row r="109" spans="1:8" ht="12.75" hidden="1" x14ac:dyDescent="0.2">
      <c r="A109" s="1" t="s">
        <v>244</v>
      </c>
      <c r="B109" s="1" t="s">
        <v>15</v>
      </c>
      <c r="C109" s="1" t="s">
        <v>245</v>
      </c>
      <c r="D109" s="1" t="s">
        <v>13</v>
      </c>
      <c r="E109">
        <f ca="1">IFERROR(__xludf.DUMMYFUNCTION("GOOGLEFINANCE(C109)"),357.5)</f>
        <v>357.5</v>
      </c>
      <c r="F109">
        <f ca="1">IFERROR(__xludf.DUMMYFUNCTION("GOOGLEFINANCE(C109,""change"")"),7)</f>
        <v>7</v>
      </c>
      <c r="G109" s="2">
        <f ca="1">IFERROR(__xludf.DUMMYFUNCTION("GOOGLEFINANCE(C109,""changepct"")/100"),0.02)</f>
        <v>0.02</v>
      </c>
      <c r="H109">
        <f ca="1">IFERROR(__xludf.DUMMYFUNCTION("GOOGLEFINANCE(C109,""marketcap"")"),47025657250)</f>
        <v>47025657250</v>
      </c>
    </row>
    <row r="110" spans="1:8" ht="12.75" x14ac:dyDescent="0.2">
      <c r="A110" s="1" t="s">
        <v>246</v>
      </c>
      <c r="B110" s="1" t="s">
        <v>63</v>
      </c>
      <c r="C110" s="1" t="s">
        <v>247</v>
      </c>
      <c r="D110" s="1" t="s">
        <v>22</v>
      </c>
      <c r="E110">
        <f ca="1">IFERROR(__xludf.DUMMYFUNCTION("GOOGLEFINANCE(C110)"),2593)</f>
        <v>2593</v>
      </c>
      <c r="F110">
        <f ca="1">IFERROR(__xludf.DUMMYFUNCTION("GOOGLEFINANCE(C110,""change"")"),-18.8)</f>
        <v>-18.8</v>
      </c>
      <c r="G110" s="2">
        <f ca="1">IFERROR(__xludf.DUMMYFUNCTION("GOOGLEFINANCE(C110,""changepct"")/100"),-0.0072)</f>
        <v>-7.1999999999999998E-3</v>
      </c>
      <c r="H110">
        <f ca="1">IFERROR(__xludf.DUMMYFUNCTION("GOOGLEFINANCE(C110,""marketcap"")"),157103231920)</f>
        <v>157103231920</v>
      </c>
    </row>
    <row r="111" spans="1:8" ht="12.75" x14ac:dyDescent="0.2">
      <c r="A111" s="1" t="s">
        <v>248</v>
      </c>
      <c r="B111" s="1" t="s">
        <v>56</v>
      </c>
      <c r="C111" s="1" t="s">
        <v>249</v>
      </c>
      <c r="D111" s="1" t="s">
        <v>22</v>
      </c>
      <c r="E111">
        <f ca="1">IFERROR(__xludf.DUMMYFUNCTION("GOOGLEFINANCE(C111)"),1597)</f>
        <v>1597</v>
      </c>
      <c r="F111">
        <f ca="1">IFERROR(__xludf.DUMMYFUNCTION("GOOGLEFINANCE(C111,""change"")"),5.95)</f>
        <v>5.95</v>
      </c>
      <c r="G111" s="2">
        <f ca="1">IFERROR(__xludf.DUMMYFUNCTION("GOOGLEFINANCE(C111,""changepct"")/100"),0.0037)</f>
        <v>3.7000000000000002E-3</v>
      </c>
      <c r="H111">
        <f ca="1">IFERROR(__xludf.DUMMYFUNCTION("GOOGLEFINANCE(C111,""marketcap"")"),434361003200)</f>
        <v>434361003200</v>
      </c>
    </row>
    <row r="112" spans="1:8" ht="12.75" x14ac:dyDescent="0.2">
      <c r="A112" s="1" t="s">
        <v>250</v>
      </c>
      <c r="B112" s="1" t="s">
        <v>11</v>
      </c>
      <c r="C112" s="1" t="s">
        <v>251</v>
      </c>
      <c r="D112" s="1" t="s">
        <v>22</v>
      </c>
      <c r="E112">
        <f ca="1">IFERROR(__xludf.DUMMYFUNCTION("GOOGLEFINANCE(C112)"),545)</f>
        <v>545</v>
      </c>
      <c r="F112">
        <f ca="1">IFERROR(__xludf.DUMMYFUNCTION("GOOGLEFINANCE(C112,""change"")"),-4.5)</f>
        <v>-4.5</v>
      </c>
      <c r="G112" s="2">
        <f ca="1">IFERROR(__xludf.DUMMYFUNCTION("GOOGLEFINANCE(C112,""changepct"")/100"),-0.00819999999999999)</f>
        <v>-8.1999999999999903E-3</v>
      </c>
      <c r="H112">
        <f ca="1">IFERROR(__xludf.DUMMYFUNCTION("GOOGLEFINANCE(C112,""marketcap"")"),331337446719)</f>
        <v>331337446719</v>
      </c>
    </row>
    <row r="113" spans="1:8" ht="12.75" hidden="1" x14ac:dyDescent="0.2">
      <c r="A113" s="1" t="s">
        <v>252</v>
      </c>
      <c r="B113" s="1" t="s">
        <v>150</v>
      </c>
      <c r="C113" s="1" t="s">
        <v>253</v>
      </c>
      <c r="D113" s="1" t="s">
        <v>13</v>
      </c>
      <c r="E113">
        <f ca="1">IFERROR(__xludf.DUMMYFUNCTION("GOOGLEFINANCE(C113)"),774)</f>
        <v>774</v>
      </c>
      <c r="F113">
        <f ca="1">IFERROR(__xludf.DUMMYFUNCTION("GOOGLEFINANCE(C113,""change"")"),17.75)</f>
        <v>17.75</v>
      </c>
      <c r="G113" s="2">
        <f ca="1">IFERROR(__xludf.DUMMYFUNCTION("GOOGLEFINANCE(C113,""changepct"")/100"),0.0235)</f>
        <v>2.35E-2</v>
      </c>
      <c r="H113">
        <f ca="1">IFERROR(__xludf.DUMMYFUNCTION("GOOGLEFINANCE(C113,""marketcap"")"),227206361978)</f>
        <v>227206361978</v>
      </c>
    </row>
    <row r="114" spans="1:8" ht="12.75" hidden="1" x14ac:dyDescent="0.2">
      <c r="A114" s="1" t="s">
        <v>254</v>
      </c>
      <c r="B114" s="1" t="s">
        <v>29</v>
      </c>
      <c r="C114" s="1" t="s">
        <v>255</v>
      </c>
      <c r="D114" s="1" t="s">
        <v>13</v>
      </c>
      <c r="E114">
        <f ca="1">IFERROR(__xludf.DUMMYFUNCTION("GOOGLEFINANCE(C114)"),705.95)</f>
        <v>705.95</v>
      </c>
      <c r="F114">
        <f ca="1">IFERROR(__xludf.DUMMYFUNCTION("GOOGLEFINANCE(C114,""change"")"),-15.55)</f>
        <v>-15.55</v>
      </c>
      <c r="G114" s="2">
        <f ca="1">IFERROR(__xludf.DUMMYFUNCTION("GOOGLEFINANCE(C114,""changepct"")/100"),-0.0216)</f>
        <v>-2.1600000000000001E-2</v>
      </c>
      <c r="H114">
        <f ca="1">IFERROR(__xludf.DUMMYFUNCTION("GOOGLEFINANCE(C114,""marketcap"")"),109835885264)</f>
        <v>109835885264</v>
      </c>
    </row>
    <row r="115" spans="1:8" ht="12.75" hidden="1" x14ac:dyDescent="0.2">
      <c r="A115" s="1" t="s">
        <v>256</v>
      </c>
      <c r="B115" s="1" t="s">
        <v>56</v>
      </c>
      <c r="C115" s="1" t="s">
        <v>257</v>
      </c>
      <c r="D115" s="1" t="s">
        <v>13</v>
      </c>
      <c r="E115">
        <f ca="1">IFERROR(__xludf.DUMMYFUNCTION("GOOGLEFINANCE(C115)"),393)</f>
        <v>393</v>
      </c>
      <c r="F115">
        <f ca="1">IFERROR(__xludf.DUMMYFUNCTION("GOOGLEFINANCE(C115,""change"")"),-5.9)</f>
        <v>-5.9</v>
      </c>
      <c r="G115" s="2">
        <f ca="1">IFERROR(__xludf.DUMMYFUNCTION("GOOGLEFINANCE(C115,""changepct"")/100"),-0.0148)</f>
        <v>-1.4800000000000001E-2</v>
      </c>
      <c r="H115">
        <f ca="1">IFERROR(__xludf.DUMMYFUNCTION("GOOGLEFINANCE(C115,""marketcap"")"),247933533374)</f>
        <v>247933533374</v>
      </c>
    </row>
    <row r="116" spans="1:8" ht="12.75" x14ac:dyDescent="0.2">
      <c r="A116" s="1" t="s">
        <v>258</v>
      </c>
      <c r="B116" s="1" t="s">
        <v>15</v>
      </c>
      <c r="C116" s="1" t="s">
        <v>259</v>
      </c>
      <c r="D116" s="1" t="s">
        <v>22</v>
      </c>
      <c r="E116">
        <f ca="1">IFERROR(__xludf.DUMMYFUNCTION("GOOGLEFINANCE(C116)"),764)</f>
        <v>764</v>
      </c>
      <c r="F116">
        <f ca="1">IFERROR(__xludf.DUMMYFUNCTION("GOOGLEFINANCE(C116,""change"")"),10.25)</f>
        <v>10.25</v>
      </c>
      <c r="G116" s="2">
        <f ca="1">IFERROR(__xludf.DUMMYFUNCTION("GOOGLEFINANCE(C116,""changepct"")/100"),0.0136)</f>
        <v>1.3599999999999999E-2</v>
      </c>
      <c r="H116">
        <f ca="1">IFERROR(__xludf.DUMMYFUNCTION("GOOGLEFINANCE(C116,""marketcap"")"),210962776446)</f>
        <v>210962776446</v>
      </c>
    </row>
    <row r="117" spans="1:8" ht="12.75" hidden="1" x14ac:dyDescent="0.2">
      <c r="A117" s="1" t="s">
        <v>260</v>
      </c>
      <c r="B117" s="1" t="s">
        <v>63</v>
      </c>
      <c r="C117" s="1" t="s">
        <v>261</v>
      </c>
      <c r="D117" s="1" t="s">
        <v>13</v>
      </c>
      <c r="E117">
        <f ca="1">IFERROR(__xludf.DUMMYFUNCTION("GOOGLEFINANCE(C117)"),622.55)</f>
        <v>622.54999999999995</v>
      </c>
      <c r="F117">
        <f ca="1">IFERROR(__xludf.DUMMYFUNCTION("GOOGLEFINANCE(C117,""change"")"),-3.55)</f>
        <v>-3.55</v>
      </c>
      <c r="G117" s="2">
        <f ca="1">IFERROR(__xludf.DUMMYFUNCTION("GOOGLEFINANCE(C117,""changepct"")/100"),-0.00569999999999999)</f>
        <v>-5.6999999999999898E-3</v>
      </c>
      <c r="H117">
        <f ca="1">IFERROR(__xludf.DUMMYFUNCTION("GOOGLEFINANCE(C117,""marketcap"")"),68539671550)</f>
        <v>68539671550</v>
      </c>
    </row>
    <row r="118" spans="1:8" ht="12.75" hidden="1" x14ac:dyDescent="0.2">
      <c r="A118" s="1" t="s">
        <v>262</v>
      </c>
      <c r="B118" s="1" t="s">
        <v>263</v>
      </c>
      <c r="C118" s="1" t="s">
        <v>264</v>
      </c>
      <c r="D118" s="1" t="s">
        <v>13</v>
      </c>
      <c r="E118">
        <f ca="1">IFERROR(__xludf.DUMMYFUNCTION("GOOGLEFINANCE(C118)"),87.15)</f>
        <v>87.15</v>
      </c>
      <c r="F118">
        <f ca="1">IFERROR(__xludf.DUMMYFUNCTION("GOOGLEFINANCE(C118,""change"")"),0.5)</f>
        <v>0.5</v>
      </c>
      <c r="G118" s="2">
        <f ca="1">IFERROR(__xludf.DUMMYFUNCTION("GOOGLEFINANCE(C118,""changepct"")/100"),0.0058)</f>
        <v>5.7999999999999996E-3</v>
      </c>
      <c r="H118">
        <f ca="1">IFERROR(__xludf.DUMMYFUNCTION("GOOGLEFINANCE(C118,""marketcap"")"),15247284941)</f>
        <v>15247284941</v>
      </c>
    </row>
    <row r="119" spans="1:8" ht="12.75" hidden="1" x14ac:dyDescent="0.2">
      <c r="A119" s="1" t="s">
        <v>265</v>
      </c>
      <c r="B119" s="1" t="s">
        <v>29</v>
      </c>
      <c r="C119" s="1" t="s">
        <v>266</v>
      </c>
      <c r="D119" s="1" t="s">
        <v>13</v>
      </c>
      <c r="E119">
        <f ca="1">IFERROR(__xludf.DUMMYFUNCTION("GOOGLEFINANCE(C119)"),114.5)</f>
        <v>114.5</v>
      </c>
      <c r="F119">
        <f ca="1">IFERROR(__xludf.DUMMYFUNCTION("GOOGLEFINANCE(C119,""change"")"),4.5)</f>
        <v>4.5</v>
      </c>
      <c r="G119" s="2">
        <f ca="1">IFERROR(__xludf.DUMMYFUNCTION("GOOGLEFINANCE(C119,""changepct"")/100"),0.0409)</f>
        <v>4.0899999999999999E-2</v>
      </c>
      <c r="H119">
        <f ca="1">IFERROR(__xludf.DUMMYFUNCTION("GOOGLEFINANCE(C119,""marketcap"")"),35552891200)</f>
        <v>35552891200</v>
      </c>
    </row>
    <row r="120" spans="1:8" ht="12.75" hidden="1" x14ac:dyDescent="0.2">
      <c r="A120" s="1" t="s">
        <v>267</v>
      </c>
      <c r="B120" s="1" t="s">
        <v>56</v>
      </c>
      <c r="C120" s="1" t="s">
        <v>268</v>
      </c>
      <c r="D120" s="1" t="s">
        <v>13</v>
      </c>
      <c r="E120">
        <f ca="1">IFERROR(__xludf.DUMMYFUNCTION("GOOGLEFINANCE(C120)"),455.4)</f>
        <v>455.4</v>
      </c>
      <c r="F120">
        <f ca="1">IFERROR(__xludf.DUMMYFUNCTION("GOOGLEFINANCE(C120,""change"")"),-17.05)</f>
        <v>-17.05</v>
      </c>
      <c r="G120" s="2">
        <f ca="1">IFERROR(__xludf.DUMMYFUNCTION("GOOGLEFINANCE(C120,""changepct"")/100"),-0.0361)</f>
        <v>-3.61E-2</v>
      </c>
      <c r="H120">
        <f ca="1">IFERROR(__xludf.DUMMYFUNCTION("GOOGLEFINANCE(C120,""marketcap"")"),70143439459)</f>
        <v>70143439459</v>
      </c>
    </row>
    <row r="121" spans="1:8" ht="12.75" x14ac:dyDescent="0.2">
      <c r="A121" s="1" t="s">
        <v>269</v>
      </c>
      <c r="B121" s="1" t="s">
        <v>95</v>
      </c>
      <c r="C121" s="1" t="s">
        <v>270</v>
      </c>
      <c r="D121" s="1" t="s">
        <v>22</v>
      </c>
      <c r="E121">
        <f ca="1">IFERROR(__xludf.DUMMYFUNCTION("GOOGLEFINANCE(C121)"),317.35)</f>
        <v>317.35000000000002</v>
      </c>
      <c r="F121">
        <f ca="1">IFERROR(__xludf.DUMMYFUNCTION("GOOGLEFINANCE(C121,""change"")"),5.6)</f>
        <v>5.6</v>
      </c>
      <c r="G121" s="2">
        <f ca="1">IFERROR(__xludf.DUMMYFUNCTION("GOOGLEFINANCE(C121,""changepct"")/100"),0.018)</f>
        <v>1.7999999999999999E-2</v>
      </c>
      <c r="H121">
        <f ca="1">IFERROR(__xludf.DUMMYFUNCTION("GOOGLEFINANCE(C121,""marketcap"")"),785544311250)</f>
        <v>785544311250</v>
      </c>
    </row>
    <row r="122" spans="1:8" ht="12.75" x14ac:dyDescent="0.2">
      <c r="A122" s="1" t="s">
        <v>271</v>
      </c>
      <c r="B122" s="1" t="s">
        <v>56</v>
      </c>
      <c r="C122" s="1" t="s">
        <v>272</v>
      </c>
      <c r="D122" s="1" t="s">
        <v>22</v>
      </c>
      <c r="E122">
        <f ca="1">IFERROR(__xludf.DUMMYFUNCTION("GOOGLEFINANCE(C122)"),527)</f>
        <v>527</v>
      </c>
      <c r="F122">
        <f ca="1">IFERROR(__xludf.DUMMYFUNCTION("GOOGLEFINANCE(C122,""change"")"),-7)</f>
        <v>-7</v>
      </c>
      <c r="G122" s="2">
        <f ca="1">IFERROR(__xludf.DUMMYFUNCTION("GOOGLEFINANCE(C122,""changepct"")/100"),-0.0131)</f>
        <v>-1.3100000000000001E-2</v>
      </c>
      <c r="H122">
        <f ca="1">IFERROR(__xludf.DUMMYFUNCTION("GOOGLEFINANCE(C122,""marketcap"")"),931430340000)</f>
        <v>931430340000</v>
      </c>
    </row>
    <row r="123" spans="1:8" ht="12.75" hidden="1" x14ac:dyDescent="0.2">
      <c r="A123" s="1" t="s">
        <v>273</v>
      </c>
      <c r="B123" s="1" t="s">
        <v>20</v>
      </c>
      <c r="C123" s="1" t="s">
        <v>274</v>
      </c>
      <c r="D123" s="1" t="s">
        <v>13</v>
      </c>
      <c r="E123">
        <f ca="1">IFERROR(__xludf.DUMMYFUNCTION("GOOGLEFINANCE(C123)"),1474.15)</f>
        <v>1474.15</v>
      </c>
      <c r="F123">
        <f ca="1">IFERROR(__xludf.DUMMYFUNCTION("GOOGLEFINANCE(C123,""change"")"),-7.3)</f>
        <v>-7.3</v>
      </c>
      <c r="G123" s="2">
        <f ca="1">IFERROR(__xludf.DUMMYFUNCTION("GOOGLEFINANCE(C123,""changepct"")/100"),-0.0049)</f>
        <v>-4.8999999999999998E-3</v>
      </c>
      <c r="H123">
        <f ca="1">IFERROR(__xludf.DUMMYFUNCTION("GOOGLEFINANCE(C123,""marketcap"")"),275719804261)</f>
        <v>275719804261</v>
      </c>
    </row>
    <row r="124" spans="1:8" ht="12.75" hidden="1" x14ac:dyDescent="0.2">
      <c r="A124" s="1" t="s">
        <v>275</v>
      </c>
      <c r="B124" s="1" t="s">
        <v>35</v>
      </c>
      <c r="C124" s="1" t="s">
        <v>276</v>
      </c>
      <c r="D124" s="1" t="s">
        <v>13</v>
      </c>
      <c r="E124">
        <f ca="1">IFERROR(__xludf.DUMMYFUNCTION("GOOGLEFINANCE(C124)"),1183)</f>
        <v>1183</v>
      </c>
      <c r="F124">
        <f ca="1">IFERROR(__xludf.DUMMYFUNCTION("GOOGLEFINANCE(C124,""change"")"),72.35)</f>
        <v>72.349999999999994</v>
      </c>
      <c r="G124" s="2">
        <f ca="1">IFERROR(__xludf.DUMMYFUNCTION("GOOGLEFINANCE(C124,""changepct"")/100"),0.0650999999999999)</f>
        <v>6.5099999999999894E-2</v>
      </c>
      <c r="H124">
        <f ca="1">IFERROR(__xludf.DUMMYFUNCTION("GOOGLEFINANCE(C124,""marketcap"")"),160825528938)</f>
        <v>160825528938</v>
      </c>
    </row>
    <row r="125" spans="1:8" ht="12.75" hidden="1" x14ac:dyDescent="0.2">
      <c r="A125" s="1" t="s">
        <v>277</v>
      </c>
      <c r="B125" s="1" t="s">
        <v>11</v>
      </c>
      <c r="C125" s="1" t="s">
        <v>278</v>
      </c>
      <c r="D125" s="1" t="s">
        <v>13</v>
      </c>
      <c r="E125">
        <f ca="1">IFERROR(__xludf.DUMMYFUNCTION("GOOGLEFINANCE(C125)"),153.2)</f>
        <v>153.19999999999999</v>
      </c>
      <c r="F125">
        <f ca="1">IFERROR(__xludf.DUMMYFUNCTION("GOOGLEFINANCE(C125,""change"")"),-5.55)</f>
        <v>-5.55</v>
      </c>
      <c r="G125" s="2">
        <f ca="1">IFERROR(__xludf.DUMMYFUNCTION("GOOGLEFINANCE(C125,""changepct"")/100"),-0.035)</f>
        <v>-3.5000000000000003E-2</v>
      </c>
      <c r="H125">
        <f ca="1">IFERROR(__xludf.DUMMYFUNCTION("GOOGLEFINANCE(C125,""marketcap"")"),40956556090)</f>
        <v>40956556090</v>
      </c>
    </row>
    <row r="126" spans="1:8" ht="12.75" hidden="1" x14ac:dyDescent="0.2">
      <c r="A126" s="1" t="s">
        <v>279</v>
      </c>
      <c r="B126" s="1" t="s">
        <v>29</v>
      </c>
      <c r="C126" s="1" t="s">
        <v>280</v>
      </c>
      <c r="D126" s="1" t="s">
        <v>13</v>
      </c>
      <c r="E126">
        <f ca="1">IFERROR(__xludf.DUMMYFUNCTION("GOOGLEFINANCE(C126)"),350)</f>
        <v>350</v>
      </c>
      <c r="F126">
        <f ca="1">IFERROR(__xludf.DUMMYFUNCTION("GOOGLEFINANCE(C126,""change"")"),-12.7)</f>
        <v>-12.7</v>
      </c>
      <c r="G126" s="2">
        <f ca="1">IFERROR(__xludf.DUMMYFUNCTION("GOOGLEFINANCE(C126,""changepct"")/100"),-0.035)</f>
        <v>-3.5000000000000003E-2</v>
      </c>
      <c r="H126">
        <f ca="1">IFERROR(__xludf.DUMMYFUNCTION("GOOGLEFINANCE(C126,""marketcap"")"),196131731474)</f>
        <v>196131731474</v>
      </c>
    </row>
    <row r="127" spans="1:8" ht="12.75" hidden="1" x14ac:dyDescent="0.2">
      <c r="A127" s="1" t="s">
        <v>281</v>
      </c>
      <c r="B127" s="1" t="s">
        <v>150</v>
      </c>
      <c r="C127" s="1" t="s">
        <v>282</v>
      </c>
      <c r="D127" s="1" t="s">
        <v>13</v>
      </c>
      <c r="E127">
        <f ca="1">IFERROR(__xludf.DUMMYFUNCTION("GOOGLEFINANCE(C127)"),760.95)</f>
        <v>760.95</v>
      </c>
      <c r="F127">
        <f ca="1">IFERROR(__xludf.DUMMYFUNCTION("GOOGLEFINANCE(C127,""change"")"),-0.15)</f>
        <v>-0.15</v>
      </c>
      <c r="G127" s="2">
        <f ca="1">IFERROR(__xludf.DUMMYFUNCTION("GOOGLEFINANCE(C127,""changepct"")/100"),-0.0002)</f>
        <v>-2.0000000000000001E-4</v>
      </c>
      <c r="H127">
        <f ca="1">IFERROR(__xludf.DUMMYFUNCTION("GOOGLEFINANCE(C127,""marketcap"")"),35443773172)</f>
        <v>35443773172</v>
      </c>
    </row>
    <row r="128" spans="1:8" ht="12.75" hidden="1" x14ac:dyDescent="0.2">
      <c r="A128" s="1" t="s">
        <v>283</v>
      </c>
      <c r="B128" s="1" t="s">
        <v>95</v>
      </c>
      <c r="C128" s="1" t="s">
        <v>284</v>
      </c>
      <c r="D128" s="1" t="s">
        <v>13</v>
      </c>
      <c r="E128">
        <f ca="1">IFERROR(__xludf.DUMMYFUNCTION("GOOGLEFINANCE(C128)"),557)</f>
        <v>557</v>
      </c>
      <c r="F128">
        <f ca="1">IFERROR(__xludf.DUMMYFUNCTION("GOOGLEFINANCE(C128,""change"")"),33.8)</f>
        <v>33.799999999999997</v>
      </c>
      <c r="G128" s="2">
        <f ca="1">IFERROR(__xludf.DUMMYFUNCTION("GOOGLEFINANCE(C128,""changepct"")/100"),0.0646)</f>
        <v>6.4600000000000005E-2</v>
      </c>
      <c r="H128">
        <f ca="1">IFERROR(__xludf.DUMMYFUNCTION("GOOGLEFINANCE(C128,""marketcap"")"),76146304966)</f>
        <v>76146304966</v>
      </c>
    </row>
    <row r="129" spans="1:8" ht="12.75" hidden="1" x14ac:dyDescent="0.2">
      <c r="A129" s="1" t="s">
        <v>285</v>
      </c>
      <c r="B129" s="1" t="s">
        <v>263</v>
      </c>
      <c r="C129" s="1" t="s">
        <v>286</v>
      </c>
      <c r="D129" s="1" t="s">
        <v>13</v>
      </c>
      <c r="E129">
        <f ca="1">IFERROR(__xludf.DUMMYFUNCTION("GOOGLEFINANCE(C129)"),11.55)</f>
        <v>11.55</v>
      </c>
      <c r="F129">
        <f ca="1">IFERROR(__xludf.DUMMYFUNCTION("GOOGLEFINANCE(C129,""change"")"),0)</f>
        <v>0</v>
      </c>
      <c r="G129" s="2">
        <f ca="1">IFERROR(__xludf.DUMMYFUNCTION("GOOGLEFINANCE(C129,""changepct"")/100"),0)</f>
        <v>0</v>
      </c>
      <c r="H129">
        <f ca="1">IFERROR(__xludf.DUMMYFUNCTION("GOOGLEFINANCE(C129,""marketcap"")"),21211671328)</f>
        <v>21211671328</v>
      </c>
    </row>
    <row r="130" spans="1:8" ht="12.75" hidden="1" x14ac:dyDescent="0.2">
      <c r="A130" s="1" t="s">
        <v>287</v>
      </c>
      <c r="B130" s="1" t="s">
        <v>32</v>
      </c>
      <c r="C130" s="1" t="s">
        <v>288</v>
      </c>
      <c r="D130" s="1" t="s">
        <v>13</v>
      </c>
      <c r="E130">
        <f ca="1">IFERROR(__xludf.DUMMYFUNCTION("GOOGLEFINANCE(C130)"),123.05)</f>
        <v>123.05</v>
      </c>
      <c r="F130">
        <f ca="1">IFERROR(__xludf.DUMMYFUNCTION("GOOGLEFINANCE(C130,""change"")"),-0.3)</f>
        <v>-0.3</v>
      </c>
      <c r="G130" s="2">
        <f ca="1">IFERROR(__xludf.DUMMYFUNCTION("GOOGLEFINANCE(C130,""changepct"")/100"),-0.0024)</f>
        <v>-2.3999999999999998E-3</v>
      </c>
      <c r="H130">
        <f ca="1">IFERROR(__xludf.DUMMYFUNCTION("GOOGLEFINANCE(C130,""marketcap"")"),19464573841)</f>
        <v>19464573841</v>
      </c>
    </row>
    <row r="131" spans="1:8" ht="12.75" x14ac:dyDescent="0.2">
      <c r="A131" s="1" t="s">
        <v>289</v>
      </c>
      <c r="B131" s="1" t="s">
        <v>32</v>
      </c>
      <c r="C131" s="1" t="s">
        <v>290</v>
      </c>
      <c r="D131" s="1" t="s">
        <v>22</v>
      </c>
      <c r="E131">
        <f ca="1">IFERROR(__xludf.DUMMYFUNCTION("GOOGLEFINANCE(C131)"),3707.6)</f>
        <v>3707.6</v>
      </c>
      <c r="F131">
        <f ca="1">IFERROR(__xludf.DUMMYFUNCTION("GOOGLEFINANCE(C131,""change"")"),-11.8)</f>
        <v>-11.8</v>
      </c>
      <c r="G131" s="2">
        <f ca="1">IFERROR(__xludf.DUMMYFUNCTION("GOOGLEFINANCE(C131,""changepct"")/100"),-0.0032)</f>
        <v>-3.2000000000000002E-3</v>
      </c>
      <c r="H131">
        <f ca="1">IFERROR(__xludf.DUMMYFUNCTION("GOOGLEFINANCE(C131,""marketcap"")"),984251036524)</f>
        <v>984251036524</v>
      </c>
    </row>
    <row r="132" spans="1:8" ht="12.75" hidden="1" x14ac:dyDescent="0.2">
      <c r="A132" s="1" t="s">
        <v>291</v>
      </c>
      <c r="B132" s="1" t="s">
        <v>56</v>
      </c>
      <c r="C132" s="1" t="s">
        <v>292</v>
      </c>
      <c r="D132" s="1" t="s">
        <v>13</v>
      </c>
      <c r="E132">
        <f ca="1">IFERROR(__xludf.DUMMYFUNCTION("GOOGLEFINANCE(C132)"),18579.75)</f>
        <v>18579.75</v>
      </c>
      <c r="F132">
        <f ca="1">IFERROR(__xludf.DUMMYFUNCTION("GOOGLEFINANCE(C132,""change"")"),-93.35)</f>
        <v>-93.35</v>
      </c>
      <c r="G132" s="2">
        <f ca="1">IFERROR(__xludf.DUMMYFUNCTION("GOOGLEFINANCE(C132,""changepct"")/100"),-0.005)</f>
        <v>-5.0000000000000001E-3</v>
      </c>
      <c r="H132">
        <f ca="1">IFERROR(__xludf.DUMMYFUNCTION("GOOGLEFINANCE(C132,""marketcap"")"),217761581330)</f>
        <v>217761581330</v>
      </c>
    </row>
    <row r="133" spans="1:8" ht="12.75" x14ac:dyDescent="0.2">
      <c r="A133" s="1" t="s">
        <v>293</v>
      </c>
      <c r="B133" s="1" t="s">
        <v>88</v>
      </c>
      <c r="C133" s="1" t="s">
        <v>294</v>
      </c>
      <c r="D133" s="1" t="s">
        <v>22</v>
      </c>
      <c r="E133">
        <f ca="1">IFERROR(__xludf.DUMMYFUNCTION("GOOGLEFINANCE(C133)"),2408.85)</f>
        <v>2408.85</v>
      </c>
      <c r="F133">
        <f ca="1">IFERROR(__xludf.DUMMYFUNCTION("GOOGLEFINANCE(C133,""change"")"),-17.2)</f>
        <v>-17.2</v>
      </c>
      <c r="G133" s="2">
        <f ca="1">IFERROR(__xludf.DUMMYFUNCTION("GOOGLEFINANCE(C133,""changepct"")/100"),-0.00709999999999999)</f>
        <v>-7.09999999999999E-3</v>
      </c>
      <c r="H133">
        <f ca="1">IFERROR(__xludf.DUMMYFUNCTION("GOOGLEFINANCE(C133,""marketcap"")"),198945556520)</f>
        <v>198945556520</v>
      </c>
    </row>
    <row r="134" spans="1:8" ht="12.75" x14ac:dyDescent="0.2">
      <c r="A134" s="1" t="s">
        <v>295</v>
      </c>
      <c r="B134" s="1" t="s">
        <v>32</v>
      </c>
      <c r="C134" s="1" t="s">
        <v>296</v>
      </c>
      <c r="D134" s="1" t="s">
        <v>22</v>
      </c>
      <c r="E134">
        <f ca="1">IFERROR(__xludf.DUMMYFUNCTION("GOOGLEFINANCE(C134)"),4705.75)</f>
        <v>4705.75</v>
      </c>
      <c r="F134">
        <f ca="1">IFERROR(__xludf.DUMMYFUNCTION("GOOGLEFINANCE(C134,""change"")"),-86.25)</f>
        <v>-86.25</v>
      </c>
      <c r="G134" s="2">
        <f ca="1">IFERROR(__xludf.DUMMYFUNCTION("GOOGLEFINANCE(C134,""changepct"")/100"),-0.018)</f>
        <v>-1.7999999999999999E-2</v>
      </c>
      <c r="H134">
        <f ca="1">IFERROR(__xludf.DUMMYFUNCTION("GOOGLEFINANCE(C134,""marketcap"")"),781056700867)</f>
        <v>781056700867</v>
      </c>
    </row>
    <row r="135" spans="1:8" ht="12.75" hidden="1" x14ac:dyDescent="0.2">
      <c r="A135" s="1" t="s">
        <v>297</v>
      </c>
      <c r="B135" s="1" t="s">
        <v>150</v>
      </c>
      <c r="C135" s="1" t="s">
        <v>298</v>
      </c>
      <c r="D135" s="1" t="s">
        <v>13</v>
      </c>
      <c r="E135">
        <f ca="1">IFERROR(__xludf.DUMMYFUNCTION("GOOGLEFINANCE(C135)"),313.95)</f>
        <v>313.95</v>
      </c>
      <c r="F135">
        <f ca="1">IFERROR(__xludf.DUMMYFUNCTION("GOOGLEFINANCE(C135,""change"")"),-5.45)</f>
        <v>-5.45</v>
      </c>
      <c r="G135" s="2">
        <f ca="1">IFERROR(__xludf.DUMMYFUNCTION("GOOGLEFINANCE(C135,""changepct"")/100"),-0.0171)</f>
        <v>-1.7100000000000001E-2</v>
      </c>
      <c r="H135">
        <f ca="1">IFERROR(__xludf.DUMMYFUNCTION("GOOGLEFINANCE(C135,""marketcap"")"),55812339825)</f>
        <v>55812339825</v>
      </c>
    </row>
    <row r="136" spans="1:8" ht="12.75" hidden="1" x14ac:dyDescent="0.2">
      <c r="A136" s="1" t="s">
        <v>299</v>
      </c>
      <c r="B136" s="1" t="s">
        <v>11</v>
      </c>
      <c r="C136" s="1" t="s">
        <v>300</v>
      </c>
      <c r="D136" s="1" t="s">
        <v>13</v>
      </c>
      <c r="E136">
        <f ca="1">IFERROR(__xludf.DUMMYFUNCTION("GOOGLEFINANCE(C136)"),99.25)</f>
        <v>99.25</v>
      </c>
      <c r="F136">
        <f ca="1">IFERROR(__xludf.DUMMYFUNCTION("GOOGLEFINANCE(C136,""change"")"),0.7)</f>
        <v>0.7</v>
      </c>
      <c r="G136" s="2">
        <f ca="1">IFERROR(__xludf.DUMMYFUNCTION("GOOGLEFINANCE(C136,""changepct"")/100"),0.00709999999999999)</f>
        <v>7.09999999999999E-3</v>
      </c>
      <c r="H136">
        <f ca="1">IFERROR(__xludf.DUMMYFUNCTION("GOOGLEFINANCE(C136,""marketcap"")"),62067386925)</f>
        <v>62067386925</v>
      </c>
    </row>
    <row r="137" spans="1:8" ht="12.75" hidden="1" x14ac:dyDescent="0.2">
      <c r="A137" s="1" t="s">
        <v>301</v>
      </c>
      <c r="B137" s="1" t="s">
        <v>15</v>
      </c>
      <c r="C137" s="1" t="s">
        <v>302</v>
      </c>
      <c r="D137" s="1" t="s">
        <v>13</v>
      </c>
      <c r="E137">
        <f ca="1">IFERROR(__xludf.DUMMYFUNCTION("GOOGLEFINANCE(C137)"),228.4)</f>
        <v>228.4</v>
      </c>
      <c r="F137">
        <f ca="1">IFERROR(__xludf.DUMMYFUNCTION("GOOGLEFINANCE(C137,""change"")"),8.1)</f>
        <v>8.1</v>
      </c>
      <c r="G137" s="2">
        <f ca="1">IFERROR(__xludf.DUMMYFUNCTION("GOOGLEFINANCE(C137,""changepct"")/100"),0.0368)</f>
        <v>3.6799999999999999E-2</v>
      </c>
      <c r="H137">
        <f ca="1">IFERROR(__xludf.DUMMYFUNCTION("GOOGLEFINANCE(C137,""marketcap"")"),72204454019)</f>
        <v>72204454019</v>
      </c>
    </row>
    <row r="138" spans="1:8" ht="12.75" hidden="1" x14ac:dyDescent="0.2">
      <c r="A138" s="1" t="s">
        <v>303</v>
      </c>
      <c r="B138" s="1" t="s">
        <v>15</v>
      </c>
      <c r="C138" s="1" t="s">
        <v>304</v>
      </c>
      <c r="D138" s="1" t="s">
        <v>13</v>
      </c>
      <c r="E138">
        <f ca="1">IFERROR(__xludf.DUMMYFUNCTION("GOOGLEFINANCE(C138)"),1868)</f>
        <v>1868</v>
      </c>
      <c r="F138">
        <f ca="1">IFERROR(__xludf.DUMMYFUNCTION("GOOGLEFINANCE(C138,""change"")"),3.6)</f>
        <v>3.6</v>
      </c>
      <c r="G138" s="2">
        <f ca="1">IFERROR(__xludf.DUMMYFUNCTION("GOOGLEFINANCE(C138,""changepct"")/100"),0.0019)</f>
        <v>1.9E-3</v>
      </c>
      <c r="H138">
        <f ca="1">IFERROR(__xludf.DUMMYFUNCTION("GOOGLEFINANCE(C138,""marketcap"")"),28754161360)</f>
        <v>28754161360</v>
      </c>
    </row>
    <row r="139" spans="1:8" ht="12.75" hidden="1" x14ac:dyDescent="0.2">
      <c r="A139" s="1" t="s">
        <v>305</v>
      </c>
      <c r="B139" s="1" t="s">
        <v>29</v>
      </c>
      <c r="C139" s="1" t="s">
        <v>306</v>
      </c>
      <c r="D139" s="1" t="s">
        <v>13</v>
      </c>
      <c r="E139">
        <f ca="1">IFERROR(__xludf.DUMMYFUNCTION("GOOGLEFINANCE(C139)"),67.7)</f>
        <v>67.7</v>
      </c>
      <c r="F139">
        <f ca="1">IFERROR(__xludf.DUMMYFUNCTION("GOOGLEFINANCE(C139,""change"")"),-3.35)</f>
        <v>-3.35</v>
      </c>
      <c r="G139" s="2">
        <f ca="1">IFERROR(__xludf.DUMMYFUNCTION("GOOGLEFINANCE(C139,""changepct"")/100"),-0.0471)</f>
        <v>-4.7100000000000003E-2</v>
      </c>
      <c r="H139">
        <f ca="1">IFERROR(__xludf.DUMMYFUNCTION("GOOGLEFINANCE(C139,""marketcap"")"),60269583783)</f>
        <v>60269583783</v>
      </c>
    </row>
    <row r="140" spans="1:8" ht="12.75" x14ac:dyDescent="0.2">
      <c r="A140" s="1" t="s">
        <v>307</v>
      </c>
      <c r="B140" s="1" t="s">
        <v>81</v>
      </c>
      <c r="C140" s="1" t="s">
        <v>308</v>
      </c>
      <c r="D140" s="1" t="s">
        <v>22</v>
      </c>
      <c r="E140">
        <f ca="1">IFERROR(__xludf.DUMMYFUNCTION("GOOGLEFINANCE(C140)"),2767)</f>
        <v>2767</v>
      </c>
      <c r="F140">
        <f ca="1">IFERROR(__xludf.DUMMYFUNCTION("GOOGLEFINANCE(C140,""change"")"),-14.25)</f>
        <v>-14.25</v>
      </c>
      <c r="G140" s="2">
        <f ca="1">IFERROR(__xludf.DUMMYFUNCTION("GOOGLEFINANCE(C140,""changepct"")/100"),-0.0051)</f>
        <v>-5.1000000000000004E-3</v>
      </c>
      <c r="H140">
        <f ca="1">IFERROR(__xludf.DUMMYFUNCTION("GOOGLEFINANCE(C140,""marketcap"")"),757436690400)</f>
        <v>757436690400</v>
      </c>
    </row>
    <row r="141" spans="1:8" ht="12.75" hidden="1" x14ac:dyDescent="0.2">
      <c r="A141" s="1" t="s">
        <v>309</v>
      </c>
      <c r="B141" s="1" t="s">
        <v>15</v>
      </c>
      <c r="C141" s="1" t="s">
        <v>310</v>
      </c>
      <c r="D141" s="1" t="s">
        <v>13</v>
      </c>
      <c r="E141">
        <f ca="1">IFERROR(__xludf.DUMMYFUNCTION("GOOGLEFINANCE(C141)"),165)</f>
        <v>165</v>
      </c>
      <c r="F141">
        <f ca="1">IFERROR(__xludf.DUMMYFUNCTION("GOOGLEFINANCE(C141,""change"")"),-3)</f>
        <v>-3</v>
      </c>
      <c r="G141" s="2">
        <f ca="1">IFERROR(__xludf.DUMMYFUNCTION("GOOGLEFINANCE(C141,""changepct"")/100"),-0.0179)</f>
        <v>-1.7899999999999999E-2</v>
      </c>
      <c r="H141">
        <f ca="1">IFERROR(__xludf.DUMMYFUNCTION("GOOGLEFINANCE(C141,""marketcap"")"),52799154200)</f>
        <v>52799154200</v>
      </c>
    </row>
    <row r="142" spans="1:8" ht="12.75" hidden="1" x14ac:dyDescent="0.2">
      <c r="A142" s="1" t="s">
        <v>311</v>
      </c>
      <c r="B142" s="1" t="s">
        <v>56</v>
      </c>
      <c r="C142" s="1" t="s">
        <v>312</v>
      </c>
      <c r="D142" s="1" t="s">
        <v>13</v>
      </c>
      <c r="E142">
        <f ca="1">IFERROR(__xludf.DUMMYFUNCTION("GOOGLEFINANCE(C142)"),466)</f>
        <v>466</v>
      </c>
      <c r="F142">
        <f ca="1">IFERROR(__xludf.DUMMYFUNCTION("GOOGLEFINANCE(C142,""change"")"),-13.25)</f>
        <v>-13.25</v>
      </c>
      <c r="G142" s="2">
        <f ca="1">IFERROR(__xludf.DUMMYFUNCTION("GOOGLEFINANCE(C142,""changepct"")/100"),-0.0276)</f>
        <v>-2.76E-2</v>
      </c>
      <c r="H142">
        <f ca="1">IFERROR(__xludf.DUMMYFUNCTION("GOOGLEFINANCE(C142,""marketcap"")"),208631553200)</f>
        <v>208631553200</v>
      </c>
    </row>
    <row r="143" spans="1:8" ht="12.75" hidden="1" x14ac:dyDescent="0.2">
      <c r="A143" s="1" t="s">
        <v>313</v>
      </c>
      <c r="B143" s="1" t="s">
        <v>81</v>
      </c>
      <c r="C143" s="1" t="s">
        <v>314</v>
      </c>
      <c r="D143" s="1" t="s">
        <v>13</v>
      </c>
      <c r="E143">
        <f ca="1">IFERROR(__xludf.DUMMYFUNCTION("GOOGLEFINANCE(C143)"),1499)</f>
        <v>1499</v>
      </c>
      <c r="F143">
        <f ca="1">IFERROR(__xludf.DUMMYFUNCTION("GOOGLEFINANCE(C143,""change"")"),20.35)</f>
        <v>20.350000000000001</v>
      </c>
      <c r="G143" s="2">
        <f ca="1">IFERROR(__xludf.DUMMYFUNCTION("GOOGLEFINANCE(C143,""changepct"")/100"),0.0138)</f>
        <v>1.38E-2</v>
      </c>
      <c r="H143">
        <f ca="1">IFERROR(__xludf.DUMMYFUNCTION("GOOGLEFINANCE(C143,""marketcap"")"),210853537200)</f>
        <v>210853537200</v>
      </c>
    </row>
    <row r="144" spans="1:8" ht="12.75" hidden="1" x14ac:dyDescent="0.2">
      <c r="A144" s="1" t="s">
        <v>315</v>
      </c>
      <c r="B144" s="1" t="s">
        <v>95</v>
      </c>
      <c r="C144" s="1" t="s">
        <v>316</v>
      </c>
      <c r="D144" s="1" t="s">
        <v>13</v>
      </c>
      <c r="E144">
        <f ca="1">IFERROR(__xludf.DUMMYFUNCTION("GOOGLEFINANCE(C144)"),74)</f>
        <v>74</v>
      </c>
      <c r="F144">
        <f ca="1">IFERROR(__xludf.DUMMYFUNCTION("GOOGLEFINANCE(C144,""change"")"),-0.95)</f>
        <v>-0.95</v>
      </c>
      <c r="G144" s="2">
        <f ca="1">IFERROR(__xludf.DUMMYFUNCTION("GOOGLEFINANCE(C144,""changepct"")/100"),-0.0127)</f>
        <v>-1.2699999999999999E-2</v>
      </c>
      <c r="H144">
        <f ca="1">IFERROR(__xludf.DUMMYFUNCTION("GOOGLEFINANCE(C144,""marketcap"")"),46823914400)</f>
        <v>46823914400</v>
      </c>
    </row>
    <row r="145" spans="1:8" ht="12.75" hidden="1" x14ac:dyDescent="0.2">
      <c r="A145" s="1" t="s">
        <v>317</v>
      </c>
      <c r="B145" s="1" t="s">
        <v>29</v>
      </c>
      <c r="C145" s="1" t="s">
        <v>318</v>
      </c>
      <c r="D145" s="1" t="s">
        <v>13</v>
      </c>
      <c r="E145">
        <f ca="1">IFERROR(__xludf.DUMMYFUNCTION("GOOGLEFINANCE(C145)"),85.6)</f>
        <v>85.6</v>
      </c>
      <c r="F145">
        <f ca="1">IFERROR(__xludf.DUMMYFUNCTION("GOOGLEFINANCE(C145,""change"")"),1.25)</f>
        <v>1.25</v>
      </c>
      <c r="G145" s="2">
        <f ca="1">IFERROR(__xludf.DUMMYFUNCTION("GOOGLEFINANCE(C145,""changepct"")/100"),0.0148)</f>
        <v>1.4800000000000001E-2</v>
      </c>
      <c r="H145">
        <f ca="1">IFERROR(__xludf.DUMMYFUNCTION("GOOGLEFINANCE(C145,""marketcap"")"),29257232038)</f>
        <v>29257232038</v>
      </c>
    </row>
    <row r="146" spans="1:8" ht="12.75" hidden="1" x14ac:dyDescent="0.2">
      <c r="A146" s="1" t="s">
        <v>319</v>
      </c>
      <c r="B146" s="1" t="s">
        <v>32</v>
      </c>
      <c r="C146" s="1" t="s">
        <v>320</v>
      </c>
      <c r="D146" s="1" t="s">
        <v>13</v>
      </c>
      <c r="E146">
        <f ca="1">IFERROR(__xludf.DUMMYFUNCTION("GOOGLEFINANCE(C146)"),574)</f>
        <v>574</v>
      </c>
      <c r="F146">
        <f ca="1">IFERROR(__xludf.DUMMYFUNCTION("GOOGLEFINANCE(C146,""change"")"),-3.5)</f>
        <v>-3.5</v>
      </c>
      <c r="G146" s="2">
        <f ca="1">IFERROR(__xludf.DUMMYFUNCTION("GOOGLEFINANCE(C146,""changepct"")/100"),-0.00609999999999999)</f>
        <v>-6.09999999999999E-3</v>
      </c>
      <c r="H146">
        <f ca="1">IFERROR(__xludf.DUMMYFUNCTION("GOOGLEFINANCE(C146,""marketcap"")"),77205399501)</f>
        <v>77205399501</v>
      </c>
    </row>
    <row r="147" spans="1:8" ht="12.75" x14ac:dyDescent="0.2">
      <c r="A147" s="1" t="s">
        <v>321</v>
      </c>
      <c r="B147" s="1" t="s">
        <v>81</v>
      </c>
      <c r="C147" s="1" t="s">
        <v>322</v>
      </c>
      <c r="D147" s="1" t="s">
        <v>22</v>
      </c>
      <c r="E147">
        <f ca="1">IFERROR(__xludf.DUMMYFUNCTION("GOOGLEFINANCE(C147)"),1397.45)</f>
        <v>1397.45</v>
      </c>
      <c r="F147">
        <f ca="1">IFERROR(__xludf.DUMMYFUNCTION("GOOGLEFINANCE(C147,""change"")"),-26.45)</f>
        <v>-26.45</v>
      </c>
      <c r="G147" s="2">
        <f ca="1">IFERROR(__xludf.DUMMYFUNCTION("GOOGLEFINANCE(C147,""changepct"")/100"),-0.0186)</f>
        <v>-1.8599999999999998E-2</v>
      </c>
      <c r="H147">
        <f ca="1">IFERROR(__xludf.DUMMYFUNCTION("GOOGLEFINANCE(C147,""marketcap"")"),184321081639)</f>
        <v>184321081639</v>
      </c>
    </row>
    <row r="148" spans="1:8" ht="12.75" x14ac:dyDescent="0.2">
      <c r="A148" s="1" t="s">
        <v>323</v>
      </c>
      <c r="B148" s="1" t="s">
        <v>81</v>
      </c>
      <c r="C148" s="1" t="s">
        <v>324</v>
      </c>
      <c r="D148" s="1" t="s">
        <v>22</v>
      </c>
      <c r="E148">
        <f ca="1">IFERROR(__xludf.DUMMYFUNCTION("GOOGLEFINANCE(C148)"),212.35)</f>
        <v>212.35</v>
      </c>
      <c r="F148">
        <f ca="1">IFERROR(__xludf.DUMMYFUNCTION("GOOGLEFINANCE(C148,""change"")"),1)</f>
        <v>1</v>
      </c>
      <c r="G148" s="2">
        <f ca="1">IFERROR(__xludf.DUMMYFUNCTION("GOOGLEFINANCE(C148,""changepct"")/100"),0.00469999999999999)</f>
        <v>4.6999999999999898E-3</v>
      </c>
      <c r="H148">
        <f ca="1">IFERROR(__xludf.DUMMYFUNCTION("GOOGLEFINANCE(C148,""marketcap"")"),180242062027)</f>
        <v>180242062027</v>
      </c>
    </row>
    <row r="149" spans="1:8" ht="12.75" hidden="1" x14ac:dyDescent="0.2">
      <c r="A149" s="1" t="s">
        <v>325</v>
      </c>
      <c r="B149" s="1" t="s">
        <v>32</v>
      </c>
      <c r="C149" s="1" t="s">
        <v>326</v>
      </c>
      <c r="D149" s="1" t="s">
        <v>13</v>
      </c>
      <c r="E149">
        <f ca="1">IFERROR(__xludf.DUMMYFUNCTION("GOOGLEFINANCE(C149)"),303.25)</f>
        <v>303.25</v>
      </c>
      <c r="F149">
        <f ca="1">IFERROR(__xludf.DUMMYFUNCTION("GOOGLEFINANCE(C149,""change"")"),13.5)</f>
        <v>13.5</v>
      </c>
      <c r="G149" s="2">
        <f ca="1">IFERROR(__xludf.DUMMYFUNCTION("GOOGLEFINANCE(C149,""changepct"")/100"),0.0466)</f>
        <v>4.6600000000000003E-2</v>
      </c>
      <c r="H149">
        <f ca="1">IFERROR(__xludf.DUMMYFUNCTION("GOOGLEFINANCE(C149,""marketcap"")"),51191632500)</f>
        <v>51191632500</v>
      </c>
    </row>
    <row r="150" spans="1:8" ht="12.75" x14ac:dyDescent="0.2">
      <c r="A150" s="1" t="s">
        <v>327</v>
      </c>
      <c r="B150" s="1" t="s">
        <v>29</v>
      </c>
      <c r="C150" s="1" t="s">
        <v>328</v>
      </c>
      <c r="D150" s="1" t="s">
        <v>22</v>
      </c>
      <c r="E150">
        <f ca="1">IFERROR(__xludf.DUMMYFUNCTION("GOOGLEFINANCE(C150)"),85.4)</f>
        <v>85.4</v>
      </c>
      <c r="F150">
        <f ca="1">IFERROR(__xludf.DUMMYFUNCTION("GOOGLEFINANCE(C150,""change"")"),2.25)</f>
        <v>2.25</v>
      </c>
      <c r="G150" s="2">
        <f ca="1">IFERROR(__xludf.DUMMYFUNCTION("GOOGLEFINANCE(C150,""changepct"")/100"),0.0271)</f>
        <v>2.7099999999999999E-2</v>
      </c>
      <c r="H150">
        <f ca="1">IFERROR(__xludf.DUMMYFUNCTION("GOOGLEFINANCE(C150,""marketcap"")"),170455670245)</f>
        <v>170455670245</v>
      </c>
    </row>
    <row r="151" spans="1:8" ht="12.75" hidden="1" x14ac:dyDescent="0.2">
      <c r="A151" s="1" t="s">
        <v>329</v>
      </c>
      <c r="B151" s="1" t="s">
        <v>35</v>
      </c>
      <c r="C151" s="1" t="s">
        <v>330</v>
      </c>
      <c r="D151" s="1" t="s">
        <v>13</v>
      </c>
      <c r="E151">
        <f ca="1">IFERROR(__xludf.DUMMYFUNCTION("GOOGLEFINANCE(C151)"),2374.2)</f>
        <v>2374.1999999999998</v>
      </c>
      <c r="F151">
        <f ca="1">IFERROR(__xludf.DUMMYFUNCTION("GOOGLEFINANCE(C151,""change"")"),-45.1)</f>
        <v>-45.1</v>
      </c>
      <c r="G151" s="2">
        <f ca="1">IFERROR(__xludf.DUMMYFUNCTION("GOOGLEFINANCE(C151,""changepct"")/100"),-0.0186)</f>
        <v>-1.8599999999999998E-2</v>
      </c>
      <c r="H151">
        <f ca="1">IFERROR(__xludf.DUMMYFUNCTION("GOOGLEFINANCE(C151,""marketcap"")"),72792899276)</f>
        <v>72792899276</v>
      </c>
    </row>
    <row r="152" spans="1:8" ht="12.75" hidden="1" x14ac:dyDescent="0.2">
      <c r="A152" s="1" t="s">
        <v>331</v>
      </c>
      <c r="B152" s="1" t="s">
        <v>15</v>
      </c>
      <c r="C152" s="1" t="s">
        <v>332</v>
      </c>
      <c r="D152" s="1" t="s">
        <v>13</v>
      </c>
      <c r="E152">
        <f ca="1">IFERROR(__xludf.DUMMYFUNCTION("GOOGLEFINANCE(C152)"),384.65)</f>
        <v>384.65</v>
      </c>
      <c r="F152">
        <f ca="1">IFERROR(__xludf.DUMMYFUNCTION("GOOGLEFINANCE(C152,""change"")"),-8.2)</f>
        <v>-8.1999999999999993</v>
      </c>
      <c r="G152" s="2">
        <f ca="1">IFERROR(__xludf.DUMMYFUNCTION("GOOGLEFINANCE(C152,""changepct"")/100"),-0.0209)</f>
        <v>-2.0899999999999998E-2</v>
      </c>
      <c r="H152">
        <f ca="1">IFERROR(__xludf.DUMMYFUNCTION("GOOGLEFINANCE(C152,""marketcap"")"),58809521605)</f>
        <v>58809521605</v>
      </c>
    </row>
    <row r="153" spans="1:8" ht="12.75" hidden="1" x14ac:dyDescent="0.2">
      <c r="A153" s="1" t="s">
        <v>333</v>
      </c>
      <c r="B153" s="1" t="s">
        <v>15</v>
      </c>
      <c r="C153" s="1" t="s">
        <v>334</v>
      </c>
      <c r="D153" s="1" t="s">
        <v>13</v>
      </c>
      <c r="E153">
        <f ca="1">IFERROR(__xludf.DUMMYFUNCTION("GOOGLEFINANCE(C153)"),673)</f>
        <v>673</v>
      </c>
      <c r="F153">
        <f ca="1">IFERROR(__xludf.DUMMYFUNCTION("GOOGLEFINANCE(C153,""change"")"),-2.8)</f>
        <v>-2.8</v>
      </c>
      <c r="G153" s="2">
        <f ca="1">IFERROR(__xludf.DUMMYFUNCTION("GOOGLEFINANCE(C153,""changepct"")/100"),-0.00409999999999999)</f>
        <v>-4.0999999999999899E-3</v>
      </c>
      <c r="H153">
        <f ca="1">IFERROR(__xludf.DUMMYFUNCTION("GOOGLEFINANCE(C153,""marketcap"")"),83354667142)</f>
        <v>83354667142</v>
      </c>
    </row>
    <row r="154" spans="1:8" ht="12.75" hidden="1" x14ac:dyDescent="0.2">
      <c r="A154" s="1" t="s">
        <v>335</v>
      </c>
      <c r="B154" s="1" t="s">
        <v>63</v>
      </c>
      <c r="C154" s="1" t="s">
        <v>336</v>
      </c>
      <c r="D154" s="1" t="s">
        <v>13</v>
      </c>
      <c r="E154">
        <f ca="1">IFERROR(__xludf.DUMMYFUNCTION("GOOGLEFINANCE(C154)"),98.4)</f>
        <v>98.4</v>
      </c>
      <c r="F154">
        <f ca="1">IFERROR(__xludf.DUMMYFUNCTION("GOOGLEFINANCE(C154,""change"")"),0.95)</f>
        <v>0.95</v>
      </c>
      <c r="G154" s="2">
        <f ca="1">IFERROR(__xludf.DUMMYFUNCTION("GOOGLEFINANCE(C154,""changepct"")/100"),0.0097)</f>
        <v>9.7000000000000003E-3</v>
      </c>
      <c r="H154">
        <f ca="1">IFERROR(__xludf.DUMMYFUNCTION("GOOGLEFINANCE(C154,""marketcap"")"),66733857204)</f>
        <v>66733857204</v>
      </c>
    </row>
    <row r="155" spans="1:8" ht="12.75" hidden="1" x14ac:dyDescent="0.2">
      <c r="A155" s="1" t="s">
        <v>337</v>
      </c>
      <c r="B155" s="1" t="s">
        <v>88</v>
      </c>
      <c r="C155" s="1" t="s">
        <v>338</v>
      </c>
      <c r="D155" s="1" t="s">
        <v>13</v>
      </c>
      <c r="E155">
        <f ca="1">IFERROR(__xludf.DUMMYFUNCTION("GOOGLEFINANCE(C155)"),163.05)</f>
        <v>163.05000000000001</v>
      </c>
      <c r="F155">
        <f ca="1">IFERROR(__xludf.DUMMYFUNCTION("GOOGLEFINANCE(C155,""change"")"),-2.4)</f>
        <v>-2.4</v>
      </c>
      <c r="G155" s="2">
        <f ca="1">IFERROR(__xludf.DUMMYFUNCTION("GOOGLEFINANCE(C155,""changepct"")/100"),-0.0144999999999999)</f>
        <v>-1.44999999999999E-2</v>
      </c>
      <c r="H155">
        <f ca="1">IFERROR(__xludf.DUMMYFUNCTION("GOOGLEFINANCE(C155,""marketcap"")"),123360116252)</f>
        <v>123360116252</v>
      </c>
    </row>
    <row r="156" spans="1:8" ht="12.75" hidden="1" x14ac:dyDescent="0.2">
      <c r="A156" s="1" t="s">
        <v>339</v>
      </c>
      <c r="B156" s="1" t="s">
        <v>56</v>
      </c>
      <c r="C156" s="1" t="s">
        <v>340</v>
      </c>
      <c r="D156" s="1" t="s">
        <v>13</v>
      </c>
      <c r="E156">
        <f ca="1">IFERROR(__xludf.DUMMYFUNCTION("GOOGLEFINANCE(C156)"),8.35)</f>
        <v>8.35</v>
      </c>
      <c r="F156">
        <f ca="1">IFERROR(__xludf.DUMMYFUNCTION("GOOGLEFINANCE(C156,""change"")"),0.05)</f>
        <v>0.05</v>
      </c>
      <c r="G156" s="2">
        <f ca="1">IFERROR(__xludf.DUMMYFUNCTION("GOOGLEFINANCE(C156,""changepct"")/100"),0.006)</f>
        <v>6.0000000000000001E-3</v>
      </c>
      <c r="H156">
        <f ca="1">IFERROR(__xludf.DUMMYFUNCTION("GOOGLEFINANCE(C156,""marketcap"")"),16499481001)</f>
        <v>16499481001</v>
      </c>
    </row>
    <row r="157" spans="1:8" ht="12.75" hidden="1" x14ac:dyDescent="0.2">
      <c r="A157" s="1" t="s">
        <v>341</v>
      </c>
      <c r="B157" s="1" t="s">
        <v>56</v>
      </c>
      <c r="C157" s="1" t="s">
        <v>342</v>
      </c>
      <c r="D157" s="1" t="s">
        <v>13</v>
      </c>
      <c r="E157">
        <f ca="1">IFERROR(__xludf.DUMMYFUNCTION("GOOGLEFINANCE(C157)"),77.9)</f>
        <v>77.900000000000006</v>
      </c>
      <c r="F157">
        <f ca="1">IFERROR(__xludf.DUMMYFUNCTION("GOOGLEFINANCE(C157,""change"")"),1.45)</f>
        <v>1.45</v>
      </c>
      <c r="G157" s="2">
        <f ca="1">IFERROR(__xludf.DUMMYFUNCTION("GOOGLEFINANCE(C157,""changepct"")/100"),0.019)</f>
        <v>1.9E-2</v>
      </c>
      <c r="H157">
        <f ca="1">IFERROR(__xludf.DUMMYFUNCTION("GOOGLEFINANCE(C157,""marketcap"")"),42298708393)</f>
        <v>42298708393</v>
      </c>
    </row>
    <row r="158" spans="1:8" ht="12.75" x14ac:dyDescent="0.2">
      <c r="A158" s="1" t="s">
        <v>343</v>
      </c>
      <c r="B158" s="1" t="s">
        <v>49</v>
      </c>
      <c r="C158" s="1" t="s">
        <v>344</v>
      </c>
      <c r="D158" s="1" t="s">
        <v>22</v>
      </c>
      <c r="E158">
        <f ca="1">IFERROR(__xludf.DUMMYFUNCTION("GOOGLEFINANCE(C158)"),133.65)</f>
        <v>133.65</v>
      </c>
      <c r="F158">
        <f ca="1">IFERROR(__xludf.DUMMYFUNCTION("GOOGLEFINANCE(C158,""change"")"),0.75)</f>
        <v>0.75</v>
      </c>
      <c r="G158" s="2">
        <f ca="1">IFERROR(__xludf.DUMMYFUNCTION("GOOGLEFINANCE(C158,""changepct"")/100"),0.0056)</f>
        <v>5.5999999999999999E-3</v>
      </c>
      <c r="H158">
        <f ca="1">IFERROR(__xludf.DUMMYFUNCTION("GOOGLEFINANCE(C158,""marketcap"")"),603457013363)</f>
        <v>603457013363</v>
      </c>
    </row>
    <row r="159" spans="1:8" ht="12.75" hidden="1" x14ac:dyDescent="0.2">
      <c r="A159" s="1" t="s">
        <v>345</v>
      </c>
      <c r="B159" s="1" t="s">
        <v>15</v>
      </c>
      <c r="C159" s="1" t="s">
        <v>346</v>
      </c>
      <c r="D159" s="1" t="s">
        <v>13</v>
      </c>
      <c r="E159">
        <f ca="1">IFERROR(__xludf.DUMMYFUNCTION("GOOGLEFINANCE(C159)"),278)</f>
        <v>278</v>
      </c>
      <c r="F159">
        <f ca="1">IFERROR(__xludf.DUMMYFUNCTION("GOOGLEFINANCE(C159,""change"")"),-1.2)</f>
        <v>-1.2</v>
      </c>
      <c r="G159" s="2">
        <f ca="1">IFERROR(__xludf.DUMMYFUNCTION("GOOGLEFINANCE(C159,""changepct"")/100"),-0.0043)</f>
        <v>-4.3E-3</v>
      </c>
      <c r="H159">
        <f ca="1">IFERROR(__xludf.DUMMYFUNCTION("GOOGLEFINANCE(C159,""marketcap"")"),18732934105)</f>
        <v>18732934105</v>
      </c>
    </row>
    <row r="160" spans="1:8" ht="12.75" hidden="1" x14ac:dyDescent="0.2">
      <c r="A160" s="1" t="s">
        <v>347</v>
      </c>
      <c r="B160" s="1" t="s">
        <v>35</v>
      </c>
      <c r="C160" s="1" t="s">
        <v>348</v>
      </c>
      <c r="D160" s="1" t="s">
        <v>13</v>
      </c>
      <c r="E160">
        <f ca="1">IFERROR(__xludf.DUMMYFUNCTION("GOOGLEFINANCE(C160)"),209.5)</f>
        <v>209.5</v>
      </c>
      <c r="F160">
        <f ca="1">IFERROR(__xludf.DUMMYFUNCTION("GOOGLEFINANCE(C160,""change"")"),2)</f>
        <v>2</v>
      </c>
      <c r="G160" s="2">
        <f ca="1">IFERROR(__xludf.DUMMYFUNCTION("GOOGLEFINANCE(C160,""changepct"")/100"),0.0096)</f>
        <v>9.5999999999999992E-3</v>
      </c>
      <c r="H160">
        <f ca="1">IFERROR(__xludf.DUMMYFUNCTION("GOOGLEFINANCE(C160,""marketcap"")"),19905286350)</f>
        <v>19905286350</v>
      </c>
    </row>
    <row r="161" spans="1:8" ht="12.75" hidden="1" x14ac:dyDescent="0.2">
      <c r="A161" s="1" t="s">
        <v>349</v>
      </c>
      <c r="B161" s="1" t="s">
        <v>15</v>
      </c>
      <c r="C161" s="1" t="s">
        <v>350</v>
      </c>
      <c r="D161" s="1" t="s">
        <v>13</v>
      </c>
      <c r="E161">
        <f ca="1">IFERROR(__xludf.DUMMYFUNCTION("GOOGLEFINANCE(C161)"),3792)</f>
        <v>3792</v>
      </c>
      <c r="F161">
        <f ca="1">IFERROR(__xludf.DUMMYFUNCTION("GOOGLEFINANCE(C161,""change"")"),95.3)</f>
        <v>95.3</v>
      </c>
      <c r="G161" s="2">
        <f ca="1">IFERROR(__xludf.DUMMYFUNCTION("GOOGLEFINANCE(C161,""changepct"")/100"),0.0258)</f>
        <v>2.58E-2</v>
      </c>
      <c r="H161">
        <f ca="1">IFERROR(__xludf.DUMMYFUNCTION("GOOGLEFINANCE(C161,""marketcap"")"),55336574024)</f>
        <v>55336574024</v>
      </c>
    </row>
    <row r="162" spans="1:8" ht="12.75" x14ac:dyDescent="0.2">
      <c r="A162" s="1" t="s">
        <v>351</v>
      </c>
      <c r="B162" s="1" t="s">
        <v>95</v>
      </c>
      <c r="C162" s="1" t="s">
        <v>352</v>
      </c>
      <c r="D162" s="1" t="s">
        <v>22</v>
      </c>
      <c r="E162">
        <f ca="1">IFERROR(__xludf.DUMMYFUNCTION("GOOGLEFINANCE(C162)"),25.4)</f>
        <v>25.4</v>
      </c>
      <c r="F162">
        <f ca="1">IFERROR(__xludf.DUMMYFUNCTION("GOOGLEFINANCE(C162,""change"")"),-0.7)</f>
        <v>-0.7</v>
      </c>
      <c r="G162" s="2">
        <f ca="1">IFERROR(__xludf.DUMMYFUNCTION("GOOGLEFINANCE(C162,""changepct"")/100"),-0.0268)</f>
        <v>-2.6800000000000001E-2</v>
      </c>
      <c r="H162">
        <f ca="1">IFERROR(__xludf.DUMMYFUNCTION("GOOGLEFINANCE(C162,""marketcap"")"),154212040500)</f>
        <v>154212040500</v>
      </c>
    </row>
    <row r="163" spans="1:8" ht="12.75" hidden="1" x14ac:dyDescent="0.2">
      <c r="A163" s="1" t="s">
        <v>353</v>
      </c>
      <c r="B163" s="1" t="s">
        <v>35</v>
      </c>
      <c r="C163" s="1" t="s">
        <v>354</v>
      </c>
      <c r="D163" s="1" t="s">
        <v>13</v>
      </c>
      <c r="E163">
        <f ca="1">IFERROR(__xludf.DUMMYFUNCTION("GOOGLEFINANCE(C163)"),2199.9)</f>
        <v>2199.9</v>
      </c>
      <c r="F163">
        <f ca="1">IFERROR(__xludf.DUMMYFUNCTION("GOOGLEFINANCE(C163,""change"")"),24.05)</f>
        <v>24.05</v>
      </c>
      <c r="G163" s="2">
        <f ca="1">IFERROR(__xludf.DUMMYFUNCTION("GOOGLEFINANCE(C163,""changepct"")/100"),0.0111)</f>
        <v>1.11E-2</v>
      </c>
      <c r="H163">
        <f ca="1">IFERROR(__xludf.DUMMYFUNCTION("GOOGLEFINANCE(C163,""marketcap"")"),77996901062)</f>
        <v>77996901062</v>
      </c>
    </row>
    <row r="164" spans="1:8" ht="12.75" hidden="1" x14ac:dyDescent="0.2">
      <c r="A164" s="1" t="s">
        <v>355</v>
      </c>
      <c r="B164" s="1" t="s">
        <v>15</v>
      </c>
      <c r="C164" s="1" t="s">
        <v>356</v>
      </c>
      <c r="D164" s="1" t="s">
        <v>13</v>
      </c>
      <c r="E164">
        <f ca="1">IFERROR(__xludf.DUMMYFUNCTION("GOOGLEFINANCE(C164)"),199)</f>
        <v>199</v>
      </c>
      <c r="F164">
        <f ca="1">IFERROR(__xludf.DUMMYFUNCTION("GOOGLEFINANCE(C164,""change"")"),0.75)</f>
        <v>0.75</v>
      </c>
      <c r="G164" s="2">
        <f ca="1">IFERROR(__xludf.DUMMYFUNCTION("GOOGLEFINANCE(C164,""changepct"")/100"),0.0038)</f>
        <v>3.8E-3</v>
      </c>
      <c r="H164">
        <f ca="1">IFERROR(__xludf.DUMMYFUNCTION("GOOGLEFINANCE(C164,""marketcap"")"),22795828100)</f>
        <v>22795828100</v>
      </c>
    </row>
    <row r="165" spans="1:8" ht="12.75" hidden="1" x14ac:dyDescent="0.2">
      <c r="A165" s="1" t="s">
        <v>357</v>
      </c>
      <c r="B165" s="1" t="s">
        <v>78</v>
      </c>
      <c r="C165" s="1" t="s">
        <v>358</v>
      </c>
      <c r="D165" s="1" t="s">
        <v>13</v>
      </c>
      <c r="E165">
        <f ca="1">IFERROR(__xludf.DUMMYFUNCTION("GOOGLEFINANCE(C165)"),2242)</f>
        <v>2242</v>
      </c>
      <c r="F165">
        <f ca="1">IFERROR(__xludf.DUMMYFUNCTION("GOOGLEFINANCE(C165,""change"")"),-17.25)</f>
        <v>-17.25</v>
      </c>
      <c r="G165" s="2">
        <f ca="1">IFERROR(__xludf.DUMMYFUNCTION("GOOGLEFINANCE(C165,""changepct"")/100"),-0.0076)</f>
        <v>-7.6E-3</v>
      </c>
      <c r="H165">
        <f ca="1">IFERROR(__xludf.DUMMYFUNCTION("GOOGLEFINANCE(C165,""marketcap"")"),46937503100)</f>
        <v>46937503100</v>
      </c>
    </row>
    <row r="166" spans="1:8" ht="12.75" hidden="1" x14ac:dyDescent="0.2">
      <c r="A166" s="1" t="s">
        <v>359</v>
      </c>
      <c r="B166" s="1" t="s">
        <v>29</v>
      </c>
      <c r="C166" s="1" t="s">
        <v>360</v>
      </c>
      <c r="D166" s="1" t="s">
        <v>13</v>
      </c>
      <c r="E166">
        <f ca="1">IFERROR(__xludf.DUMMYFUNCTION("GOOGLEFINANCE(C166)"),143.55)</f>
        <v>143.55000000000001</v>
      </c>
      <c r="F166">
        <f ca="1">IFERROR(__xludf.DUMMYFUNCTION("GOOGLEFINANCE(C166,""change"")"),1)</f>
        <v>1</v>
      </c>
      <c r="G166" s="2">
        <f ca="1">IFERROR(__xludf.DUMMYFUNCTION("GOOGLEFINANCE(C166,""changepct"")/100"),0.00699999999999999)</f>
        <v>6.9999999999999897E-3</v>
      </c>
      <c r="H166">
        <f ca="1">IFERROR(__xludf.DUMMYFUNCTION("GOOGLEFINANCE(C166,""marketcap"")"),252371162355)</f>
        <v>252371162355</v>
      </c>
    </row>
    <row r="167" spans="1:8" ht="12.75" hidden="1" x14ac:dyDescent="0.2">
      <c r="A167" s="1" t="s">
        <v>361</v>
      </c>
      <c r="B167" s="1" t="s">
        <v>56</v>
      </c>
      <c r="C167" s="1" t="s">
        <v>362</v>
      </c>
      <c r="D167" s="1" t="s">
        <v>13</v>
      </c>
      <c r="E167">
        <f ca="1">IFERROR(__xludf.DUMMYFUNCTION("GOOGLEFINANCE(C167)"),5641.15)</f>
        <v>5641.15</v>
      </c>
      <c r="F167">
        <f ca="1">IFERROR(__xludf.DUMMYFUNCTION("GOOGLEFINANCE(C167,""change"")"),-30.4)</f>
        <v>-30.4</v>
      </c>
      <c r="G167" s="2">
        <f ca="1">IFERROR(__xludf.DUMMYFUNCTION("GOOGLEFINANCE(C167,""changepct"")/100"),-0.0054)</f>
        <v>-5.4000000000000003E-3</v>
      </c>
      <c r="H167">
        <f ca="1">IFERROR(__xludf.DUMMYFUNCTION("GOOGLEFINANCE(C167,""marketcap"")"),184108183401)</f>
        <v>184108183401</v>
      </c>
    </row>
    <row r="168" spans="1:8" ht="12.75" hidden="1" x14ac:dyDescent="0.2">
      <c r="A168" s="1" t="s">
        <v>363</v>
      </c>
      <c r="B168" s="1" t="s">
        <v>32</v>
      </c>
      <c r="C168" s="1" t="s">
        <v>364</v>
      </c>
      <c r="D168" s="1" t="s">
        <v>13</v>
      </c>
      <c r="E168">
        <f ca="1">IFERROR(__xludf.DUMMYFUNCTION("GOOGLEFINANCE(C168)"),1431.85)</f>
        <v>1431.85</v>
      </c>
      <c r="F168">
        <f ca="1">IFERROR(__xludf.DUMMYFUNCTION("GOOGLEFINANCE(C168,""change"")"),7.2)</f>
        <v>7.2</v>
      </c>
      <c r="G168" s="2">
        <f ca="1">IFERROR(__xludf.DUMMYFUNCTION("GOOGLEFINANCE(C168,""changepct"")/100"),0.0051)</f>
        <v>5.1000000000000004E-3</v>
      </c>
      <c r="H168">
        <f ca="1">IFERROR(__xludf.DUMMYFUNCTION("GOOGLEFINANCE(C168,""marketcap"")"),242563976964)</f>
        <v>242563976964</v>
      </c>
    </row>
    <row r="169" spans="1:8" ht="12.75" x14ac:dyDescent="0.2">
      <c r="A169" s="1" t="s">
        <v>365</v>
      </c>
      <c r="B169" s="1" t="s">
        <v>32</v>
      </c>
      <c r="C169" s="1" t="s">
        <v>366</v>
      </c>
      <c r="D169" s="1" t="s">
        <v>22</v>
      </c>
      <c r="E169">
        <f ca="1">IFERROR(__xludf.DUMMYFUNCTION("GOOGLEFINANCE(C169)"),492.3)</f>
        <v>492.3</v>
      </c>
      <c r="F169">
        <f ca="1">IFERROR(__xludf.DUMMYFUNCTION("GOOGLEFINANCE(C169,""change"")"),-11.8)</f>
        <v>-11.8</v>
      </c>
      <c r="G169" s="2">
        <f ca="1">IFERROR(__xludf.DUMMYFUNCTION("GOOGLEFINANCE(C169,""changepct"")/100"),-0.0233999999999999)</f>
        <v>-2.33999999999999E-2</v>
      </c>
      <c r="H169">
        <f ca="1">IFERROR(__xludf.DUMMYFUNCTION("GOOGLEFINANCE(C169,""marketcap"")"),138418349208)</f>
        <v>138418349208</v>
      </c>
    </row>
    <row r="170" spans="1:8" ht="12.75" hidden="1" x14ac:dyDescent="0.2">
      <c r="A170" s="1" t="s">
        <v>367</v>
      </c>
      <c r="B170" s="1" t="s">
        <v>56</v>
      </c>
      <c r="C170" s="1" t="s">
        <v>368</v>
      </c>
      <c r="D170" s="1" t="s">
        <v>13</v>
      </c>
      <c r="E170">
        <f ca="1">IFERROR(__xludf.DUMMYFUNCTION("GOOGLEFINANCE(C170)"),923.85)</f>
        <v>923.85</v>
      </c>
      <c r="F170">
        <f ca="1">IFERROR(__xludf.DUMMYFUNCTION("GOOGLEFINANCE(C170,""change"")"),0.1)</f>
        <v>0.1</v>
      </c>
      <c r="G170" s="2">
        <f ca="1">IFERROR(__xludf.DUMMYFUNCTION("GOOGLEFINANCE(C170,""changepct"")/100"),0.0001)</f>
        <v>1E-4</v>
      </c>
      <c r="H170">
        <f ca="1">IFERROR(__xludf.DUMMYFUNCTION("GOOGLEFINANCE(C170,""marketcap"")"),47904476900)</f>
        <v>47904476900</v>
      </c>
    </row>
    <row r="171" spans="1:8" ht="12.75" hidden="1" x14ac:dyDescent="0.2">
      <c r="A171" s="1" t="s">
        <v>369</v>
      </c>
      <c r="B171" s="1" t="s">
        <v>56</v>
      </c>
      <c r="C171" s="1" t="s">
        <v>370</v>
      </c>
      <c r="D171" s="1" t="s">
        <v>13</v>
      </c>
      <c r="E171">
        <f ca="1">IFERROR(__xludf.DUMMYFUNCTION("GOOGLEFINANCE(C171)"),496.5)</f>
        <v>496.5</v>
      </c>
      <c r="F171">
        <f ca="1">IFERROR(__xludf.DUMMYFUNCTION("GOOGLEFINANCE(C171,""change"")"),-4.8)</f>
        <v>-4.8</v>
      </c>
      <c r="G171" s="2">
        <f ca="1">IFERROR(__xludf.DUMMYFUNCTION("GOOGLEFINANCE(C171,""changepct"")/100"),-0.0096)</f>
        <v>-9.5999999999999992E-3</v>
      </c>
      <c r="H171">
        <f ca="1">IFERROR(__xludf.DUMMYFUNCTION("GOOGLEFINANCE(C171,""marketcap"")"),95363648700)</f>
        <v>95363648700</v>
      </c>
    </row>
    <row r="172" spans="1:8" ht="12.75" x14ac:dyDescent="0.2">
      <c r="A172" s="1" t="s">
        <v>371</v>
      </c>
      <c r="B172" s="1" t="s">
        <v>56</v>
      </c>
      <c r="C172" s="1" t="s">
        <v>372</v>
      </c>
      <c r="D172" s="1" t="s">
        <v>22</v>
      </c>
      <c r="E172">
        <f ca="1">IFERROR(__xludf.DUMMYFUNCTION("GOOGLEFINANCE(C172)"),741.65)</f>
        <v>741.65</v>
      </c>
      <c r="F172">
        <f ca="1">IFERROR(__xludf.DUMMYFUNCTION("GOOGLEFINANCE(C172,""change"")"),-12.65)</f>
        <v>-12.65</v>
      </c>
      <c r="G172" s="2">
        <f ca="1">IFERROR(__xludf.DUMMYFUNCTION("GOOGLEFINANCE(C172,""changepct"")/100"),-0.0168)</f>
        <v>-1.6799999999999999E-2</v>
      </c>
      <c r="H172">
        <f ca="1">IFERROR(__xludf.DUMMYFUNCTION("GOOGLEFINANCE(C172,""marketcap"")"),758074619043)</f>
        <v>758074619043</v>
      </c>
    </row>
    <row r="173" spans="1:8" ht="12.75" hidden="1" x14ac:dyDescent="0.2">
      <c r="A173" s="1" t="s">
        <v>373</v>
      </c>
      <c r="B173" s="1" t="s">
        <v>56</v>
      </c>
      <c r="C173" s="1" t="s">
        <v>374</v>
      </c>
      <c r="D173" s="1" t="s">
        <v>13</v>
      </c>
      <c r="E173">
        <f ca="1">IFERROR(__xludf.DUMMYFUNCTION("GOOGLEFINANCE(C173)"),447.8)</f>
        <v>447.8</v>
      </c>
      <c r="F173">
        <f ca="1">IFERROR(__xludf.DUMMYFUNCTION("GOOGLEFINANCE(C173,""change"")"),-2.45)</f>
        <v>-2.4500000000000002</v>
      </c>
      <c r="G173" s="2">
        <f ca="1">IFERROR(__xludf.DUMMYFUNCTION("GOOGLEFINANCE(C173,""changepct"")/100"),-0.0054)</f>
        <v>-5.4000000000000003E-3</v>
      </c>
      <c r="H173">
        <f ca="1">IFERROR(__xludf.DUMMYFUNCTION("GOOGLEFINANCE(C173,""marketcap"")"),151217064163)</f>
        <v>151217064163</v>
      </c>
    </row>
    <row r="174" spans="1:8" ht="12.75" x14ac:dyDescent="0.2">
      <c r="A174" s="1" t="s">
        <v>375</v>
      </c>
      <c r="B174" s="1" t="s">
        <v>95</v>
      </c>
      <c r="C174" s="1" t="s">
        <v>376</v>
      </c>
      <c r="D174" s="1" t="s">
        <v>22</v>
      </c>
      <c r="E174">
        <f ca="1">IFERROR(__xludf.DUMMYFUNCTION("GOOGLEFINANCE(C174)"),1511.95)</f>
        <v>1511.95</v>
      </c>
      <c r="F174">
        <f ca="1">IFERROR(__xludf.DUMMYFUNCTION("GOOGLEFINANCE(C174,""change"")"),23.55)</f>
        <v>23.55</v>
      </c>
      <c r="G174" s="2">
        <f ca="1">IFERROR(__xludf.DUMMYFUNCTION("GOOGLEFINANCE(C174,""changepct"")/100"),0.0158)</f>
        <v>1.5800000000000002E-2</v>
      </c>
      <c r="H174">
        <f ca="1">IFERROR(__xludf.DUMMYFUNCTION("GOOGLEFINANCE(C174,""marketcap"")"),379385275391)</f>
        <v>379385275391</v>
      </c>
    </row>
    <row r="175" spans="1:8" ht="12.75" hidden="1" x14ac:dyDescent="0.2">
      <c r="A175" s="1" t="s">
        <v>377</v>
      </c>
      <c r="B175" s="1" t="s">
        <v>32</v>
      </c>
      <c r="C175" s="1" t="s">
        <v>378</v>
      </c>
      <c r="D175" s="1" t="s">
        <v>13</v>
      </c>
      <c r="E175">
        <f ca="1">IFERROR(__xludf.DUMMYFUNCTION("GOOGLEFINANCE(C175)"),353)</f>
        <v>353</v>
      </c>
      <c r="F175">
        <f ca="1">IFERROR(__xludf.DUMMYFUNCTION("GOOGLEFINANCE(C175,""change"")"),16.85)</f>
        <v>16.850000000000001</v>
      </c>
      <c r="G175" s="2">
        <f ca="1">IFERROR(__xludf.DUMMYFUNCTION("GOOGLEFINANCE(C175,""changepct"")/100"),0.0501)</f>
        <v>5.0099999999999999E-2</v>
      </c>
      <c r="H175">
        <f ca="1">IFERROR(__xludf.DUMMYFUNCTION("GOOGLEFINANCE(C175,""marketcap"")"),87429169100)</f>
        <v>87429169100</v>
      </c>
    </row>
    <row r="176" spans="1:8" ht="12.75" hidden="1" x14ac:dyDescent="0.2">
      <c r="A176" s="1" t="s">
        <v>379</v>
      </c>
      <c r="B176" s="1" t="s">
        <v>15</v>
      </c>
      <c r="C176" s="1" t="s">
        <v>380</v>
      </c>
      <c r="D176" s="1" t="s">
        <v>13</v>
      </c>
      <c r="E176">
        <f ca="1">IFERROR(__xludf.DUMMYFUNCTION("GOOGLEFINANCE(C176)"),436.3)</f>
        <v>436.3</v>
      </c>
      <c r="F176">
        <f ca="1">IFERROR(__xludf.DUMMYFUNCTION("GOOGLEFINANCE(C176,""change"")"),19.3)</f>
        <v>19.3</v>
      </c>
      <c r="G176" s="2">
        <f ca="1">IFERROR(__xludf.DUMMYFUNCTION("GOOGLEFINANCE(C176,""changepct"")/100"),0.0463)</f>
        <v>4.6300000000000001E-2</v>
      </c>
      <c r="H176">
        <f ca="1">IFERROR(__xludf.DUMMYFUNCTION("GOOGLEFINANCE(C176,""marketcap"")"),85343779286)</f>
        <v>85343779286</v>
      </c>
    </row>
    <row r="177" spans="1:8" ht="12.75" x14ac:dyDescent="0.2">
      <c r="A177" s="1" t="s">
        <v>381</v>
      </c>
      <c r="B177" s="1" t="s">
        <v>20</v>
      </c>
      <c r="C177" s="1" t="s">
        <v>382</v>
      </c>
      <c r="D177" s="1" t="s">
        <v>22</v>
      </c>
      <c r="E177">
        <f ca="1">IFERROR(__xludf.DUMMYFUNCTION("GOOGLEFINANCE(C177)"),1234.4)</f>
        <v>1234.4000000000001</v>
      </c>
      <c r="F177">
        <f ca="1">IFERROR(__xludf.DUMMYFUNCTION("GOOGLEFINANCE(C177,""change"")"),-7.7)</f>
        <v>-7.7</v>
      </c>
      <c r="G177" s="2">
        <f ca="1">IFERROR(__xludf.DUMMYFUNCTION("GOOGLEFINANCE(C177,""changepct"")/100"),-0.0062)</f>
        <v>-6.1999999999999998E-3</v>
      </c>
      <c r="H177">
        <f ca="1">IFERROR(__xludf.DUMMYFUNCTION("GOOGLEFINANCE(C177,""marketcap"")"),805904853736)</f>
        <v>805904853736</v>
      </c>
    </row>
    <row r="178" spans="1:8" ht="12.75" hidden="1" x14ac:dyDescent="0.2">
      <c r="A178" s="1" t="s">
        <v>383</v>
      </c>
      <c r="B178" s="1" t="s">
        <v>11</v>
      </c>
      <c r="C178" s="1" t="s">
        <v>384</v>
      </c>
      <c r="D178" s="1" t="s">
        <v>13</v>
      </c>
      <c r="E178">
        <f ca="1">IFERROR(__xludf.DUMMYFUNCTION("GOOGLEFINANCE(C178)"),256.8)</f>
        <v>256.8</v>
      </c>
      <c r="F178">
        <f ca="1">IFERROR(__xludf.DUMMYFUNCTION("GOOGLEFINANCE(C178,""change"")"),0.3)</f>
        <v>0.3</v>
      </c>
      <c r="G178" s="2">
        <f ca="1">IFERROR(__xludf.DUMMYFUNCTION("GOOGLEFINANCE(C178,""changepct"")/100"),0.0012)</f>
        <v>1.1999999999999999E-3</v>
      </c>
      <c r="H178">
        <f ca="1">IFERROR(__xludf.DUMMYFUNCTION("GOOGLEFINANCE(C178,""marketcap"")"),37726227000)</f>
        <v>37726227000</v>
      </c>
    </row>
    <row r="179" spans="1:8" ht="12.75" hidden="1" x14ac:dyDescent="0.2">
      <c r="A179" s="1" t="s">
        <v>385</v>
      </c>
      <c r="B179" s="1" t="s">
        <v>15</v>
      </c>
      <c r="C179" s="1" t="s">
        <v>386</v>
      </c>
      <c r="D179" s="1" t="s">
        <v>13</v>
      </c>
      <c r="E179">
        <f ca="1">IFERROR(__xludf.DUMMYFUNCTION("GOOGLEFINANCE(C179)"),93.75)</f>
        <v>93.75</v>
      </c>
      <c r="F179">
        <f ca="1">IFERROR(__xludf.DUMMYFUNCTION("GOOGLEFINANCE(C179,""change"")"),1.65)</f>
        <v>1.65</v>
      </c>
      <c r="G179" s="2">
        <f ca="1">IFERROR(__xludf.DUMMYFUNCTION("GOOGLEFINANCE(C179,""changepct"")/100"),0.0179)</f>
        <v>1.7899999999999999E-2</v>
      </c>
      <c r="H179">
        <f ca="1">IFERROR(__xludf.DUMMYFUNCTION("GOOGLEFINANCE(C179,""marketcap"")"),21675637500)</f>
        <v>21675637500</v>
      </c>
    </row>
    <row r="180" spans="1:8" ht="12.75" hidden="1" x14ac:dyDescent="0.2">
      <c r="A180" s="1" t="s">
        <v>387</v>
      </c>
      <c r="B180" s="1" t="s">
        <v>15</v>
      </c>
      <c r="C180" s="1" t="s">
        <v>388</v>
      </c>
      <c r="D180" s="1" t="s">
        <v>13</v>
      </c>
      <c r="E180">
        <f ca="1">IFERROR(__xludf.DUMMYFUNCTION("GOOGLEFINANCE(C180)"),888)</f>
        <v>888</v>
      </c>
      <c r="F180">
        <f ca="1">IFERROR(__xludf.DUMMYFUNCTION("GOOGLEFINANCE(C180,""change"")"),16)</f>
        <v>16</v>
      </c>
      <c r="G180" s="2">
        <f ca="1">IFERROR(__xludf.DUMMYFUNCTION("GOOGLEFINANCE(C180,""changepct"")/100"),0.0183)</f>
        <v>1.83E-2</v>
      </c>
      <c r="H180">
        <f ca="1">IFERROR(__xludf.DUMMYFUNCTION("GOOGLEFINANCE(C180,""marketcap"")"),98319360000)</f>
        <v>98319360000</v>
      </c>
    </row>
    <row r="181" spans="1:8" ht="12.75" hidden="1" x14ac:dyDescent="0.2">
      <c r="A181" s="1" t="s">
        <v>389</v>
      </c>
      <c r="B181" s="1" t="s">
        <v>35</v>
      </c>
      <c r="C181" s="1" t="s">
        <v>390</v>
      </c>
      <c r="D181" s="1" t="s">
        <v>13</v>
      </c>
      <c r="E181">
        <f ca="1">IFERROR(__xludf.DUMMYFUNCTION("GOOGLEFINANCE(C181)"),311.05)</f>
        <v>311.05</v>
      </c>
      <c r="F181">
        <f ca="1">IFERROR(__xludf.DUMMYFUNCTION("GOOGLEFINANCE(C181,""change"")"),-0.05)</f>
        <v>-0.05</v>
      </c>
      <c r="G181" s="2">
        <f ca="1">IFERROR(__xludf.DUMMYFUNCTION("GOOGLEFINANCE(C181,""changepct"")/100"),-0.0002)</f>
        <v>-2.0000000000000001E-4</v>
      </c>
      <c r="H181">
        <f ca="1">IFERROR(__xludf.DUMMYFUNCTION("GOOGLEFINANCE(C181,""marketcap"")"),22842556180)</f>
        <v>22842556180</v>
      </c>
    </row>
    <row r="182" spans="1:8" ht="12.75" hidden="1" x14ac:dyDescent="0.2">
      <c r="A182" s="1" t="s">
        <v>391</v>
      </c>
      <c r="B182" s="1" t="s">
        <v>56</v>
      </c>
      <c r="C182" s="1" t="s">
        <v>392</v>
      </c>
      <c r="D182" s="1" t="s">
        <v>13</v>
      </c>
      <c r="E182">
        <f ca="1">IFERROR(__xludf.DUMMYFUNCTION("GOOGLEFINANCE(C182)"),126)</f>
        <v>126</v>
      </c>
      <c r="F182">
        <f ca="1">IFERROR(__xludf.DUMMYFUNCTION("GOOGLEFINANCE(C182,""change"")"),-4.2)</f>
        <v>-4.2</v>
      </c>
      <c r="G182" s="2">
        <f ca="1">IFERROR(__xludf.DUMMYFUNCTION("GOOGLEFINANCE(C182,""changepct"")/100"),-0.0323)</f>
        <v>-3.2300000000000002E-2</v>
      </c>
      <c r="H182">
        <f ca="1">IFERROR(__xludf.DUMMYFUNCTION("GOOGLEFINANCE(C182,""marketcap"")"),29239534179)</f>
        <v>29239534179</v>
      </c>
    </row>
    <row r="183" spans="1:8" ht="12.75" hidden="1" x14ac:dyDescent="0.2">
      <c r="A183" s="1" t="s">
        <v>393</v>
      </c>
      <c r="B183" s="1" t="s">
        <v>35</v>
      </c>
      <c r="C183" s="1" t="s">
        <v>394</v>
      </c>
      <c r="D183" s="1" t="s">
        <v>13</v>
      </c>
      <c r="E183">
        <f ca="1">IFERROR(__xludf.DUMMYFUNCTION("GOOGLEFINANCE(C183)"),566)</f>
        <v>566</v>
      </c>
      <c r="F183">
        <f ca="1">IFERROR(__xludf.DUMMYFUNCTION("GOOGLEFINANCE(C183,""change"")"),-8.15)</f>
        <v>-8.15</v>
      </c>
      <c r="G183" s="2">
        <f ca="1">IFERROR(__xludf.DUMMYFUNCTION("GOOGLEFINANCE(C183,""changepct"")/100"),-0.0141999999999999)</f>
        <v>-1.41999999999999E-2</v>
      </c>
      <c r="H183">
        <f ca="1">IFERROR(__xludf.DUMMYFUNCTION("GOOGLEFINANCE(C183,""marketcap"")"),62175100000)</f>
        <v>62175100000</v>
      </c>
    </row>
    <row r="184" spans="1:8" ht="12.75" hidden="1" x14ac:dyDescent="0.2">
      <c r="A184" s="1" t="s">
        <v>395</v>
      </c>
      <c r="B184" s="1" t="s">
        <v>49</v>
      </c>
      <c r="C184" s="1" t="s">
        <v>396</v>
      </c>
      <c r="D184" s="1" t="s">
        <v>13</v>
      </c>
      <c r="E184">
        <f ca="1">IFERROR(__xludf.DUMMYFUNCTION("GOOGLEFINANCE(C184)"),429.4)</f>
        <v>429.4</v>
      </c>
      <c r="F184">
        <f ca="1">IFERROR(__xludf.DUMMYFUNCTION("GOOGLEFINANCE(C184,""change"")"),-19.95)</f>
        <v>-19.95</v>
      </c>
      <c r="G184" s="2">
        <f ca="1">IFERROR(__xludf.DUMMYFUNCTION("GOOGLEFINANCE(C184,""changepct"")/100"),-0.0444)</f>
        <v>-4.4400000000000002E-2</v>
      </c>
      <c r="H184">
        <f ca="1">IFERROR(__xludf.DUMMYFUNCTION("GOOGLEFINANCE(C184,""marketcap"")"),296906812980)</f>
        <v>296906812980</v>
      </c>
    </row>
    <row r="185" spans="1:8" ht="12.75" hidden="1" x14ac:dyDescent="0.2">
      <c r="A185" s="1" t="s">
        <v>397</v>
      </c>
      <c r="B185" s="1" t="s">
        <v>26</v>
      </c>
      <c r="C185" s="1" t="s">
        <v>398</v>
      </c>
      <c r="D185" s="1" t="s">
        <v>13</v>
      </c>
      <c r="E185">
        <f ca="1">IFERROR(__xludf.DUMMYFUNCTION("GOOGLEFINANCE(C185)"),54.55)</f>
        <v>54.55</v>
      </c>
      <c r="F185">
        <f ca="1">IFERROR(__xludf.DUMMYFUNCTION("GOOGLEFINANCE(C185,""change"")"),-1.55)</f>
        <v>-1.55</v>
      </c>
      <c r="G185" s="2">
        <f ca="1">IFERROR(__xludf.DUMMYFUNCTION("GOOGLEFINANCE(C185,""changepct"")/100"),-0.0276)</f>
        <v>-2.76E-2</v>
      </c>
      <c r="H185">
        <f ca="1">IFERROR(__xludf.DUMMYFUNCTION("GOOGLEFINANCE(C185,""marketcap"")"),17362799514)</f>
        <v>17362799514</v>
      </c>
    </row>
    <row r="186" spans="1:8" ht="12.75" hidden="1" x14ac:dyDescent="0.2">
      <c r="A186" s="1" t="s">
        <v>399</v>
      </c>
      <c r="B186" s="1" t="s">
        <v>35</v>
      </c>
      <c r="C186" s="1" t="s">
        <v>400</v>
      </c>
      <c r="D186" s="1" t="s">
        <v>13</v>
      </c>
      <c r="E186">
        <f ca="1">IFERROR(__xludf.DUMMYFUNCTION("GOOGLEFINANCE(C186)"),229)</f>
        <v>229</v>
      </c>
      <c r="F186">
        <f ca="1">IFERROR(__xludf.DUMMYFUNCTION("GOOGLEFINANCE(C186,""change"")"),3.55)</f>
        <v>3.55</v>
      </c>
      <c r="G186" s="2">
        <f ca="1">IFERROR(__xludf.DUMMYFUNCTION("GOOGLEFINANCE(C186,""changepct"")/100"),0.0157)</f>
        <v>1.5699999999999999E-2</v>
      </c>
      <c r="H186">
        <f ca="1">IFERROR(__xludf.DUMMYFUNCTION("GOOGLEFINANCE(C186,""marketcap"")"),35590882300)</f>
        <v>35590882300</v>
      </c>
    </row>
    <row r="187" spans="1:8" ht="12.75" hidden="1" x14ac:dyDescent="0.2">
      <c r="A187" s="1" t="s">
        <v>401</v>
      </c>
      <c r="B187" s="1" t="s">
        <v>11</v>
      </c>
      <c r="C187" s="1" t="s">
        <v>402</v>
      </c>
      <c r="D187" s="1" t="s">
        <v>13</v>
      </c>
      <c r="E187">
        <f ca="1">IFERROR(__xludf.DUMMYFUNCTION("GOOGLEFINANCE(C187)"),93.7)</f>
        <v>93.7</v>
      </c>
      <c r="F187">
        <f ca="1">IFERROR(__xludf.DUMMYFUNCTION("GOOGLEFINANCE(C187,""change"")"),-1.05)</f>
        <v>-1.05</v>
      </c>
      <c r="G187" s="2">
        <f ca="1">IFERROR(__xludf.DUMMYFUNCTION("GOOGLEFINANCE(C187,""changepct"")/100"),-0.0111)</f>
        <v>-1.11E-2</v>
      </c>
      <c r="H187">
        <f ca="1">IFERROR(__xludf.DUMMYFUNCTION("GOOGLEFINANCE(C187,""marketcap"")"),45394997957)</f>
        <v>45394997957</v>
      </c>
    </row>
    <row r="188" spans="1:8" ht="12.75" hidden="1" x14ac:dyDescent="0.2">
      <c r="A188" s="1" t="s">
        <v>403</v>
      </c>
      <c r="B188" s="1" t="s">
        <v>150</v>
      </c>
      <c r="C188" s="1" t="s">
        <v>404</v>
      </c>
      <c r="D188" s="1" t="s">
        <v>13</v>
      </c>
      <c r="E188">
        <f ca="1">IFERROR(__xludf.DUMMYFUNCTION("GOOGLEFINANCE(C188)"),76.8)</f>
        <v>76.8</v>
      </c>
      <c r="F188">
        <f ca="1">IFERROR(__xludf.DUMMYFUNCTION("GOOGLEFINANCE(C188,""change"")"),0.05)</f>
        <v>0.05</v>
      </c>
      <c r="G188" s="2">
        <f ca="1">IFERROR(__xludf.DUMMYFUNCTION("GOOGLEFINANCE(C188,""changepct"")/100"),0.0007)</f>
        <v>6.9999999999999999E-4</v>
      </c>
      <c r="H188">
        <f ca="1">IFERROR(__xludf.DUMMYFUNCTION("GOOGLEFINANCE(C188,""marketcap"")"),30563252414)</f>
        <v>30563252414</v>
      </c>
    </row>
    <row r="189" spans="1:8" ht="12.75" hidden="1" x14ac:dyDescent="0.2">
      <c r="A189" s="1" t="s">
        <v>405</v>
      </c>
      <c r="B189" s="1" t="s">
        <v>49</v>
      </c>
      <c r="C189" s="1" t="s">
        <v>406</v>
      </c>
      <c r="D189" s="1" t="s">
        <v>13</v>
      </c>
      <c r="E189">
        <f ca="1">IFERROR(__xludf.DUMMYFUNCTION("GOOGLEFINANCE(C189)"),232)</f>
        <v>232</v>
      </c>
      <c r="F189">
        <f ca="1">IFERROR(__xludf.DUMMYFUNCTION("GOOGLEFINANCE(C189,""change"")"),-0.4)</f>
        <v>-0.4</v>
      </c>
      <c r="G189" s="2">
        <f ca="1">IFERROR(__xludf.DUMMYFUNCTION("GOOGLEFINANCE(C189,""changepct"")/100"),-0.0017)</f>
        <v>-1.6999999999999999E-3</v>
      </c>
      <c r="H189">
        <f ca="1">IFERROR(__xludf.DUMMYFUNCTION("GOOGLEFINANCE(C189,""marketcap"")"),130896998400)</f>
        <v>130896998400</v>
      </c>
    </row>
    <row r="190" spans="1:8" ht="12.75" hidden="1" x14ac:dyDescent="0.2">
      <c r="A190" s="1" t="s">
        <v>407</v>
      </c>
      <c r="B190" s="1" t="s">
        <v>49</v>
      </c>
      <c r="C190" s="1" t="s">
        <v>408</v>
      </c>
      <c r="D190" s="1" t="s">
        <v>13</v>
      </c>
      <c r="E190">
        <f ca="1">IFERROR(__xludf.DUMMYFUNCTION("GOOGLEFINANCE(C190)"),742)</f>
        <v>742</v>
      </c>
      <c r="F190">
        <f ca="1">IFERROR(__xludf.DUMMYFUNCTION("GOOGLEFINANCE(C190,""change"")"),12.7)</f>
        <v>12.7</v>
      </c>
      <c r="G190" s="2">
        <f ca="1">IFERROR(__xludf.DUMMYFUNCTION("GOOGLEFINANCE(C190,""changepct"")/100"),0.0174)</f>
        <v>1.7399999999999999E-2</v>
      </c>
      <c r="H190">
        <f ca="1">IFERROR(__xludf.DUMMYFUNCTION("GOOGLEFINANCE(C190,""marketcap"")"),37329663840)</f>
        <v>37329663840</v>
      </c>
    </row>
    <row r="191" spans="1:8" ht="12.75" hidden="1" x14ac:dyDescent="0.2">
      <c r="A191" s="1" t="s">
        <v>409</v>
      </c>
      <c r="B191" s="1" t="s">
        <v>15</v>
      </c>
      <c r="C191" s="1" t="s">
        <v>410</v>
      </c>
      <c r="D191" s="1" t="s">
        <v>13</v>
      </c>
      <c r="E191">
        <f ca="1">IFERROR(__xludf.DUMMYFUNCTION("GOOGLEFINANCE(C191)"),1243.4)</f>
        <v>1243.4000000000001</v>
      </c>
      <c r="F191">
        <f ca="1">IFERROR(__xludf.DUMMYFUNCTION("GOOGLEFINANCE(C191,""change"")"),83.5)</f>
        <v>83.5</v>
      </c>
      <c r="G191" s="2">
        <f ca="1">IFERROR(__xludf.DUMMYFUNCTION("GOOGLEFINANCE(C191,""changepct"")/100"),0.072)</f>
        <v>7.1999999999999995E-2</v>
      </c>
      <c r="H191">
        <f ca="1">IFERROR(__xludf.DUMMYFUNCTION("GOOGLEFINANCE(C191,""marketcap"")"),47903950784)</f>
        <v>47903950784</v>
      </c>
    </row>
    <row r="192" spans="1:8" ht="12.75" x14ac:dyDescent="0.2">
      <c r="A192" s="1" t="s">
        <v>411</v>
      </c>
      <c r="B192" s="1" t="s">
        <v>63</v>
      </c>
      <c r="C192" s="1" t="s">
        <v>412</v>
      </c>
      <c r="D192" s="1" t="s">
        <v>22</v>
      </c>
      <c r="E192">
        <f ca="1">IFERROR(__xludf.DUMMYFUNCTION("GOOGLEFINANCE(C192)"),955.8)</f>
        <v>955.8</v>
      </c>
      <c r="F192">
        <f ca="1">IFERROR(__xludf.DUMMYFUNCTION("GOOGLEFINANCE(C192,""change"")"),-4.6)</f>
        <v>-4.5999999999999996</v>
      </c>
      <c r="G192" s="2">
        <f ca="1">IFERROR(__xludf.DUMMYFUNCTION("GOOGLEFINANCE(C192,""changepct"")/100"),-0.0048)</f>
        <v>-4.7999999999999996E-3</v>
      </c>
      <c r="H192">
        <f ca="1">IFERROR(__xludf.DUMMYFUNCTION("GOOGLEFINANCE(C192,""marketcap"")"),2589923119000)</f>
        <v>2589923119000</v>
      </c>
    </row>
    <row r="193" spans="1:8" ht="12.75" x14ac:dyDescent="0.2">
      <c r="A193" s="1" t="s">
        <v>413</v>
      </c>
      <c r="B193" s="1" t="s">
        <v>29</v>
      </c>
      <c r="C193" s="1" t="s">
        <v>414</v>
      </c>
      <c r="D193" s="1" t="s">
        <v>22</v>
      </c>
      <c r="E193">
        <f ca="1">IFERROR(__xludf.DUMMYFUNCTION("GOOGLEFINANCE(C193)"),3010)</f>
        <v>3010</v>
      </c>
      <c r="F193">
        <f ca="1">IFERROR(__xludf.DUMMYFUNCTION("GOOGLEFINANCE(C193,""change"")"),11.6)</f>
        <v>11.6</v>
      </c>
      <c r="G193" s="2">
        <f ca="1">IFERROR(__xludf.DUMMYFUNCTION("GOOGLEFINANCE(C193,""changepct"")/100"),0.0039)</f>
        <v>3.8999999999999998E-3</v>
      </c>
      <c r="H193">
        <f ca="1">IFERROR(__xludf.DUMMYFUNCTION("GOOGLEFINANCE(C193,""marketcap"")"),640456817618)</f>
        <v>640456817618</v>
      </c>
    </row>
    <row r="194" spans="1:8" ht="12.75" x14ac:dyDescent="0.2">
      <c r="A194" s="1" t="s">
        <v>415</v>
      </c>
      <c r="B194" s="1" t="s">
        <v>29</v>
      </c>
      <c r="C194" s="1" t="s">
        <v>416</v>
      </c>
      <c r="D194" s="1" t="s">
        <v>22</v>
      </c>
      <c r="E194">
        <f ca="1">IFERROR(__xludf.DUMMYFUNCTION("GOOGLEFINANCE(C194)"),1624.95)</f>
        <v>1624.95</v>
      </c>
      <c r="F194">
        <f ca="1">IFERROR(__xludf.DUMMYFUNCTION("GOOGLEFINANCE(C194,""change"")"),43)</f>
        <v>43</v>
      </c>
      <c r="G194" s="2">
        <f ca="1">IFERROR(__xludf.DUMMYFUNCTION("GOOGLEFINANCE(C194,""changepct"")/100"),0.0272)</f>
        <v>2.7199999999999998E-2</v>
      </c>
      <c r="H194">
        <f ca="1">IFERROR(__xludf.DUMMYFUNCTION("GOOGLEFINANCE(C194,""marketcap"")"),8902813640427)</f>
        <v>8902813640427</v>
      </c>
    </row>
    <row r="195" spans="1:8" ht="12.75" x14ac:dyDescent="0.2">
      <c r="A195" s="1" t="s">
        <v>417</v>
      </c>
      <c r="B195" s="1" t="s">
        <v>29</v>
      </c>
      <c r="C195" s="1" t="s">
        <v>418</v>
      </c>
      <c r="D195" s="1" t="s">
        <v>22</v>
      </c>
      <c r="E195">
        <f ca="1">IFERROR(__xludf.DUMMYFUNCTION("GOOGLEFINANCE(C195)"),696.35)</f>
        <v>696.35</v>
      </c>
      <c r="F195">
        <f ca="1">IFERROR(__xludf.DUMMYFUNCTION("GOOGLEFINANCE(C195,""change"")"),-14.6)</f>
        <v>-14.6</v>
      </c>
      <c r="G195" s="2">
        <f ca="1">IFERROR(__xludf.DUMMYFUNCTION("GOOGLEFINANCE(C195,""changepct"")/100"),-0.0204999999999999)</f>
        <v>-2.04999999999999E-2</v>
      </c>
      <c r="H195">
        <f ca="1">IFERROR(__xludf.DUMMYFUNCTION("GOOGLEFINANCE(C195,""marketcap"")"),1404004236409)</f>
        <v>1404004236409</v>
      </c>
    </row>
    <row r="196" spans="1:8" ht="12.75" hidden="1" x14ac:dyDescent="0.2">
      <c r="A196" s="1" t="s">
        <v>419</v>
      </c>
      <c r="B196" s="1" t="s">
        <v>167</v>
      </c>
      <c r="C196" s="1" t="s">
        <v>420</v>
      </c>
      <c r="D196" s="1" t="s">
        <v>13</v>
      </c>
      <c r="E196">
        <f ca="1">IFERROR(__xludf.DUMMYFUNCTION("GOOGLEFINANCE(C196)"),28.1)</f>
        <v>28.1</v>
      </c>
      <c r="F196">
        <f ca="1">IFERROR(__xludf.DUMMYFUNCTION("GOOGLEFINANCE(C196,""change"")"),0.15)</f>
        <v>0.15</v>
      </c>
      <c r="G196" s="2">
        <f ca="1">IFERROR(__xludf.DUMMYFUNCTION("GOOGLEFINANCE(C196,""changepct"")/100"),0.0054)</f>
        <v>5.4000000000000003E-3</v>
      </c>
      <c r="H196">
        <f ca="1">IFERROR(__xludf.DUMMYFUNCTION("GOOGLEFINANCE(C196,""marketcap"")"),36090635960)</f>
        <v>36090635960</v>
      </c>
    </row>
    <row r="197" spans="1:8" ht="12.75" hidden="1" x14ac:dyDescent="0.2">
      <c r="A197" s="1" t="s">
        <v>421</v>
      </c>
      <c r="B197" s="1" t="s">
        <v>263</v>
      </c>
      <c r="C197" s="1" t="s">
        <v>422</v>
      </c>
      <c r="D197" s="1" t="s">
        <v>13</v>
      </c>
      <c r="E197">
        <f ca="1">IFERROR(__xludf.DUMMYFUNCTION("GOOGLEFINANCE(C197)"),30.2)</f>
        <v>30.2</v>
      </c>
      <c r="F197">
        <f ca="1">IFERROR(__xludf.DUMMYFUNCTION("GOOGLEFINANCE(C197,""change"")"),-0.2)</f>
        <v>-0.2</v>
      </c>
      <c r="G197" s="2">
        <f ca="1">IFERROR(__xludf.DUMMYFUNCTION("GOOGLEFINANCE(C197,""changepct"")/100"),-0.0066)</f>
        <v>-6.6E-3</v>
      </c>
      <c r="H197">
        <f ca="1">IFERROR(__xludf.DUMMYFUNCTION("GOOGLEFINANCE(C197,""marketcap"")"),53457142150)</f>
        <v>53457142150</v>
      </c>
    </row>
    <row r="198" spans="1:8" ht="12.75" hidden="1" x14ac:dyDescent="0.2">
      <c r="A198" s="1" t="s">
        <v>423</v>
      </c>
      <c r="B198" s="1" t="s">
        <v>56</v>
      </c>
      <c r="C198" s="1" t="s">
        <v>424</v>
      </c>
      <c r="D198" s="1" t="s">
        <v>13</v>
      </c>
      <c r="E198">
        <f ca="1">IFERROR(__xludf.DUMMYFUNCTION("GOOGLEFINANCE(C198)"),712.55)</f>
        <v>712.55</v>
      </c>
      <c r="F198">
        <f ca="1">IFERROR(__xludf.DUMMYFUNCTION("GOOGLEFINANCE(C198,""change"")"),-2.4)</f>
        <v>-2.4</v>
      </c>
      <c r="G198" s="2">
        <f ca="1">IFERROR(__xludf.DUMMYFUNCTION("GOOGLEFINANCE(C198,""changepct"")/100"),-0.0034)</f>
        <v>-3.3999999999999998E-3</v>
      </c>
      <c r="H198">
        <f ca="1">IFERROR(__xludf.DUMMYFUNCTION("GOOGLEFINANCE(C198,""marketcap"")"),153462842400)</f>
        <v>153462842400</v>
      </c>
    </row>
    <row r="199" spans="1:8" ht="12.75" x14ac:dyDescent="0.2">
      <c r="A199" s="1" t="s">
        <v>425</v>
      </c>
      <c r="B199" s="1" t="s">
        <v>56</v>
      </c>
      <c r="C199" s="1" t="s">
        <v>426</v>
      </c>
      <c r="D199" s="1" t="s">
        <v>22</v>
      </c>
      <c r="E199">
        <f ca="1">IFERROR(__xludf.DUMMYFUNCTION("GOOGLEFINANCE(C199)"),1173)</f>
        <v>1173</v>
      </c>
      <c r="F199">
        <f ca="1">IFERROR(__xludf.DUMMYFUNCTION("GOOGLEFINANCE(C199,""change"")"),31.05)</f>
        <v>31.05</v>
      </c>
      <c r="G199" s="2">
        <f ca="1">IFERROR(__xludf.DUMMYFUNCTION("GOOGLEFINANCE(C199,""changepct"")/100"),0.0272)</f>
        <v>2.7199999999999998E-2</v>
      </c>
      <c r="H199">
        <f ca="1">IFERROR(__xludf.DUMMYFUNCTION("GOOGLEFINANCE(C199,""marketcap"")"),734802976959)</f>
        <v>734802976959</v>
      </c>
    </row>
    <row r="200" spans="1:8" ht="12.75" hidden="1" x14ac:dyDescent="0.2">
      <c r="A200" s="1" t="s">
        <v>427</v>
      </c>
      <c r="B200" s="1" t="s">
        <v>20</v>
      </c>
      <c r="C200" s="1" t="s">
        <v>428</v>
      </c>
      <c r="D200" s="1" t="s">
        <v>13</v>
      </c>
      <c r="E200">
        <f ca="1">IFERROR(__xludf.DUMMYFUNCTION("GOOGLEFINANCE(C200)"),237)</f>
        <v>237</v>
      </c>
      <c r="F200">
        <f ca="1">IFERROR(__xludf.DUMMYFUNCTION("GOOGLEFINANCE(C200,""change"")"),6.85)</f>
        <v>6.85</v>
      </c>
      <c r="G200" s="2">
        <f ca="1">IFERROR(__xludf.DUMMYFUNCTION("GOOGLEFINANCE(C200,""changepct"")/100"),0.0298)</f>
        <v>2.98E-2</v>
      </c>
      <c r="H200">
        <f ca="1">IFERROR(__xludf.DUMMYFUNCTION("GOOGLEFINANCE(C200,""marketcap"")"),53629584415)</f>
        <v>53629584415</v>
      </c>
    </row>
    <row r="201" spans="1:8" ht="12.75" hidden="1" x14ac:dyDescent="0.2">
      <c r="A201" s="1" t="s">
        <v>429</v>
      </c>
      <c r="B201" s="1" t="s">
        <v>56</v>
      </c>
      <c r="C201" s="1" t="s">
        <v>430</v>
      </c>
      <c r="D201" s="1" t="s">
        <v>13</v>
      </c>
      <c r="E201">
        <f ca="1">IFERROR(__xludf.DUMMYFUNCTION("GOOGLEFINANCE(C201)"),276.95)</f>
        <v>276.95</v>
      </c>
      <c r="F201">
        <f ca="1">IFERROR(__xludf.DUMMYFUNCTION("GOOGLEFINANCE(C201,""change"")"),-2.5)</f>
        <v>-2.5</v>
      </c>
      <c r="G201" s="2">
        <f ca="1">IFERROR(__xludf.DUMMYFUNCTION("GOOGLEFINANCE(C201,""changepct"")/100"),-0.0089)</f>
        <v>-8.8999999999999999E-3</v>
      </c>
      <c r="H201">
        <f ca="1">IFERROR(__xludf.DUMMYFUNCTION("GOOGLEFINANCE(C201,""marketcap"")"),12905665209)</f>
        <v>12905665209</v>
      </c>
    </row>
    <row r="202" spans="1:8" ht="12.75" x14ac:dyDescent="0.2">
      <c r="A202" s="1" t="s">
        <v>431</v>
      </c>
      <c r="B202" s="1" t="s">
        <v>81</v>
      </c>
      <c r="C202" s="1" t="s">
        <v>432</v>
      </c>
      <c r="D202" s="1" t="s">
        <v>22</v>
      </c>
      <c r="E202">
        <f ca="1">IFERROR(__xludf.DUMMYFUNCTION("GOOGLEFINANCE(C202)"),3468.3)</f>
        <v>3468.3</v>
      </c>
      <c r="F202">
        <f ca="1">IFERROR(__xludf.DUMMYFUNCTION("GOOGLEFINANCE(C202,""change"")"),-47.45)</f>
        <v>-47.45</v>
      </c>
      <c r="G202" s="2">
        <f ca="1">IFERROR(__xludf.DUMMYFUNCTION("GOOGLEFINANCE(C202,""changepct"")/100"),-0.0135)</f>
        <v>-1.35E-2</v>
      </c>
      <c r="H202">
        <f ca="1">IFERROR(__xludf.DUMMYFUNCTION("GOOGLEFINANCE(C202,""marketcap"")"),691564137315)</f>
        <v>691564137315</v>
      </c>
    </row>
    <row r="203" spans="1:8" ht="12.75" hidden="1" x14ac:dyDescent="0.2">
      <c r="A203" s="1" t="s">
        <v>433</v>
      </c>
      <c r="B203" s="1" t="s">
        <v>35</v>
      </c>
      <c r="C203" s="1" t="s">
        <v>434</v>
      </c>
      <c r="D203" s="1" t="s">
        <v>13</v>
      </c>
      <c r="E203">
        <f ca="1">IFERROR(__xludf.DUMMYFUNCTION("GOOGLEFINANCE(C203)"),45.2)</f>
        <v>45.2</v>
      </c>
      <c r="F203">
        <f ca="1">IFERROR(__xludf.DUMMYFUNCTION("GOOGLEFINANCE(C203,""change"")"),-0.3)</f>
        <v>-0.3</v>
      </c>
      <c r="G203" s="2">
        <f ca="1">IFERROR(__xludf.DUMMYFUNCTION("GOOGLEFINANCE(C203,""changepct"")/100"),-0.0066)</f>
        <v>-6.6E-3</v>
      </c>
      <c r="H203">
        <f ca="1">IFERROR(__xludf.DUMMYFUNCTION("GOOGLEFINANCE(C203,""marketcap"")"),18992858200)</f>
        <v>18992858200</v>
      </c>
    </row>
    <row r="204" spans="1:8" ht="12.75" x14ac:dyDescent="0.2">
      <c r="A204" s="1" t="s">
        <v>435</v>
      </c>
      <c r="B204" s="1" t="s">
        <v>26</v>
      </c>
      <c r="C204" s="1" t="s">
        <v>436</v>
      </c>
      <c r="D204" s="1" t="s">
        <v>22</v>
      </c>
      <c r="E204">
        <f ca="1">IFERROR(__xludf.DUMMYFUNCTION("GOOGLEFINANCE(C204)"),291.1)</f>
        <v>291.10000000000002</v>
      </c>
      <c r="F204">
        <f ca="1">IFERROR(__xludf.DUMMYFUNCTION("GOOGLEFINANCE(C204,""change"")"),0.3)</f>
        <v>0.3</v>
      </c>
      <c r="G204" s="2">
        <f ca="1">IFERROR(__xludf.DUMMYFUNCTION("GOOGLEFINANCE(C204,""changepct"")/100"),0.001)</f>
        <v>1E-3</v>
      </c>
      <c r="H204">
        <f ca="1">IFERROR(__xludf.DUMMYFUNCTION("GOOGLEFINANCE(C204,""marketcap"")"),653623746481)</f>
        <v>653623746481</v>
      </c>
    </row>
    <row r="205" spans="1:8" ht="12.75" hidden="1" x14ac:dyDescent="0.2">
      <c r="A205" s="1" t="s">
        <v>437</v>
      </c>
      <c r="B205" s="1" t="s">
        <v>15</v>
      </c>
      <c r="C205" s="1" t="s">
        <v>438</v>
      </c>
      <c r="D205" s="1" t="s">
        <v>13</v>
      </c>
      <c r="E205">
        <f ca="1">IFERROR(__xludf.DUMMYFUNCTION("GOOGLEFINANCE(C205)"),1036.5)</f>
        <v>1036.5</v>
      </c>
      <c r="F205">
        <f ca="1">IFERROR(__xludf.DUMMYFUNCTION("GOOGLEFINANCE(C205,""change"")"),10)</f>
        <v>10</v>
      </c>
      <c r="G205" s="2">
        <f ca="1">IFERROR(__xludf.DUMMYFUNCTION("GOOGLEFINANCE(C205,""changepct"")/100"),0.0097)</f>
        <v>9.7000000000000003E-3</v>
      </c>
      <c r="H205">
        <f ca="1">IFERROR(__xludf.DUMMYFUNCTION("GOOGLEFINANCE(C205,""marketcap"")"),346444226928)</f>
        <v>346444226928</v>
      </c>
    </row>
    <row r="206" spans="1:8" ht="12.75" hidden="1" x14ac:dyDescent="0.2">
      <c r="A206" s="1" t="s">
        <v>439</v>
      </c>
      <c r="B206" s="1" t="s">
        <v>26</v>
      </c>
      <c r="C206" s="1" t="s">
        <v>440</v>
      </c>
      <c r="D206" s="1" t="s">
        <v>13</v>
      </c>
      <c r="E206">
        <f ca="1">IFERROR(__xludf.DUMMYFUNCTION("GOOGLEFINANCE(C206)"),75.3)</f>
        <v>75.3</v>
      </c>
      <c r="F206">
        <f ca="1">IFERROR(__xludf.DUMMYFUNCTION("GOOGLEFINANCE(C206,""change"")"),2.55)</f>
        <v>2.5499999999999998</v>
      </c>
      <c r="G206" s="2">
        <f ca="1">IFERROR(__xludf.DUMMYFUNCTION("GOOGLEFINANCE(C206,""changepct"")/100"),0.0351)</f>
        <v>3.5099999999999999E-2</v>
      </c>
      <c r="H206">
        <f ca="1">IFERROR(__xludf.DUMMYFUNCTION("GOOGLEFINANCE(C206,""marketcap"")"),69716831615)</f>
        <v>69716831615</v>
      </c>
    </row>
    <row r="207" spans="1:8" ht="12.75" x14ac:dyDescent="0.2">
      <c r="A207" s="1" t="s">
        <v>441</v>
      </c>
      <c r="B207" s="1" t="s">
        <v>49</v>
      </c>
      <c r="C207" s="1" t="s">
        <v>442</v>
      </c>
      <c r="D207" s="1" t="s">
        <v>22</v>
      </c>
      <c r="E207">
        <f ca="1">IFERROR(__xludf.DUMMYFUNCTION("GOOGLEFINANCE(C207)"),222.6)</f>
        <v>222.6</v>
      </c>
      <c r="F207">
        <f ca="1">IFERROR(__xludf.DUMMYFUNCTION("GOOGLEFINANCE(C207,""change"")"),-1.25)</f>
        <v>-1.25</v>
      </c>
      <c r="G207" s="2">
        <f ca="1">IFERROR(__xludf.DUMMYFUNCTION("GOOGLEFINANCE(C207,""changepct"")/100"),-0.0056)</f>
        <v>-5.5999999999999999E-3</v>
      </c>
      <c r="H207">
        <f ca="1">IFERROR(__xludf.DUMMYFUNCTION("GOOGLEFINANCE(C207,""marketcap"")"),336135573175)</f>
        <v>336135573175</v>
      </c>
    </row>
    <row r="208" spans="1:8" ht="12.75" x14ac:dyDescent="0.2">
      <c r="A208" s="1" t="s">
        <v>443</v>
      </c>
      <c r="B208" s="1" t="s">
        <v>56</v>
      </c>
      <c r="C208" s="1" t="s">
        <v>444</v>
      </c>
      <c r="D208" s="1" t="s">
        <v>22</v>
      </c>
      <c r="E208">
        <f ca="1">IFERROR(__xludf.DUMMYFUNCTION("GOOGLEFINANCE(C208)"),2217.9)</f>
        <v>2217.9</v>
      </c>
      <c r="F208">
        <f ca="1">IFERROR(__xludf.DUMMYFUNCTION("GOOGLEFINANCE(C208,""change"")"),-23.65)</f>
        <v>-23.65</v>
      </c>
      <c r="G208" s="2">
        <f ca="1">IFERROR(__xludf.DUMMYFUNCTION("GOOGLEFINANCE(C208,""changepct"")/100"),-0.0106)</f>
        <v>-1.06E-2</v>
      </c>
      <c r="H208">
        <f ca="1">IFERROR(__xludf.DUMMYFUNCTION("GOOGLEFINANCE(C208,""marketcap"")"),5205450675062)</f>
        <v>5205450675062</v>
      </c>
    </row>
    <row r="209" spans="1:8" ht="12.75" hidden="1" x14ac:dyDescent="0.2">
      <c r="A209" s="1" t="s">
        <v>445</v>
      </c>
      <c r="B209" s="1" t="s">
        <v>26</v>
      </c>
      <c r="C209" s="1" t="s">
        <v>446</v>
      </c>
      <c r="D209" s="1" t="s">
        <v>13</v>
      </c>
      <c r="E209">
        <f ca="1">IFERROR(__xludf.DUMMYFUNCTION("GOOGLEFINANCE(C209)"),297.4)</f>
        <v>297.39999999999998</v>
      </c>
      <c r="F209">
        <f ca="1">IFERROR(__xludf.DUMMYFUNCTION("GOOGLEFINANCE(C209,""change"")"),-2.7)</f>
        <v>-2.7</v>
      </c>
      <c r="G209" s="2">
        <f ca="1">IFERROR(__xludf.DUMMYFUNCTION("GOOGLEFINANCE(C209,""changepct"")/100"),-0.009)</f>
        <v>-8.9999999999999993E-3</v>
      </c>
      <c r="H209">
        <f ca="1">IFERROR(__xludf.DUMMYFUNCTION("GOOGLEFINANCE(C209,""marketcap"")"),1255772663827)</f>
        <v>1255772663827</v>
      </c>
    </row>
    <row r="210" spans="1:8" ht="12.75" hidden="1" x14ac:dyDescent="0.2">
      <c r="A210" s="1" t="s">
        <v>447</v>
      </c>
      <c r="B210" s="1" t="s">
        <v>15</v>
      </c>
      <c r="C210" s="1" t="s">
        <v>448</v>
      </c>
      <c r="D210" s="1" t="s">
        <v>13</v>
      </c>
      <c r="E210">
        <f ca="1">IFERROR(__xludf.DUMMYFUNCTION("GOOGLEFINANCE(C210)"),42500)</f>
        <v>42500</v>
      </c>
      <c r="F210">
        <f ca="1">IFERROR(__xludf.DUMMYFUNCTION("GOOGLEFINANCE(C210,""change"")"),670.15)</f>
        <v>670.15</v>
      </c>
      <c r="G210" s="2">
        <f ca="1">IFERROR(__xludf.DUMMYFUNCTION("GOOGLEFINANCE(C210,""changepct"")/100"),0.016)</f>
        <v>1.6E-2</v>
      </c>
      <c r="H210">
        <f ca="1">IFERROR(__xludf.DUMMYFUNCTION("GOOGLEFINANCE(C210,""marketcap"")"),376055555000)</f>
        <v>376055555000</v>
      </c>
    </row>
    <row r="211" spans="1:8" ht="12.75" hidden="1" x14ac:dyDescent="0.2">
      <c r="A211" s="1" t="s">
        <v>449</v>
      </c>
      <c r="B211" s="1" t="s">
        <v>29</v>
      </c>
      <c r="C211" s="1" t="s">
        <v>450</v>
      </c>
      <c r="D211" s="1" t="s">
        <v>13</v>
      </c>
      <c r="E211">
        <f ca="1">IFERROR(__xludf.DUMMYFUNCTION("GOOGLEFINANCE(C211)"),44.25)</f>
        <v>44.25</v>
      </c>
      <c r="F211">
        <f ca="1">IFERROR(__xludf.DUMMYFUNCTION("GOOGLEFINANCE(C211,""change"")"),-0.5)</f>
        <v>-0.5</v>
      </c>
      <c r="G211" s="2">
        <f ca="1">IFERROR(__xludf.DUMMYFUNCTION("GOOGLEFINANCE(C211,""changepct"")/100"),-0.0112)</f>
        <v>-1.12E-2</v>
      </c>
      <c r="H211">
        <f ca="1">IFERROR(__xludf.DUMMYFUNCTION("GOOGLEFINANCE(C211,""marketcap"")"),88683150750)</f>
        <v>88683150750</v>
      </c>
    </row>
    <row r="212" spans="1:8" ht="12.75" x14ac:dyDescent="0.2">
      <c r="A212" s="1" t="s">
        <v>451</v>
      </c>
      <c r="B212" s="1" t="s">
        <v>29</v>
      </c>
      <c r="C212" s="1" t="s">
        <v>452</v>
      </c>
      <c r="D212" s="1" t="s">
        <v>22</v>
      </c>
      <c r="E212">
        <f ca="1">IFERROR(__xludf.DUMMYFUNCTION("GOOGLEFINANCE(C212)"),2861.55)</f>
        <v>2861.55</v>
      </c>
      <c r="F212">
        <f ca="1">IFERROR(__xludf.DUMMYFUNCTION("GOOGLEFINANCE(C212,""change"")"),70.05)</f>
        <v>70.05</v>
      </c>
      <c r="G212" s="2">
        <f ca="1">IFERROR(__xludf.DUMMYFUNCTION("GOOGLEFINANCE(C212,""changepct"")/100"),0.0250999999999999)</f>
        <v>2.50999999999999E-2</v>
      </c>
      <c r="H212">
        <f ca="1">IFERROR(__xludf.DUMMYFUNCTION("GOOGLEFINANCE(C212,""marketcap"")"),5149148847677)</f>
        <v>5149148847677</v>
      </c>
    </row>
    <row r="213" spans="1:8" ht="12.75" hidden="1" x14ac:dyDescent="0.2">
      <c r="A213" s="1" t="s">
        <v>453</v>
      </c>
      <c r="B213" s="1" t="s">
        <v>15</v>
      </c>
      <c r="C213" s="1" t="s">
        <v>454</v>
      </c>
      <c r="D213" s="1" t="s">
        <v>13</v>
      </c>
      <c r="E213">
        <f ca="1">IFERROR(__xludf.DUMMYFUNCTION("GOOGLEFINANCE(C213)"),317.8)</f>
        <v>317.8</v>
      </c>
      <c r="F213">
        <f ca="1">IFERROR(__xludf.DUMMYFUNCTION("GOOGLEFINANCE(C213,""change"")"),-3.55)</f>
        <v>-3.55</v>
      </c>
      <c r="G213" s="2">
        <f ca="1">IFERROR(__xludf.DUMMYFUNCTION("GOOGLEFINANCE(C213,""changepct"")/100"),-0.011)</f>
        <v>-1.0999999999999999E-2</v>
      </c>
      <c r="H213">
        <f ca="1">IFERROR(__xludf.DUMMYFUNCTION("GOOGLEFINANCE(C213,""marketcap"")"),24000865254)</f>
        <v>24000865254</v>
      </c>
    </row>
    <row r="214" spans="1:8" ht="12.75" x14ac:dyDescent="0.2">
      <c r="A214" s="1" t="s">
        <v>455</v>
      </c>
      <c r="B214" s="1" t="s">
        <v>29</v>
      </c>
      <c r="C214" s="1" t="s">
        <v>456</v>
      </c>
      <c r="D214" s="1" t="s">
        <v>22</v>
      </c>
      <c r="E214">
        <f ca="1">IFERROR(__xludf.DUMMYFUNCTION("GOOGLEFINANCE(C214)"),674.6)</f>
        <v>674.6</v>
      </c>
      <c r="F214">
        <f ca="1">IFERROR(__xludf.DUMMYFUNCTION("GOOGLEFINANCE(C214,""change"")"),27)</f>
        <v>27</v>
      </c>
      <c r="G214" s="2">
        <f ca="1">IFERROR(__xludf.DUMMYFUNCTION("GOOGLEFINANCE(C214,""changepct"")/100"),0.0417)</f>
        <v>4.1700000000000001E-2</v>
      </c>
      <c r="H214">
        <f ca="1">IFERROR(__xludf.DUMMYFUNCTION("GOOGLEFINANCE(C214,""marketcap"")"),4658319996000)</f>
        <v>4658319996000</v>
      </c>
    </row>
    <row r="215" spans="1:8" ht="12.75" x14ac:dyDescent="0.2">
      <c r="A215" s="1" t="s">
        <v>457</v>
      </c>
      <c r="B215" s="1" t="s">
        <v>29</v>
      </c>
      <c r="C215" s="1" t="s">
        <v>458</v>
      </c>
      <c r="D215" s="1" t="s">
        <v>22</v>
      </c>
      <c r="E215">
        <f ca="1">IFERROR(__xludf.DUMMYFUNCTION("GOOGLEFINANCE(C215)"),1491.1)</f>
        <v>1491.1</v>
      </c>
      <c r="F215">
        <f ca="1">IFERROR(__xludf.DUMMYFUNCTION("GOOGLEFINANCE(C215,""change"")"),-3.8)</f>
        <v>-3.8</v>
      </c>
      <c r="G215" s="2">
        <f ca="1">IFERROR(__xludf.DUMMYFUNCTION("GOOGLEFINANCE(C215,""changepct"")/100"),-0.0025)</f>
        <v>-2.5000000000000001E-3</v>
      </c>
      <c r="H215">
        <f ca="1">IFERROR(__xludf.DUMMYFUNCTION("GOOGLEFINANCE(C215,""marketcap"")"),679770520134)</f>
        <v>679770520134</v>
      </c>
    </row>
    <row r="216" spans="1:8" ht="12.75" x14ac:dyDescent="0.2">
      <c r="A216" s="1" t="s">
        <v>459</v>
      </c>
      <c r="B216" s="1" t="s">
        <v>29</v>
      </c>
      <c r="C216" s="1" t="s">
        <v>460</v>
      </c>
      <c r="D216" s="1" t="s">
        <v>22</v>
      </c>
      <c r="E216">
        <f ca="1">IFERROR(__xludf.DUMMYFUNCTION("GOOGLEFINANCE(C216)"),486.9)</f>
        <v>486.9</v>
      </c>
      <c r="F216">
        <f ca="1">IFERROR(__xludf.DUMMYFUNCTION("GOOGLEFINANCE(C216,""change"")"),-0.35)</f>
        <v>-0.35</v>
      </c>
      <c r="G216" s="2">
        <f ca="1">IFERROR(__xludf.DUMMYFUNCTION("GOOGLEFINANCE(C216,""changepct"")/100"),-0.0007)</f>
        <v>-6.9999999999999999E-4</v>
      </c>
      <c r="H216">
        <f ca="1">IFERROR(__xludf.DUMMYFUNCTION("GOOGLEFINANCE(C216,""marketcap"")"),697804336361)</f>
        <v>697804336361</v>
      </c>
    </row>
    <row r="217" spans="1:8" ht="12.75" hidden="1" x14ac:dyDescent="0.2">
      <c r="A217" s="1" t="s">
        <v>461</v>
      </c>
      <c r="B217" s="1" t="s">
        <v>29</v>
      </c>
      <c r="C217" s="1" t="s">
        <v>462</v>
      </c>
      <c r="D217" s="1" t="s">
        <v>13</v>
      </c>
      <c r="E217">
        <f ca="1">IFERROR(__xludf.DUMMYFUNCTION("GOOGLEFINANCE(C217)"),418.95)</f>
        <v>418.95</v>
      </c>
      <c r="F217">
        <f ca="1">IFERROR(__xludf.DUMMYFUNCTION("GOOGLEFINANCE(C217,""change"")"),1.15)</f>
        <v>1.1499999999999999</v>
      </c>
      <c r="G217" s="2">
        <f ca="1">IFERROR(__xludf.DUMMYFUNCTION("GOOGLEFINANCE(C217,""changepct"")/100"),0.0028)</f>
        <v>2.8E-3</v>
      </c>
      <c r="H217">
        <f ca="1">IFERROR(__xludf.DUMMYFUNCTION("GOOGLEFINANCE(C217,""marketcap"")"),134314080179)</f>
        <v>134314080179</v>
      </c>
    </row>
    <row r="218" spans="1:8" ht="12.75" hidden="1" x14ac:dyDescent="0.2">
      <c r="A218" s="1" t="s">
        <v>463</v>
      </c>
      <c r="B218" s="1" t="s">
        <v>29</v>
      </c>
      <c r="C218" s="1" t="s">
        <v>464</v>
      </c>
      <c r="D218" s="1" t="s">
        <v>13</v>
      </c>
      <c r="E218">
        <f ca="1">IFERROR(__xludf.DUMMYFUNCTION("GOOGLEFINANCE(C218)"),2811)</f>
        <v>2811</v>
      </c>
      <c r="F218">
        <f ca="1">IFERROR(__xludf.DUMMYFUNCTION("GOOGLEFINANCE(C218,""change"")"),33.4)</f>
        <v>33.4</v>
      </c>
      <c r="G218" s="2">
        <f ca="1">IFERROR(__xludf.DUMMYFUNCTION("GOOGLEFINANCE(C218,""changepct"")/100"),0.012)</f>
        <v>1.2E-2</v>
      </c>
      <c r="H218">
        <f ca="1">IFERROR(__xludf.DUMMYFUNCTION("GOOGLEFINANCE(C218,""marketcap"")"),27039801702)</f>
        <v>27039801702</v>
      </c>
    </row>
    <row r="219" spans="1:8" ht="12.75" hidden="1" x14ac:dyDescent="0.2">
      <c r="A219" s="1" t="s">
        <v>465</v>
      </c>
      <c r="B219" s="1" t="s">
        <v>29</v>
      </c>
      <c r="C219" s="1" t="s">
        <v>466</v>
      </c>
      <c r="D219" s="1" t="s">
        <v>13</v>
      </c>
      <c r="E219">
        <f ca="1">IFERROR(__xludf.DUMMYFUNCTION("GOOGLEFINANCE(C219)"),28.95)</f>
        <v>28.95</v>
      </c>
      <c r="F219">
        <f ca="1">IFERROR(__xludf.DUMMYFUNCTION("GOOGLEFINANCE(C219,""change"")"),-0.05)</f>
        <v>-0.05</v>
      </c>
      <c r="G219" s="2">
        <f ca="1">IFERROR(__xludf.DUMMYFUNCTION("GOOGLEFINANCE(C219,""changepct"")/100"),-0.0017)</f>
        <v>-1.6999999999999999E-3</v>
      </c>
      <c r="H219">
        <f ca="1">IFERROR(__xludf.DUMMYFUNCTION("GOOGLEFINANCE(C219,""marketcap"")"),311281988203)</f>
        <v>311281988203</v>
      </c>
    </row>
    <row r="220" spans="1:8" ht="12.75" x14ac:dyDescent="0.2">
      <c r="A220" s="1" t="s">
        <v>467</v>
      </c>
      <c r="B220" s="1" t="s">
        <v>29</v>
      </c>
      <c r="C220" s="1" t="s">
        <v>468</v>
      </c>
      <c r="D220" s="1" t="s">
        <v>22</v>
      </c>
      <c r="E220">
        <f ca="1">IFERROR(__xludf.DUMMYFUNCTION("GOOGLEFINANCE(C220)"),54.1)</f>
        <v>54.1</v>
      </c>
      <c r="F220">
        <f ca="1">IFERROR(__xludf.DUMMYFUNCTION("GOOGLEFINANCE(C220,""change"")"),2)</f>
        <v>2</v>
      </c>
      <c r="G220" s="2">
        <f ca="1">IFERROR(__xludf.DUMMYFUNCTION("GOOGLEFINANCE(C220,""changepct"")/100"),0.0384)</f>
        <v>3.8399999999999997E-2</v>
      </c>
      <c r="H220">
        <f ca="1">IFERROR(__xludf.DUMMYFUNCTION("GOOGLEFINANCE(C220,""marketcap"")"),295591600000)</f>
        <v>295591600000</v>
      </c>
    </row>
    <row r="221" spans="1:8" ht="12.75" hidden="1" x14ac:dyDescent="0.2">
      <c r="A221" s="1" t="s">
        <v>469</v>
      </c>
      <c r="B221" s="1" t="s">
        <v>29</v>
      </c>
      <c r="C221" s="1" t="s">
        <v>470</v>
      </c>
      <c r="D221" s="1" t="s">
        <v>13</v>
      </c>
      <c r="E221">
        <f ca="1">IFERROR(__xludf.DUMMYFUNCTION("GOOGLEFINANCE(C221)"),48.95)</f>
        <v>48.95</v>
      </c>
      <c r="F221">
        <f ca="1">IFERROR(__xludf.DUMMYFUNCTION("GOOGLEFINANCE(C221,""change"")"),-1.65)</f>
        <v>-1.65</v>
      </c>
      <c r="G221" s="2">
        <f ca="1">IFERROR(__xludf.DUMMYFUNCTION("GOOGLEFINANCE(C221,""changepct"")/100"),-0.0326)</f>
        <v>-3.2599999999999997E-2</v>
      </c>
      <c r="H221">
        <f ca="1">IFERROR(__xludf.DUMMYFUNCTION("GOOGLEFINANCE(C221,""marketcap"")"),78616361290)</f>
        <v>78616361290</v>
      </c>
    </row>
    <row r="222" spans="1:8" ht="12.75" hidden="1" x14ac:dyDescent="0.2">
      <c r="A222" s="1" t="s">
        <v>471</v>
      </c>
      <c r="B222" s="1" t="s">
        <v>56</v>
      </c>
      <c r="C222" s="1" t="s">
        <v>472</v>
      </c>
      <c r="D222" s="1" t="s">
        <v>13</v>
      </c>
      <c r="E222">
        <f ca="1">IFERROR(__xludf.DUMMYFUNCTION("GOOGLEFINANCE(C222)"),1279)</f>
        <v>1279</v>
      </c>
      <c r="F222">
        <f ca="1">IFERROR(__xludf.DUMMYFUNCTION("GOOGLEFINANCE(C222,""change"")"),-58.9)</f>
        <v>-58.9</v>
      </c>
      <c r="G222" s="2">
        <f ca="1">IFERROR(__xludf.DUMMYFUNCTION("GOOGLEFINANCE(C222,""changepct"")/100"),-0.044)</f>
        <v>-4.3999999999999997E-2</v>
      </c>
      <c r="H222">
        <f ca="1">IFERROR(__xludf.DUMMYFUNCTION("GOOGLEFINANCE(C222,""marketcap"")"),52280265019)</f>
        <v>52280265019</v>
      </c>
    </row>
    <row r="223" spans="1:8" ht="12.75" hidden="1" x14ac:dyDescent="0.2">
      <c r="A223" s="1" t="s">
        <v>473</v>
      </c>
      <c r="B223" s="1" t="s">
        <v>29</v>
      </c>
      <c r="C223" s="1" t="s">
        <v>474</v>
      </c>
      <c r="D223" s="1" t="s">
        <v>13</v>
      </c>
      <c r="E223">
        <f ca="1">IFERROR(__xludf.DUMMYFUNCTION("GOOGLEFINANCE(C223)"),245)</f>
        <v>245</v>
      </c>
      <c r="F223">
        <f ca="1">IFERROR(__xludf.DUMMYFUNCTION("GOOGLEFINANCE(C223,""change"")"),9.4)</f>
        <v>9.4</v>
      </c>
      <c r="G223" s="2">
        <f ca="1">IFERROR(__xludf.DUMMYFUNCTION("GOOGLEFINANCE(C223,""changepct"")/100"),0.0399)</f>
        <v>3.9899999999999998E-2</v>
      </c>
      <c r="H223">
        <f ca="1">IFERROR(__xludf.DUMMYFUNCTION("GOOGLEFINANCE(C223,""marketcap"")"),92984264553)</f>
        <v>92984264553</v>
      </c>
    </row>
    <row r="224" spans="1:8" ht="12.75" hidden="1" x14ac:dyDescent="0.2">
      <c r="A224" s="1" t="s">
        <v>475</v>
      </c>
      <c r="B224" s="1" t="s">
        <v>29</v>
      </c>
      <c r="C224" s="1" t="s">
        <v>476</v>
      </c>
      <c r="D224" s="1" t="s">
        <v>13</v>
      </c>
      <c r="E224">
        <f ca="1">IFERROR(__xludf.DUMMYFUNCTION("GOOGLEFINANCE(C224)"),1225)</f>
        <v>1225</v>
      </c>
      <c r="F224">
        <f ca="1">IFERROR(__xludf.DUMMYFUNCTION("GOOGLEFINANCE(C224,""change"")"),-4.55)</f>
        <v>-4.55</v>
      </c>
      <c r="G224" s="2">
        <f ca="1">IFERROR(__xludf.DUMMYFUNCTION("GOOGLEFINANCE(C224,""changepct"")/100"),-0.0037)</f>
        <v>-3.7000000000000002E-3</v>
      </c>
      <c r="H224">
        <f ca="1">IFERROR(__xludf.DUMMYFUNCTION("GOOGLEFINANCE(C224,""marketcap"")"),107612893500)</f>
        <v>107612893500</v>
      </c>
    </row>
    <row r="225" spans="1:8" ht="12.75" hidden="1" x14ac:dyDescent="0.2">
      <c r="A225" s="1" t="s">
        <v>477</v>
      </c>
      <c r="B225" s="1" t="s">
        <v>32</v>
      </c>
      <c r="C225" s="1" t="s">
        <v>478</v>
      </c>
      <c r="D225" s="1" t="s">
        <v>13</v>
      </c>
      <c r="E225">
        <f ca="1">IFERROR(__xludf.DUMMYFUNCTION("GOOGLEFINANCE(C225)"),658.5)</f>
        <v>658.5</v>
      </c>
      <c r="F225">
        <f ca="1">IFERROR(__xludf.DUMMYFUNCTION("GOOGLEFINANCE(C225,""change"")"),-12.45)</f>
        <v>-12.45</v>
      </c>
      <c r="G225" s="2">
        <f ca="1">IFERROR(__xludf.DUMMYFUNCTION("GOOGLEFINANCE(C225,""changepct"")/100"),-0.0186)</f>
        <v>-1.8599999999999998E-2</v>
      </c>
      <c r="H225">
        <f ca="1">IFERROR(__xludf.DUMMYFUNCTION("GOOGLEFINANCE(C225,""marketcap"")"),38733307277)</f>
        <v>38733307277</v>
      </c>
    </row>
    <row r="226" spans="1:8" ht="12.75" hidden="1" x14ac:dyDescent="0.2">
      <c r="A226" s="1" t="s">
        <v>479</v>
      </c>
      <c r="B226" s="1" t="s">
        <v>95</v>
      </c>
      <c r="C226" s="1" t="s">
        <v>480</v>
      </c>
      <c r="D226" s="1" t="s">
        <v>13</v>
      </c>
      <c r="E226">
        <f ca="1">IFERROR(__xludf.DUMMYFUNCTION("GOOGLEFINANCE(C226)"),108.95)</f>
        <v>108.95</v>
      </c>
      <c r="F226">
        <f ca="1">IFERROR(__xludf.DUMMYFUNCTION("GOOGLEFINANCE(C226,""change"")"),0.15)</f>
        <v>0.15</v>
      </c>
      <c r="G226" s="2">
        <f ca="1">IFERROR(__xludf.DUMMYFUNCTION("GOOGLEFINANCE(C226,""changepct"")/100"),0.0014)</f>
        <v>1.4E-3</v>
      </c>
      <c r="H226">
        <f ca="1">IFERROR(__xludf.DUMMYFUNCTION("GOOGLEFINANCE(C226,""marketcap"")"),38220195184)</f>
        <v>38220195184</v>
      </c>
    </row>
    <row r="227" spans="1:8" ht="12.75" hidden="1" x14ac:dyDescent="0.2">
      <c r="A227" s="1" t="s">
        <v>481</v>
      </c>
      <c r="B227" s="1" t="s">
        <v>95</v>
      </c>
      <c r="C227" s="1" t="s">
        <v>482</v>
      </c>
      <c r="D227" s="1" t="s">
        <v>13</v>
      </c>
      <c r="E227">
        <f ca="1">IFERROR(__xludf.DUMMYFUNCTION("GOOGLEFINANCE(C227)"),95)</f>
        <v>95</v>
      </c>
      <c r="F227">
        <f ca="1">IFERROR(__xludf.DUMMYFUNCTION("GOOGLEFINANCE(C227,""change"")"),-11.35)</f>
        <v>-11.35</v>
      </c>
      <c r="G227" s="2">
        <f ca="1">IFERROR(__xludf.DUMMYFUNCTION("GOOGLEFINANCE(C227,""changepct"")/100"),-0.1067)</f>
        <v>-0.1067</v>
      </c>
      <c r="H227">
        <f ca="1">IFERROR(__xludf.DUMMYFUNCTION("GOOGLEFINANCE(C227,""marketcap"")"),44724011752)</f>
        <v>44724011752</v>
      </c>
    </row>
    <row r="228" spans="1:8" ht="12.75" x14ac:dyDescent="0.2">
      <c r="A228" s="1" t="s">
        <v>483</v>
      </c>
      <c r="B228" s="1" t="s">
        <v>56</v>
      </c>
      <c r="C228" s="1" t="s">
        <v>484</v>
      </c>
      <c r="D228" s="1" t="s">
        <v>22</v>
      </c>
      <c r="E228">
        <f ca="1">IFERROR(__xludf.DUMMYFUNCTION("GOOGLEFINANCE(C228)"),218.75)</f>
        <v>218.75</v>
      </c>
      <c r="F228">
        <f ca="1">IFERROR(__xludf.DUMMYFUNCTION("GOOGLEFINANCE(C228,""change"")"),1.3)</f>
        <v>1.3</v>
      </c>
      <c r="G228" s="2">
        <f ca="1">IFERROR(__xludf.DUMMYFUNCTION("GOOGLEFINANCE(C228,""changepct"")/100"),0.006)</f>
        <v>6.0000000000000001E-3</v>
      </c>
      <c r="H228">
        <f ca="1">IFERROR(__xludf.DUMMYFUNCTION("GOOGLEFINANCE(C228,""marketcap"")"),2690566888894)</f>
        <v>2690566888894</v>
      </c>
    </row>
    <row r="229" spans="1:8" ht="12.75" hidden="1" x14ac:dyDescent="0.2">
      <c r="A229" s="1" t="s">
        <v>485</v>
      </c>
      <c r="B229" s="1" t="s">
        <v>167</v>
      </c>
      <c r="C229" s="1" t="s">
        <v>486</v>
      </c>
      <c r="D229" s="1" t="s">
        <v>13</v>
      </c>
      <c r="E229">
        <f ca="1">IFERROR(__xludf.DUMMYFUNCTION("GOOGLEFINANCE(C229)"),121.7)</f>
        <v>121.7</v>
      </c>
      <c r="F229">
        <f ca="1">IFERROR(__xludf.DUMMYFUNCTION("GOOGLEFINANCE(C229,""change"")"),-2.85)</f>
        <v>-2.85</v>
      </c>
      <c r="G229" s="2">
        <f ca="1">IFERROR(__xludf.DUMMYFUNCTION("GOOGLEFINANCE(C229,""changepct"")/100"),-0.0229)</f>
        <v>-2.29E-2</v>
      </c>
      <c r="H229">
        <f ca="1">IFERROR(__xludf.DUMMYFUNCTION("GOOGLEFINANCE(C229,""marketcap"")"),112406498381)</f>
        <v>112406498381</v>
      </c>
    </row>
    <row r="230" spans="1:8" ht="12.75" hidden="1" x14ac:dyDescent="0.2">
      <c r="A230" s="1" t="s">
        <v>487</v>
      </c>
      <c r="B230" s="1" t="s">
        <v>20</v>
      </c>
      <c r="C230" s="1" t="s">
        <v>488</v>
      </c>
      <c r="D230" s="1" t="s">
        <v>13</v>
      </c>
      <c r="E230">
        <f ca="1">IFERROR(__xludf.DUMMYFUNCTION("GOOGLEFINANCE(C230)"),170.6)</f>
        <v>170.6</v>
      </c>
      <c r="F230">
        <f ca="1">IFERROR(__xludf.DUMMYFUNCTION("GOOGLEFINANCE(C230,""change"")"),-0.4)</f>
        <v>-0.4</v>
      </c>
      <c r="G230" s="2">
        <f ca="1">IFERROR(__xludf.DUMMYFUNCTION("GOOGLEFINANCE(C230,""changepct"")/100"),-0.0023)</f>
        <v>-2.3E-3</v>
      </c>
      <c r="H230">
        <f ca="1">IFERROR(__xludf.DUMMYFUNCTION("GOOGLEFINANCE(C230,""marketcap"")"),53131984906)</f>
        <v>53131984906</v>
      </c>
    </row>
    <row r="231" spans="1:8" ht="12.75" x14ac:dyDescent="0.2">
      <c r="A231" s="1" t="s">
        <v>489</v>
      </c>
      <c r="B231" s="1" t="s">
        <v>29</v>
      </c>
      <c r="C231" s="1" t="s">
        <v>490</v>
      </c>
      <c r="D231" s="1" t="s">
        <v>22</v>
      </c>
      <c r="E231">
        <f ca="1">IFERROR(__xludf.DUMMYFUNCTION("GOOGLEFINANCE(C231)"),221.8)</f>
        <v>221.8</v>
      </c>
      <c r="F231">
        <f ca="1">IFERROR(__xludf.DUMMYFUNCTION("GOOGLEFINANCE(C231,""change"")"),-15.05)</f>
        <v>-15.05</v>
      </c>
      <c r="G231" s="2">
        <f ca="1">IFERROR(__xludf.DUMMYFUNCTION("GOOGLEFINANCE(C231,""changepct"")/100"),-0.0635)</f>
        <v>-6.3500000000000001E-2</v>
      </c>
      <c r="H231">
        <f ca="1">IFERROR(__xludf.DUMMYFUNCTION("GOOGLEFINANCE(C231,""marketcap"")"),98863262254)</f>
        <v>98863262254</v>
      </c>
    </row>
    <row r="232" spans="1:8" ht="12.75" hidden="1" x14ac:dyDescent="0.2">
      <c r="A232" s="1" t="s">
        <v>491</v>
      </c>
      <c r="B232" s="1" t="s">
        <v>95</v>
      </c>
      <c r="C232" s="1" t="s">
        <v>492</v>
      </c>
      <c r="D232" s="1" t="s">
        <v>13</v>
      </c>
      <c r="E232">
        <f ca="1">IFERROR(__xludf.DUMMYFUNCTION("GOOGLEFINANCE(C232)"),81.35)</f>
        <v>81.349999999999994</v>
      </c>
      <c r="F232">
        <f ca="1">IFERROR(__xludf.DUMMYFUNCTION("GOOGLEFINANCE(C232,""change"")"),-0.55)</f>
        <v>-0.55000000000000004</v>
      </c>
      <c r="G232" s="2">
        <f ca="1">IFERROR(__xludf.DUMMYFUNCTION("GOOGLEFINANCE(C232,""changepct"")/100"),-0.0067)</f>
        <v>-6.7000000000000002E-3</v>
      </c>
      <c r="H232">
        <f ca="1">IFERROR(__xludf.DUMMYFUNCTION("GOOGLEFINANCE(C232,""marketcap"")"),36687519375)</f>
        <v>36687519375</v>
      </c>
    </row>
    <row r="233" spans="1:8" ht="12.75" hidden="1" x14ac:dyDescent="0.2">
      <c r="A233" s="1" t="s">
        <v>493</v>
      </c>
      <c r="B233" s="1" t="s">
        <v>63</v>
      </c>
      <c r="C233" s="1" t="s">
        <v>494</v>
      </c>
      <c r="D233" s="1" t="s">
        <v>13</v>
      </c>
      <c r="E233">
        <f ca="1">IFERROR(__xludf.DUMMYFUNCTION("GOOGLEFINANCE(C233)"),9087)</f>
        <v>9087</v>
      </c>
      <c r="F233">
        <f ca="1">IFERROR(__xludf.DUMMYFUNCTION("GOOGLEFINANCE(C233,""change"")"),-123.55)</f>
        <v>-123.55</v>
      </c>
      <c r="G233" s="2">
        <f ca="1">IFERROR(__xludf.DUMMYFUNCTION("GOOGLEFINANCE(C233,""changepct"")/100"),-0.0134)</f>
        <v>-1.34E-2</v>
      </c>
      <c r="H233">
        <f ca="1">IFERROR(__xludf.DUMMYFUNCTION("GOOGLEFINANCE(C233,""marketcap"")"),264178354440)</f>
        <v>264178354440</v>
      </c>
    </row>
    <row r="234" spans="1:8" ht="12.75" hidden="1" x14ac:dyDescent="0.2">
      <c r="A234" s="1" t="s">
        <v>495</v>
      </c>
      <c r="B234" s="1" t="s">
        <v>29</v>
      </c>
      <c r="C234" s="1" t="s">
        <v>496</v>
      </c>
      <c r="D234" s="1" t="s">
        <v>13</v>
      </c>
      <c r="E234">
        <f ca="1">IFERROR(__xludf.DUMMYFUNCTION("GOOGLEFINANCE(C234)"),125.3)</f>
        <v>125.3</v>
      </c>
      <c r="F234">
        <f ca="1">IFERROR(__xludf.DUMMYFUNCTION("GOOGLEFINANCE(C234,""change"")"),2.05)</f>
        <v>2.0499999999999998</v>
      </c>
      <c r="G234" s="2">
        <f ca="1">IFERROR(__xludf.DUMMYFUNCTION("GOOGLEFINANCE(C234,""changepct"")/100"),0.0166)</f>
        <v>1.66E-2</v>
      </c>
      <c r="H234">
        <f ca="1">IFERROR(__xludf.DUMMYFUNCTION("GOOGLEFINANCE(C234,""marketcap"")"),141509563246)</f>
        <v>141509563246</v>
      </c>
    </row>
    <row r="235" spans="1:8" ht="12.75" hidden="1" x14ac:dyDescent="0.2">
      <c r="A235" s="1" t="s">
        <v>497</v>
      </c>
      <c r="B235" s="1" t="s">
        <v>29</v>
      </c>
      <c r="C235" s="1" t="s">
        <v>498</v>
      </c>
      <c r="D235" s="1" t="s">
        <v>13</v>
      </c>
      <c r="E235">
        <f ca="1">IFERROR(__xludf.DUMMYFUNCTION("GOOGLEFINANCE(C235)"),290)</f>
        <v>290</v>
      </c>
      <c r="F235">
        <f ca="1">IFERROR(__xludf.DUMMYFUNCTION("GOOGLEFINANCE(C235,""change"")"),-8.3)</f>
        <v>-8.3000000000000007</v>
      </c>
      <c r="G235" s="2">
        <f ca="1">IFERROR(__xludf.DUMMYFUNCTION("GOOGLEFINANCE(C235,""changepct"")/100"),-0.0278)</f>
        <v>-2.7799999999999998E-2</v>
      </c>
      <c r="H235">
        <f ca="1">IFERROR(__xludf.DUMMYFUNCTION("GOOGLEFINANCE(C235,""marketcap"")"),87040099903)</f>
        <v>87040099903</v>
      </c>
    </row>
    <row r="236" spans="1:8" ht="12.75" hidden="1" x14ac:dyDescent="0.2">
      <c r="A236" s="1" t="s">
        <v>499</v>
      </c>
      <c r="B236" s="1" t="s">
        <v>11</v>
      </c>
      <c r="C236" s="1" t="s">
        <v>500</v>
      </c>
      <c r="D236" s="1" t="s">
        <v>13</v>
      </c>
      <c r="E236">
        <f ca="1">IFERROR(__xludf.DUMMYFUNCTION("GOOGLEFINANCE(C236)"),131.75)</f>
        <v>131.75</v>
      </c>
      <c r="F236">
        <f ca="1">IFERROR(__xludf.DUMMYFUNCTION("GOOGLEFINANCE(C236,""change"")"),2.6)</f>
        <v>2.6</v>
      </c>
      <c r="G236" s="2">
        <f ca="1">IFERROR(__xludf.DUMMYFUNCTION("GOOGLEFINANCE(C236,""changepct"")/100"),0.0200999999999999)</f>
        <v>2.0099999999999899E-2</v>
      </c>
      <c r="H236">
        <f ca="1">IFERROR(__xludf.DUMMYFUNCTION("GOOGLEFINANCE(C236,""marketcap"")"),156803674558)</f>
        <v>156803674558</v>
      </c>
    </row>
    <row r="237" spans="1:8" ht="12.75" x14ac:dyDescent="0.2">
      <c r="A237" s="1" t="s">
        <v>501</v>
      </c>
      <c r="B237" s="1" t="s">
        <v>49</v>
      </c>
      <c r="C237" s="1" t="s">
        <v>502</v>
      </c>
      <c r="D237" s="1" t="s">
        <v>22</v>
      </c>
      <c r="E237">
        <f ca="1">IFERROR(__xludf.DUMMYFUNCTION("GOOGLEFINANCE(C237)"),94.15)</f>
        <v>94.15</v>
      </c>
      <c r="F237">
        <f ca="1">IFERROR(__xludf.DUMMYFUNCTION("GOOGLEFINANCE(C237,""change"")"),-0.95)</f>
        <v>-0.95</v>
      </c>
      <c r="G237" s="2">
        <f ca="1">IFERROR(__xludf.DUMMYFUNCTION("GOOGLEFINANCE(C237,""changepct"")/100"),-0.01)</f>
        <v>-0.01</v>
      </c>
      <c r="H237">
        <f ca="1">IFERROR(__xludf.DUMMYFUNCTION("GOOGLEFINANCE(C237,""marketcap"")"),886342990064)</f>
        <v>886342990064</v>
      </c>
    </row>
    <row r="238" spans="1:8" ht="12.75" hidden="1" x14ac:dyDescent="0.2">
      <c r="A238" s="1" t="s">
        <v>503</v>
      </c>
      <c r="B238" s="1" t="s">
        <v>29</v>
      </c>
      <c r="C238" s="1" t="s">
        <v>504</v>
      </c>
      <c r="D238" s="1" t="s">
        <v>13</v>
      </c>
      <c r="E238">
        <f ca="1">IFERROR(__xludf.DUMMYFUNCTION("GOOGLEFINANCE(C238)"),11)</f>
        <v>11</v>
      </c>
      <c r="F238">
        <f ca="1">IFERROR(__xludf.DUMMYFUNCTION("GOOGLEFINANCE(C238,""change"")"),-0.1)</f>
        <v>-0.1</v>
      </c>
      <c r="G238" s="2">
        <f ca="1">IFERROR(__xludf.DUMMYFUNCTION("GOOGLEFINANCE(C238,""changepct"")/100"),-0.009)</f>
        <v>-8.9999999999999993E-3</v>
      </c>
      <c r="H238">
        <f ca="1">IFERROR(__xludf.DUMMYFUNCTION("GOOGLEFINANCE(C238,""marketcap"")"),181133260000)</f>
        <v>181133260000</v>
      </c>
    </row>
    <row r="239" spans="1:8" ht="12.75" hidden="1" x14ac:dyDescent="0.2">
      <c r="A239" s="1" t="s">
        <v>505</v>
      </c>
      <c r="B239" s="1" t="s">
        <v>11</v>
      </c>
      <c r="C239" s="1" t="s">
        <v>506</v>
      </c>
      <c r="D239" s="1" t="s">
        <v>13</v>
      </c>
      <c r="E239">
        <f ca="1">IFERROR(__xludf.DUMMYFUNCTION("GOOGLEFINANCE(C239)"),1714.75)</f>
        <v>1714.75</v>
      </c>
      <c r="F239">
        <f ca="1">IFERROR(__xludf.DUMMYFUNCTION("GOOGLEFINANCE(C239,""change"")"),-17.15)</f>
        <v>-17.149999999999999</v>
      </c>
      <c r="G239" s="2">
        <f ca="1">IFERROR(__xludf.DUMMYFUNCTION("GOOGLEFINANCE(C239,""changepct"")/100"),-0.00989999999999999)</f>
        <v>-9.8999999999999904E-3</v>
      </c>
      <c r="H239">
        <f ca="1">IFERROR(__xludf.DUMMYFUNCTION("GOOGLEFINANCE(C239,""marketcap"")"),274499887085)</f>
        <v>274499887085</v>
      </c>
    </row>
    <row r="240" spans="1:8" ht="12.75" hidden="1" x14ac:dyDescent="0.2">
      <c r="A240" s="1" t="s">
        <v>507</v>
      </c>
      <c r="B240" s="1" t="s">
        <v>32</v>
      </c>
      <c r="C240" s="1" t="s">
        <v>508</v>
      </c>
      <c r="D240" s="1" t="s">
        <v>13</v>
      </c>
      <c r="E240">
        <f ca="1">IFERROR(__xludf.DUMMYFUNCTION("GOOGLEFINANCE(C240)"),292.35)</f>
        <v>292.35000000000002</v>
      </c>
      <c r="F240">
        <f ca="1">IFERROR(__xludf.DUMMYFUNCTION("GOOGLEFINANCE(C240,""change"")"),-0.4)</f>
        <v>-0.4</v>
      </c>
      <c r="G240" s="2">
        <f ca="1">IFERROR(__xludf.DUMMYFUNCTION("GOOGLEFINANCE(C240,""changepct"")/100"),-0.0014)</f>
        <v>-1.4E-3</v>
      </c>
      <c r="H240">
        <f ca="1">IFERROR(__xludf.DUMMYFUNCTION("GOOGLEFINANCE(C240,""marketcap"")"),26940158308)</f>
        <v>26940158308</v>
      </c>
    </row>
    <row r="241" spans="1:8" ht="12.75" x14ac:dyDescent="0.2">
      <c r="A241" s="1" t="s">
        <v>509</v>
      </c>
      <c r="B241" s="1" t="s">
        <v>49</v>
      </c>
      <c r="C241" s="1" t="s">
        <v>510</v>
      </c>
      <c r="D241" s="1" t="s">
        <v>22</v>
      </c>
      <c r="E241">
        <f ca="1">IFERROR(__xludf.DUMMYFUNCTION("GOOGLEFINANCE(C241)"),541.5)</f>
        <v>541.5</v>
      </c>
      <c r="F241">
        <f ca="1">IFERROR(__xludf.DUMMYFUNCTION("GOOGLEFINANCE(C241,""change"")"),-18.3)</f>
        <v>-18.3</v>
      </c>
      <c r="G241" s="2">
        <f ca="1">IFERROR(__xludf.DUMMYFUNCTION("GOOGLEFINANCE(C241,""changepct"")/100"),-0.0327)</f>
        <v>-3.27E-2</v>
      </c>
      <c r="H241">
        <f ca="1">IFERROR(__xludf.DUMMYFUNCTION("GOOGLEFINANCE(C241,""marketcap"")"),379151964450)</f>
        <v>379151964450</v>
      </c>
    </row>
    <row r="242" spans="1:8" ht="12.75" x14ac:dyDescent="0.2">
      <c r="A242" s="1" t="s">
        <v>511</v>
      </c>
      <c r="B242" s="1" t="s">
        <v>167</v>
      </c>
      <c r="C242" s="1" t="s">
        <v>512</v>
      </c>
      <c r="D242" s="1" t="s">
        <v>22</v>
      </c>
      <c r="E242">
        <f ca="1">IFERROR(__xludf.DUMMYFUNCTION("GOOGLEFINANCE(C242)"),249.7)</f>
        <v>249.7</v>
      </c>
      <c r="F242">
        <f ca="1">IFERROR(__xludf.DUMMYFUNCTION("GOOGLEFINANCE(C242,""change"")"),4.05)</f>
        <v>4.05</v>
      </c>
      <c r="G242" s="2">
        <f ca="1">IFERROR(__xludf.DUMMYFUNCTION("GOOGLEFINANCE(C242,""changepct"")/100"),0.0165)</f>
        <v>1.6500000000000001E-2</v>
      </c>
      <c r="H242">
        <f ca="1">IFERROR(__xludf.DUMMYFUNCTION("GOOGLEFINANCE(C242,""marketcap"")"),670995748272)</f>
        <v>670995748272</v>
      </c>
    </row>
    <row r="243" spans="1:8" ht="12.75" x14ac:dyDescent="0.2">
      <c r="A243" s="1" t="s">
        <v>513</v>
      </c>
      <c r="B243" s="1" t="s">
        <v>29</v>
      </c>
      <c r="C243" s="1" t="s">
        <v>514</v>
      </c>
      <c r="D243" s="1" t="s">
        <v>22</v>
      </c>
      <c r="E243">
        <f ca="1">IFERROR(__xludf.DUMMYFUNCTION("GOOGLEFINANCE(C243)"),1059)</f>
        <v>1059</v>
      </c>
      <c r="F243">
        <f ca="1">IFERROR(__xludf.DUMMYFUNCTION("GOOGLEFINANCE(C243,""change"")"),31.6)</f>
        <v>31.6</v>
      </c>
      <c r="G243" s="2">
        <f ca="1">IFERROR(__xludf.DUMMYFUNCTION("GOOGLEFINANCE(C243,""changepct"")/100"),0.0308)</f>
        <v>3.0800000000000001E-2</v>
      </c>
      <c r="H243">
        <f ca="1">IFERROR(__xludf.DUMMYFUNCTION("GOOGLEFINANCE(C243,""marketcap"")"),801283327160)</f>
        <v>801283327160</v>
      </c>
    </row>
    <row r="244" spans="1:8" ht="12.75" x14ac:dyDescent="0.2">
      <c r="A244" s="1" t="s">
        <v>515</v>
      </c>
      <c r="B244" s="1" t="s">
        <v>63</v>
      </c>
      <c r="C244" s="1" t="s">
        <v>516</v>
      </c>
      <c r="D244" s="1" t="s">
        <v>22</v>
      </c>
      <c r="E244">
        <f ca="1">IFERROR(__xludf.DUMMYFUNCTION("GOOGLEFINANCE(C244)"),5506.1)</f>
        <v>5506.1</v>
      </c>
      <c r="F244">
        <f ca="1">IFERROR(__xludf.DUMMYFUNCTION("GOOGLEFINANCE(C244,""change"")"),132.3)</f>
        <v>132.30000000000001</v>
      </c>
      <c r="G244" s="2">
        <f ca="1">IFERROR(__xludf.DUMMYFUNCTION("GOOGLEFINANCE(C244,""changepct"")/100"),0.0246)</f>
        <v>2.46E-2</v>
      </c>
      <c r="H244">
        <f ca="1">IFERROR(__xludf.DUMMYFUNCTION("GOOGLEFINANCE(C244,""marketcap"")"),709392646799)</f>
        <v>709392646799</v>
      </c>
    </row>
    <row r="245" spans="1:8" ht="12.75" x14ac:dyDescent="0.2">
      <c r="A245" s="1" t="s">
        <v>517</v>
      </c>
      <c r="B245" s="1" t="s">
        <v>63</v>
      </c>
      <c r="C245" s="1" t="s">
        <v>518</v>
      </c>
      <c r="D245" s="1" t="s">
        <v>22</v>
      </c>
      <c r="E245">
        <f ca="1">IFERROR(__xludf.DUMMYFUNCTION("GOOGLEFINANCE(C245)"),1312)</f>
        <v>1312</v>
      </c>
      <c r="F245">
        <f ca="1">IFERROR(__xludf.DUMMYFUNCTION("GOOGLEFINANCE(C245,""change"")"),2.2)</f>
        <v>2.2000000000000002</v>
      </c>
      <c r="G245" s="2">
        <f ca="1">IFERROR(__xludf.DUMMYFUNCTION("GOOGLEFINANCE(C245,""changepct"")/100"),0.0017)</f>
        <v>1.6999999999999999E-3</v>
      </c>
      <c r="H245">
        <f ca="1">IFERROR(__xludf.DUMMYFUNCTION("GOOGLEFINANCE(C245,""marketcap"")"),5558680920761)</f>
        <v>5558680920761</v>
      </c>
    </row>
    <row r="246" spans="1:8" ht="12.75" hidden="1" x14ac:dyDescent="0.2">
      <c r="A246" s="1" t="s">
        <v>519</v>
      </c>
      <c r="B246" s="1" t="s">
        <v>15</v>
      </c>
      <c r="C246" s="1" t="s">
        <v>520</v>
      </c>
      <c r="D246" s="1" t="s">
        <v>13</v>
      </c>
      <c r="E246">
        <f ca="1">IFERROR(__xludf.DUMMYFUNCTION("GOOGLEFINANCE(C246)"),780)</f>
        <v>780</v>
      </c>
      <c r="F246">
        <f ca="1">IFERROR(__xludf.DUMMYFUNCTION("GOOGLEFINANCE(C246,""change"")"),-71.35)</f>
        <v>-71.349999999999994</v>
      </c>
      <c r="G246" s="2">
        <f ca="1">IFERROR(__xludf.DUMMYFUNCTION("GOOGLEFINANCE(C246,""changepct"")/100"),-0.0838)</f>
        <v>-8.3799999999999999E-2</v>
      </c>
      <c r="H246">
        <f ca="1">IFERROR(__xludf.DUMMYFUNCTION("GOOGLEFINANCE(C246,""marketcap"")"),24723356742)</f>
        <v>24723356742</v>
      </c>
    </row>
    <row r="247" spans="1:8" ht="12.75" hidden="1" x14ac:dyDescent="0.2">
      <c r="A247" s="1" t="s">
        <v>521</v>
      </c>
      <c r="B247" s="1" t="s">
        <v>263</v>
      </c>
      <c r="C247" s="1" t="s">
        <v>522</v>
      </c>
      <c r="D247" s="1" t="s">
        <v>13</v>
      </c>
      <c r="E247">
        <f ca="1">IFERROR(__xludf.DUMMYFUNCTION("GOOGLEFINANCE(C247)"),330.8)</f>
        <v>330.8</v>
      </c>
      <c r="F247">
        <f ca="1">IFERROR(__xludf.DUMMYFUNCTION("GOOGLEFINANCE(C247,""change"")"),2.45)</f>
        <v>2.4500000000000002</v>
      </c>
      <c r="G247" s="2">
        <f ca="1">IFERROR(__xludf.DUMMYFUNCTION("GOOGLEFINANCE(C247,""changepct"")/100"),0.0075)</f>
        <v>7.4999999999999997E-3</v>
      </c>
      <c r="H247">
        <f ca="1">IFERROR(__xludf.DUMMYFUNCTION("GOOGLEFINANCE(C247,""marketcap"")"),37236672500)</f>
        <v>37236672500</v>
      </c>
    </row>
    <row r="248" spans="1:8" ht="12.75" x14ac:dyDescent="0.2">
      <c r="A248" s="1" t="s">
        <v>523</v>
      </c>
      <c r="B248" s="1" t="s">
        <v>11</v>
      </c>
      <c r="C248" s="1" t="s">
        <v>524</v>
      </c>
      <c r="D248" s="1" t="s">
        <v>22</v>
      </c>
      <c r="E248">
        <f ca="1">IFERROR(__xludf.DUMMYFUNCTION("GOOGLEFINANCE(C248)"),1640)</f>
        <v>1640</v>
      </c>
      <c r="F248">
        <f ca="1">IFERROR(__xludf.DUMMYFUNCTION("GOOGLEFINANCE(C248,""change"")"),-3.15)</f>
        <v>-3.15</v>
      </c>
      <c r="G248" s="2">
        <f ca="1">IFERROR(__xludf.DUMMYFUNCTION("GOOGLEFINANCE(C248,""changepct"")/100"),-0.0019)</f>
        <v>-1.9E-3</v>
      </c>
      <c r="H248">
        <f ca="1">IFERROR(__xludf.DUMMYFUNCTION("GOOGLEFINANCE(C248,""marketcap"")"),631117672110)</f>
        <v>631117672110</v>
      </c>
    </row>
    <row r="249" spans="1:8" ht="12.75" hidden="1" x14ac:dyDescent="0.2">
      <c r="A249" s="1" t="s">
        <v>525</v>
      </c>
      <c r="B249" s="1" t="s">
        <v>32</v>
      </c>
      <c r="C249" s="1" t="s">
        <v>526</v>
      </c>
      <c r="D249" s="1" t="s">
        <v>13</v>
      </c>
      <c r="E249">
        <f ca="1">IFERROR(__xludf.DUMMYFUNCTION("GOOGLEFINANCE(C249)"),1892.9)</f>
        <v>1892.9</v>
      </c>
      <c r="F249">
        <f ca="1">IFERROR(__xludf.DUMMYFUNCTION("GOOGLEFINANCE(C249,""change"")"),-5.05)</f>
        <v>-5.05</v>
      </c>
      <c r="G249" s="2">
        <f ca="1">IFERROR(__xludf.DUMMYFUNCTION("GOOGLEFINANCE(C249,""changepct"")/100"),-0.0027)</f>
        <v>-2.7000000000000001E-3</v>
      </c>
      <c r="H249">
        <f ca="1">IFERROR(__xludf.DUMMYFUNCTION("GOOGLEFINANCE(C249,""marketcap"")"),240359351556)</f>
        <v>240359351556</v>
      </c>
    </row>
    <row r="250" spans="1:8" ht="12.75" hidden="1" x14ac:dyDescent="0.2">
      <c r="A250" s="1" t="s">
        <v>527</v>
      </c>
      <c r="B250" s="1" t="s">
        <v>32</v>
      </c>
      <c r="C250" s="1" t="s">
        <v>528</v>
      </c>
      <c r="D250" s="1" t="s">
        <v>13</v>
      </c>
      <c r="E250">
        <f ca="1">IFERROR(__xludf.DUMMYFUNCTION("GOOGLEFINANCE(C250)"),1242)</f>
        <v>1242</v>
      </c>
      <c r="F250">
        <f ca="1">IFERROR(__xludf.DUMMYFUNCTION("GOOGLEFINANCE(C250,""change"")"),40.9)</f>
        <v>40.9</v>
      </c>
      <c r="G250" s="2">
        <f ca="1">IFERROR(__xludf.DUMMYFUNCTION("GOOGLEFINANCE(C250,""changepct"")/100"),0.0341)</f>
        <v>3.4099999999999998E-2</v>
      </c>
      <c r="H250">
        <f ca="1">IFERROR(__xludf.DUMMYFUNCTION("GOOGLEFINANCE(C250,""marketcap"")"),96071001232)</f>
        <v>96071001232</v>
      </c>
    </row>
    <row r="251" spans="1:8" ht="12.75" hidden="1" x14ac:dyDescent="0.2">
      <c r="A251" s="1" t="s">
        <v>529</v>
      </c>
      <c r="B251" s="1" t="s">
        <v>20</v>
      </c>
      <c r="C251" s="1" t="s">
        <v>530</v>
      </c>
      <c r="D251" s="1" t="s">
        <v>13</v>
      </c>
      <c r="E251">
        <f ca="1">IFERROR(__xludf.DUMMYFUNCTION("GOOGLEFINANCE(C251)"),2748.7)</f>
        <v>2748.7</v>
      </c>
      <c r="F251">
        <f ca="1">IFERROR(__xludf.DUMMYFUNCTION("GOOGLEFINANCE(C251,""change"")"),41.55)</f>
        <v>41.55</v>
      </c>
      <c r="G251" s="2">
        <f ca="1">IFERROR(__xludf.DUMMYFUNCTION("GOOGLEFINANCE(C251,""changepct"")/100"),0.0153)</f>
        <v>1.5299999999999999E-2</v>
      </c>
      <c r="H251">
        <f ca="1">IFERROR(__xludf.DUMMYFUNCTION("GOOGLEFINANCE(C251,""marketcap"")"),213535026217)</f>
        <v>213535026217</v>
      </c>
    </row>
    <row r="252" spans="1:8" ht="12.75" hidden="1" x14ac:dyDescent="0.2">
      <c r="A252" s="1" t="s">
        <v>531</v>
      </c>
      <c r="B252" s="1" t="s">
        <v>20</v>
      </c>
      <c r="C252" s="1" t="s">
        <v>532</v>
      </c>
      <c r="D252" s="1" t="s">
        <v>13</v>
      </c>
      <c r="E252">
        <f ca="1">IFERROR(__xludf.DUMMYFUNCTION("GOOGLEFINANCE(C252)"),370.05)</f>
        <v>370.05</v>
      </c>
      <c r="F252">
        <f ca="1">IFERROR(__xludf.DUMMYFUNCTION("GOOGLEFINANCE(C252,""change"")"),-4.95)</f>
        <v>-4.95</v>
      </c>
      <c r="G252" s="2">
        <f ca="1">IFERROR(__xludf.DUMMYFUNCTION("GOOGLEFINANCE(C252,""changepct"")/100"),-0.0132)</f>
        <v>-1.32E-2</v>
      </c>
      <c r="H252">
        <f ca="1">IFERROR(__xludf.DUMMYFUNCTION("GOOGLEFINANCE(C252,""marketcap"")"),43474475453)</f>
        <v>43474475453</v>
      </c>
    </row>
    <row r="253" spans="1:8" ht="12.75" hidden="1" x14ac:dyDescent="0.2">
      <c r="A253" s="1" t="s">
        <v>533</v>
      </c>
      <c r="B253" s="1" t="s">
        <v>224</v>
      </c>
      <c r="C253" s="1" t="s">
        <v>534</v>
      </c>
      <c r="D253" s="1" t="s">
        <v>13</v>
      </c>
      <c r="E253">
        <f ca="1">IFERROR(__xludf.DUMMYFUNCTION("GOOGLEFINANCE(C253)"),138.2)</f>
        <v>138.19999999999999</v>
      </c>
      <c r="F253">
        <f ca="1">IFERROR(__xludf.DUMMYFUNCTION("GOOGLEFINANCE(C253,""change"")"),-1.7)</f>
        <v>-1.7</v>
      </c>
      <c r="G253" s="2">
        <f ca="1">IFERROR(__xludf.DUMMYFUNCTION("GOOGLEFINANCE(C253,""changepct"")/100"),-0.0121999999999999)</f>
        <v>-1.21999999999999E-2</v>
      </c>
      <c r="H253">
        <f ca="1">IFERROR(__xludf.DUMMYFUNCTION("GOOGLEFINANCE(C253,""marketcap"")"),23504503712)</f>
        <v>23504503712</v>
      </c>
    </row>
    <row r="254" spans="1:8" ht="12.75" hidden="1" x14ac:dyDescent="0.2">
      <c r="A254" s="1" t="s">
        <v>535</v>
      </c>
      <c r="B254" s="1" t="s">
        <v>81</v>
      </c>
      <c r="C254" s="1" t="s">
        <v>536</v>
      </c>
      <c r="D254" s="1" t="s">
        <v>13</v>
      </c>
      <c r="E254">
        <f ca="1">IFERROR(__xludf.DUMMYFUNCTION("GOOGLEFINANCE(C254)"),127.7)</f>
        <v>127.7</v>
      </c>
      <c r="F254">
        <f ca="1">IFERROR(__xludf.DUMMYFUNCTION("GOOGLEFINANCE(C254,""change"")"),3.3)</f>
        <v>3.3</v>
      </c>
      <c r="G254" s="2">
        <f ca="1">IFERROR(__xludf.DUMMYFUNCTION("GOOGLEFINANCE(C254,""changepct"")/100"),0.0265)</f>
        <v>2.6499999999999999E-2</v>
      </c>
      <c r="H254">
        <f ca="1">IFERROR(__xludf.DUMMYFUNCTION("GOOGLEFINANCE(C254,""marketcap"")"),31283623891)</f>
        <v>31283623891</v>
      </c>
    </row>
    <row r="255" spans="1:8" ht="12.75" hidden="1" x14ac:dyDescent="0.2">
      <c r="A255" s="1" t="s">
        <v>537</v>
      </c>
      <c r="B255" s="1" t="s">
        <v>29</v>
      </c>
      <c r="C255" s="1" t="s">
        <v>538</v>
      </c>
      <c r="D255" s="1" t="s">
        <v>13</v>
      </c>
      <c r="E255">
        <f ca="1">IFERROR(__xludf.DUMMYFUNCTION("GOOGLEFINANCE(C255)"),92)</f>
        <v>92</v>
      </c>
      <c r="F255">
        <f ca="1">IFERROR(__xludf.DUMMYFUNCTION("GOOGLEFINANCE(C255,""change"")"),-0.1)</f>
        <v>-0.1</v>
      </c>
      <c r="G255" s="2">
        <f ca="1">IFERROR(__xludf.DUMMYFUNCTION("GOOGLEFINANCE(C255,""changepct"")/100"),-0.0011)</f>
        <v>-1.1000000000000001E-3</v>
      </c>
      <c r="H255">
        <f ca="1">IFERROR(__xludf.DUMMYFUNCTION("GOOGLEFINANCE(C255,""marketcap"")"),87476863025)</f>
        <v>87476863025</v>
      </c>
    </row>
    <row r="256" spans="1:8" ht="12.75" hidden="1" x14ac:dyDescent="0.2">
      <c r="A256" s="1" t="s">
        <v>539</v>
      </c>
      <c r="B256" s="1" t="s">
        <v>44</v>
      </c>
      <c r="C256" s="1" t="s">
        <v>540</v>
      </c>
      <c r="D256" s="1" t="s">
        <v>13</v>
      </c>
      <c r="E256">
        <f ca="1">IFERROR(__xludf.DUMMYFUNCTION("GOOGLEFINANCE(C256)"),75.35)</f>
        <v>75.349999999999994</v>
      </c>
      <c r="F256">
        <f ca="1">IFERROR(__xludf.DUMMYFUNCTION("GOOGLEFINANCE(C256,""change"")"),0.7)</f>
        <v>0.7</v>
      </c>
      <c r="G256" s="2">
        <f ca="1">IFERROR(__xludf.DUMMYFUNCTION("GOOGLEFINANCE(C256,""changepct"")/100"),0.00939999999999999)</f>
        <v>9.39999999999999E-3</v>
      </c>
      <c r="H256">
        <f ca="1">IFERROR(__xludf.DUMMYFUNCTION("GOOGLEFINANCE(C256,""marketcap"")"),124815571789)</f>
        <v>124815571789</v>
      </c>
    </row>
    <row r="257" spans="1:8" ht="12.75" x14ac:dyDescent="0.2">
      <c r="A257" s="1" t="s">
        <v>541</v>
      </c>
      <c r="B257" s="1" t="s">
        <v>26</v>
      </c>
      <c r="C257" s="1" t="s">
        <v>542</v>
      </c>
      <c r="D257" s="1" t="s">
        <v>22</v>
      </c>
      <c r="E257">
        <f ca="1">IFERROR(__xludf.DUMMYFUNCTION("GOOGLEFINANCE(C257)"),402.6)</f>
        <v>402.6</v>
      </c>
      <c r="F257">
        <f ca="1">IFERROR(__xludf.DUMMYFUNCTION("GOOGLEFINANCE(C257,""change"")"),-1.2)</f>
        <v>-1.2</v>
      </c>
      <c r="G257" s="2">
        <f ca="1">IFERROR(__xludf.DUMMYFUNCTION("GOOGLEFINANCE(C257,""changepct"")/100"),-0.003)</f>
        <v>-3.0000000000000001E-3</v>
      </c>
      <c r="H257">
        <f ca="1">IFERROR(__xludf.DUMMYFUNCTION("GOOGLEFINANCE(C257,""marketcap"")"),967565305829)</f>
        <v>967565305829</v>
      </c>
    </row>
    <row r="258" spans="1:8" ht="12.75" hidden="1" x14ac:dyDescent="0.2">
      <c r="A258" s="1" t="s">
        <v>543</v>
      </c>
      <c r="B258" s="1" t="s">
        <v>81</v>
      </c>
      <c r="C258" s="1" t="s">
        <v>544</v>
      </c>
      <c r="D258" s="1" t="s">
        <v>13</v>
      </c>
      <c r="E258">
        <f ca="1">IFERROR(__xludf.DUMMYFUNCTION("GOOGLEFINANCE(C258)"),90)</f>
        <v>90</v>
      </c>
      <c r="F258">
        <f ca="1">IFERROR(__xludf.DUMMYFUNCTION("GOOGLEFINANCE(C258,""change"")"),-1.4)</f>
        <v>-1.4</v>
      </c>
      <c r="G258" s="2">
        <f ca="1">IFERROR(__xludf.DUMMYFUNCTION("GOOGLEFINANCE(C258,""changepct"")/100"),-0.0153)</f>
        <v>-1.5299999999999999E-2</v>
      </c>
      <c r="H258">
        <f ca="1">IFERROR(__xludf.DUMMYFUNCTION("GOOGLEFINANCE(C258,""marketcap"")"),21990825943)</f>
        <v>21990825943</v>
      </c>
    </row>
    <row r="259" spans="1:8" ht="12.75" hidden="1" x14ac:dyDescent="0.2">
      <c r="A259" s="1" t="s">
        <v>545</v>
      </c>
      <c r="B259" s="1" t="s">
        <v>263</v>
      </c>
      <c r="C259" s="1" t="s">
        <v>546</v>
      </c>
      <c r="D259" s="1" t="s">
        <v>13</v>
      </c>
      <c r="E259">
        <f ca="1">IFERROR(__xludf.DUMMYFUNCTION("GOOGLEFINANCE(C259)"),43.25)</f>
        <v>43.25</v>
      </c>
      <c r="F259">
        <f ca="1">IFERROR(__xludf.DUMMYFUNCTION("GOOGLEFINANCE(C259,""change"")"),-0.65)</f>
        <v>-0.65</v>
      </c>
      <c r="G259" s="2">
        <f ca="1">IFERROR(__xludf.DUMMYFUNCTION("GOOGLEFINANCE(C259,""changepct"")/100"),-0.0148)</f>
        <v>-1.4800000000000001E-2</v>
      </c>
      <c r="H259">
        <f ca="1">IFERROR(__xludf.DUMMYFUNCTION("GOOGLEFINANCE(C259,""marketcap"")"),12161900000)</f>
        <v>12161900000</v>
      </c>
    </row>
    <row r="260" spans="1:8" ht="12.75" hidden="1" x14ac:dyDescent="0.2">
      <c r="A260" s="1" t="s">
        <v>547</v>
      </c>
      <c r="B260" s="1" t="s">
        <v>15</v>
      </c>
      <c r="C260" s="1" t="s">
        <v>548</v>
      </c>
      <c r="D260" s="1" t="s">
        <v>13</v>
      </c>
      <c r="E260">
        <f ca="1">IFERROR(__xludf.DUMMYFUNCTION("GOOGLEFINANCE(C260)"),88.9)</f>
        <v>88.9</v>
      </c>
      <c r="F260">
        <f ca="1">IFERROR(__xludf.DUMMYFUNCTION("GOOGLEFINANCE(C260,""change"")"),-0.35)</f>
        <v>-0.35</v>
      </c>
      <c r="G260" s="2">
        <f ca="1">IFERROR(__xludf.DUMMYFUNCTION("GOOGLEFINANCE(C260,""changepct"")/100"),-0.0039)</f>
        <v>-3.8999999999999998E-3</v>
      </c>
      <c r="H260">
        <f ca="1">IFERROR(__xludf.DUMMYFUNCTION("GOOGLEFINANCE(C260,""marketcap"")"),15917658900)</f>
        <v>15917658900</v>
      </c>
    </row>
    <row r="261" spans="1:8" ht="12.75" hidden="1" x14ac:dyDescent="0.2">
      <c r="A261" s="1" t="s">
        <v>549</v>
      </c>
      <c r="B261" s="1" t="s">
        <v>29</v>
      </c>
      <c r="C261" s="1" t="s">
        <v>550</v>
      </c>
      <c r="D261" s="1" t="s">
        <v>13</v>
      </c>
      <c r="E261">
        <f ca="1">IFERROR(__xludf.DUMMYFUNCTION("GOOGLEFINANCE(C261)"),29.05)</f>
        <v>29.05</v>
      </c>
      <c r="F261">
        <f ca="1">IFERROR(__xludf.DUMMYFUNCTION("GOOGLEFINANCE(C261,""change"")"),-0.6)</f>
        <v>-0.6</v>
      </c>
      <c r="G261" s="2">
        <f ca="1">IFERROR(__xludf.DUMMYFUNCTION("GOOGLEFINANCE(C261,""changepct"")/100"),-0.0202)</f>
        <v>-2.0199999999999999E-2</v>
      </c>
      <c r="H261">
        <f ca="1">IFERROR(__xludf.DUMMYFUNCTION("GOOGLEFINANCE(C261,""marketcap"")"),20725748100)</f>
        <v>20725748100</v>
      </c>
    </row>
    <row r="262" spans="1:8" ht="12.75" hidden="1" x14ac:dyDescent="0.2">
      <c r="A262" s="1" t="s">
        <v>551</v>
      </c>
      <c r="B262" s="1" t="s">
        <v>81</v>
      </c>
      <c r="C262" s="1" t="s">
        <v>552</v>
      </c>
      <c r="D262" s="1" t="s">
        <v>13</v>
      </c>
      <c r="E262">
        <f ca="1">IFERROR(__xludf.DUMMYFUNCTION("GOOGLEFINANCE(C262)"),70.55)</f>
        <v>70.55</v>
      </c>
      <c r="F262">
        <f ca="1">IFERROR(__xludf.DUMMYFUNCTION("GOOGLEFINANCE(C262,""change"")"),2.35)</f>
        <v>2.35</v>
      </c>
      <c r="G262" s="2">
        <f ca="1">IFERROR(__xludf.DUMMYFUNCTION("GOOGLEFINANCE(C262,""changepct"")/100"),0.0345)</f>
        <v>3.4500000000000003E-2</v>
      </c>
      <c r="H262">
        <f ca="1">IFERROR(__xludf.DUMMYFUNCTION("GOOGLEFINANCE(C262,""marketcap"")"),28111629361)</f>
        <v>28111629361</v>
      </c>
    </row>
    <row r="263" spans="1:8" ht="12.75" hidden="1" x14ac:dyDescent="0.2">
      <c r="A263" s="1" t="s">
        <v>553</v>
      </c>
      <c r="B263" s="1" t="s">
        <v>26</v>
      </c>
      <c r="C263" s="1" t="s">
        <v>554</v>
      </c>
      <c r="D263" s="1" t="s">
        <v>13</v>
      </c>
      <c r="E263">
        <f ca="1">IFERROR(__xludf.DUMMYFUNCTION("GOOGLEFINANCE(C263)"),70.8)</f>
        <v>70.8</v>
      </c>
      <c r="F263">
        <f ca="1">IFERROR(__xludf.DUMMYFUNCTION("GOOGLEFINANCE(C263,""change"")"),-1.25)</f>
        <v>-1.25</v>
      </c>
      <c r="G263" s="2">
        <f ca="1">IFERROR(__xludf.DUMMYFUNCTION("GOOGLEFINANCE(C263,""changepct"")/100"),-0.0173)</f>
        <v>-1.7299999999999999E-2</v>
      </c>
      <c r="H263">
        <f ca="1">IFERROR(__xludf.DUMMYFUNCTION("GOOGLEFINANCE(C263,""marketcap"")"),22478612075)</f>
        <v>22478612075</v>
      </c>
    </row>
    <row r="264" spans="1:8" ht="12.75" hidden="1" x14ac:dyDescent="0.2">
      <c r="A264" s="1" t="s">
        <v>555</v>
      </c>
      <c r="B264" s="1" t="s">
        <v>26</v>
      </c>
      <c r="C264" s="1" t="s">
        <v>556</v>
      </c>
      <c r="D264" s="1" t="s">
        <v>13</v>
      </c>
      <c r="E264">
        <f ca="1">IFERROR(__xludf.DUMMYFUNCTION("GOOGLEFINANCE(C264)"),121.25)</f>
        <v>121.25</v>
      </c>
      <c r="F264">
        <f ca="1">IFERROR(__xludf.DUMMYFUNCTION("GOOGLEFINANCE(C264,""change"")"),-2.95)</f>
        <v>-2.95</v>
      </c>
      <c r="G264" s="2">
        <f ca="1">IFERROR(__xludf.DUMMYFUNCTION("GOOGLEFINANCE(C264,""changepct"")/100"),-0.0237999999999999)</f>
        <v>-2.3799999999999901E-2</v>
      </c>
      <c r="H264">
        <f ca="1">IFERROR(__xludf.DUMMYFUNCTION("GOOGLEFINANCE(C264,""marketcap"")"),28677096220)</f>
        <v>28677096220</v>
      </c>
    </row>
    <row r="265" spans="1:8" ht="12.75" hidden="1" x14ac:dyDescent="0.2">
      <c r="A265" s="1" t="s">
        <v>557</v>
      </c>
      <c r="B265" s="1" t="s">
        <v>26</v>
      </c>
      <c r="C265" s="1" t="s">
        <v>558</v>
      </c>
      <c r="D265" s="1" t="s">
        <v>13</v>
      </c>
      <c r="E265">
        <f ca="1">IFERROR(__xludf.DUMMYFUNCTION("GOOGLEFINANCE(C265)"),71)</f>
        <v>71</v>
      </c>
      <c r="F265">
        <f ca="1">IFERROR(__xludf.DUMMYFUNCTION("GOOGLEFINANCE(C265,""change"")"),-2.7)</f>
        <v>-2.7</v>
      </c>
      <c r="G265" s="2">
        <f ca="1">IFERROR(__xludf.DUMMYFUNCTION("GOOGLEFINANCE(C265,""changepct"")/100"),-0.0366)</f>
        <v>-3.6600000000000001E-2</v>
      </c>
      <c r="H265">
        <f ca="1">IFERROR(__xludf.DUMMYFUNCTION("GOOGLEFINANCE(C265,""marketcap"")"),34570198200)</f>
        <v>34570198200</v>
      </c>
    </row>
    <row r="266" spans="1:8" ht="12.75" x14ac:dyDescent="0.2">
      <c r="A266" s="1" t="s">
        <v>559</v>
      </c>
      <c r="B266" s="1" t="s">
        <v>26</v>
      </c>
      <c r="C266" s="1" t="s">
        <v>560</v>
      </c>
      <c r="D266" s="1" t="s">
        <v>22</v>
      </c>
      <c r="E266">
        <f ca="1">IFERROR(__xludf.DUMMYFUNCTION("GOOGLEFINANCE(C266)"),308.5)</f>
        <v>308.5</v>
      </c>
      <c r="F266">
        <f ca="1">IFERROR(__xludf.DUMMYFUNCTION("GOOGLEFINANCE(C266,""change"")"),0.2)</f>
        <v>0.2</v>
      </c>
      <c r="G266" s="2">
        <f ca="1">IFERROR(__xludf.DUMMYFUNCTION("GOOGLEFINANCE(C266,""changepct"")/100"),0.0006)</f>
        <v>5.9999999999999995E-4</v>
      </c>
      <c r="H266">
        <f ca="1">IFERROR(__xludf.DUMMYFUNCTION("GOOGLEFINANCE(C266,""marketcap"")"),314470753724)</f>
        <v>314470753724</v>
      </c>
    </row>
    <row r="267" spans="1:8" ht="12.75" hidden="1" x14ac:dyDescent="0.2">
      <c r="A267" s="1" t="s">
        <v>561</v>
      </c>
      <c r="B267" s="1" t="s">
        <v>56</v>
      </c>
      <c r="C267" s="1" t="s">
        <v>562</v>
      </c>
      <c r="D267" s="1" t="s">
        <v>13</v>
      </c>
      <c r="E267">
        <f ca="1">IFERROR(__xludf.DUMMYFUNCTION("GOOGLEFINANCE(C267)"),2483.05)</f>
        <v>2483.0500000000002</v>
      </c>
      <c r="F267">
        <f ca="1">IFERROR(__xludf.DUMMYFUNCTION("GOOGLEFINANCE(C267,""change"")"),-33.85)</f>
        <v>-33.85</v>
      </c>
      <c r="G267" s="2">
        <f ca="1">IFERROR(__xludf.DUMMYFUNCTION("GOOGLEFINANCE(C267,""changepct"")/100"),-0.0134)</f>
        <v>-1.34E-2</v>
      </c>
      <c r="H267">
        <f ca="1">IFERROR(__xludf.DUMMYFUNCTION("GOOGLEFINANCE(C267,""marketcap"")"),67516315911)</f>
        <v>67516315911</v>
      </c>
    </row>
    <row r="268" spans="1:8" ht="12.75" x14ac:dyDescent="0.2">
      <c r="A268" s="1" t="s">
        <v>563</v>
      </c>
      <c r="B268" s="1" t="s">
        <v>56</v>
      </c>
      <c r="C268" s="1" t="s">
        <v>564</v>
      </c>
      <c r="D268" s="1" t="s">
        <v>22</v>
      </c>
      <c r="E268">
        <f ca="1">IFERROR(__xludf.DUMMYFUNCTION("GOOGLEFINANCE(C268)"),2864.05)</f>
        <v>2864.05</v>
      </c>
      <c r="F268">
        <f ca="1">IFERROR(__xludf.DUMMYFUNCTION("GOOGLEFINANCE(C268,""change"")"),74.75)</f>
        <v>74.75</v>
      </c>
      <c r="G268" s="2">
        <f ca="1">IFERROR(__xludf.DUMMYFUNCTION("GOOGLEFINANCE(C268,""changepct"")/100"),0.0268)</f>
        <v>2.6800000000000001E-2</v>
      </c>
      <c r="H268">
        <f ca="1">IFERROR(__xludf.DUMMYFUNCTION("GOOGLEFINANCE(C268,""marketcap"")"),378081459000)</f>
        <v>378081459000</v>
      </c>
    </row>
    <row r="269" spans="1:8" ht="12.75" hidden="1" x14ac:dyDescent="0.2">
      <c r="A269" s="1" t="s">
        <v>565</v>
      </c>
      <c r="B269" s="1" t="s">
        <v>63</v>
      </c>
      <c r="C269" s="1" t="s">
        <v>566</v>
      </c>
      <c r="D269" s="1" t="s">
        <v>13</v>
      </c>
      <c r="E269">
        <f ca="1">IFERROR(__xludf.DUMMYFUNCTION("GOOGLEFINANCE(C269)"),685)</f>
        <v>685</v>
      </c>
      <c r="F269">
        <f ca="1">IFERROR(__xludf.DUMMYFUNCTION("GOOGLEFINANCE(C269,""change"")"),10.4)</f>
        <v>10.4</v>
      </c>
      <c r="G269" s="2">
        <f ca="1">IFERROR(__xludf.DUMMYFUNCTION("GOOGLEFINANCE(C269,""changepct"")/100"),0.0154)</f>
        <v>1.54E-2</v>
      </c>
      <c r="H269">
        <f ca="1">IFERROR(__xludf.DUMMYFUNCTION("GOOGLEFINANCE(C269,""marketcap"")"),42382251500)</f>
        <v>42382251500</v>
      </c>
    </row>
    <row r="270" spans="1:8" ht="12.75" hidden="1" x14ac:dyDescent="0.2">
      <c r="A270" s="1" t="s">
        <v>567</v>
      </c>
      <c r="B270" s="1" t="s">
        <v>56</v>
      </c>
      <c r="C270" s="1" t="s">
        <v>568</v>
      </c>
      <c r="D270" s="1" t="s">
        <v>13</v>
      </c>
      <c r="E270">
        <f ca="1">IFERROR(__xludf.DUMMYFUNCTION("GOOGLEFINANCE(C270)"),151.85)</f>
        <v>151.85</v>
      </c>
      <c r="F270">
        <f ca="1">IFERROR(__xludf.DUMMYFUNCTION("GOOGLEFINANCE(C270,""change"")"),-0.15)</f>
        <v>-0.15</v>
      </c>
      <c r="G270" s="2">
        <f ca="1">IFERROR(__xludf.DUMMYFUNCTION("GOOGLEFINANCE(C270,""changepct"")/100"),-0.001)</f>
        <v>-1E-3</v>
      </c>
      <c r="H270">
        <f ca="1">IFERROR(__xludf.DUMMYFUNCTION("GOOGLEFINANCE(C270,""marketcap"")"),55760628151)</f>
        <v>55760628151</v>
      </c>
    </row>
    <row r="271" spans="1:8" ht="12.75" hidden="1" x14ac:dyDescent="0.2">
      <c r="A271" s="1" t="s">
        <v>569</v>
      </c>
      <c r="B271" s="1" t="s">
        <v>15</v>
      </c>
      <c r="C271" s="1" t="s">
        <v>570</v>
      </c>
      <c r="D271" s="1" t="s">
        <v>13</v>
      </c>
      <c r="E271">
        <f ca="1">IFERROR(__xludf.DUMMYFUNCTION("GOOGLEFINANCE(C271)"),518.6)</f>
        <v>518.6</v>
      </c>
      <c r="F271">
        <f ca="1">IFERROR(__xludf.DUMMYFUNCTION("GOOGLEFINANCE(C271,""change"")"),18.2)</f>
        <v>18.2</v>
      </c>
      <c r="G271" s="2">
        <f ca="1">IFERROR(__xludf.DUMMYFUNCTION("GOOGLEFINANCE(C271,""changepct"")/100"),0.0364)</f>
        <v>3.6400000000000002E-2</v>
      </c>
      <c r="H271">
        <f ca="1">IFERROR(__xludf.DUMMYFUNCTION("GOOGLEFINANCE(C271,""marketcap"")"),46613659283)</f>
        <v>46613659283</v>
      </c>
    </row>
    <row r="272" spans="1:8" ht="12.75" hidden="1" x14ac:dyDescent="0.2">
      <c r="A272" s="1" t="s">
        <v>571</v>
      </c>
      <c r="B272" s="1" t="s">
        <v>95</v>
      </c>
      <c r="C272" s="1" t="s">
        <v>572</v>
      </c>
      <c r="D272" s="1" t="s">
        <v>13</v>
      </c>
      <c r="E272">
        <f ca="1">IFERROR(__xludf.DUMMYFUNCTION("GOOGLEFINANCE(C272)"),220.35)</f>
        <v>220.35</v>
      </c>
      <c r="F272">
        <f ca="1">IFERROR(__xludf.DUMMYFUNCTION("GOOGLEFINANCE(C272,""change"")"),-1.5)</f>
        <v>-1.5</v>
      </c>
      <c r="G272" s="2">
        <f ca="1">IFERROR(__xludf.DUMMYFUNCTION("GOOGLEFINANCE(C272,""changepct"")/100"),-0.0068)</f>
        <v>-6.7999999999999996E-3</v>
      </c>
      <c r="H272">
        <f ca="1">IFERROR(__xludf.DUMMYFUNCTION("GOOGLEFINANCE(C272,""marketcap"")"),61492737334)</f>
        <v>61492737334</v>
      </c>
    </row>
    <row r="273" spans="1:8" ht="12.75" hidden="1" x14ac:dyDescent="0.2">
      <c r="A273" s="1" t="s">
        <v>573</v>
      </c>
      <c r="B273" s="1" t="s">
        <v>56</v>
      </c>
      <c r="C273" s="1" t="s">
        <v>574</v>
      </c>
      <c r="D273" s="1" t="s">
        <v>13</v>
      </c>
      <c r="E273">
        <f ca="1">IFERROR(__xludf.DUMMYFUNCTION("GOOGLEFINANCE(C273)"),187)</f>
        <v>187</v>
      </c>
      <c r="F273">
        <f ca="1">IFERROR(__xludf.DUMMYFUNCTION("GOOGLEFINANCE(C273,""change"")"),-4.35)</f>
        <v>-4.3499999999999996</v>
      </c>
      <c r="G273" s="2">
        <f ca="1">IFERROR(__xludf.DUMMYFUNCTION("GOOGLEFINANCE(C273,""changepct"")/100"),-0.0227)</f>
        <v>-2.2700000000000001E-2</v>
      </c>
      <c r="H273">
        <f ca="1">IFERROR(__xludf.DUMMYFUNCTION("GOOGLEFINANCE(C273,""marketcap"")"),44100047938)</f>
        <v>44100047938</v>
      </c>
    </row>
    <row r="274" spans="1:8" ht="12.75" hidden="1" x14ac:dyDescent="0.2">
      <c r="A274" s="1" t="s">
        <v>575</v>
      </c>
      <c r="B274" s="1" t="s">
        <v>15</v>
      </c>
      <c r="C274" s="1" t="s">
        <v>576</v>
      </c>
      <c r="D274" s="1" t="s">
        <v>13</v>
      </c>
      <c r="E274">
        <f ca="1">IFERROR(__xludf.DUMMYFUNCTION("GOOGLEFINANCE(C274)"),668)</f>
        <v>668</v>
      </c>
      <c r="F274">
        <f ca="1">IFERROR(__xludf.DUMMYFUNCTION("GOOGLEFINANCE(C274,""change"")"),5.75)</f>
        <v>5.75</v>
      </c>
      <c r="G274" s="2">
        <f ca="1">IFERROR(__xludf.DUMMYFUNCTION("GOOGLEFINANCE(C274,""changepct"")/100"),0.0087)</f>
        <v>8.6999999999999994E-3</v>
      </c>
      <c r="H274">
        <f ca="1">IFERROR(__xludf.DUMMYFUNCTION("GOOGLEFINANCE(C274,""marketcap"")"),23016720520)</f>
        <v>23016720520</v>
      </c>
    </row>
    <row r="275" spans="1:8" ht="12.75" hidden="1" x14ac:dyDescent="0.2">
      <c r="A275" s="1" t="s">
        <v>577</v>
      </c>
      <c r="B275" s="1" t="s">
        <v>95</v>
      </c>
      <c r="C275" s="1" t="s">
        <v>578</v>
      </c>
      <c r="D275" s="1" t="s">
        <v>13</v>
      </c>
      <c r="E275">
        <f ca="1">IFERROR(__xludf.DUMMYFUNCTION("GOOGLEFINANCE(C275)"),958.35)</f>
        <v>958.35</v>
      </c>
      <c r="F275">
        <f ca="1">IFERROR(__xludf.DUMMYFUNCTION("GOOGLEFINANCE(C275,""change"")"),-4.55)</f>
        <v>-4.55</v>
      </c>
      <c r="G275" s="2">
        <f ca="1">IFERROR(__xludf.DUMMYFUNCTION("GOOGLEFINANCE(C275,""changepct"")/100"),-0.00469999999999999)</f>
        <v>-4.6999999999999898E-3</v>
      </c>
      <c r="H275">
        <f ca="1">IFERROR(__xludf.DUMMYFUNCTION("GOOGLEFINANCE(C275,""marketcap"")"),152455272466)</f>
        <v>152455272466</v>
      </c>
    </row>
    <row r="276" spans="1:8" ht="12.75" hidden="1" x14ac:dyDescent="0.2">
      <c r="A276" s="1" t="s">
        <v>579</v>
      </c>
      <c r="B276" s="1" t="s">
        <v>44</v>
      </c>
      <c r="C276" s="1" t="s">
        <v>580</v>
      </c>
      <c r="D276" s="1" t="s">
        <v>13</v>
      </c>
      <c r="E276">
        <f ca="1">IFERROR(__xludf.DUMMYFUNCTION("GOOGLEFINANCE(C276)"),369)</f>
        <v>369</v>
      </c>
      <c r="F276">
        <f ca="1">IFERROR(__xludf.DUMMYFUNCTION("GOOGLEFINANCE(C276,""change"")"),4.3)</f>
        <v>4.3</v>
      </c>
      <c r="G276" s="2">
        <f ca="1">IFERROR(__xludf.DUMMYFUNCTION("GOOGLEFINANCE(C276,""changepct"")/100"),0.0118)</f>
        <v>1.18E-2</v>
      </c>
      <c r="H276">
        <f ca="1">IFERROR(__xludf.DUMMYFUNCTION("GOOGLEFINANCE(C276,""marketcap"")"),55052742940)</f>
        <v>55052742940</v>
      </c>
    </row>
    <row r="277" spans="1:8" ht="12.75" hidden="1" x14ac:dyDescent="0.2">
      <c r="A277" s="1" t="s">
        <v>581</v>
      </c>
      <c r="B277" s="1" t="s">
        <v>56</v>
      </c>
      <c r="C277" s="1" t="s">
        <v>582</v>
      </c>
      <c r="D277" s="1" t="s">
        <v>13</v>
      </c>
      <c r="E277">
        <f ca="1">IFERROR(__xludf.DUMMYFUNCTION("GOOGLEFINANCE(C277)"),590)</f>
        <v>590</v>
      </c>
      <c r="F277">
        <f ca="1">IFERROR(__xludf.DUMMYFUNCTION("GOOGLEFINANCE(C277,""change"")"),14.85)</f>
        <v>14.85</v>
      </c>
      <c r="G277" s="2">
        <f ca="1">IFERROR(__xludf.DUMMYFUNCTION("GOOGLEFINANCE(C277,""changepct"")/100"),0.0258)</f>
        <v>2.58E-2</v>
      </c>
      <c r="H277">
        <f ca="1">IFERROR(__xludf.DUMMYFUNCTION("GOOGLEFINANCE(C277,""marketcap"")"),317777439702)</f>
        <v>317777439702</v>
      </c>
    </row>
    <row r="278" spans="1:8" ht="12.75" hidden="1" x14ac:dyDescent="0.2">
      <c r="A278" s="1" t="s">
        <v>583</v>
      </c>
      <c r="B278" s="1" t="s">
        <v>29</v>
      </c>
      <c r="C278" s="1" t="s">
        <v>584</v>
      </c>
      <c r="D278" s="1" t="s">
        <v>13</v>
      </c>
      <c r="E278">
        <f ca="1">IFERROR(__xludf.DUMMYFUNCTION("GOOGLEFINANCE(C278)"),64.7)</f>
        <v>64.7</v>
      </c>
      <c r="F278">
        <f ca="1">IFERROR(__xludf.DUMMYFUNCTION("GOOGLEFINANCE(C278,""change"")"),-0.55)</f>
        <v>-0.55000000000000004</v>
      </c>
      <c r="G278" s="2">
        <f ca="1">IFERROR(__xludf.DUMMYFUNCTION("GOOGLEFINANCE(C278,""changepct"")/100"),-0.0084)</f>
        <v>-8.3999999999999995E-3</v>
      </c>
      <c r="H278">
        <f ca="1">IFERROR(__xludf.DUMMYFUNCTION("GOOGLEFINANCE(C278,""marketcap"")"),20113268641)</f>
        <v>20113268641</v>
      </c>
    </row>
    <row r="279" spans="1:8" ht="12.75" hidden="1" x14ac:dyDescent="0.2">
      <c r="A279" s="1" t="s">
        <v>585</v>
      </c>
      <c r="B279" s="1" t="s">
        <v>29</v>
      </c>
      <c r="C279" s="1" t="s">
        <v>586</v>
      </c>
      <c r="D279" s="1" t="s">
        <v>13</v>
      </c>
      <c r="E279">
        <f ca="1">IFERROR(__xludf.DUMMYFUNCTION("GOOGLEFINANCE(C279)"),54)</f>
        <v>54</v>
      </c>
      <c r="F279">
        <f ca="1">IFERROR(__xludf.DUMMYFUNCTION("GOOGLEFINANCE(C279,""change"")"),-1.1)</f>
        <v>-1.1000000000000001</v>
      </c>
      <c r="G279" s="2">
        <f ca="1">IFERROR(__xludf.DUMMYFUNCTION("GOOGLEFINANCE(C279,""changepct"")/100"),-0.02)</f>
        <v>-0.02</v>
      </c>
      <c r="H279">
        <f ca="1">IFERROR(__xludf.DUMMYFUNCTION("GOOGLEFINANCE(C279,""marketcap"")"),43281834089)</f>
        <v>43281834089</v>
      </c>
    </row>
    <row r="280" spans="1:8" ht="12.75" hidden="1" x14ac:dyDescent="0.2">
      <c r="A280" s="1" t="s">
        <v>587</v>
      </c>
      <c r="B280" s="1" t="s">
        <v>56</v>
      </c>
      <c r="C280" s="1" t="s">
        <v>588</v>
      </c>
      <c r="D280" s="1" t="s">
        <v>13</v>
      </c>
      <c r="E280">
        <f ca="1">IFERROR(__xludf.DUMMYFUNCTION("GOOGLEFINANCE(C280)"),524)</f>
        <v>524</v>
      </c>
      <c r="F280">
        <f ca="1">IFERROR(__xludf.DUMMYFUNCTION("GOOGLEFINANCE(C280,""change"")"),-6.7)</f>
        <v>-6.7</v>
      </c>
      <c r="G280" s="2">
        <f ca="1">IFERROR(__xludf.DUMMYFUNCTION("GOOGLEFINANCE(C280,""changepct"")/100"),-0.0126)</f>
        <v>-1.26E-2</v>
      </c>
      <c r="H280">
        <f ca="1">IFERROR(__xludf.DUMMYFUNCTION("GOOGLEFINANCE(C280,""marketcap"")"),31154213744)</f>
        <v>31154213744</v>
      </c>
    </row>
    <row r="281" spans="1:8" ht="12.75" hidden="1" x14ac:dyDescent="0.2">
      <c r="A281" s="1" t="s">
        <v>589</v>
      </c>
      <c r="B281" s="1" t="s">
        <v>95</v>
      </c>
      <c r="C281" s="1" t="s">
        <v>590</v>
      </c>
      <c r="D281" s="1" t="s">
        <v>13</v>
      </c>
      <c r="E281">
        <f ca="1">IFERROR(__xludf.DUMMYFUNCTION("GOOGLEFINANCE(C281)"),437.2)</f>
        <v>437.2</v>
      </c>
      <c r="F281">
        <f ca="1">IFERROR(__xludf.DUMMYFUNCTION("GOOGLEFINANCE(C281,""change"")"),7.2)</f>
        <v>7.2</v>
      </c>
      <c r="G281" s="2">
        <f ca="1">IFERROR(__xludf.DUMMYFUNCTION("GOOGLEFINANCE(C281,""changepct"")/100"),0.0167)</f>
        <v>1.67E-2</v>
      </c>
      <c r="H281">
        <f ca="1">IFERROR(__xludf.DUMMYFUNCTION("GOOGLEFINANCE(C281,""marketcap"")"),112373930239)</f>
        <v>112373930239</v>
      </c>
    </row>
    <row r="282" spans="1:8" ht="12.75" hidden="1" x14ac:dyDescent="0.2">
      <c r="A282" s="1" t="s">
        <v>591</v>
      </c>
      <c r="B282" s="1" t="s">
        <v>95</v>
      </c>
      <c r="C282" s="1" t="s">
        <v>592</v>
      </c>
      <c r="D282" s="1" t="s">
        <v>13</v>
      </c>
      <c r="E282">
        <f ca="1">IFERROR(__xludf.DUMMYFUNCTION("GOOGLEFINANCE(C282)"),245.3)</f>
        <v>245.3</v>
      </c>
      <c r="F282">
        <f ca="1">IFERROR(__xludf.DUMMYFUNCTION("GOOGLEFINANCE(C282,""change"")"),-1.75)</f>
        <v>-1.75</v>
      </c>
      <c r="G282" s="2">
        <f ca="1">IFERROR(__xludf.DUMMYFUNCTION("GOOGLEFINANCE(C282,""changepct"")/100"),-0.00709999999999999)</f>
        <v>-7.09999999999999E-3</v>
      </c>
      <c r="H282">
        <f ca="1">IFERROR(__xludf.DUMMYFUNCTION("GOOGLEFINANCE(C282,""marketcap"")"),18625093888)</f>
        <v>18625093888</v>
      </c>
    </row>
    <row r="283" spans="1:8" ht="12.75" x14ac:dyDescent="0.2">
      <c r="A283" s="1" t="s">
        <v>593</v>
      </c>
      <c r="B283" s="1" t="s">
        <v>29</v>
      </c>
      <c r="C283" s="1" t="s">
        <v>594</v>
      </c>
      <c r="D283" s="1" t="s">
        <v>22</v>
      </c>
      <c r="E283">
        <f ca="1">IFERROR(__xludf.DUMMYFUNCTION("GOOGLEFINANCE(C283)"),1990.15)</f>
        <v>1990.15</v>
      </c>
      <c r="F283">
        <f ca="1">IFERROR(__xludf.DUMMYFUNCTION("GOOGLEFINANCE(C283,""change"")"),39.1)</f>
        <v>39.1</v>
      </c>
      <c r="G283" s="2">
        <f ca="1">IFERROR(__xludf.DUMMYFUNCTION("GOOGLEFINANCE(C283,""changepct"")/100"),0.02)</f>
        <v>0.02</v>
      </c>
      <c r="H283">
        <f ca="1">IFERROR(__xludf.DUMMYFUNCTION("GOOGLEFINANCE(C283,""marketcap"")"),3939033729364)</f>
        <v>3939033729364</v>
      </c>
    </row>
    <row r="284" spans="1:8" ht="12.75" x14ac:dyDescent="0.2">
      <c r="A284" s="1" t="s">
        <v>595</v>
      </c>
      <c r="B284" s="1" t="s">
        <v>29</v>
      </c>
      <c r="C284" s="1" t="s">
        <v>596</v>
      </c>
      <c r="D284" s="1" t="s">
        <v>22</v>
      </c>
      <c r="E284">
        <f ca="1">IFERROR(__xludf.DUMMYFUNCTION("GOOGLEFINANCE(C284)"),98.15)</f>
        <v>98.15</v>
      </c>
      <c r="F284">
        <f ca="1">IFERROR(__xludf.DUMMYFUNCTION("GOOGLEFINANCE(C284,""change"")"),3.9)</f>
        <v>3.9</v>
      </c>
      <c r="G284" s="2">
        <f ca="1">IFERROR(__xludf.DUMMYFUNCTION("GOOGLEFINANCE(C284,""changepct"")/100"),0.0414)</f>
        <v>4.1399999999999999E-2</v>
      </c>
      <c r="H284">
        <f ca="1">IFERROR(__xludf.DUMMYFUNCTION("GOOGLEFINANCE(C284,""marketcap"")"),242993490168)</f>
        <v>242993490168</v>
      </c>
    </row>
    <row r="285" spans="1:8" ht="12.75" hidden="1" x14ac:dyDescent="0.2">
      <c r="A285" s="1" t="s">
        <v>597</v>
      </c>
      <c r="B285" s="1" t="s">
        <v>63</v>
      </c>
      <c r="C285" s="1" t="s">
        <v>598</v>
      </c>
      <c r="D285" s="1" t="s">
        <v>13</v>
      </c>
      <c r="E285">
        <f ca="1">IFERROR(__xludf.DUMMYFUNCTION("GOOGLEFINANCE(C285)"),2589.5)</f>
        <v>2589.5</v>
      </c>
      <c r="F285">
        <f ca="1">IFERROR(__xludf.DUMMYFUNCTION("GOOGLEFINANCE(C285,""change"")"),-10.4)</f>
        <v>-10.4</v>
      </c>
      <c r="G285" s="2">
        <f ca="1">IFERROR(__xludf.DUMMYFUNCTION("GOOGLEFINANCE(C285,""changepct"")/100"),-0.004)</f>
        <v>-4.0000000000000001E-3</v>
      </c>
      <c r="H285">
        <f ca="1">IFERROR(__xludf.DUMMYFUNCTION("GOOGLEFINANCE(C285,""marketcap"")"),272008848500)</f>
        <v>272008848500</v>
      </c>
    </row>
    <row r="286" spans="1:8" ht="12.75" x14ac:dyDescent="0.2">
      <c r="A286" s="1" t="s">
        <v>599</v>
      </c>
      <c r="B286" s="1" t="s">
        <v>29</v>
      </c>
      <c r="C286" s="1" t="s">
        <v>600</v>
      </c>
      <c r="D286" s="1" t="s">
        <v>22</v>
      </c>
      <c r="E286">
        <f ca="1">IFERROR(__xludf.DUMMYFUNCTION("GOOGLEFINANCE(C286)"),478)</f>
        <v>478</v>
      </c>
      <c r="F286">
        <f ca="1">IFERROR(__xludf.DUMMYFUNCTION("GOOGLEFINANCE(C286,""change"")"),35.5)</f>
        <v>35.5</v>
      </c>
      <c r="G286" s="2">
        <f ca="1">IFERROR(__xludf.DUMMYFUNCTION("GOOGLEFINANCE(C286,""changepct"")/100"),0.0802)</f>
        <v>8.0199999999999994E-2</v>
      </c>
      <c r="H286">
        <f ca="1">IFERROR(__xludf.DUMMYFUNCTION("GOOGLEFINANCE(C286,""marketcap"")"),240345753750)</f>
        <v>240345753750</v>
      </c>
    </row>
    <row r="287" spans="1:8" ht="12.75" hidden="1" x14ac:dyDescent="0.2">
      <c r="A287" s="1" t="s">
        <v>601</v>
      </c>
      <c r="B287" s="1" t="s">
        <v>56</v>
      </c>
      <c r="C287" s="1" t="s">
        <v>602</v>
      </c>
      <c r="D287" s="1" t="s">
        <v>13</v>
      </c>
      <c r="E287">
        <f ca="1">IFERROR(__xludf.DUMMYFUNCTION("GOOGLEFINANCE(C287)"),210)</f>
        <v>210</v>
      </c>
      <c r="F287">
        <f ca="1">IFERROR(__xludf.DUMMYFUNCTION("GOOGLEFINANCE(C287,""change"")"),0.55)</f>
        <v>0.55000000000000004</v>
      </c>
      <c r="G287" s="2">
        <f ca="1">IFERROR(__xludf.DUMMYFUNCTION("GOOGLEFINANCE(C287,""changepct"")/100"),0.0026)</f>
        <v>2.5999999999999999E-3</v>
      </c>
      <c r="H287">
        <f ca="1">IFERROR(__xludf.DUMMYFUNCTION("GOOGLEFINANCE(C287,""marketcap"")"),23337769961)</f>
        <v>23337769961</v>
      </c>
    </row>
    <row r="288" spans="1:8" ht="12.75" hidden="1" x14ac:dyDescent="0.2">
      <c r="A288" s="1" t="s">
        <v>603</v>
      </c>
      <c r="B288" s="1" t="s">
        <v>15</v>
      </c>
      <c r="C288" s="1" t="s">
        <v>604</v>
      </c>
      <c r="D288" s="1" t="s">
        <v>13</v>
      </c>
      <c r="E288">
        <f ca="1">IFERROR(__xludf.DUMMYFUNCTION("GOOGLEFINANCE(C288)"),6218)</f>
        <v>6218</v>
      </c>
      <c r="F288">
        <f ca="1">IFERROR(__xludf.DUMMYFUNCTION("GOOGLEFINANCE(C288,""change"")"),33.85)</f>
        <v>33.85</v>
      </c>
      <c r="G288" s="2">
        <f ca="1">IFERROR(__xludf.DUMMYFUNCTION("GOOGLEFINANCE(C288,""changepct"")/100"),0.0055)</f>
        <v>5.4999999999999997E-3</v>
      </c>
      <c r="H288">
        <f ca="1">IFERROR(__xludf.DUMMYFUNCTION("GOOGLEFINANCE(C288,""marketcap"")"),66191299189)</f>
        <v>66191299189</v>
      </c>
    </row>
    <row r="289" spans="1:8" ht="12.75" hidden="1" x14ac:dyDescent="0.2">
      <c r="A289" s="1" t="s">
        <v>605</v>
      </c>
      <c r="B289" s="1" t="s">
        <v>63</v>
      </c>
      <c r="C289" s="1" t="s">
        <v>606</v>
      </c>
      <c r="D289" s="1" t="s">
        <v>13</v>
      </c>
      <c r="E289">
        <f ca="1">IFERROR(__xludf.DUMMYFUNCTION("GOOGLEFINANCE(C289)"),4015)</f>
        <v>4015</v>
      </c>
      <c r="F289">
        <f ca="1">IFERROR(__xludf.DUMMYFUNCTION("GOOGLEFINANCE(C289,""change"")"),-24.9)</f>
        <v>-24.9</v>
      </c>
      <c r="G289" s="2">
        <f ca="1">IFERROR(__xludf.DUMMYFUNCTION("GOOGLEFINANCE(C289,""changepct"")/100"),-0.0062)</f>
        <v>-6.1999999999999998E-3</v>
      </c>
      <c r="H289">
        <f ca="1">IFERROR(__xludf.DUMMYFUNCTION("GOOGLEFINANCE(C289,""marketcap"")"),705572385788)</f>
        <v>705572385788</v>
      </c>
    </row>
    <row r="290" spans="1:8" ht="12.75" x14ac:dyDescent="0.2">
      <c r="A290" s="1" t="s">
        <v>607</v>
      </c>
      <c r="B290" s="1" t="s">
        <v>95</v>
      </c>
      <c r="C290" s="1" t="s">
        <v>608</v>
      </c>
      <c r="D290" s="1" t="s">
        <v>22</v>
      </c>
      <c r="E290">
        <f ca="1">IFERROR(__xludf.DUMMYFUNCTION("GOOGLEFINANCE(C290)"),1534.15)</f>
        <v>1534.15</v>
      </c>
      <c r="F290">
        <f ca="1">IFERROR(__xludf.DUMMYFUNCTION("GOOGLEFINANCE(C290,""change"")"),12.8)</f>
        <v>12.8</v>
      </c>
      <c r="G290" s="2">
        <f ca="1">IFERROR(__xludf.DUMMYFUNCTION("GOOGLEFINANCE(C290,""changepct"")/100"),0.0084)</f>
        <v>8.3999999999999995E-3</v>
      </c>
      <c r="H290">
        <f ca="1">IFERROR(__xludf.DUMMYFUNCTION("GOOGLEFINANCE(C290,""marketcap"")"),2160165132292)</f>
        <v>2160165132292</v>
      </c>
    </row>
    <row r="291" spans="1:8" ht="12.75" hidden="1" x14ac:dyDescent="0.2">
      <c r="A291" s="1" t="s">
        <v>609</v>
      </c>
      <c r="B291" s="1" t="s">
        <v>32</v>
      </c>
      <c r="C291" s="1" t="s">
        <v>610</v>
      </c>
      <c r="D291" s="1" t="s">
        <v>13</v>
      </c>
      <c r="E291">
        <f ca="1">IFERROR(__xludf.DUMMYFUNCTION("GOOGLEFINANCE(C291)"),368)</f>
        <v>368</v>
      </c>
      <c r="F291">
        <f ca="1">IFERROR(__xludf.DUMMYFUNCTION("GOOGLEFINANCE(C291,""change"")"),-7.65)</f>
        <v>-7.65</v>
      </c>
      <c r="G291" s="2">
        <f ca="1">IFERROR(__xludf.DUMMYFUNCTION("GOOGLEFINANCE(C291,""changepct"")/100"),-0.0204)</f>
        <v>-2.0400000000000001E-2</v>
      </c>
      <c r="H291">
        <f ca="1">IFERROR(__xludf.DUMMYFUNCTION("GOOGLEFINANCE(C291,""marketcap"")"),197952134405)</f>
        <v>197952134405</v>
      </c>
    </row>
    <row r="292" spans="1:8" ht="12.75" hidden="1" x14ac:dyDescent="0.2">
      <c r="A292" s="1" t="s">
        <v>611</v>
      </c>
      <c r="B292" s="1" t="s">
        <v>11</v>
      </c>
      <c r="C292" s="1" t="s">
        <v>612</v>
      </c>
      <c r="D292" s="1" t="s">
        <v>13</v>
      </c>
      <c r="E292">
        <f ca="1">IFERROR(__xludf.DUMMYFUNCTION("GOOGLEFINANCE(C292)"),43.9)</f>
        <v>43.9</v>
      </c>
      <c r="F292">
        <f ca="1">IFERROR(__xludf.DUMMYFUNCTION("GOOGLEFINANCE(C292,""change"")"),2)</f>
        <v>2</v>
      </c>
      <c r="G292" s="2">
        <f ca="1">IFERROR(__xludf.DUMMYFUNCTION("GOOGLEFINANCE(C292,""changepct"")/100"),0.0476999999999999)</f>
        <v>4.7699999999999902E-2</v>
      </c>
      <c r="H292">
        <f ca="1">IFERROR(__xludf.DUMMYFUNCTION("GOOGLEFINANCE(C292,""marketcap"")"),34535694375)</f>
        <v>34535694375</v>
      </c>
    </row>
    <row r="293" spans="1:8" ht="12.75" hidden="1" x14ac:dyDescent="0.2">
      <c r="A293" s="1" t="s">
        <v>613</v>
      </c>
      <c r="B293" s="1" t="s">
        <v>35</v>
      </c>
      <c r="C293" s="1" t="s">
        <v>614</v>
      </c>
      <c r="D293" s="1" t="s">
        <v>13</v>
      </c>
      <c r="E293">
        <f ca="1">IFERROR(__xludf.DUMMYFUNCTION("GOOGLEFINANCE(C293)"),1269.9)</f>
        <v>1269.9000000000001</v>
      </c>
      <c r="F293">
        <f ca="1">IFERROR(__xludf.DUMMYFUNCTION("GOOGLEFINANCE(C293,""change"")"),104.05)</f>
        <v>104.05</v>
      </c>
      <c r="G293" s="2">
        <f ca="1">IFERROR(__xludf.DUMMYFUNCTION("GOOGLEFINANCE(C293,""changepct"")/100"),0.0892)</f>
        <v>8.9200000000000002E-2</v>
      </c>
      <c r="H293">
        <f ca="1">IFERROR(__xludf.DUMMYFUNCTION("GOOGLEFINANCE(C293,""marketcap"")"),106727708849)</f>
        <v>106727708849</v>
      </c>
    </row>
    <row r="294" spans="1:8" ht="12.75" x14ac:dyDescent="0.2">
      <c r="A294" s="1" t="s">
        <v>615</v>
      </c>
      <c r="B294" s="1" t="s">
        <v>32</v>
      </c>
      <c r="C294" s="1" t="s">
        <v>616</v>
      </c>
      <c r="D294" s="1" t="s">
        <v>22</v>
      </c>
      <c r="E294">
        <f ca="1">IFERROR(__xludf.DUMMYFUNCTION("GOOGLEFINANCE(C294)"),1058)</f>
        <v>1058</v>
      </c>
      <c r="F294">
        <f ca="1">IFERROR(__xludf.DUMMYFUNCTION("GOOGLEFINANCE(C294,""change"")"),5)</f>
        <v>5</v>
      </c>
      <c r="G294" s="2">
        <f ca="1">IFERROR(__xludf.DUMMYFUNCTION("GOOGLEFINANCE(C294,""changepct"")/100"),0.00469999999999999)</f>
        <v>4.6999999999999898E-3</v>
      </c>
      <c r="H294">
        <f ca="1">IFERROR(__xludf.DUMMYFUNCTION("GOOGLEFINANCE(C294,""marketcap"")"),480292756019)</f>
        <v>480292756019</v>
      </c>
    </row>
    <row r="295" spans="1:8" ht="12.75" hidden="1" x14ac:dyDescent="0.2">
      <c r="A295" s="1" t="s">
        <v>617</v>
      </c>
      <c r="B295" s="1" t="s">
        <v>78</v>
      </c>
      <c r="C295" s="1" t="s">
        <v>618</v>
      </c>
      <c r="D295" s="1" t="s">
        <v>13</v>
      </c>
      <c r="E295">
        <f ca="1">IFERROR(__xludf.DUMMYFUNCTION("GOOGLEFINANCE(C295)"),1800)</f>
        <v>1800</v>
      </c>
      <c r="F295">
        <f ca="1">IFERROR(__xludf.DUMMYFUNCTION("GOOGLEFINANCE(C295,""change"")"),-38.45)</f>
        <v>-38.450000000000003</v>
      </c>
      <c r="G295" s="2">
        <f ca="1">IFERROR(__xludf.DUMMYFUNCTION("GOOGLEFINANCE(C295,""changepct"")/100"),-0.0209)</f>
        <v>-2.0899999999999998E-2</v>
      </c>
      <c r="H295">
        <f ca="1">IFERROR(__xludf.DUMMYFUNCTION("GOOGLEFINANCE(C295,""marketcap"")"),45455400000)</f>
        <v>45455400000</v>
      </c>
    </row>
    <row r="296" spans="1:8" ht="12.75" hidden="1" x14ac:dyDescent="0.2">
      <c r="A296" s="1" t="s">
        <v>619</v>
      </c>
      <c r="B296" s="1" t="s">
        <v>29</v>
      </c>
      <c r="C296" s="1" t="s">
        <v>620</v>
      </c>
      <c r="D296" s="1" t="s">
        <v>13</v>
      </c>
      <c r="E296">
        <f ca="1">IFERROR(__xludf.DUMMYFUNCTION("GOOGLEFINANCE(C296)"),845)</f>
        <v>845</v>
      </c>
      <c r="F296">
        <f ca="1">IFERROR(__xludf.DUMMYFUNCTION("GOOGLEFINANCE(C296,""change"")"),-2.6)</f>
        <v>-2.6</v>
      </c>
      <c r="G296" s="2">
        <f ca="1">IFERROR(__xludf.DUMMYFUNCTION("GOOGLEFINANCE(C296,""changepct"")/100"),-0.0031)</f>
        <v>-3.0999999999999999E-3</v>
      </c>
      <c r="H296">
        <f ca="1">IFERROR(__xludf.DUMMYFUNCTION("GOOGLEFINANCE(C296,""marketcap"")"),46189423800)</f>
        <v>46189423800</v>
      </c>
    </row>
    <row r="297" spans="1:8" ht="12.75" hidden="1" x14ac:dyDescent="0.2">
      <c r="A297" s="1" t="s">
        <v>621</v>
      </c>
      <c r="B297" s="1" t="s">
        <v>11</v>
      </c>
      <c r="C297" s="1" t="s">
        <v>622</v>
      </c>
      <c r="D297" s="1" t="s">
        <v>13</v>
      </c>
      <c r="E297">
        <f ca="1">IFERROR(__xludf.DUMMYFUNCTION("GOOGLEFINANCE(C297)"),27.95)</f>
        <v>27.95</v>
      </c>
      <c r="F297">
        <f ca="1">IFERROR(__xludf.DUMMYFUNCTION("GOOGLEFINANCE(C297,""change"")"),-0.65)</f>
        <v>-0.65</v>
      </c>
      <c r="G297" s="2">
        <f ca="1">IFERROR(__xludf.DUMMYFUNCTION("GOOGLEFINANCE(C297,""changepct"")/100"),-0.0227)</f>
        <v>-2.2700000000000001E-2</v>
      </c>
      <c r="H297">
        <f ca="1">IFERROR(__xludf.DUMMYFUNCTION("GOOGLEFINANCE(C297,""marketcap"")"),42148658153)</f>
        <v>42148658153</v>
      </c>
    </row>
    <row r="298" spans="1:8" ht="12.75" hidden="1" x14ac:dyDescent="0.2">
      <c r="A298" s="1" t="s">
        <v>623</v>
      </c>
      <c r="B298" s="1" t="s">
        <v>26</v>
      </c>
      <c r="C298" s="1" t="s">
        <v>624</v>
      </c>
      <c r="D298" s="1" t="s">
        <v>13</v>
      </c>
      <c r="E298">
        <f ca="1">IFERROR(__xludf.DUMMYFUNCTION("GOOGLEFINANCE(C298)"),139.75)</f>
        <v>139.75</v>
      </c>
      <c r="F298">
        <f ca="1">IFERROR(__xludf.DUMMYFUNCTION("GOOGLEFINANCE(C298,""change"")"),-2.9)</f>
        <v>-2.9</v>
      </c>
      <c r="G298" s="2">
        <f ca="1">IFERROR(__xludf.DUMMYFUNCTION("GOOGLEFINANCE(C298,""changepct"")/100"),-0.0203)</f>
        <v>-2.0299999999999999E-2</v>
      </c>
      <c r="H298">
        <f ca="1">IFERROR(__xludf.DUMMYFUNCTION("GOOGLEFINANCE(C298,""marketcap"")"),33023871549)</f>
        <v>33023871549</v>
      </c>
    </row>
    <row r="299" spans="1:8" ht="12.75" x14ac:dyDescent="0.2">
      <c r="A299" s="1" t="s">
        <v>625</v>
      </c>
      <c r="B299" s="1" t="s">
        <v>81</v>
      </c>
      <c r="C299" s="1" t="s">
        <v>626</v>
      </c>
      <c r="D299" s="1" t="s">
        <v>22</v>
      </c>
      <c r="E299">
        <f ca="1">IFERROR(__xludf.DUMMYFUNCTION("GOOGLEFINANCE(C299)"),90495)</f>
        <v>90495</v>
      </c>
      <c r="F299">
        <f ca="1">IFERROR(__xludf.DUMMYFUNCTION("GOOGLEFINANCE(C299,""change"")"),-783.05)</f>
        <v>-783.05</v>
      </c>
      <c r="G299" s="2">
        <f ca="1">IFERROR(__xludf.DUMMYFUNCTION("GOOGLEFINANCE(C299,""changepct"")/100"),-0.0086)</f>
        <v>-8.6E-3</v>
      </c>
      <c r="H299">
        <f ca="1">IFERROR(__xludf.DUMMYFUNCTION("GOOGLEFINANCE(C299,""marketcap"")"),384278638375)</f>
        <v>384278638375</v>
      </c>
    </row>
    <row r="300" spans="1:8" ht="12.75" x14ac:dyDescent="0.2">
      <c r="A300" s="1" t="s">
        <v>627</v>
      </c>
      <c r="B300" s="1" t="s">
        <v>49</v>
      </c>
      <c r="C300" s="1" t="s">
        <v>628</v>
      </c>
      <c r="D300" s="1" t="s">
        <v>22</v>
      </c>
      <c r="E300">
        <f ca="1">IFERROR(__xludf.DUMMYFUNCTION("GOOGLEFINANCE(C300)"),1131.7)</f>
        <v>1131.7</v>
      </c>
      <c r="F300">
        <f ca="1">IFERROR(__xludf.DUMMYFUNCTION("GOOGLEFINANCE(C300,""change"")"),-8.85)</f>
        <v>-8.85</v>
      </c>
      <c r="G300" s="2">
        <f ca="1">IFERROR(__xludf.DUMMYFUNCTION("GOOGLEFINANCE(C300,""changepct"")/100"),-0.0078)</f>
        <v>-7.7999999999999996E-3</v>
      </c>
      <c r="H300">
        <f ca="1">IFERROR(__xludf.DUMMYFUNCTION("GOOGLEFINANCE(C300,""marketcap"")"),111959609362)</f>
        <v>111959609362</v>
      </c>
    </row>
    <row r="301" spans="1:8" ht="12.75" hidden="1" x14ac:dyDescent="0.2">
      <c r="A301" s="1" t="s">
        <v>629</v>
      </c>
      <c r="B301" s="1" t="s">
        <v>81</v>
      </c>
      <c r="C301" s="1" t="s">
        <v>630</v>
      </c>
      <c r="D301" s="1" t="s">
        <v>13</v>
      </c>
      <c r="E301">
        <f ca="1">IFERROR(__xludf.DUMMYFUNCTION("GOOGLEFINANCE(C301)"),3909.95)</f>
        <v>3909.95</v>
      </c>
      <c r="F301">
        <f ca="1">IFERROR(__xludf.DUMMYFUNCTION("GOOGLEFINANCE(C301,""change"")"),63.8)</f>
        <v>63.8</v>
      </c>
      <c r="G301" s="2">
        <f ca="1">IFERROR(__xludf.DUMMYFUNCTION("GOOGLEFINANCE(C301,""changepct"")/100"),0.0166)</f>
        <v>1.66E-2</v>
      </c>
      <c r="H301">
        <f ca="1">IFERROR(__xludf.DUMMYFUNCTION("GOOGLEFINANCE(C301,""marketcap"")"),44685097613)</f>
        <v>44685097613</v>
      </c>
    </row>
    <row r="302" spans="1:8" ht="12.75" hidden="1" x14ac:dyDescent="0.2">
      <c r="A302" s="1" t="s">
        <v>631</v>
      </c>
      <c r="B302" s="1" t="s">
        <v>26</v>
      </c>
      <c r="C302" s="1" t="s">
        <v>632</v>
      </c>
      <c r="D302" s="1" t="s">
        <v>13</v>
      </c>
      <c r="E302">
        <f ca="1">IFERROR(__xludf.DUMMYFUNCTION("GOOGLEFINANCE(C302)"),281.25)</f>
        <v>281.25</v>
      </c>
      <c r="F302">
        <f ca="1">IFERROR(__xludf.DUMMYFUNCTION("GOOGLEFINANCE(C302,""change"")"),-5.25)</f>
        <v>-5.25</v>
      </c>
      <c r="G302" s="2">
        <f ca="1">IFERROR(__xludf.DUMMYFUNCTION("GOOGLEFINANCE(C302,""changepct"")/100"),-0.0183)</f>
        <v>-1.83E-2</v>
      </c>
      <c r="H302">
        <f ca="1">IFERROR(__xludf.DUMMYFUNCTION("GOOGLEFINANCE(C302,""marketcap"")"),18843640312)</f>
        <v>18843640312</v>
      </c>
    </row>
    <row r="303" spans="1:8" ht="12.75" x14ac:dyDescent="0.2">
      <c r="A303" s="1" t="s">
        <v>633</v>
      </c>
      <c r="B303" s="1" t="s">
        <v>29</v>
      </c>
      <c r="C303" s="1" t="s">
        <v>634</v>
      </c>
      <c r="D303" s="1" t="s">
        <v>22</v>
      </c>
      <c r="E303">
        <f ca="1">IFERROR(__xludf.DUMMYFUNCTION("GOOGLEFINANCE(C303)"),219)</f>
        <v>219</v>
      </c>
      <c r="F303">
        <f ca="1">IFERROR(__xludf.DUMMYFUNCTION("GOOGLEFINANCE(C303,""change"")"),13.55)</f>
        <v>13.55</v>
      </c>
      <c r="G303" s="2">
        <f ca="1">IFERROR(__xludf.DUMMYFUNCTION("GOOGLEFINANCE(C303,""changepct"")/100"),0.066)</f>
        <v>6.6000000000000003E-2</v>
      </c>
      <c r="H303">
        <f ca="1">IFERROR(__xludf.DUMMYFUNCTION("GOOGLEFINANCE(C303,""marketcap"")"),268933130975)</f>
        <v>268933130975</v>
      </c>
    </row>
    <row r="304" spans="1:8" ht="12.75" x14ac:dyDescent="0.2">
      <c r="A304" s="1" t="s">
        <v>635</v>
      </c>
      <c r="B304" s="1" t="s">
        <v>81</v>
      </c>
      <c r="C304" s="1" t="s">
        <v>636</v>
      </c>
      <c r="D304" s="1" t="s">
        <v>22</v>
      </c>
      <c r="E304">
        <f ca="1">IFERROR(__xludf.DUMMYFUNCTION("GOOGLEFINANCE(C304)"),909.8)</f>
        <v>909.8</v>
      </c>
      <c r="F304">
        <f ca="1">IFERROR(__xludf.DUMMYFUNCTION("GOOGLEFINANCE(C304,""change"")"),1.25)</f>
        <v>1.25</v>
      </c>
      <c r="G304" s="2">
        <f ca="1">IFERROR(__xludf.DUMMYFUNCTION("GOOGLEFINANCE(C304,""changepct"")/100"),0.0014)</f>
        <v>1.4E-3</v>
      </c>
      <c r="H304">
        <f ca="1">IFERROR(__xludf.DUMMYFUNCTION("GOOGLEFINANCE(C304,""marketcap"")"),1088806372630)</f>
        <v>1088806372630</v>
      </c>
    </row>
    <row r="305" spans="1:8" ht="12.75" hidden="1" x14ac:dyDescent="0.2">
      <c r="A305" s="1" t="s">
        <v>637</v>
      </c>
      <c r="B305" s="1" t="s">
        <v>15</v>
      </c>
      <c r="C305" s="1" t="s">
        <v>638</v>
      </c>
      <c r="D305" s="1" t="s">
        <v>13</v>
      </c>
      <c r="E305">
        <f ca="1">IFERROR(__xludf.DUMMYFUNCTION("GOOGLEFINANCE(C305)"),201.65)</f>
        <v>201.65</v>
      </c>
      <c r="F305">
        <f ca="1">IFERROR(__xludf.DUMMYFUNCTION("GOOGLEFINANCE(C305,""change"")"),33.6)</f>
        <v>33.6</v>
      </c>
      <c r="G305" s="2">
        <f ca="1">IFERROR(__xludf.DUMMYFUNCTION("GOOGLEFINANCE(C305,""changepct"")/100"),0.1999)</f>
        <v>0.19989999999999999</v>
      </c>
      <c r="H305">
        <f ca="1">IFERROR(__xludf.DUMMYFUNCTION("GOOGLEFINANCE(C305,""marketcap"")"),76419915327)</f>
        <v>76419915327</v>
      </c>
    </row>
    <row r="306" spans="1:8" ht="12.75" hidden="1" x14ac:dyDescent="0.2">
      <c r="A306" s="1" t="s">
        <v>639</v>
      </c>
      <c r="B306" s="1" t="s">
        <v>11</v>
      </c>
      <c r="C306" s="1" t="s">
        <v>640</v>
      </c>
      <c r="D306" s="1" t="s">
        <v>13</v>
      </c>
      <c r="E306">
        <f ca="1">IFERROR(__xludf.DUMMYFUNCTION("GOOGLEFINANCE(C306)"),234.7)</f>
        <v>234.7</v>
      </c>
      <c r="F306">
        <f ca="1">IFERROR(__xludf.DUMMYFUNCTION("GOOGLEFINANCE(C306,""change"")"),-2.5)</f>
        <v>-2.5</v>
      </c>
      <c r="G306" s="2">
        <f ca="1">IFERROR(__xludf.DUMMYFUNCTION("GOOGLEFINANCE(C306,""changepct"")/100"),-0.0105)</f>
        <v>-1.0500000000000001E-2</v>
      </c>
      <c r="H306">
        <f ca="1">IFERROR(__xludf.DUMMYFUNCTION("GOOGLEFINANCE(C306,""marketcap"")"),30964105725)</f>
        <v>30964105725</v>
      </c>
    </row>
    <row r="307" spans="1:8" ht="12.75" hidden="1" x14ac:dyDescent="0.2">
      <c r="A307" s="1" t="s">
        <v>641</v>
      </c>
      <c r="B307" s="1" t="s">
        <v>11</v>
      </c>
      <c r="C307" s="1" t="s">
        <v>642</v>
      </c>
      <c r="D307" s="1" t="s">
        <v>13</v>
      </c>
      <c r="E307">
        <f ca="1">IFERROR(__xludf.DUMMYFUNCTION("GOOGLEFINANCE(C307)"),492.7)</f>
        <v>492.7</v>
      </c>
      <c r="F307">
        <f ca="1">IFERROR(__xludf.DUMMYFUNCTION("GOOGLEFINANCE(C307,""change"")"),5.4)</f>
        <v>5.4</v>
      </c>
      <c r="G307" s="2">
        <f ca="1">IFERROR(__xludf.DUMMYFUNCTION("GOOGLEFINANCE(C307,""changepct"")/100"),0.0111)</f>
        <v>1.11E-2</v>
      </c>
      <c r="H307">
        <f ca="1">IFERROR(__xludf.DUMMYFUNCTION("GOOGLEFINANCE(C307,""marketcap"")"),35311977392)</f>
        <v>35311977392</v>
      </c>
    </row>
    <row r="308" spans="1:8" ht="12.75" x14ac:dyDescent="0.2">
      <c r="A308" s="1" t="s">
        <v>643</v>
      </c>
      <c r="B308" s="1" t="s">
        <v>29</v>
      </c>
      <c r="C308" s="1" t="s">
        <v>644</v>
      </c>
      <c r="D308" s="1" t="s">
        <v>22</v>
      </c>
      <c r="E308">
        <f ca="1">IFERROR(__xludf.DUMMYFUNCTION("GOOGLEFINANCE(C308)"),177.8)</f>
        <v>177.8</v>
      </c>
      <c r="F308">
        <f ca="1">IFERROR(__xludf.DUMMYFUNCTION("GOOGLEFINANCE(C308,""change"")"),1.75)</f>
        <v>1.75</v>
      </c>
      <c r="G308" s="2">
        <f ca="1">IFERROR(__xludf.DUMMYFUNCTION("GOOGLEFINANCE(C308,""changepct"")/100"),0.00989999999999999)</f>
        <v>9.8999999999999904E-3</v>
      </c>
      <c r="H308">
        <f ca="1">IFERROR(__xludf.DUMMYFUNCTION("GOOGLEFINANCE(C308,""marketcap"")"),150408388350)</f>
        <v>150408388350</v>
      </c>
    </row>
    <row r="309" spans="1:8" ht="12.75" hidden="1" x14ac:dyDescent="0.2">
      <c r="A309" s="1" t="s">
        <v>645</v>
      </c>
      <c r="B309" s="1" t="s">
        <v>49</v>
      </c>
      <c r="C309" s="1" t="s">
        <v>646</v>
      </c>
      <c r="D309" s="1" t="s">
        <v>13</v>
      </c>
      <c r="E309">
        <f ca="1">IFERROR(__xludf.DUMMYFUNCTION("GOOGLEFINANCE(C309)"),34.4)</f>
        <v>34.4</v>
      </c>
      <c r="F309">
        <f ca="1">IFERROR(__xludf.DUMMYFUNCTION("GOOGLEFINANCE(C309,""change"")"),-0.4)</f>
        <v>-0.4</v>
      </c>
      <c r="G309" s="2">
        <f ca="1">IFERROR(__xludf.DUMMYFUNCTION("GOOGLEFINANCE(C309,""changepct"")/100"),-0.0115)</f>
        <v>-1.15E-2</v>
      </c>
      <c r="H309">
        <f ca="1">IFERROR(__xludf.DUMMYFUNCTION("GOOGLEFINANCE(C309,""marketcap"")"),60289373874)</f>
        <v>60289373874</v>
      </c>
    </row>
    <row r="310" spans="1:8" ht="12.75" x14ac:dyDescent="0.2">
      <c r="A310" s="1" t="s">
        <v>647</v>
      </c>
      <c r="B310" s="1" t="s">
        <v>56</v>
      </c>
      <c r="C310" s="1" t="s">
        <v>648</v>
      </c>
      <c r="D310" s="1" t="s">
        <v>22</v>
      </c>
      <c r="E310">
        <f ca="1">IFERROR(__xludf.DUMMYFUNCTION("GOOGLEFINANCE(C310)"),410.95)</f>
        <v>410.95</v>
      </c>
      <c r="F310">
        <f ca="1">IFERROR(__xludf.DUMMYFUNCTION("GOOGLEFINANCE(C310,""change"")"),-0.7)</f>
        <v>-0.7</v>
      </c>
      <c r="G310" s="2">
        <f ca="1">IFERROR(__xludf.DUMMYFUNCTION("GOOGLEFINANCE(C310,""changepct"")/100"),-0.0017)</f>
        <v>-1.6999999999999999E-3</v>
      </c>
      <c r="H310">
        <f ca="1">IFERROR(__xludf.DUMMYFUNCTION("GOOGLEFINANCE(C310,""marketcap"")"),530146474197)</f>
        <v>530146474197</v>
      </c>
    </row>
    <row r="311" spans="1:8" ht="12.75" x14ac:dyDescent="0.2">
      <c r="A311" s="1" t="s">
        <v>649</v>
      </c>
      <c r="B311" s="1" t="s">
        <v>81</v>
      </c>
      <c r="C311" s="1" t="s">
        <v>650</v>
      </c>
      <c r="D311" s="1" t="s">
        <v>22</v>
      </c>
      <c r="E311">
        <f ca="1">IFERROR(__xludf.DUMMYFUNCTION("GOOGLEFINANCE(C311)"),7600)</f>
        <v>7600</v>
      </c>
      <c r="F311">
        <f ca="1">IFERROR(__xludf.DUMMYFUNCTION("GOOGLEFINANCE(C311,""change"")"),31.5)</f>
        <v>31.5</v>
      </c>
      <c r="G311" s="2">
        <f ca="1">IFERROR(__xludf.DUMMYFUNCTION("GOOGLEFINANCE(C311,""changepct"")/100"),0.0042)</f>
        <v>4.1999999999999997E-3</v>
      </c>
      <c r="H311">
        <f ca="1">IFERROR(__xludf.DUMMYFUNCTION("GOOGLEFINANCE(C311,""marketcap"")"),2294238255804)</f>
        <v>2294238255804</v>
      </c>
    </row>
    <row r="312" spans="1:8" ht="12.75" x14ac:dyDescent="0.2">
      <c r="A312" s="1" t="s">
        <v>651</v>
      </c>
      <c r="B312" s="1" t="s">
        <v>29</v>
      </c>
      <c r="C312" s="1" t="s">
        <v>652</v>
      </c>
      <c r="D312" s="1" t="s">
        <v>22</v>
      </c>
      <c r="E312">
        <f ca="1">IFERROR(__xludf.DUMMYFUNCTION("GOOGLEFINANCE(C312)"),822.3)</f>
        <v>822.3</v>
      </c>
      <c r="F312">
        <f ca="1">IFERROR(__xludf.DUMMYFUNCTION("GOOGLEFINANCE(C312,""change"")"),12.9)</f>
        <v>12.9</v>
      </c>
      <c r="G312" s="2">
        <f ca="1">IFERROR(__xludf.DUMMYFUNCTION("GOOGLEFINANCE(C312,""changepct"")/100"),0.0159)</f>
        <v>1.5900000000000001E-2</v>
      </c>
      <c r="H312">
        <f ca="1">IFERROR(__xludf.DUMMYFUNCTION("GOOGLEFINANCE(C312,""marketcap"")"),282456143882)</f>
        <v>282456143882</v>
      </c>
    </row>
    <row r="313" spans="1:8" ht="12.75" hidden="1" x14ac:dyDescent="0.2">
      <c r="A313" s="1" t="s">
        <v>653</v>
      </c>
      <c r="B313" s="1" t="s">
        <v>88</v>
      </c>
      <c r="C313" s="1" t="s">
        <v>654</v>
      </c>
      <c r="D313" s="1" t="s">
        <v>13</v>
      </c>
      <c r="E313">
        <f ca="1">IFERROR(__xludf.DUMMYFUNCTION("GOOGLEFINANCE(C313)"),2015.7)</f>
        <v>2015.7</v>
      </c>
      <c r="F313">
        <f ca="1">IFERROR(__xludf.DUMMYFUNCTION("GOOGLEFINANCE(C313,""change"")"),-23.6)</f>
        <v>-23.6</v>
      </c>
      <c r="G313" s="2">
        <f ca="1">IFERROR(__xludf.DUMMYFUNCTION("GOOGLEFINANCE(C313,""changepct"")/100"),-0.0116)</f>
        <v>-1.1599999999999999E-2</v>
      </c>
      <c r="H313">
        <f ca="1">IFERROR(__xludf.DUMMYFUNCTION("GOOGLEFINANCE(C313,""marketcap"")"),102808666983)</f>
        <v>102808666983</v>
      </c>
    </row>
    <row r="314" spans="1:8" ht="12.75" x14ac:dyDescent="0.2">
      <c r="A314" s="1" t="s">
        <v>655</v>
      </c>
      <c r="B314" s="1" t="s">
        <v>63</v>
      </c>
      <c r="C314" s="1" t="s">
        <v>656</v>
      </c>
      <c r="D314" s="1" t="s">
        <v>22</v>
      </c>
      <c r="E314">
        <f ca="1">IFERROR(__xludf.DUMMYFUNCTION("GOOGLEFINANCE(C314)"),1716.8)</f>
        <v>1716.8</v>
      </c>
      <c r="F314">
        <f ca="1">IFERROR(__xludf.DUMMYFUNCTION("GOOGLEFINANCE(C314,""change"")"),-7.3)</f>
        <v>-7.3</v>
      </c>
      <c r="G314" s="2">
        <f ca="1">IFERROR(__xludf.DUMMYFUNCTION("GOOGLEFINANCE(C314,""changepct"")/100"),-0.0042)</f>
        <v>-4.1999999999999997E-3</v>
      </c>
      <c r="H314">
        <f ca="1">IFERROR(__xludf.DUMMYFUNCTION("GOOGLEFINANCE(C314,""marketcap"")"),282247636600)</f>
        <v>282247636600</v>
      </c>
    </row>
    <row r="315" spans="1:8" ht="12.75" hidden="1" x14ac:dyDescent="0.2">
      <c r="A315" s="1" t="s">
        <v>657</v>
      </c>
      <c r="B315" s="1" t="s">
        <v>81</v>
      </c>
      <c r="C315" s="1" t="s">
        <v>658</v>
      </c>
      <c r="D315" s="1" t="s">
        <v>13</v>
      </c>
      <c r="E315">
        <f ca="1">IFERROR(__xludf.DUMMYFUNCTION("GOOGLEFINANCE(C315)"),94.85)</f>
        <v>94.85</v>
      </c>
      <c r="F315">
        <f ca="1">IFERROR(__xludf.DUMMYFUNCTION("GOOGLEFINANCE(C315,""change"")"),-2.85)</f>
        <v>-2.85</v>
      </c>
      <c r="G315" s="2">
        <f ca="1">IFERROR(__xludf.DUMMYFUNCTION("GOOGLEFINANCE(C315,""changepct"")/100"),-0.0292)</f>
        <v>-2.92E-2</v>
      </c>
      <c r="H315">
        <f ca="1">IFERROR(__xludf.DUMMYFUNCTION("GOOGLEFINANCE(C315,""marketcap"")"),22380596900)</f>
        <v>22380596900</v>
      </c>
    </row>
    <row r="316" spans="1:8" ht="12.75" hidden="1" x14ac:dyDescent="0.2">
      <c r="A316" s="1" t="s">
        <v>659</v>
      </c>
      <c r="B316" s="1" t="s">
        <v>81</v>
      </c>
      <c r="C316" s="1" t="s">
        <v>660</v>
      </c>
      <c r="D316" s="1" t="s">
        <v>13</v>
      </c>
      <c r="E316">
        <f ca="1">IFERROR(__xludf.DUMMYFUNCTION("GOOGLEFINANCE(C316)"),583)</f>
        <v>583</v>
      </c>
      <c r="F316">
        <f ca="1">IFERROR(__xludf.DUMMYFUNCTION("GOOGLEFINANCE(C316,""change"")"),-3.1)</f>
        <v>-3.1</v>
      </c>
      <c r="G316" s="2">
        <f ca="1">IFERROR(__xludf.DUMMYFUNCTION("GOOGLEFINANCE(C316,""changepct"")/100"),-0.0053)</f>
        <v>-5.3E-3</v>
      </c>
      <c r="H316">
        <f ca="1">IFERROR(__xludf.DUMMYFUNCTION("GOOGLEFINANCE(C316,""marketcap"")"),157611056000)</f>
        <v>157611056000</v>
      </c>
    </row>
    <row r="317" spans="1:8" ht="12.75" hidden="1" x14ac:dyDescent="0.2">
      <c r="A317" s="1" t="s">
        <v>661</v>
      </c>
      <c r="B317" s="1" t="s">
        <v>26</v>
      </c>
      <c r="C317" s="1" t="s">
        <v>662</v>
      </c>
      <c r="D317" s="1" t="s">
        <v>13</v>
      </c>
      <c r="E317">
        <f ca="1">IFERROR(__xludf.DUMMYFUNCTION("GOOGLEFINANCE(C317)"),184.8)</f>
        <v>184.8</v>
      </c>
      <c r="F317">
        <f ca="1">IFERROR(__xludf.DUMMYFUNCTION("GOOGLEFINANCE(C317,""change"")"),-2.75)</f>
        <v>-2.75</v>
      </c>
      <c r="G317" s="2">
        <f ca="1">IFERROR(__xludf.DUMMYFUNCTION("GOOGLEFINANCE(C317,""changepct"")/100"),-0.0147)</f>
        <v>-1.47E-2</v>
      </c>
      <c r="H317">
        <f ca="1">IFERROR(__xludf.DUMMYFUNCTION("GOOGLEFINANCE(C317,""marketcap"")"),34564370071)</f>
        <v>34564370071</v>
      </c>
    </row>
    <row r="318" spans="1:8" ht="12.75" x14ac:dyDescent="0.2">
      <c r="A318" s="1" t="s">
        <v>663</v>
      </c>
      <c r="B318" s="1" t="s">
        <v>81</v>
      </c>
      <c r="C318" s="1" t="s">
        <v>664</v>
      </c>
      <c r="D318" s="1" t="s">
        <v>22</v>
      </c>
      <c r="E318">
        <f ca="1">IFERROR(__xludf.DUMMYFUNCTION("GOOGLEFINANCE(C318)"),211.25)</f>
        <v>211.25</v>
      </c>
      <c r="F318">
        <f ca="1">IFERROR(__xludf.DUMMYFUNCTION("GOOGLEFINANCE(C318,""change"")"),13.95)</f>
        <v>13.95</v>
      </c>
      <c r="G318" s="2">
        <f ca="1">IFERROR(__xludf.DUMMYFUNCTION("GOOGLEFINANCE(C318,""changepct"")/100"),0.0707)</f>
        <v>7.0699999999999999E-2</v>
      </c>
      <c r="H318">
        <f ca="1">IFERROR(__xludf.DUMMYFUNCTION("GOOGLEFINANCE(C318,""marketcap"")"),665545244160)</f>
        <v>665545244160</v>
      </c>
    </row>
    <row r="319" spans="1:8" ht="12.75" hidden="1" x14ac:dyDescent="0.2">
      <c r="A319" s="1" t="s">
        <v>665</v>
      </c>
      <c r="B319" s="1" t="s">
        <v>29</v>
      </c>
      <c r="C319" s="1" t="s">
        <v>666</v>
      </c>
      <c r="D319" s="1" t="s">
        <v>13</v>
      </c>
      <c r="E319">
        <f ca="1">IFERROR(__xludf.DUMMYFUNCTION("GOOGLEFINANCE(C319)"),603)</f>
        <v>603</v>
      </c>
      <c r="F319">
        <f ca="1">IFERROR(__xludf.DUMMYFUNCTION("GOOGLEFINANCE(C319,""change"")"),3.25)</f>
        <v>3.25</v>
      </c>
      <c r="G319" s="2">
        <f ca="1">IFERROR(__xludf.DUMMYFUNCTION("GOOGLEFINANCE(C319,""changepct"")/100"),0.0054)</f>
        <v>5.4000000000000003E-3</v>
      </c>
      <c r="H319">
        <f ca="1">IFERROR(__xludf.DUMMYFUNCTION("GOOGLEFINANCE(C319,""marketcap"")"),88361991900)</f>
        <v>88361991900</v>
      </c>
    </row>
    <row r="320" spans="1:8" ht="12.75" hidden="1" x14ac:dyDescent="0.2">
      <c r="A320" s="1" t="s">
        <v>667</v>
      </c>
      <c r="B320" s="1" t="s">
        <v>63</v>
      </c>
      <c r="C320" s="1" t="s">
        <v>668</v>
      </c>
      <c r="D320" s="1" t="s">
        <v>13</v>
      </c>
      <c r="E320">
        <f ca="1">IFERROR(__xludf.DUMMYFUNCTION("GOOGLEFINANCE(C320)"),1658.25)</f>
        <v>1658.25</v>
      </c>
      <c r="F320">
        <f ca="1">IFERROR(__xludf.DUMMYFUNCTION("GOOGLEFINANCE(C320,""change"")"),11.8)</f>
        <v>11.8</v>
      </c>
      <c r="G320" s="2">
        <f ca="1">IFERROR(__xludf.DUMMYFUNCTION("GOOGLEFINANCE(C320,""changepct"")/100"),0.0072)</f>
        <v>7.1999999999999998E-3</v>
      </c>
      <c r="H320">
        <f ca="1">IFERROR(__xludf.DUMMYFUNCTION("GOOGLEFINANCE(C320,""marketcap"")"),310080862000)</f>
        <v>310080862000</v>
      </c>
    </row>
    <row r="321" spans="1:8" ht="12.75" hidden="1" x14ac:dyDescent="0.2">
      <c r="A321" s="1" t="s">
        <v>669</v>
      </c>
      <c r="B321" s="1" t="s">
        <v>29</v>
      </c>
      <c r="C321" s="1" t="s">
        <v>670</v>
      </c>
      <c r="D321" s="1" t="s">
        <v>13</v>
      </c>
      <c r="E321">
        <f ca="1">IFERROR(__xludf.DUMMYFUNCTION("GOOGLEFINANCE(C321)"),1535.7)</f>
        <v>1535.7</v>
      </c>
      <c r="F321">
        <f ca="1">IFERROR(__xludf.DUMMYFUNCTION("GOOGLEFINANCE(C321,""change"")"),-28.9)</f>
        <v>-28.9</v>
      </c>
      <c r="G321" s="2">
        <f ca="1">IFERROR(__xludf.DUMMYFUNCTION("GOOGLEFINANCE(C321,""changepct"")/100"),-0.0185)</f>
        <v>-1.8499999999999999E-2</v>
      </c>
      <c r="H321">
        <f ca="1">IFERROR(__xludf.DUMMYFUNCTION("GOOGLEFINANCE(C321,""marketcap"")"),78328669468)</f>
        <v>78328669468</v>
      </c>
    </row>
    <row r="322" spans="1:8" ht="12.75" x14ac:dyDescent="0.2">
      <c r="A322" s="1" t="s">
        <v>671</v>
      </c>
      <c r="B322" s="1" t="s">
        <v>29</v>
      </c>
      <c r="C322" s="1" t="s">
        <v>672</v>
      </c>
      <c r="D322" s="1" t="s">
        <v>22</v>
      </c>
      <c r="E322">
        <f ca="1">IFERROR(__xludf.DUMMYFUNCTION("GOOGLEFINANCE(C322)"),1316.75)</f>
        <v>1316.75</v>
      </c>
      <c r="F322">
        <f ca="1">IFERROR(__xludf.DUMMYFUNCTION("GOOGLEFINANCE(C322,""change"")"),1.75)</f>
        <v>1.75</v>
      </c>
      <c r="G322" s="2">
        <f ca="1">IFERROR(__xludf.DUMMYFUNCTION("GOOGLEFINANCE(C322,""changepct"")/100"),0.0013)</f>
        <v>1.2999999999999999E-3</v>
      </c>
      <c r="H322">
        <f ca="1">IFERROR(__xludf.DUMMYFUNCTION("GOOGLEFINANCE(C322,""marketcap"")"),528265747425)</f>
        <v>528265747425</v>
      </c>
    </row>
    <row r="323" spans="1:8" ht="12.75" hidden="1" x14ac:dyDescent="0.2">
      <c r="A323" s="1" t="s">
        <v>673</v>
      </c>
      <c r="B323" s="1" t="s">
        <v>32</v>
      </c>
      <c r="C323" s="1" t="s">
        <v>674</v>
      </c>
      <c r="D323" s="1" t="s">
        <v>13</v>
      </c>
      <c r="E323">
        <f ca="1">IFERROR(__xludf.DUMMYFUNCTION("GOOGLEFINANCE(C323)"),836)</f>
        <v>836</v>
      </c>
      <c r="F323">
        <f ca="1">IFERROR(__xludf.DUMMYFUNCTION("GOOGLEFINANCE(C323,""change"")"),-18)</f>
        <v>-18</v>
      </c>
      <c r="G323" s="2">
        <f ca="1">IFERROR(__xludf.DUMMYFUNCTION("GOOGLEFINANCE(C323,""changepct"")/100"),-0.0210999999999999)</f>
        <v>-2.10999999999999E-2</v>
      </c>
      <c r="H323">
        <f ca="1">IFERROR(__xludf.DUMMYFUNCTION("GOOGLEFINANCE(C323,""marketcap"")"),152434400800)</f>
        <v>152434400800</v>
      </c>
    </row>
    <row r="324" spans="1:8" ht="12.75" hidden="1" x14ac:dyDescent="0.2">
      <c r="A324" s="1" t="s">
        <v>675</v>
      </c>
      <c r="B324" s="1" t="s">
        <v>95</v>
      </c>
      <c r="C324" s="1" t="s">
        <v>676</v>
      </c>
      <c r="D324" s="1" t="s">
        <v>13</v>
      </c>
      <c r="E324">
        <f ca="1">IFERROR(__xludf.DUMMYFUNCTION("GOOGLEFINANCE(C324)"),32.1)</f>
        <v>32.1</v>
      </c>
      <c r="F324">
        <f ca="1">IFERROR(__xludf.DUMMYFUNCTION("GOOGLEFINANCE(C324,""change"")"),-0.55)</f>
        <v>-0.55000000000000004</v>
      </c>
      <c r="G324" s="2">
        <f ca="1">IFERROR(__xludf.DUMMYFUNCTION("GOOGLEFINANCE(C324,""changepct"")/100"),-0.0168)</f>
        <v>-1.6799999999999999E-2</v>
      </c>
      <c r="H324">
        <f ca="1">IFERROR(__xludf.DUMMYFUNCTION("GOOGLEFINANCE(C324,""marketcap"")"),58139010000)</f>
        <v>58139010000</v>
      </c>
    </row>
    <row r="325" spans="1:8" ht="12.75" hidden="1" x14ac:dyDescent="0.2">
      <c r="A325" s="1" t="s">
        <v>677</v>
      </c>
      <c r="B325" s="1" t="s">
        <v>95</v>
      </c>
      <c r="C325" s="1" t="s">
        <v>678</v>
      </c>
      <c r="D325" s="1" t="s">
        <v>13</v>
      </c>
      <c r="E325">
        <f ca="1">IFERROR(__xludf.DUMMYFUNCTION("GOOGLEFINANCE(C325)"),84.8)</f>
        <v>84.8</v>
      </c>
      <c r="F325">
        <f ca="1">IFERROR(__xludf.DUMMYFUNCTION("GOOGLEFINANCE(C325,""change"")"),0.5)</f>
        <v>0.5</v>
      </c>
      <c r="G325" s="2">
        <f ca="1">IFERROR(__xludf.DUMMYFUNCTION("GOOGLEFINANCE(C325,""changepct"")/100"),0.0059)</f>
        <v>5.8999999999999999E-3</v>
      </c>
      <c r="H325">
        <f ca="1">IFERROR(__xludf.DUMMYFUNCTION("GOOGLEFINANCE(C325,""marketcap"")"),52020274625)</f>
        <v>52020274625</v>
      </c>
    </row>
    <row r="326" spans="1:8" ht="12.75" hidden="1" x14ac:dyDescent="0.2">
      <c r="A326" s="1" t="s">
        <v>679</v>
      </c>
      <c r="B326" s="1" t="s">
        <v>11</v>
      </c>
      <c r="C326" s="1" t="s">
        <v>680</v>
      </c>
      <c r="D326" s="1" t="s">
        <v>13</v>
      </c>
      <c r="E326">
        <f ca="1">IFERROR(__xludf.DUMMYFUNCTION("GOOGLEFINANCE(C326)"),622.55)</f>
        <v>622.54999999999995</v>
      </c>
      <c r="F326">
        <f ca="1">IFERROR(__xludf.DUMMYFUNCTION("GOOGLEFINANCE(C326,""change"")"),7.45)</f>
        <v>7.45</v>
      </c>
      <c r="G326" s="2">
        <f ca="1">IFERROR(__xludf.DUMMYFUNCTION("GOOGLEFINANCE(C326,""changepct"")/100"),0.0121)</f>
        <v>1.21E-2</v>
      </c>
      <c r="H326">
        <f ca="1">IFERROR(__xludf.DUMMYFUNCTION("GOOGLEFINANCE(C326,""marketcap"")"),43811845100)</f>
        <v>43811845100</v>
      </c>
    </row>
    <row r="327" spans="1:8" ht="12.75" hidden="1" x14ac:dyDescent="0.2">
      <c r="A327" s="1" t="s">
        <v>681</v>
      </c>
      <c r="B327" s="1" t="s">
        <v>44</v>
      </c>
      <c r="C327" s="1" t="s">
        <v>682</v>
      </c>
      <c r="D327" s="1" t="s">
        <v>13</v>
      </c>
      <c r="E327">
        <f ca="1">IFERROR(__xludf.DUMMYFUNCTION("GOOGLEFINANCE(C327)"),25.25)</f>
        <v>25.25</v>
      </c>
      <c r="F327">
        <f ca="1">IFERROR(__xludf.DUMMYFUNCTION("GOOGLEFINANCE(C327,""change"")"),0.2)</f>
        <v>0.2</v>
      </c>
      <c r="G327" s="2">
        <f ca="1">IFERROR(__xludf.DUMMYFUNCTION("GOOGLEFINANCE(C327,""changepct"")/100"),0.008)</f>
        <v>8.0000000000000002E-3</v>
      </c>
      <c r="H327">
        <f ca="1">IFERROR(__xludf.DUMMYFUNCTION("GOOGLEFINANCE(C327,""marketcap"")"),253637007500)</f>
        <v>253637007500</v>
      </c>
    </row>
    <row r="328" spans="1:8" ht="12.75" hidden="1" x14ac:dyDescent="0.2">
      <c r="A328" s="1" t="s">
        <v>683</v>
      </c>
      <c r="B328" s="1" t="s">
        <v>44</v>
      </c>
      <c r="C328" s="1" t="s">
        <v>684</v>
      </c>
      <c r="D328" s="1" t="s">
        <v>13</v>
      </c>
      <c r="E328">
        <f ca="1">IFERROR(__xludf.DUMMYFUNCTION("GOOGLEFINANCE(C328)"),51.25)</f>
        <v>51.25</v>
      </c>
      <c r="F328">
        <f ca="1">IFERROR(__xludf.DUMMYFUNCTION("GOOGLEFINANCE(C328,""change"")"),-0.35)</f>
        <v>-0.35</v>
      </c>
      <c r="G328" s="2">
        <f ca="1">IFERROR(__xludf.DUMMYFUNCTION("GOOGLEFINANCE(C328,""changepct"")/100"),-0.0068)</f>
        <v>-6.7999999999999996E-3</v>
      </c>
      <c r="H328">
        <f ca="1">IFERROR(__xludf.DUMMYFUNCTION("GOOGLEFINANCE(C328,""marketcap"")"),71065581143)</f>
        <v>71065581143</v>
      </c>
    </row>
    <row r="329" spans="1:8" ht="12.75" x14ac:dyDescent="0.2">
      <c r="A329" s="1" t="s">
        <v>685</v>
      </c>
      <c r="B329" s="1" t="s">
        <v>26</v>
      </c>
      <c r="C329" s="1" t="s">
        <v>686</v>
      </c>
      <c r="D329" s="1" t="s">
        <v>22</v>
      </c>
      <c r="E329">
        <f ca="1">IFERROR(__xludf.DUMMYFUNCTION("GOOGLEFINANCE(C329)"),112.1)</f>
        <v>112.1</v>
      </c>
      <c r="F329">
        <f ca="1">IFERROR(__xludf.DUMMYFUNCTION("GOOGLEFINANCE(C329,""change"")"),-0.3)</f>
        <v>-0.3</v>
      </c>
      <c r="G329" s="2">
        <f ca="1">IFERROR(__xludf.DUMMYFUNCTION("GOOGLEFINANCE(C329,""changepct"")/100"),-0.0027)</f>
        <v>-2.7000000000000001E-3</v>
      </c>
      <c r="H329">
        <f ca="1">IFERROR(__xludf.DUMMYFUNCTION("GOOGLEFINANCE(C329,""marketcap"")"),327203024460)</f>
        <v>327203024460</v>
      </c>
    </row>
    <row r="330" spans="1:8" ht="12.75" hidden="1" x14ac:dyDescent="0.2">
      <c r="A330" s="1" t="s">
        <v>687</v>
      </c>
      <c r="B330" s="1" t="s">
        <v>35</v>
      </c>
      <c r="C330" s="1" t="s">
        <v>688</v>
      </c>
      <c r="D330" s="1" t="s">
        <v>13</v>
      </c>
      <c r="E330">
        <f ca="1">IFERROR(__xludf.DUMMYFUNCTION("GOOGLEFINANCE(C330)"),166.5)</f>
        <v>166.5</v>
      </c>
      <c r="F330">
        <f ca="1">IFERROR(__xludf.DUMMYFUNCTION("GOOGLEFINANCE(C330,""change"")"),5.9)</f>
        <v>5.9</v>
      </c>
      <c r="G330" s="2">
        <f ca="1">IFERROR(__xludf.DUMMYFUNCTION("GOOGLEFINANCE(C330,""changepct"")/100"),0.0366999999999999)</f>
        <v>3.6699999999999899E-2</v>
      </c>
      <c r="H330">
        <f ca="1">IFERROR(__xludf.DUMMYFUNCTION("GOOGLEFINANCE(C330,""marketcap"")"),27674416603)</f>
        <v>27674416603</v>
      </c>
    </row>
    <row r="331" spans="1:8" ht="12.75" x14ac:dyDescent="0.2">
      <c r="A331" s="1" t="s">
        <v>689</v>
      </c>
      <c r="B331" s="1" t="s">
        <v>44</v>
      </c>
      <c r="C331" s="1" t="s">
        <v>690</v>
      </c>
      <c r="D331" s="1" t="s">
        <v>22</v>
      </c>
      <c r="E331">
        <f ca="1">IFERROR(__xludf.DUMMYFUNCTION("GOOGLEFINANCE(C331)"),95.45)</f>
        <v>95.45</v>
      </c>
      <c r="F331">
        <f ca="1">IFERROR(__xludf.DUMMYFUNCTION("GOOGLEFINANCE(C331,""change"")"),-0.5)</f>
        <v>-0.5</v>
      </c>
      <c r="G331" s="2">
        <f ca="1">IFERROR(__xludf.DUMMYFUNCTION("GOOGLEFINANCE(C331,""changepct"")/100"),-0.0052)</f>
        <v>-5.1999999999999998E-3</v>
      </c>
      <c r="H331">
        <f ca="1">IFERROR(__xludf.DUMMYFUNCTION("GOOGLEFINANCE(C331,""marketcap"")"),924088925250)</f>
        <v>924088925250</v>
      </c>
    </row>
    <row r="332" spans="1:8" ht="12.75" hidden="1" x14ac:dyDescent="0.2">
      <c r="A332" s="1" t="s">
        <v>691</v>
      </c>
      <c r="B332" s="1" t="s">
        <v>88</v>
      </c>
      <c r="C332" s="1" t="s">
        <v>692</v>
      </c>
      <c r="D332" s="1" t="s">
        <v>13</v>
      </c>
      <c r="E332">
        <f ca="1">IFERROR(__xludf.DUMMYFUNCTION("GOOGLEFINANCE(C332)"),465.1)</f>
        <v>465.1</v>
      </c>
      <c r="F332">
        <f ca="1">IFERROR(__xludf.DUMMYFUNCTION("GOOGLEFINANCE(C332,""change"")"),5.2)</f>
        <v>5.2</v>
      </c>
      <c r="G332" s="2">
        <f ca="1">IFERROR(__xludf.DUMMYFUNCTION("GOOGLEFINANCE(C332,""changepct"")/100"),0.0113)</f>
        <v>1.1299999999999999E-2</v>
      </c>
      <c r="H332">
        <f ca="1">IFERROR(__xludf.DUMMYFUNCTION("GOOGLEFINANCE(C332,""marketcap"")"),94518847037)</f>
        <v>94518847037</v>
      </c>
    </row>
    <row r="333" spans="1:8" ht="12.75" x14ac:dyDescent="0.2">
      <c r="A333" s="1" t="s">
        <v>693</v>
      </c>
      <c r="B333" s="1" t="s">
        <v>26</v>
      </c>
      <c r="C333" s="1" t="s">
        <v>694</v>
      </c>
      <c r="D333" s="1" t="s">
        <v>22</v>
      </c>
      <c r="E333">
        <f ca="1">IFERROR(__xludf.DUMMYFUNCTION("GOOGLEFINANCE(C333)"),48.6)</f>
        <v>48.6</v>
      </c>
      <c r="F333">
        <f ca="1">IFERROR(__xludf.DUMMYFUNCTION("GOOGLEFINANCE(C333,""change"")"),-0.3)</f>
        <v>-0.3</v>
      </c>
      <c r="G333" s="2">
        <f ca="1">IFERROR(__xludf.DUMMYFUNCTION("GOOGLEFINANCE(C333,""changepct"")/100"),-0.00609999999999999)</f>
        <v>-6.09999999999999E-3</v>
      </c>
      <c r="H333">
        <f ca="1">IFERROR(__xludf.DUMMYFUNCTION("GOOGLEFINANCE(C333,""marketcap"")"),90575703926)</f>
        <v>90575703926</v>
      </c>
    </row>
    <row r="334" spans="1:8" ht="12.75" hidden="1" x14ac:dyDescent="0.2">
      <c r="A334" s="1" t="s">
        <v>695</v>
      </c>
      <c r="B334" s="1" t="s">
        <v>150</v>
      </c>
      <c r="C334" s="1" t="s">
        <v>696</v>
      </c>
      <c r="D334" s="1" t="s">
        <v>13</v>
      </c>
      <c r="E334">
        <f ca="1">IFERROR(__xludf.DUMMYFUNCTION("GOOGLEFINANCE(C334)"),38.9)</f>
        <v>38.9</v>
      </c>
      <c r="F334">
        <f ca="1">IFERROR(__xludf.DUMMYFUNCTION("GOOGLEFINANCE(C334,""change"")"),-1.8)</f>
        <v>-1.8</v>
      </c>
      <c r="G334" s="2">
        <f ca="1">IFERROR(__xludf.DUMMYFUNCTION("GOOGLEFINANCE(C334,""changepct"")/100"),-0.0441999999999999)</f>
        <v>-4.4199999999999899E-2</v>
      </c>
      <c r="H334">
        <f ca="1">IFERROR(__xludf.DUMMYFUNCTION("GOOGLEFINANCE(C334,""marketcap"")"),19083496618)</f>
        <v>19083496618</v>
      </c>
    </row>
    <row r="335" spans="1:8" ht="12.75" hidden="1" x14ac:dyDescent="0.2">
      <c r="A335" s="1" t="s">
        <v>697</v>
      </c>
      <c r="B335" s="1" t="s">
        <v>35</v>
      </c>
      <c r="C335" s="1" t="s">
        <v>698</v>
      </c>
      <c r="D335" s="1" t="s">
        <v>13</v>
      </c>
      <c r="E335">
        <f ca="1">IFERROR(__xludf.DUMMYFUNCTION("GOOGLEFINANCE(C335)"),2561.5)</f>
        <v>2561.5</v>
      </c>
      <c r="F335">
        <f ca="1">IFERROR(__xludf.DUMMYFUNCTION("GOOGLEFINANCE(C335,""change"")"),-67.25)</f>
        <v>-67.25</v>
      </c>
      <c r="G335" s="2">
        <f ca="1">IFERROR(__xludf.DUMMYFUNCTION("GOOGLEFINANCE(C335,""changepct"")/100"),-0.0256)</f>
        <v>-2.5600000000000001E-2</v>
      </c>
      <c r="H335">
        <f ca="1">IFERROR(__xludf.DUMMYFUNCTION("GOOGLEFINANCE(C335,""marketcap"")"),127163282341)</f>
        <v>127163282341</v>
      </c>
    </row>
    <row r="336" spans="1:8" ht="12.75" hidden="1" x14ac:dyDescent="0.2">
      <c r="A336" s="1" t="s">
        <v>699</v>
      </c>
      <c r="B336" s="1" t="s">
        <v>263</v>
      </c>
      <c r="C336" s="1" t="s">
        <v>700</v>
      </c>
      <c r="D336" s="1" t="s">
        <v>13</v>
      </c>
      <c r="E336">
        <f ca="1">IFERROR(__xludf.DUMMYFUNCTION("GOOGLEFINANCE(C336)"),84.45)</f>
        <v>84.45</v>
      </c>
      <c r="F336">
        <f ca="1">IFERROR(__xludf.DUMMYFUNCTION("GOOGLEFINANCE(C336,""change"")"),1.75)</f>
        <v>1.75</v>
      </c>
      <c r="G336" s="2">
        <f ca="1">IFERROR(__xludf.DUMMYFUNCTION("GOOGLEFINANCE(C336,""changepct"")/100"),0.0212)</f>
        <v>2.12E-2</v>
      </c>
      <c r="H336">
        <f ca="1">IFERROR(__xludf.DUMMYFUNCTION("GOOGLEFINANCE(C336,""marketcap"")"),19271304400)</f>
        <v>19271304400</v>
      </c>
    </row>
    <row r="337" spans="1:8" ht="12.75" x14ac:dyDescent="0.2">
      <c r="A337" s="1" t="s">
        <v>701</v>
      </c>
      <c r="B337" s="1" t="s">
        <v>56</v>
      </c>
      <c r="C337" s="1" t="s">
        <v>702</v>
      </c>
      <c r="D337" s="1" t="s">
        <v>22</v>
      </c>
      <c r="E337">
        <f ca="1">IFERROR(__xludf.DUMMYFUNCTION("GOOGLEFINANCE(C337)"),17500)</f>
        <v>17500</v>
      </c>
      <c r="F337">
        <f ca="1">IFERROR(__xludf.DUMMYFUNCTION("GOOGLEFINANCE(C337,""change"")"),205.7)</f>
        <v>205.7</v>
      </c>
      <c r="G337" s="2">
        <f ca="1">IFERROR(__xludf.DUMMYFUNCTION("GOOGLEFINANCE(C337,""changepct"")/100"),0.0118999999999999)</f>
        <v>1.18999999999999E-2</v>
      </c>
      <c r="H337">
        <f ca="1">IFERROR(__xludf.DUMMYFUNCTION("GOOGLEFINANCE(C337,""marketcap"")"),1688075025000)</f>
        <v>1688075025000</v>
      </c>
    </row>
    <row r="338" spans="1:8" ht="12.75" hidden="1" x14ac:dyDescent="0.2">
      <c r="A338" s="1" t="s">
        <v>703</v>
      </c>
      <c r="B338" s="1" t="s">
        <v>263</v>
      </c>
      <c r="C338" s="1" t="s">
        <v>704</v>
      </c>
      <c r="D338" s="1" t="s">
        <v>13</v>
      </c>
      <c r="E338">
        <f ca="1">IFERROR(__xludf.DUMMYFUNCTION("GOOGLEFINANCE(C338)"),36.25)</f>
        <v>36.25</v>
      </c>
      <c r="F338">
        <f ca="1">IFERROR(__xludf.DUMMYFUNCTION("GOOGLEFINANCE(C338,""change"")"),-0.35)</f>
        <v>-0.35</v>
      </c>
      <c r="G338" s="2">
        <f ca="1">IFERROR(__xludf.DUMMYFUNCTION("GOOGLEFINANCE(C338,""changepct"")/100"),-0.0096)</f>
        <v>-9.5999999999999992E-3</v>
      </c>
      <c r="H338">
        <f ca="1">IFERROR(__xludf.DUMMYFUNCTION("GOOGLEFINANCE(C338,""marketcap"")"),38055830000)</f>
        <v>38055830000</v>
      </c>
    </row>
    <row r="339" spans="1:8" ht="12.75" hidden="1" x14ac:dyDescent="0.2">
      <c r="A339" s="1" t="s">
        <v>705</v>
      </c>
      <c r="B339" s="1" t="s">
        <v>15</v>
      </c>
      <c r="C339" s="1" t="s">
        <v>706</v>
      </c>
      <c r="D339" s="1" t="s">
        <v>13</v>
      </c>
      <c r="E339">
        <f ca="1">IFERROR(__xludf.DUMMYFUNCTION("GOOGLEFINANCE(C339)"),1846)</f>
        <v>1846</v>
      </c>
      <c r="F339">
        <f ca="1">IFERROR(__xludf.DUMMYFUNCTION("GOOGLEFINANCE(C339,""change"")"),-33.8)</f>
        <v>-33.799999999999997</v>
      </c>
      <c r="G339" s="2">
        <f ca="1">IFERROR(__xludf.DUMMYFUNCTION("GOOGLEFINANCE(C339,""changepct"")/100"),-0.018)</f>
        <v>-1.7999999999999999E-2</v>
      </c>
      <c r="H339">
        <f ca="1">IFERROR(__xludf.DUMMYFUNCTION("GOOGLEFINANCE(C339,""marketcap"")"),27546971920)</f>
        <v>27546971920</v>
      </c>
    </row>
    <row r="340" spans="1:8" ht="12.75" hidden="1" x14ac:dyDescent="0.2">
      <c r="A340" s="1" t="s">
        <v>707</v>
      </c>
      <c r="B340" s="1" t="s">
        <v>29</v>
      </c>
      <c r="C340" s="1" t="s">
        <v>708</v>
      </c>
      <c r="D340" s="1" t="s">
        <v>13</v>
      </c>
      <c r="E340">
        <f ca="1">IFERROR(__xludf.DUMMYFUNCTION("GOOGLEFINANCE(C340)"),338.9)</f>
        <v>338.9</v>
      </c>
      <c r="F340">
        <f ca="1">IFERROR(__xludf.DUMMYFUNCTION("GOOGLEFINANCE(C340,""change"")"),13.65)</f>
        <v>13.65</v>
      </c>
      <c r="G340" s="2">
        <f ca="1">IFERROR(__xludf.DUMMYFUNCTION("GOOGLEFINANCE(C340,""changepct"")/100"),0.042)</f>
        <v>4.2000000000000003E-2</v>
      </c>
      <c r="H340">
        <f ca="1">IFERROR(__xludf.DUMMYFUNCTION("GOOGLEFINANCE(C340,""marketcap"")"),207759896168)</f>
        <v>207759896168</v>
      </c>
    </row>
    <row r="341" spans="1:8" ht="12.75" hidden="1" x14ac:dyDescent="0.2">
      <c r="A341" s="1" t="s">
        <v>709</v>
      </c>
      <c r="B341" s="1" t="s">
        <v>95</v>
      </c>
      <c r="C341" s="1" t="s">
        <v>710</v>
      </c>
      <c r="D341" s="1" t="s">
        <v>13</v>
      </c>
      <c r="E341">
        <f ca="1">IFERROR(__xludf.DUMMYFUNCTION("GOOGLEFINANCE(C341)"),593)</f>
        <v>593</v>
      </c>
      <c r="F341">
        <f ca="1">IFERROR(__xludf.DUMMYFUNCTION("GOOGLEFINANCE(C341,""change"")"),30.45)</f>
        <v>30.45</v>
      </c>
      <c r="G341" s="2">
        <f ca="1">IFERROR(__xludf.DUMMYFUNCTION("GOOGLEFINANCE(C341,""changepct"")/100"),0.0541)</f>
        <v>5.4100000000000002E-2</v>
      </c>
      <c r="H341">
        <f ca="1">IFERROR(__xludf.DUMMYFUNCTION("GOOGLEFINANCE(C341,""marketcap"")"),214164206155)</f>
        <v>214164206155</v>
      </c>
    </row>
    <row r="342" spans="1:8" ht="12.75" x14ac:dyDescent="0.2">
      <c r="A342" s="1" t="s">
        <v>711</v>
      </c>
      <c r="B342" s="1" t="s">
        <v>49</v>
      </c>
      <c r="C342" s="1" t="s">
        <v>712</v>
      </c>
      <c r="D342" s="1" t="s">
        <v>22</v>
      </c>
      <c r="E342">
        <f ca="1">IFERROR(__xludf.DUMMYFUNCTION("GOOGLEFINANCE(C342)"),98.5)</f>
        <v>98.5</v>
      </c>
      <c r="F342">
        <f ca="1">IFERROR(__xludf.DUMMYFUNCTION("GOOGLEFINANCE(C342,""change"")"),1.5)</f>
        <v>1.5</v>
      </c>
      <c r="G342" s="2">
        <f ca="1">IFERROR(__xludf.DUMMYFUNCTION("GOOGLEFINANCE(C342,""changepct"")/100"),0.0155)</f>
        <v>1.55E-2</v>
      </c>
      <c r="H342">
        <f ca="1">IFERROR(__xludf.DUMMYFUNCTION("GOOGLEFINANCE(C342,""marketcap"")"),1237898587195)</f>
        <v>1237898587195</v>
      </c>
    </row>
    <row r="343" spans="1:8" ht="12.75" hidden="1" x14ac:dyDescent="0.2">
      <c r="A343" s="1" t="s">
        <v>713</v>
      </c>
      <c r="B343" s="1" t="s">
        <v>49</v>
      </c>
      <c r="C343" s="1" t="s">
        <v>714</v>
      </c>
      <c r="D343" s="1" t="s">
        <v>13</v>
      </c>
      <c r="E343">
        <f ca="1">IFERROR(__xludf.DUMMYFUNCTION("GOOGLEFINANCE(C343)"),116.25)</f>
        <v>116.25</v>
      </c>
      <c r="F343">
        <f ca="1">IFERROR(__xludf.DUMMYFUNCTION("GOOGLEFINANCE(C343,""change"")"),0.6)</f>
        <v>0.6</v>
      </c>
      <c r="G343" s="2">
        <f ca="1">IFERROR(__xludf.DUMMYFUNCTION("GOOGLEFINANCE(C343,""changepct"")/100"),0.0052)</f>
        <v>5.1999999999999998E-3</v>
      </c>
      <c r="H343">
        <f ca="1">IFERROR(__xludf.DUMMYFUNCTION("GOOGLEFINANCE(C343,""marketcap"")"),125899418845)</f>
        <v>125899418845</v>
      </c>
    </row>
    <row r="344" spans="1:8" ht="12.75" hidden="1" x14ac:dyDescent="0.2">
      <c r="A344" s="1" t="s">
        <v>715</v>
      </c>
      <c r="B344" s="1" t="s">
        <v>95</v>
      </c>
      <c r="C344" s="1" t="s">
        <v>716</v>
      </c>
      <c r="D344" s="1" t="s">
        <v>13</v>
      </c>
      <c r="E344">
        <f ca="1">IFERROR(__xludf.DUMMYFUNCTION("GOOGLEFINANCE(C344)"),72.5)</f>
        <v>72.5</v>
      </c>
      <c r="F344">
        <f ca="1">IFERROR(__xludf.DUMMYFUNCTION("GOOGLEFINANCE(C344,""change"")"),-1.25)</f>
        <v>-1.25</v>
      </c>
      <c r="G344" s="2">
        <f ca="1">IFERROR(__xludf.DUMMYFUNCTION("GOOGLEFINANCE(C344,""changepct"")/100"),-0.0169)</f>
        <v>-1.6899999999999998E-2</v>
      </c>
      <c r="H344">
        <f ca="1">IFERROR(__xludf.DUMMYFUNCTION("GOOGLEFINANCE(C344,""marketcap"")"),13222811095)</f>
        <v>13222811095</v>
      </c>
    </row>
    <row r="345" spans="1:8" ht="12.75" hidden="1" x14ac:dyDescent="0.2">
      <c r="A345" s="1" t="s">
        <v>717</v>
      </c>
      <c r="B345" s="1" t="s">
        <v>63</v>
      </c>
      <c r="C345" s="1" t="s">
        <v>718</v>
      </c>
      <c r="D345" s="1" t="s">
        <v>13</v>
      </c>
      <c r="E345">
        <f ca="1">IFERROR(__xludf.DUMMYFUNCTION("GOOGLEFINANCE(C345)"),3167.55)</f>
        <v>3167.55</v>
      </c>
      <c r="F345">
        <f ca="1">IFERROR(__xludf.DUMMYFUNCTION("GOOGLEFINANCE(C345,""change"")"),-28.15)</f>
        <v>-28.15</v>
      </c>
      <c r="G345" s="2">
        <f ca="1">IFERROR(__xludf.DUMMYFUNCTION("GOOGLEFINANCE(C345,""changepct"")/100"),-0.0088)</f>
        <v>-8.8000000000000005E-3</v>
      </c>
      <c r="H345">
        <f ca="1">IFERROR(__xludf.DUMMYFUNCTION("GOOGLEFINANCE(C345,""marketcap"")"),272582537511)</f>
        <v>272582537511</v>
      </c>
    </row>
    <row r="346" spans="1:8" ht="12.75" hidden="1" x14ac:dyDescent="0.2">
      <c r="A346" s="1" t="s">
        <v>719</v>
      </c>
      <c r="B346" s="1" t="s">
        <v>20</v>
      </c>
      <c r="C346" s="1" t="s">
        <v>720</v>
      </c>
      <c r="D346" s="1" t="s">
        <v>13</v>
      </c>
      <c r="E346">
        <f ca="1">IFERROR(__xludf.DUMMYFUNCTION("GOOGLEFINANCE(C346)"),95.25)</f>
        <v>95.25</v>
      </c>
      <c r="F346">
        <f ca="1">IFERROR(__xludf.DUMMYFUNCTION("GOOGLEFINANCE(C346,""change"")"),6.95)</f>
        <v>6.95</v>
      </c>
      <c r="G346" s="2">
        <f ca="1">IFERROR(__xludf.DUMMYFUNCTION("GOOGLEFINANCE(C346,""changepct"")/100"),0.0787)</f>
        <v>7.8700000000000006E-2</v>
      </c>
      <c r="H346">
        <f ca="1">IFERROR(__xludf.DUMMYFUNCTION("GOOGLEFINANCE(C346,""marketcap"")"),19410566064)</f>
        <v>19410566064</v>
      </c>
    </row>
    <row r="347" spans="1:8" ht="12.75" hidden="1" x14ac:dyDescent="0.2">
      <c r="A347" s="1" t="s">
        <v>721</v>
      </c>
      <c r="B347" s="1" t="s">
        <v>56</v>
      </c>
      <c r="C347" s="1" t="s">
        <v>722</v>
      </c>
      <c r="D347" s="1" t="s">
        <v>13</v>
      </c>
      <c r="E347">
        <f ca="1">IFERROR(__xludf.DUMMYFUNCTION("GOOGLEFINANCE(C347)"),284)</f>
        <v>284</v>
      </c>
      <c r="F347">
        <f ca="1">IFERROR(__xludf.DUMMYFUNCTION("GOOGLEFINANCE(C347,""change"")"),9.5)</f>
        <v>9.5</v>
      </c>
      <c r="G347" s="2">
        <f ca="1">IFERROR(__xludf.DUMMYFUNCTION("GOOGLEFINANCE(C347,""changepct"")/100"),0.0346)</f>
        <v>3.4599999999999999E-2</v>
      </c>
      <c r="H347">
        <f ca="1">IFERROR(__xludf.DUMMYFUNCTION("GOOGLEFINANCE(C347,""marketcap"")"),60260682000)</f>
        <v>60260682000</v>
      </c>
    </row>
    <row r="348" spans="1:8" ht="12.75" hidden="1" x14ac:dyDescent="0.2">
      <c r="A348" s="1" t="s">
        <v>723</v>
      </c>
      <c r="B348" s="1" t="s">
        <v>15</v>
      </c>
      <c r="C348" s="1" t="s">
        <v>724</v>
      </c>
      <c r="D348" s="1" t="s">
        <v>13</v>
      </c>
      <c r="E348">
        <f ca="1">IFERROR(__xludf.DUMMYFUNCTION("GOOGLEFINANCE(C348)"),235.9)</f>
        <v>235.9</v>
      </c>
      <c r="F348">
        <f ca="1">IFERROR(__xludf.DUMMYFUNCTION("GOOGLEFINANCE(C348,""change"")"),-6.9)</f>
        <v>-6.9</v>
      </c>
      <c r="G348" s="2">
        <f ca="1">IFERROR(__xludf.DUMMYFUNCTION("GOOGLEFINANCE(C348,""changepct"")/100"),-0.0283999999999999)</f>
        <v>-2.8399999999999901E-2</v>
      </c>
      <c r="H348">
        <f ca="1">IFERROR(__xludf.DUMMYFUNCTION("GOOGLEFINANCE(C348,""marketcap"")"),28514358034)</f>
        <v>28514358034</v>
      </c>
    </row>
    <row r="349" spans="1:8" ht="12.75" hidden="1" x14ac:dyDescent="0.2">
      <c r="A349" s="1" t="s">
        <v>725</v>
      </c>
      <c r="B349" s="1" t="s">
        <v>150</v>
      </c>
      <c r="C349" s="1" t="s">
        <v>726</v>
      </c>
      <c r="D349" s="1" t="s">
        <v>13</v>
      </c>
      <c r="E349">
        <f ca="1">IFERROR(__xludf.DUMMYFUNCTION("GOOGLEFINANCE(C349)"),2207)</f>
        <v>2207</v>
      </c>
      <c r="F349">
        <f ca="1">IFERROR(__xludf.DUMMYFUNCTION("GOOGLEFINANCE(C349,""change"")"),-18)</f>
        <v>-18</v>
      </c>
      <c r="G349" s="2">
        <f ca="1">IFERROR(__xludf.DUMMYFUNCTION("GOOGLEFINANCE(C349,""changepct"")/100"),-0.0081)</f>
        <v>-8.0999999999999996E-3</v>
      </c>
      <c r="H349">
        <f ca="1">IFERROR(__xludf.DUMMYFUNCTION("GOOGLEFINANCE(C349,""marketcap"")"),335357750088)</f>
        <v>335357750088</v>
      </c>
    </row>
    <row r="350" spans="1:8" ht="12.75" hidden="1" x14ac:dyDescent="0.2">
      <c r="A350" s="1" t="s">
        <v>727</v>
      </c>
      <c r="B350" s="1" t="s">
        <v>29</v>
      </c>
      <c r="C350" s="1" t="s">
        <v>728</v>
      </c>
      <c r="D350" s="1" t="s">
        <v>13</v>
      </c>
      <c r="E350">
        <f ca="1">IFERROR(__xludf.DUMMYFUNCTION("GOOGLEFINANCE(C350)"),370.05)</f>
        <v>370.05</v>
      </c>
      <c r="F350">
        <f ca="1">IFERROR(__xludf.DUMMYFUNCTION("GOOGLEFINANCE(C350,""change"")"),13.65)</f>
        <v>13.65</v>
      </c>
      <c r="G350" s="2">
        <f ca="1">IFERROR(__xludf.DUMMYFUNCTION("GOOGLEFINANCE(C350,""changepct"")/100"),0.0383)</f>
        <v>3.8300000000000001E-2</v>
      </c>
      <c r="H350">
        <f ca="1">IFERROR(__xludf.DUMMYFUNCTION("GOOGLEFINANCE(C350,""marketcap"")"),62239558561)</f>
        <v>62239558561</v>
      </c>
    </row>
    <row r="351" spans="1:8" ht="12.75" hidden="1" x14ac:dyDescent="0.2">
      <c r="A351" s="1" t="s">
        <v>729</v>
      </c>
      <c r="B351" s="1" t="s">
        <v>95</v>
      </c>
      <c r="C351" s="1" t="s">
        <v>730</v>
      </c>
      <c r="D351" s="1" t="s">
        <v>13</v>
      </c>
      <c r="E351">
        <f ca="1">IFERROR(__xludf.DUMMYFUNCTION("GOOGLEFINANCE(C351)"),273.85)</f>
        <v>273.85000000000002</v>
      </c>
      <c r="F351">
        <f ca="1">IFERROR(__xludf.DUMMYFUNCTION("GOOGLEFINANCE(C351,""change"")"),-4.3)</f>
        <v>-4.3</v>
      </c>
      <c r="G351" s="2">
        <f ca="1">IFERROR(__xludf.DUMMYFUNCTION("GOOGLEFINANCE(C351,""changepct"")/100"),-0.0155)</f>
        <v>-1.55E-2</v>
      </c>
      <c r="H351">
        <f ca="1">IFERROR(__xludf.DUMMYFUNCTION("GOOGLEFINANCE(C351,""marketcap"")"),70253234100)</f>
        <v>70253234100</v>
      </c>
    </row>
    <row r="352" spans="1:8" ht="12.75" hidden="1" x14ac:dyDescent="0.2">
      <c r="A352" s="1" t="s">
        <v>731</v>
      </c>
      <c r="B352" s="1" t="s">
        <v>95</v>
      </c>
      <c r="C352" s="1" t="s">
        <v>732</v>
      </c>
      <c r="D352" s="1" t="s">
        <v>13</v>
      </c>
      <c r="E352">
        <f ca="1">IFERROR(__xludf.DUMMYFUNCTION("GOOGLEFINANCE(C352)"),479.9)</f>
        <v>479.9</v>
      </c>
      <c r="F352">
        <f ca="1">IFERROR(__xludf.DUMMYFUNCTION("GOOGLEFINANCE(C352,""change"")"),5)</f>
        <v>5</v>
      </c>
      <c r="G352" s="2">
        <f ca="1">IFERROR(__xludf.DUMMYFUNCTION("GOOGLEFINANCE(C352,""changepct"")/100"),0.0105)</f>
        <v>1.0500000000000001E-2</v>
      </c>
      <c r="H352">
        <f ca="1">IFERROR(__xludf.DUMMYFUNCTION("GOOGLEFINANCE(C352,""marketcap"")"),17276399780)</f>
        <v>17276399780</v>
      </c>
    </row>
    <row r="353" spans="1:8" ht="12.75" hidden="1" x14ac:dyDescent="0.2">
      <c r="A353" s="1" t="s">
        <v>733</v>
      </c>
      <c r="B353" s="1" t="s">
        <v>44</v>
      </c>
      <c r="C353" s="1" t="s">
        <v>734</v>
      </c>
      <c r="D353" s="1" t="s">
        <v>13</v>
      </c>
      <c r="E353">
        <f ca="1">IFERROR(__xludf.DUMMYFUNCTION("GOOGLEFINANCE(C353)"),69.3)</f>
        <v>69.3</v>
      </c>
      <c r="F353">
        <f ca="1">IFERROR(__xludf.DUMMYFUNCTION("GOOGLEFINANCE(C353,""change"")"),0.9)</f>
        <v>0.9</v>
      </c>
      <c r="G353" s="2">
        <f ca="1">IFERROR(__xludf.DUMMYFUNCTION("GOOGLEFINANCE(C353,""changepct"")/100"),0.0132)</f>
        <v>1.32E-2</v>
      </c>
      <c r="H353">
        <f ca="1">IFERROR(__xludf.DUMMYFUNCTION("GOOGLEFINANCE(C353,""marketcap"")"),20587875160)</f>
        <v>20587875160</v>
      </c>
    </row>
    <row r="354" spans="1:8" ht="12.75" x14ac:dyDescent="0.2">
      <c r="A354" s="1" t="s">
        <v>735</v>
      </c>
      <c r="B354" s="1" t="s">
        <v>263</v>
      </c>
      <c r="C354" s="1" t="s">
        <v>736</v>
      </c>
      <c r="D354" s="1" t="s">
        <v>22</v>
      </c>
      <c r="E354">
        <f ca="1">IFERROR(__xludf.DUMMYFUNCTION("GOOGLEFINANCE(C354)"),1473.2)</f>
        <v>1473.2</v>
      </c>
      <c r="F354">
        <f ca="1">IFERROR(__xludf.DUMMYFUNCTION("GOOGLEFINANCE(C354,""change"")"),-24.1)</f>
        <v>-24.1</v>
      </c>
      <c r="G354" s="2">
        <f ca="1">IFERROR(__xludf.DUMMYFUNCTION("GOOGLEFINANCE(C354,""changepct"")/100"),-0.0161)</f>
        <v>-1.61E-2</v>
      </c>
      <c r="H354">
        <f ca="1">IFERROR(__xludf.DUMMYFUNCTION("GOOGLEFINANCE(C354,""marketcap"")"),89392658247)</f>
        <v>89392658247</v>
      </c>
    </row>
    <row r="355" spans="1:8" ht="12.75" x14ac:dyDescent="0.2">
      <c r="A355" s="1" t="s">
        <v>737</v>
      </c>
      <c r="B355" s="1" t="s">
        <v>78</v>
      </c>
      <c r="C355" s="1" t="s">
        <v>738</v>
      </c>
      <c r="D355" s="1" t="s">
        <v>22</v>
      </c>
      <c r="E355">
        <f ca="1">IFERROR(__xludf.DUMMYFUNCTION("GOOGLEFINANCE(C355)"),30134.95)</f>
        <v>30134.95</v>
      </c>
      <c r="F355">
        <f ca="1">IFERROR(__xludf.DUMMYFUNCTION("GOOGLEFINANCE(C355,""change"")"),-557.2)</f>
        <v>-557.20000000000005</v>
      </c>
      <c r="G355" s="2">
        <f ca="1">IFERROR(__xludf.DUMMYFUNCTION("GOOGLEFINANCE(C355,""changepct"")/100"),-0.0182)</f>
        <v>-1.8200000000000001E-2</v>
      </c>
      <c r="H355">
        <f ca="1">IFERROR(__xludf.DUMMYFUNCTION("GOOGLEFINANCE(C355,""marketcap"")"),336121306042)</f>
        <v>336121306042</v>
      </c>
    </row>
    <row r="356" spans="1:8" ht="12.75" hidden="1" x14ac:dyDescent="0.2">
      <c r="A356" s="1" t="s">
        <v>739</v>
      </c>
      <c r="B356" s="1" t="s">
        <v>63</v>
      </c>
      <c r="C356" s="1" t="s">
        <v>740</v>
      </c>
      <c r="D356" s="1" t="s">
        <v>13</v>
      </c>
      <c r="E356">
        <f ca="1">IFERROR(__xludf.DUMMYFUNCTION("GOOGLEFINANCE(C356)"),1786)</f>
        <v>1786</v>
      </c>
      <c r="F356">
        <f ca="1">IFERROR(__xludf.DUMMYFUNCTION("GOOGLEFINANCE(C356,""change"")"),-8.65)</f>
        <v>-8.65</v>
      </c>
      <c r="G356" s="2">
        <f ca="1">IFERROR(__xludf.DUMMYFUNCTION("GOOGLEFINANCE(C356,""changepct"")/100"),-0.0048)</f>
        <v>-4.7999999999999996E-3</v>
      </c>
      <c r="H356">
        <f ca="1">IFERROR(__xludf.DUMMYFUNCTION("GOOGLEFINANCE(C356,""marketcap"")"),132811715092)</f>
        <v>132811715092</v>
      </c>
    </row>
    <row r="357" spans="1:8" ht="12.75" x14ac:dyDescent="0.2">
      <c r="A357" s="1" t="s">
        <v>741</v>
      </c>
      <c r="B357" s="1" t="s">
        <v>49</v>
      </c>
      <c r="C357" s="1" t="s">
        <v>742</v>
      </c>
      <c r="D357" s="1" t="s">
        <v>22</v>
      </c>
      <c r="E357">
        <f ca="1">IFERROR(__xludf.DUMMYFUNCTION("GOOGLEFINANCE(C357)"),240.3)</f>
        <v>240.3</v>
      </c>
      <c r="F357">
        <f ca="1">IFERROR(__xludf.DUMMYFUNCTION("GOOGLEFINANCE(C357,""change"")"),-1.9)</f>
        <v>-1.9</v>
      </c>
      <c r="G357" s="2">
        <f ca="1">IFERROR(__xludf.DUMMYFUNCTION("GOOGLEFINANCE(C357,""changepct"")/100"),-0.0078)</f>
        <v>-7.7999999999999996E-3</v>
      </c>
      <c r="H357">
        <f ca="1">IFERROR(__xludf.DUMMYFUNCTION("GOOGLEFINANCE(C357,""marketcap"")"),360450004577)</f>
        <v>360450004577</v>
      </c>
    </row>
    <row r="358" spans="1:8" ht="12.75" hidden="1" x14ac:dyDescent="0.2">
      <c r="A358" s="1" t="s">
        <v>743</v>
      </c>
      <c r="B358" s="1" t="s">
        <v>32</v>
      </c>
      <c r="C358" s="1" t="s">
        <v>744</v>
      </c>
      <c r="D358" s="1" t="s">
        <v>13</v>
      </c>
      <c r="E358">
        <f ca="1">IFERROR(__xludf.DUMMYFUNCTION("GOOGLEFINANCE(C358)"),4554)</f>
        <v>4554</v>
      </c>
      <c r="F358">
        <f ca="1">IFERROR(__xludf.DUMMYFUNCTION("GOOGLEFINANCE(C358,""change"")"),139.7)</f>
        <v>139.69999999999999</v>
      </c>
      <c r="G358" s="2">
        <f ca="1">IFERROR(__xludf.DUMMYFUNCTION("GOOGLEFINANCE(C358,""changepct"")/100"),0.0316)</f>
        <v>3.1600000000000003E-2</v>
      </c>
      <c r="H358">
        <f ca="1">IFERROR(__xludf.DUMMYFUNCTION("GOOGLEFINANCE(C358,""marketcap"")"),208537658387)</f>
        <v>208537658387</v>
      </c>
    </row>
    <row r="359" spans="1:8" ht="12.75" hidden="1" x14ac:dyDescent="0.2">
      <c r="A359" s="1" t="s">
        <v>745</v>
      </c>
      <c r="B359" s="1" t="s">
        <v>35</v>
      </c>
      <c r="C359" s="1" t="s">
        <v>746</v>
      </c>
      <c r="D359" s="1" t="s">
        <v>13</v>
      </c>
      <c r="E359">
        <f ca="1">IFERROR(__xludf.DUMMYFUNCTION("GOOGLEFINANCE(C359)"),193.2)</f>
        <v>193.2</v>
      </c>
      <c r="F359">
        <f ca="1">IFERROR(__xludf.DUMMYFUNCTION("GOOGLEFINANCE(C359,""change"")"),-0.5)</f>
        <v>-0.5</v>
      </c>
      <c r="G359" s="2">
        <f ca="1">IFERROR(__xludf.DUMMYFUNCTION("GOOGLEFINANCE(C359,""changepct"")/100"),-0.0026)</f>
        <v>-2.5999999999999999E-3</v>
      </c>
      <c r="H359">
        <f ca="1">IFERROR(__xludf.DUMMYFUNCTION("GOOGLEFINANCE(C359,""marketcap"")"),33295585154)</f>
        <v>33295585154</v>
      </c>
    </row>
    <row r="360" spans="1:8" ht="12.75" hidden="1" x14ac:dyDescent="0.2">
      <c r="A360" s="1" t="s">
        <v>747</v>
      </c>
      <c r="B360" s="1" t="s">
        <v>95</v>
      </c>
      <c r="C360" s="1" t="s">
        <v>748</v>
      </c>
      <c r="D360" s="1" t="s">
        <v>13</v>
      </c>
      <c r="E360">
        <f ca="1">IFERROR(__xludf.DUMMYFUNCTION("GOOGLEFINANCE(C360)"),835)</f>
        <v>835</v>
      </c>
      <c r="F360">
        <f ca="1">IFERROR(__xludf.DUMMYFUNCTION("GOOGLEFINANCE(C360,""change"")"),19.35)</f>
        <v>19.350000000000001</v>
      </c>
      <c r="G360" s="2">
        <f ca="1">IFERROR(__xludf.DUMMYFUNCTION("GOOGLEFINANCE(C360,""changepct"")/100"),0.0237)</f>
        <v>2.3699999999999999E-2</v>
      </c>
      <c r="H360">
        <f ca="1">IFERROR(__xludf.DUMMYFUNCTION("GOOGLEFINANCE(C360,""marketcap"")"),143473123500)</f>
        <v>143473123500</v>
      </c>
    </row>
    <row r="361" spans="1:8" ht="12.75" x14ac:dyDescent="0.2">
      <c r="A361" s="1" t="s">
        <v>749</v>
      </c>
      <c r="B361" s="1" t="s">
        <v>35</v>
      </c>
      <c r="C361" s="1" t="s">
        <v>750</v>
      </c>
      <c r="D361" s="1" t="s">
        <v>22</v>
      </c>
      <c r="E361">
        <f ca="1">IFERROR(__xludf.DUMMYFUNCTION("GOOGLEFINANCE(C361)"),1764)</f>
        <v>1764</v>
      </c>
      <c r="F361">
        <f ca="1">IFERROR(__xludf.DUMMYFUNCTION("GOOGLEFINANCE(C361,""change"")"),3.3)</f>
        <v>3.3</v>
      </c>
      <c r="G361" s="2">
        <f ca="1">IFERROR(__xludf.DUMMYFUNCTION("GOOGLEFINANCE(C361,""changepct"")/100"),0.0019)</f>
        <v>1.9E-3</v>
      </c>
      <c r="H361">
        <f ca="1">IFERROR(__xludf.DUMMYFUNCTION("GOOGLEFINANCE(C361,""marketcap"")"),897163314684)</f>
        <v>897163314684</v>
      </c>
    </row>
    <row r="362" spans="1:8" ht="12.75" x14ac:dyDescent="0.2">
      <c r="A362" s="1" t="s">
        <v>751</v>
      </c>
      <c r="B362" s="1" t="s">
        <v>29</v>
      </c>
      <c r="C362" s="1" t="s">
        <v>752</v>
      </c>
      <c r="D362" s="1" t="s">
        <v>22</v>
      </c>
      <c r="E362">
        <f ca="1">IFERROR(__xludf.DUMMYFUNCTION("GOOGLEFINANCE(C362)"),1854)</f>
        <v>1854</v>
      </c>
      <c r="F362">
        <f ca="1">IFERROR(__xludf.DUMMYFUNCTION("GOOGLEFINANCE(C362,""change"")"),124.05)</f>
        <v>124.05</v>
      </c>
      <c r="G362" s="2">
        <f ca="1">IFERROR(__xludf.DUMMYFUNCTION("GOOGLEFINANCE(C362,""changepct"")/100"),0.0717)</f>
        <v>7.17E-2</v>
      </c>
      <c r="H362">
        <f ca="1">IFERROR(__xludf.DUMMYFUNCTION("GOOGLEFINANCE(C362,""marketcap"")"),412343152321)</f>
        <v>412343152321</v>
      </c>
    </row>
    <row r="363" spans="1:8" ht="12.75" hidden="1" x14ac:dyDescent="0.2">
      <c r="A363" s="1" t="s">
        <v>753</v>
      </c>
      <c r="B363" s="1" t="s">
        <v>32</v>
      </c>
      <c r="C363" s="1" t="s">
        <v>754</v>
      </c>
      <c r="D363" s="1" t="s">
        <v>13</v>
      </c>
      <c r="E363">
        <f ca="1">IFERROR(__xludf.DUMMYFUNCTION("GOOGLEFINANCE(C363)"),626)</f>
        <v>626</v>
      </c>
      <c r="F363">
        <f ca="1">IFERROR(__xludf.DUMMYFUNCTION("GOOGLEFINANCE(C363,""change"")"),34.35)</f>
        <v>34.35</v>
      </c>
      <c r="G363" s="2">
        <f ca="1">IFERROR(__xludf.DUMMYFUNCTION("GOOGLEFINANCE(C363,""changepct"")/100"),0.0581)</f>
        <v>5.8099999999999999E-2</v>
      </c>
      <c r="H363">
        <f ca="1">IFERROR(__xludf.DUMMYFUNCTION("GOOGLEFINANCE(C363,""marketcap"")"),54897982587)</f>
        <v>54897982587</v>
      </c>
    </row>
    <row r="364" spans="1:8" ht="12.75" hidden="1" x14ac:dyDescent="0.2">
      <c r="A364" s="1" t="s">
        <v>755</v>
      </c>
      <c r="B364" s="1" t="s">
        <v>15</v>
      </c>
      <c r="C364" s="1" t="s">
        <v>756</v>
      </c>
      <c r="D364" s="1" t="s">
        <v>13</v>
      </c>
      <c r="E364">
        <f ca="1">IFERROR(__xludf.DUMMYFUNCTION("GOOGLEFINANCE(C364)"),1325)</f>
        <v>1325</v>
      </c>
      <c r="F364">
        <f ca="1">IFERROR(__xludf.DUMMYFUNCTION("GOOGLEFINANCE(C364,""change"")"),-3.95)</f>
        <v>-3.95</v>
      </c>
      <c r="G364" s="2">
        <f ca="1">IFERROR(__xludf.DUMMYFUNCTION("GOOGLEFINANCE(C364,""changepct"")/100"),-0.003)</f>
        <v>-3.0000000000000001E-3</v>
      </c>
      <c r="H364">
        <f ca="1">IFERROR(__xludf.DUMMYFUNCTION("GOOGLEFINANCE(C364,""marketcap"")"),197549947500)</f>
        <v>197549947500</v>
      </c>
    </row>
    <row r="365" spans="1:8" ht="12.75" hidden="1" x14ac:dyDescent="0.2">
      <c r="A365" s="1" t="s">
        <v>757</v>
      </c>
      <c r="B365" s="1" t="s">
        <v>15</v>
      </c>
      <c r="C365" s="1" t="s">
        <v>758</v>
      </c>
      <c r="D365" s="1" t="s">
        <v>13</v>
      </c>
      <c r="E365">
        <f ca="1">IFERROR(__xludf.DUMMYFUNCTION("GOOGLEFINANCE(C365)"),923.9)</f>
        <v>923.9</v>
      </c>
      <c r="F365">
        <f ca="1">IFERROR(__xludf.DUMMYFUNCTION("GOOGLEFINANCE(C365,""change"")"),5.4)</f>
        <v>5.4</v>
      </c>
      <c r="G365" s="2">
        <f ca="1">IFERROR(__xludf.DUMMYFUNCTION("GOOGLEFINANCE(C365,""changepct"")/100"),0.0059)</f>
        <v>5.8999999999999999E-3</v>
      </c>
      <c r="H365">
        <f ca="1">IFERROR(__xludf.DUMMYFUNCTION("GOOGLEFINANCE(C365,""marketcap"")"),28992648132)</f>
        <v>28992648132</v>
      </c>
    </row>
    <row r="366" spans="1:8" ht="12.75" x14ac:dyDescent="0.2">
      <c r="A366" s="1" t="s">
        <v>759</v>
      </c>
      <c r="B366" s="1" t="s">
        <v>29</v>
      </c>
      <c r="C366" s="1" t="s">
        <v>760</v>
      </c>
      <c r="D366" s="1" t="s">
        <v>22</v>
      </c>
      <c r="E366">
        <f ca="1">IFERROR(__xludf.DUMMYFUNCTION("GOOGLEFINANCE(C366)"),131.4)</f>
        <v>131.4</v>
      </c>
      <c r="F366">
        <f ca="1">IFERROR(__xludf.DUMMYFUNCTION("GOOGLEFINANCE(C366,""change"")"),4.95)</f>
        <v>4.95</v>
      </c>
      <c r="G366" s="2">
        <f ca="1">IFERROR(__xludf.DUMMYFUNCTION("GOOGLEFINANCE(C366,""changepct"")/100"),0.0391)</f>
        <v>3.9100000000000003E-2</v>
      </c>
      <c r="H366">
        <f ca="1">IFERROR(__xludf.DUMMYFUNCTION("GOOGLEFINANCE(C366,""marketcap"")"),346906627286)</f>
        <v>346906627286</v>
      </c>
    </row>
    <row r="367" spans="1:8" ht="12.75" x14ac:dyDescent="0.2">
      <c r="A367" s="1" t="s">
        <v>761</v>
      </c>
      <c r="B367" s="1" t="s">
        <v>44</v>
      </c>
      <c r="C367" s="1" t="s">
        <v>762</v>
      </c>
      <c r="D367" s="1" t="s">
        <v>22</v>
      </c>
      <c r="E367">
        <f ca="1">IFERROR(__xludf.DUMMYFUNCTION("GOOGLEFINANCE(C367)"),212.8)</f>
        <v>212.8</v>
      </c>
      <c r="F367">
        <f ca="1">IFERROR(__xludf.DUMMYFUNCTION("GOOGLEFINANCE(C367,""change"")"),0.15)</f>
        <v>0.15</v>
      </c>
      <c r="G367" s="2">
        <f ca="1">IFERROR(__xludf.DUMMYFUNCTION("GOOGLEFINANCE(C367,""changepct"")/100"),0.0007)</f>
        <v>6.9999999999999999E-4</v>
      </c>
      <c r="H367">
        <f ca="1">IFERROR(__xludf.DUMMYFUNCTION("GOOGLEFINANCE(C367,""marketcap"")"),1109621794441)</f>
        <v>1109621794441</v>
      </c>
    </row>
    <row r="368" spans="1:8" ht="12.75" hidden="1" x14ac:dyDescent="0.2">
      <c r="A368" s="1" t="s">
        <v>763</v>
      </c>
      <c r="B368" s="1" t="s">
        <v>15</v>
      </c>
      <c r="C368" s="1" t="s">
        <v>764</v>
      </c>
      <c r="D368" s="1" t="s">
        <v>13</v>
      </c>
      <c r="E368">
        <f ca="1">IFERROR(__xludf.DUMMYFUNCTION("GOOGLEFINANCE(C368)"),126.65)</f>
        <v>126.65</v>
      </c>
      <c r="F368">
        <f ca="1">IFERROR(__xludf.DUMMYFUNCTION("GOOGLEFINANCE(C368,""change"")"),-0.5)</f>
        <v>-0.5</v>
      </c>
      <c r="G368" s="2">
        <f ca="1">IFERROR(__xludf.DUMMYFUNCTION("GOOGLEFINANCE(C368,""changepct"")/100"),-0.0039)</f>
        <v>-3.8999999999999998E-3</v>
      </c>
      <c r="H368">
        <f ca="1">IFERROR(__xludf.DUMMYFUNCTION("GOOGLEFINANCE(C368,""marketcap"")"),23199430654)</f>
        <v>23199430654</v>
      </c>
    </row>
    <row r="369" spans="1:8" ht="12.75" hidden="1" x14ac:dyDescent="0.2">
      <c r="A369" s="1" t="s">
        <v>765</v>
      </c>
      <c r="B369" s="1" t="s">
        <v>95</v>
      </c>
      <c r="C369" s="1" t="s">
        <v>766</v>
      </c>
      <c r="D369" s="1" t="s">
        <v>13</v>
      </c>
      <c r="E369">
        <f ca="1">IFERROR(__xludf.DUMMYFUNCTION("GOOGLEFINANCE(C369)"),291.05)</f>
        <v>291.05</v>
      </c>
      <c r="F369">
        <f ca="1">IFERROR(__xludf.DUMMYFUNCTION("GOOGLEFINANCE(C369,""change"")"),4.75)</f>
        <v>4.75</v>
      </c>
      <c r="G369" s="2">
        <f ca="1">IFERROR(__xludf.DUMMYFUNCTION("GOOGLEFINANCE(C369,""changepct"")/100"),0.0166)</f>
        <v>1.66E-2</v>
      </c>
      <c r="H369">
        <f ca="1">IFERROR(__xludf.DUMMYFUNCTION("GOOGLEFINANCE(C369,""marketcap"")"),116670763786)</f>
        <v>116670763786</v>
      </c>
    </row>
    <row r="370" spans="1:8" ht="12.75" hidden="1" x14ac:dyDescent="0.2">
      <c r="A370" s="1" t="s">
        <v>767</v>
      </c>
      <c r="B370" s="1" t="s">
        <v>20</v>
      </c>
      <c r="C370" s="1" t="s">
        <v>768</v>
      </c>
      <c r="D370" s="1" t="s">
        <v>13</v>
      </c>
      <c r="E370">
        <f ca="1">IFERROR(__xludf.DUMMYFUNCTION("GOOGLEFINANCE(C370)"),116.3)</f>
        <v>116.3</v>
      </c>
      <c r="F370">
        <f ca="1">IFERROR(__xludf.DUMMYFUNCTION("GOOGLEFINANCE(C370,""change"")"),0.15)</f>
        <v>0.15</v>
      </c>
      <c r="G370" s="2">
        <f ca="1">IFERROR(__xludf.DUMMYFUNCTION("GOOGLEFINANCE(C370,""changepct"")/100"),0.0013)</f>
        <v>1.2999999999999999E-3</v>
      </c>
      <c r="H370">
        <f ca="1">IFERROR(__xludf.DUMMYFUNCTION("GOOGLEFINANCE(C370,""marketcap"")"),58515269980)</f>
        <v>58515269980</v>
      </c>
    </row>
    <row r="371" spans="1:8" ht="12.75" hidden="1" x14ac:dyDescent="0.2">
      <c r="A371" s="1" t="s">
        <v>769</v>
      </c>
      <c r="B371" s="1" t="s">
        <v>32</v>
      </c>
      <c r="C371" s="1" t="s">
        <v>770</v>
      </c>
      <c r="D371" s="1" t="s">
        <v>13</v>
      </c>
      <c r="E371">
        <f ca="1">IFERROR(__xludf.DUMMYFUNCTION("GOOGLEFINANCE(C371)"),7400)</f>
        <v>7400</v>
      </c>
      <c r="F371">
        <f ca="1">IFERROR(__xludf.DUMMYFUNCTION("GOOGLEFINANCE(C371,""change"")"),20.55)</f>
        <v>20.55</v>
      </c>
      <c r="G371" s="2">
        <f ca="1">IFERROR(__xludf.DUMMYFUNCTION("GOOGLEFINANCE(C371,""changepct"")/100"),0.0028)</f>
        <v>2.8E-3</v>
      </c>
      <c r="H371">
        <f ca="1">IFERROR(__xludf.DUMMYFUNCTION("GOOGLEFINANCE(C371,""marketcap"")"),122494300000)</f>
        <v>122494300000</v>
      </c>
    </row>
    <row r="372" spans="1:8" ht="12.75" hidden="1" x14ac:dyDescent="0.2">
      <c r="A372" s="1" t="s">
        <v>771</v>
      </c>
      <c r="B372" s="1" t="s">
        <v>56</v>
      </c>
      <c r="C372" s="1" t="s">
        <v>772</v>
      </c>
      <c r="D372" s="1" t="s">
        <v>13</v>
      </c>
      <c r="E372">
        <f ca="1">IFERROR(__xludf.DUMMYFUNCTION("GOOGLEFINANCE(C372)"),13475.2)</f>
        <v>13475.2</v>
      </c>
      <c r="F372">
        <f ca="1">IFERROR(__xludf.DUMMYFUNCTION("GOOGLEFINANCE(C372,""change"")"),20.75)</f>
        <v>20.75</v>
      </c>
      <c r="G372" s="2">
        <f ca="1">IFERROR(__xludf.DUMMYFUNCTION("GOOGLEFINANCE(C372,""changepct"")/100"),0.0015)</f>
        <v>1.5E-3</v>
      </c>
      <c r="H372">
        <f ca="1">IFERROR(__xludf.DUMMYFUNCTION("GOOGLEFINANCE(C372,""marketcap"")"),437414835235)</f>
        <v>437414835235</v>
      </c>
    </row>
    <row r="373" spans="1:8" ht="12.75" x14ac:dyDescent="0.2">
      <c r="A373" s="1" t="s">
        <v>773</v>
      </c>
      <c r="B373" s="1" t="s">
        <v>29</v>
      </c>
      <c r="C373" s="1" t="s">
        <v>774</v>
      </c>
      <c r="D373" s="1" t="s">
        <v>22</v>
      </c>
      <c r="E373">
        <f ca="1">IFERROR(__xludf.DUMMYFUNCTION("GOOGLEFINANCE(C373)"),39.65)</f>
        <v>39.65</v>
      </c>
      <c r="F373">
        <f ca="1">IFERROR(__xludf.DUMMYFUNCTION("GOOGLEFINANCE(C373,""change"")"),0.85)</f>
        <v>0.85</v>
      </c>
      <c r="G373" s="2">
        <f ca="1">IFERROR(__xludf.DUMMYFUNCTION("GOOGLEFINANCE(C373,""changepct"")/100"),0.0219)</f>
        <v>2.1899999999999999E-2</v>
      </c>
      <c r="H373">
        <f ca="1">IFERROR(__xludf.DUMMYFUNCTION("GOOGLEFINANCE(C373,""marketcap"")"),414392236006)</f>
        <v>414392236006</v>
      </c>
    </row>
    <row r="374" spans="1:8" ht="12.75" hidden="1" x14ac:dyDescent="0.2">
      <c r="A374" s="1" t="s">
        <v>775</v>
      </c>
      <c r="B374" s="1" t="s">
        <v>11</v>
      </c>
      <c r="C374" s="1" t="s">
        <v>776</v>
      </c>
      <c r="D374" s="1" t="s">
        <v>13</v>
      </c>
      <c r="E374">
        <f ca="1">IFERROR(__xludf.DUMMYFUNCTION("GOOGLEFINANCE(C374)"),685.95)</f>
        <v>685.95</v>
      </c>
      <c r="F374">
        <f ca="1">IFERROR(__xludf.DUMMYFUNCTION("GOOGLEFINANCE(C374,""change"")"),7.8)</f>
        <v>7.8</v>
      </c>
      <c r="G374" s="2">
        <f ca="1">IFERROR(__xludf.DUMMYFUNCTION("GOOGLEFINANCE(C374,""changepct"")/100"),0.0115)</f>
        <v>1.15E-2</v>
      </c>
      <c r="H374">
        <f ca="1">IFERROR(__xludf.DUMMYFUNCTION("GOOGLEFINANCE(C374,""marketcap"")"),101300274662)</f>
        <v>101300274662</v>
      </c>
    </row>
    <row r="375" spans="1:8" ht="12.75" x14ac:dyDescent="0.2">
      <c r="A375" s="1" t="s">
        <v>777</v>
      </c>
      <c r="B375" s="1" t="s">
        <v>29</v>
      </c>
      <c r="C375" s="1" t="s">
        <v>778</v>
      </c>
      <c r="D375" s="1" t="s">
        <v>22</v>
      </c>
      <c r="E375">
        <f ca="1">IFERROR(__xludf.DUMMYFUNCTION("GOOGLEFINANCE(C375)"),254.75)</f>
        <v>254.75</v>
      </c>
      <c r="F375">
        <f ca="1">IFERROR(__xludf.DUMMYFUNCTION("GOOGLEFINANCE(C375,""change"")"),13.3)</f>
        <v>13.3</v>
      </c>
      <c r="G375" s="2">
        <f ca="1">IFERROR(__xludf.DUMMYFUNCTION("GOOGLEFINANCE(C375,""changepct"")/100"),0.0550999999999999)</f>
        <v>5.5099999999999899E-2</v>
      </c>
      <c r="H375">
        <f ca="1">IFERROR(__xludf.DUMMYFUNCTION("GOOGLEFINANCE(C375,""marketcap"")"),151865787200)</f>
        <v>151865787200</v>
      </c>
    </row>
    <row r="376" spans="1:8" ht="12.75" x14ac:dyDescent="0.2">
      <c r="A376" s="1" t="s">
        <v>779</v>
      </c>
      <c r="B376" s="1" t="s">
        <v>29</v>
      </c>
      <c r="C376" s="1" t="s">
        <v>780</v>
      </c>
      <c r="D376" s="1" t="s">
        <v>22</v>
      </c>
      <c r="E376">
        <f ca="1">IFERROR(__xludf.DUMMYFUNCTION("GOOGLEFINANCE(C376)"),152.7)</f>
        <v>152.69999999999999</v>
      </c>
      <c r="F376">
        <f ca="1">IFERROR(__xludf.DUMMYFUNCTION("GOOGLEFINANCE(C376,""change"")"),5.4)</f>
        <v>5.4</v>
      </c>
      <c r="G376" s="2">
        <f ca="1">IFERROR(__xludf.DUMMYFUNCTION("GOOGLEFINANCE(C376,""changepct"")/100"),0.0366999999999999)</f>
        <v>3.6699999999999899E-2</v>
      </c>
      <c r="H376">
        <f ca="1">IFERROR(__xludf.DUMMYFUNCTION("GOOGLEFINANCE(C376,""marketcap"")"),301569819873)</f>
        <v>301569819873</v>
      </c>
    </row>
    <row r="377" spans="1:8" ht="12.75" hidden="1" x14ac:dyDescent="0.2">
      <c r="A377" s="1" t="s">
        <v>781</v>
      </c>
      <c r="B377" s="1" t="s">
        <v>11</v>
      </c>
      <c r="C377" s="1" t="s">
        <v>782</v>
      </c>
      <c r="D377" s="1" t="s">
        <v>13</v>
      </c>
      <c r="E377">
        <f ca="1">IFERROR(__xludf.DUMMYFUNCTION("GOOGLEFINANCE(C377)"),239.95)</f>
        <v>239.95</v>
      </c>
      <c r="F377">
        <f ca="1">IFERROR(__xludf.DUMMYFUNCTION("GOOGLEFINANCE(C377,""change"")"),-0.7)</f>
        <v>-0.7</v>
      </c>
      <c r="G377" s="2">
        <f ca="1">IFERROR(__xludf.DUMMYFUNCTION("GOOGLEFINANCE(C377,""changepct"")/100"),-0.0029)</f>
        <v>-2.8999999999999998E-3</v>
      </c>
      <c r="H377">
        <f ca="1">IFERROR(__xludf.DUMMYFUNCTION("GOOGLEFINANCE(C377,""marketcap"")"),57660416176)</f>
        <v>57660416176</v>
      </c>
    </row>
    <row r="378" spans="1:8" ht="12.75" hidden="1" x14ac:dyDescent="0.2">
      <c r="A378" s="1" t="s">
        <v>783</v>
      </c>
      <c r="B378" s="1" t="s">
        <v>56</v>
      </c>
      <c r="C378" s="1" t="s">
        <v>784</v>
      </c>
      <c r="D378" s="1" t="s">
        <v>13</v>
      </c>
      <c r="E378">
        <f ca="1">IFERROR(__xludf.DUMMYFUNCTION("GOOGLEFINANCE(C378)"),570.1)</f>
        <v>570.1</v>
      </c>
      <c r="F378">
        <f ca="1">IFERROR(__xludf.DUMMYFUNCTION("GOOGLEFINANCE(C378,""change"")"),26.8)</f>
        <v>26.8</v>
      </c>
      <c r="G378" s="2">
        <f ca="1">IFERROR(__xludf.DUMMYFUNCTION("GOOGLEFINANCE(C378,""changepct"")/100"),0.0493)</f>
        <v>4.9299999999999997E-2</v>
      </c>
      <c r="H378">
        <f ca="1">IFERROR(__xludf.DUMMYFUNCTION("GOOGLEFINANCE(C378,""marketcap"")"),76147227559)</f>
        <v>76147227559</v>
      </c>
    </row>
    <row r="379" spans="1:8" ht="12.75" hidden="1" x14ac:dyDescent="0.2">
      <c r="A379" s="1" t="s">
        <v>785</v>
      </c>
      <c r="B379" s="1" t="s">
        <v>95</v>
      </c>
      <c r="C379" s="1" t="s">
        <v>786</v>
      </c>
      <c r="D379" s="1" t="s">
        <v>13</v>
      </c>
      <c r="E379">
        <f ca="1">IFERROR(__xludf.DUMMYFUNCTION("GOOGLEFINANCE(C379)"),30.95)</f>
        <v>30.95</v>
      </c>
      <c r="F379">
        <f ca="1">IFERROR(__xludf.DUMMYFUNCTION("GOOGLEFINANCE(C379,""change"")"),-1.6)</f>
        <v>-1.6</v>
      </c>
      <c r="G379" s="2">
        <f ca="1">IFERROR(__xludf.DUMMYFUNCTION("GOOGLEFINANCE(C379,""changepct"")/100"),-0.0492)</f>
        <v>-4.9200000000000001E-2</v>
      </c>
      <c r="H379">
        <f ca="1">IFERROR(__xludf.DUMMYFUNCTION("GOOGLEFINANCE(C379,""marketcap"")"),64839477806)</f>
        <v>64839477806</v>
      </c>
    </row>
    <row r="380" spans="1:8" ht="12.75" hidden="1" x14ac:dyDescent="0.2">
      <c r="A380" s="1" t="s">
        <v>787</v>
      </c>
      <c r="B380" s="1" t="s">
        <v>35</v>
      </c>
      <c r="C380" s="1" t="s">
        <v>788</v>
      </c>
      <c r="D380" s="1" t="s">
        <v>13</v>
      </c>
      <c r="E380">
        <f ca="1">IFERROR(__xludf.DUMMYFUNCTION("GOOGLEFINANCE(C380)"),141.3)</f>
        <v>141.30000000000001</v>
      </c>
      <c r="F380">
        <f ca="1">IFERROR(__xludf.DUMMYFUNCTION("GOOGLEFINANCE(C380,""change"")"),5.55)</f>
        <v>5.55</v>
      </c>
      <c r="G380" s="2">
        <f ca="1">IFERROR(__xludf.DUMMYFUNCTION("GOOGLEFINANCE(C380,""changepct"")/100"),0.0409)</f>
        <v>4.0899999999999999E-2</v>
      </c>
      <c r="H380">
        <f ca="1">IFERROR(__xludf.DUMMYFUNCTION("GOOGLEFINANCE(C380,""marketcap"")"),47224083107)</f>
        <v>47224083107</v>
      </c>
    </row>
    <row r="381" spans="1:8" ht="12.75" hidden="1" x14ac:dyDescent="0.2">
      <c r="A381" s="1" t="s">
        <v>789</v>
      </c>
      <c r="B381" s="1" t="s">
        <v>56</v>
      </c>
      <c r="C381" s="1" t="s">
        <v>790</v>
      </c>
      <c r="D381" s="1" t="s">
        <v>13</v>
      </c>
      <c r="E381">
        <f ca="1">IFERROR(__xludf.DUMMYFUNCTION("GOOGLEFINANCE(C381)"),477)</f>
        <v>477</v>
      </c>
      <c r="F381">
        <f ca="1">IFERROR(__xludf.DUMMYFUNCTION("GOOGLEFINANCE(C381,""change"")"),-5.1)</f>
        <v>-5.0999999999999996</v>
      </c>
      <c r="G381" s="2">
        <f ca="1">IFERROR(__xludf.DUMMYFUNCTION("GOOGLEFINANCE(C381,""changepct"")/100"),-0.0106)</f>
        <v>-1.06E-2</v>
      </c>
      <c r="H381">
        <f ca="1">IFERROR(__xludf.DUMMYFUNCTION("GOOGLEFINANCE(C381,""marketcap"")"),140796570959)</f>
        <v>140796570959</v>
      </c>
    </row>
    <row r="382" spans="1:8" ht="12.75" hidden="1" x14ac:dyDescent="0.2">
      <c r="A382" s="1" t="s">
        <v>791</v>
      </c>
      <c r="B382" s="1" t="s">
        <v>150</v>
      </c>
      <c r="C382" s="1" t="s">
        <v>792</v>
      </c>
      <c r="D382" s="1" t="s">
        <v>13</v>
      </c>
      <c r="E382">
        <f ca="1">IFERROR(__xludf.DUMMYFUNCTION("GOOGLEFINANCE(C382)"),265)</f>
        <v>265</v>
      </c>
      <c r="F382">
        <f ca="1">IFERROR(__xludf.DUMMYFUNCTION("GOOGLEFINANCE(C382,""change"")"),0.1)</f>
        <v>0.1</v>
      </c>
      <c r="G382" s="2">
        <f ca="1">IFERROR(__xludf.DUMMYFUNCTION("GOOGLEFINANCE(C382,""changepct"")/100"),0.0004)</f>
        <v>4.0000000000000002E-4</v>
      </c>
      <c r="H382">
        <f ca="1">IFERROR(__xludf.DUMMYFUNCTION("GOOGLEFINANCE(C382,""marketcap"")"),51650886178)</f>
        <v>51650886178</v>
      </c>
    </row>
    <row r="383" spans="1:8" ht="12.75" hidden="1" x14ac:dyDescent="0.2">
      <c r="A383" s="1" t="s">
        <v>793</v>
      </c>
      <c r="B383" s="1" t="s">
        <v>150</v>
      </c>
      <c r="C383" s="1" t="s">
        <v>794</v>
      </c>
      <c r="D383" s="1" t="s">
        <v>13</v>
      </c>
      <c r="E383">
        <f ca="1">IFERROR(__xludf.DUMMYFUNCTION("GOOGLEFINANCE(C383)"),53.2)</f>
        <v>53.2</v>
      </c>
      <c r="F383">
        <f ca="1">IFERROR(__xludf.DUMMYFUNCTION("GOOGLEFINANCE(C383,""change"")"),-0.4)</f>
        <v>-0.4</v>
      </c>
      <c r="G383" s="2">
        <f ca="1">IFERROR(__xludf.DUMMYFUNCTION("GOOGLEFINANCE(C383,""changepct"")/100"),-0.0075)</f>
        <v>-7.4999999999999997E-3</v>
      </c>
      <c r="H383">
        <f ca="1">IFERROR(__xludf.DUMMYFUNCTION("GOOGLEFINANCE(C383,""marketcap"")"),29294893626)</f>
        <v>29294893626</v>
      </c>
    </row>
    <row r="384" spans="1:8" ht="12.75" hidden="1" x14ac:dyDescent="0.2">
      <c r="A384" s="1" t="s">
        <v>795</v>
      </c>
      <c r="B384" s="1" t="s">
        <v>26</v>
      </c>
      <c r="C384" s="1" t="s">
        <v>796</v>
      </c>
      <c r="D384" s="1" t="s">
        <v>13</v>
      </c>
      <c r="E384">
        <f ca="1">IFERROR(__xludf.DUMMYFUNCTION("GOOGLEFINANCE(C384)"),1663)</f>
        <v>1663</v>
      </c>
      <c r="F384">
        <f ca="1">IFERROR(__xludf.DUMMYFUNCTION("GOOGLEFINANCE(C384,""change"")"),46.3)</f>
        <v>46.3</v>
      </c>
      <c r="G384" s="2">
        <f ca="1">IFERROR(__xludf.DUMMYFUNCTION("GOOGLEFINANCE(C384,""changepct"")/100"),0.0286)</f>
        <v>2.86E-2</v>
      </c>
      <c r="H384">
        <f ca="1">IFERROR(__xludf.DUMMYFUNCTION("GOOGLEFINANCE(C384,""marketcap"")"),77420832967)</f>
        <v>77420832967</v>
      </c>
    </row>
    <row r="385" spans="1:8" ht="12.75" hidden="1" x14ac:dyDescent="0.2">
      <c r="A385" s="1" t="s">
        <v>797</v>
      </c>
      <c r="B385" s="1" t="s">
        <v>78</v>
      </c>
      <c r="C385" s="1" t="s">
        <v>798</v>
      </c>
      <c r="D385" s="1" t="s">
        <v>13</v>
      </c>
      <c r="E385">
        <f ca="1">IFERROR(__xludf.DUMMYFUNCTION("GOOGLEFINANCE(C385)"),331.75)</f>
        <v>331.75</v>
      </c>
      <c r="F385">
        <f ca="1">IFERROR(__xludf.DUMMYFUNCTION("GOOGLEFINANCE(C385,""change"")"),-2.4)</f>
        <v>-2.4</v>
      </c>
      <c r="G385" s="2">
        <f ca="1">IFERROR(__xludf.DUMMYFUNCTION("GOOGLEFINANCE(C385,""changepct"")/100"),-0.0072)</f>
        <v>-7.1999999999999998E-3</v>
      </c>
      <c r="H385">
        <f ca="1">IFERROR(__xludf.DUMMYFUNCTION("GOOGLEFINANCE(C385,""marketcap"")"),22085831610)</f>
        <v>22085831610</v>
      </c>
    </row>
    <row r="386" spans="1:8" ht="12.75" hidden="1" x14ac:dyDescent="0.2">
      <c r="A386" s="1" t="s">
        <v>799</v>
      </c>
      <c r="B386" s="1" t="s">
        <v>11</v>
      </c>
      <c r="C386" s="1" t="s">
        <v>800</v>
      </c>
      <c r="D386" s="1" t="s">
        <v>13</v>
      </c>
      <c r="E386">
        <f ca="1">IFERROR(__xludf.DUMMYFUNCTION("GOOGLEFINANCE(C386)"),163)</f>
        <v>163</v>
      </c>
      <c r="F386">
        <f ca="1">IFERROR(__xludf.DUMMYFUNCTION("GOOGLEFINANCE(C386,""change"")"),1)</f>
        <v>1</v>
      </c>
      <c r="G386" s="2">
        <f ca="1">IFERROR(__xludf.DUMMYFUNCTION("GOOGLEFINANCE(C386,""changepct"")/100"),0.0062)</f>
        <v>6.1999999999999998E-3</v>
      </c>
      <c r="H386">
        <f ca="1">IFERROR(__xludf.DUMMYFUNCTION("GOOGLEFINANCE(C386,""marketcap"")"),63304735176)</f>
        <v>63304735176</v>
      </c>
    </row>
    <row r="387" spans="1:8" ht="12.75" hidden="1" x14ac:dyDescent="0.2">
      <c r="A387" s="1" t="s">
        <v>801</v>
      </c>
      <c r="B387" s="1" t="s">
        <v>56</v>
      </c>
      <c r="C387" s="1" t="s">
        <v>802</v>
      </c>
      <c r="D387" s="1" t="s">
        <v>13</v>
      </c>
      <c r="E387">
        <f ca="1">IFERROR(__xludf.DUMMYFUNCTION("GOOGLEFINANCE(C387)"),874)</f>
        <v>874</v>
      </c>
      <c r="F387">
        <f ca="1">IFERROR(__xludf.DUMMYFUNCTION("GOOGLEFINANCE(C387,""change"")"),0.9)</f>
        <v>0.9</v>
      </c>
      <c r="G387" s="2">
        <f ca="1">IFERROR(__xludf.DUMMYFUNCTION("GOOGLEFINANCE(C387,""changepct"")/100"),0.001)</f>
        <v>1E-3</v>
      </c>
      <c r="H387">
        <f ca="1">IFERROR(__xludf.DUMMYFUNCTION("GOOGLEFINANCE(C387,""marketcap"")"),217113430171)</f>
        <v>217113430171</v>
      </c>
    </row>
    <row r="388" spans="1:8" ht="12.75" x14ac:dyDescent="0.2">
      <c r="A388" s="1" t="s">
        <v>803</v>
      </c>
      <c r="B388" s="1" t="s">
        <v>49</v>
      </c>
      <c r="C388" s="1" t="s">
        <v>804</v>
      </c>
      <c r="D388" s="1" t="s">
        <v>22</v>
      </c>
      <c r="E388">
        <f ca="1">IFERROR(__xludf.DUMMYFUNCTION("GOOGLEFINANCE(C388)"),2034)</f>
        <v>2034</v>
      </c>
      <c r="F388">
        <f ca="1">IFERROR(__xludf.DUMMYFUNCTION("GOOGLEFINANCE(C388,""change"")"),-7.6)</f>
        <v>-7.6</v>
      </c>
      <c r="G388" s="2">
        <f ca="1">IFERROR(__xludf.DUMMYFUNCTION("GOOGLEFINANCE(C388,""changepct"")/100"),-0.0037)</f>
        <v>-3.7000000000000002E-3</v>
      </c>
      <c r="H388">
        <f ca="1">IFERROR(__xludf.DUMMYFUNCTION("GOOGLEFINANCE(C388,""marketcap"")"),13369950750210)</f>
        <v>13369950750210</v>
      </c>
    </row>
    <row r="389" spans="1:8" ht="12.75" hidden="1" x14ac:dyDescent="0.2">
      <c r="A389" s="1" t="s">
        <v>805</v>
      </c>
      <c r="B389" s="1" t="s">
        <v>29</v>
      </c>
      <c r="C389" s="1" t="s">
        <v>806</v>
      </c>
      <c r="D389" s="1" t="s">
        <v>13</v>
      </c>
      <c r="E389">
        <f ca="1">IFERROR(__xludf.DUMMYFUNCTION("GOOGLEFINANCE(C389)"),1018.9)</f>
        <v>1018.9</v>
      </c>
      <c r="F389">
        <f ca="1">IFERROR(__xludf.DUMMYFUNCTION("GOOGLEFINANCE(C389,""change"")"),-2)</f>
        <v>-2</v>
      </c>
      <c r="G389" s="2">
        <f ca="1">IFERROR(__xludf.DUMMYFUNCTION("GOOGLEFINANCE(C389,""changepct"")/100"),-0.002)</f>
        <v>-2E-3</v>
      </c>
      <c r="H389">
        <f ca="1">IFERROR(__xludf.DUMMYFUNCTION("GOOGLEFINANCE(C389,""marketcap"")"),957971517826)</f>
        <v>957971517826</v>
      </c>
    </row>
    <row r="390" spans="1:8" ht="12.75" x14ac:dyDescent="0.2">
      <c r="A390" s="1" t="s">
        <v>807</v>
      </c>
      <c r="B390" s="1" t="s">
        <v>29</v>
      </c>
      <c r="C390" s="1" t="s">
        <v>808</v>
      </c>
      <c r="D390" s="1" t="s">
        <v>22</v>
      </c>
      <c r="E390">
        <f ca="1">IFERROR(__xludf.DUMMYFUNCTION("GOOGLEFINANCE(C390)"),876.5)</f>
        <v>876.5</v>
      </c>
      <c r="F390">
        <f ca="1">IFERROR(__xludf.DUMMYFUNCTION("GOOGLEFINANCE(C390,""change"")"),-20.35)</f>
        <v>-20.350000000000001</v>
      </c>
      <c r="G390" s="2">
        <f ca="1">IFERROR(__xludf.DUMMYFUNCTION("GOOGLEFINANCE(C390,""changepct"")/100"),-0.0227)</f>
        <v>-2.2700000000000001E-2</v>
      </c>
      <c r="H390">
        <f ca="1">IFERROR(__xludf.DUMMYFUNCTION("GOOGLEFINANCE(C390,""marketcap"")"),877741260000)</f>
        <v>877741260000</v>
      </c>
    </row>
    <row r="391" spans="1:8" ht="12.75" hidden="1" x14ac:dyDescent="0.2">
      <c r="A391" s="1" t="s">
        <v>809</v>
      </c>
      <c r="B391" s="1" t="s">
        <v>44</v>
      </c>
      <c r="C391" s="1" t="s">
        <v>810</v>
      </c>
      <c r="D391" s="1" t="s">
        <v>13</v>
      </c>
      <c r="E391">
        <f ca="1">IFERROR(__xludf.DUMMYFUNCTION("GOOGLEFINANCE(C391)"),26.85)</f>
        <v>26.85</v>
      </c>
      <c r="F391">
        <f ca="1">IFERROR(__xludf.DUMMYFUNCTION("GOOGLEFINANCE(C391,""change"")"),-0.45)</f>
        <v>-0.45</v>
      </c>
      <c r="G391" s="2">
        <f ca="1">IFERROR(__xludf.DUMMYFUNCTION("GOOGLEFINANCE(C391,""changepct"")/100"),-0.0165)</f>
        <v>-1.6500000000000001E-2</v>
      </c>
      <c r="H391">
        <f ca="1">IFERROR(__xludf.DUMMYFUNCTION("GOOGLEFINANCE(C391,""marketcap"")"),105518207503)</f>
        <v>105518207503</v>
      </c>
    </row>
    <row r="392" spans="1:8" ht="12.75" hidden="1" x14ac:dyDescent="0.2">
      <c r="A392" s="1" t="s">
        <v>811</v>
      </c>
      <c r="B392" s="1" t="s">
        <v>15</v>
      </c>
      <c r="C392" s="1" t="s">
        <v>812</v>
      </c>
      <c r="D392" s="1" t="s">
        <v>13</v>
      </c>
      <c r="E392">
        <f ca="1">IFERROR(__xludf.DUMMYFUNCTION("GOOGLEFINANCE(C392)"),2360)</f>
        <v>2360</v>
      </c>
      <c r="F392">
        <f ca="1">IFERROR(__xludf.DUMMYFUNCTION("GOOGLEFINANCE(C392,""change"")"),41)</f>
        <v>41</v>
      </c>
      <c r="G392" s="2">
        <f ca="1">IFERROR(__xludf.DUMMYFUNCTION("GOOGLEFINANCE(C392,""changepct"")/100"),0.0177)</f>
        <v>1.77E-2</v>
      </c>
      <c r="H392">
        <f ca="1">IFERROR(__xludf.DUMMYFUNCTION("GOOGLEFINANCE(C392,""marketcap"")"),117793568804)</f>
        <v>117793568804</v>
      </c>
    </row>
    <row r="393" spans="1:8" ht="12.75" x14ac:dyDescent="0.2">
      <c r="A393" s="1" t="s">
        <v>813</v>
      </c>
      <c r="B393" s="1" t="s">
        <v>15</v>
      </c>
      <c r="C393" s="1" t="s">
        <v>814</v>
      </c>
      <c r="D393" s="1" t="s">
        <v>22</v>
      </c>
      <c r="E393">
        <f ca="1">IFERROR(__xludf.DUMMYFUNCTION("GOOGLEFINANCE(C393)"),5625.25)</f>
        <v>5625.25</v>
      </c>
      <c r="F393">
        <f ca="1">IFERROR(__xludf.DUMMYFUNCTION("GOOGLEFINANCE(C393,""change"")"),9.35)</f>
        <v>9.35</v>
      </c>
      <c r="G393" s="2">
        <f ca="1">IFERROR(__xludf.DUMMYFUNCTION("GOOGLEFINANCE(C393,""changepct"")/100"),0.0017)</f>
        <v>1.6999999999999999E-3</v>
      </c>
      <c r="H393">
        <f ca="1">IFERROR(__xludf.DUMMYFUNCTION("GOOGLEFINANCE(C393,""marketcap"")"),333269117552)</f>
        <v>333269117552</v>
      </c>
    </row>
    <row r="394" spans="1:8" ht="12.75" hidden="1" x14ac:dyDescent="0.2">
      <c r="A394" s="1" t="s">
        <v>815</v>
      </c>
      <c r="B394" s="1" t="s">
        <v>32</v>
      </c>
      <c r="C394" s="1" t="s">
        <v>816</v>
      </c>
      <c r="D394" s="1" t="s">
        <v>13</v>
      </c>
      <c r="E394">
        <f ca="1">IFERROR(__xludf.DUMMYFUNCTION("GOOGLEFINANCE(C394)"),7821)</f>
        <v>7821</v>
      </c>
      <c r="F394">
        <f ca="1">IFERROR(__xludf.DUMMYFUNCTION("GOOGLEFINANCE(C394,""change"")"),41.6)</f>
        <v>41.6</v>
      </c>
      <c r="G394" s="2">
        <f ca="1">IFERROR(__xludf.DUMMYFUNCTION("GOOGLEFINANCE(C394,""changepct"")/100"),0.0053)</f>
        <v>5.3E-3</v>
      </c>
      <c r="H394">
        <f ca="1">IFERROR(__xludf.DUMMYFUNCTION("GOOGLEFINANCE(C394,""marketcap"")"),179948384771)</f>
        <v>179948384771</v>
      </c>
    </row>
    <row r="395" spans="1:8" ht="12.75" hidden="1" x14ac:dyDescent="0.2">
      <c r="A395" s="1" t="s">
        <v>817</v>
      </c>
      <c r="B395" s="1" t="s">
        <v>15</v>
      </c>
      <c r="C395" s="1" t="s">
        <v>818</v>
      </c>
      <c r="D395" s="1" t="s">
        <v>13</v>
      </c>
      <c r="E395">
        <f ca="1">IFERROR(__xludf.DUMMYFUNCTION("GOOGLEFINANCE(C395)"),5030)</f>
        <v>5030</v>
      </c>
      <c r="F395">
        <f ca="1">IFERROR(__xludf.DUMMYFUNCTION("GOOGLEFINANCE(C395,""change"")"),87.2)</f>
        <v>87.2</v>
      </c>
      <c r="G395" s="2">
        <f ca="1">IFERROR(__xludf.DUMMYFUNCTION("GOOGLEFINANCE(C395,""changepct"")/100"),0.0176)</f>
        <v>1.7600000000000001E-2</v>
      </c>
      <c r="H395">
        <f ca="1">IFERROR(__xludf.DUMMYFUNCTION("GOOGLEFINANCE(C395,""marketcap"")"),157065096179)</f>
        <v>157065096179</v>
      </c>
    </row>
    <row r="396" spans="1:8" ht="12.75" hidden="1" x14ac:dyDescent="0.2">
      <c r="A396" s="1" t="s">
        <v>819</v>
      </c>
      <c r="B396" s="1" t="s">
        <v>15</v>
      </c>
      <c r="C396" s="1" t="s">
        <v>820</v>
      </c>
      <c r="D396" s="1" t="s">
        <v>13</v>
      </c>
      <c r="E396">
        <f ca="1">IFERROR(__xludf.DUMMYFUNCTION("GOOGLEFINANCE(C396)"),99)</f>
        <v>99</v>
      </c>
      <c r="F396">
        <f ca="1">IFERROR(__xludf.DUMMYFUNCTION("GOOGLEFINANCE(C396,""change"")"),-3.05)</f>
        <v>-3.05</v>
      </c>
      <c r="G396" s="2">
        <f ca="1">IFERROR(__xludf.DUMMYFUNCTION("GOOGLEFINANCE(C396,""changepct"")/100"),-0.0299)</f>
        <v>-2.9899999999999999E-2</v>
      </c>
      <c r="H396">
        <f ca="1">IFERROR(__xludf.DUMMYFUNCTION("GOOGLEFINANCE(C396,""marketcap"")"),23671296000)</f>
        <v>23671296000</v>
      </c>
    </row>
    <row r="397" spans="1:8" ht="12.75" hidden="1" x14ac:dyDescent="0.2">
      <c r="A397" s="1" t="s">
        <v>821</v>
      </c>
      <c r="B397" s="1" t="s">
        <v>11</v>
      </c>
      <c r="C397" s="1" t="s">
        <v>822</v>
      </c>
      <c r="D397" s="1" t="s">
        <v>13</v>
      </c>
      <c r="E397">
        <f ca="1">IFERROR(__xludf.DUMMYFUNCTION("GOOGLEFINANCE(C397)"),423.7)</f>
        <v>423.7</v>
      </c>
      <c r="F397">
        <f ca="1">IFERROR(__xludf.DUMMYFUNCTION("GOOGLEFINANCE(C397,""change"")"),-8.35)</f>
        <v>-8.35</v>
      </c>
      <c r="G397" s="2">
        <f ca="1">IFERROR(__xludf.DUMMYFUNCTION("GOOGLEFINANCE(C397,""changepct"")/100"),-0.0192999999999999)</f>
        <v>-1.9299999999999901E-2</v>
      </c>
      <c r="H397">
        <f ca="1">IFERROR(__xludf.DUMMYFUNCTION("GOOGLEFINANCE(C397,""marketcap"")"),63106336616)</f>
        <v>63106336616</v>
      </c>
    </row>
    <row r="398" spans="1:8" ht="12.75" hidden="1" x14ac:dyDescent="0.2">
      <c r="A398" s="1" t="s">
        <v>823</v>
      </c>
      <c r="B398" s="1" t="s">
        <v>32</v>
      </c>
      <c r="C398" s="1" t="s">
        <v>824</v>
      </c>
      <c r="D398" s="1" t="s">
        <v>13</v>
      </c>
      <c r="E398">
        <f ca="1">IFERROR(__xludf.DUMMYFUNCTION("GOOGLEFINANCE(C398)"),248.75)</f>
        <v>248.75</v>
      </c>
      <c r="F398">
        <f ca="1">IFERROR(__xludf.DUMMYFUNCTION("GOOGLEFINANCE(C398,""change"")"),-2.45)</f>
        <v>-2.4500000000000002</v>
      </c>
      <c r="G398" s="2">
        <f ca="1">IFERROR(__xludf.DUMMYFUNCTION("GOOGLEFINANCE(C398,""changepct"")/100"),-0.0098)</f>
        <v>-9.7999999999999997E-3</v>
      </c>
      <c r="H398">
        <f ca="1">IFERROR(__xludf.DUMMYFUNCTION("GOOGLEFINANCE(C398,""marketcap"")"),61372886388)</f>
        <v>61372886388</v>
      </c>
    </row>
    <row r="399" spans="1:8" ht="12.75" hidden="1" x14ac:dyDescent="0.2">
      <c r="A399" s="1" t="s">
        <v>825</v>
      </c>
      <c r="B399" s="1" t="s">
        <v>56</v>
      </c>
      <c r="C399" s="1" t="s">
        <v>826</v>
      </c>
      <c r="D399" s="1" t="s">
        <v>13</v>
      </c>
      <c r="E399">
        <f ca="1">IFERROR(__xludf.DUMMYFUNCTION("GOOGLEFINANCE(C399)"),2035)</f>
        <v>2035</v>
      </c>
      <c r="F399">
        <f ca="1">IFERROR(__xludf.DUMMYFUNCTION("GOOGLEFINANCE(C399,""change"")"),21.3)</f>
        <v>21.3</v>
      </c>
      <c r="G399" s="2">
        <f ca="1">IFERROR(__xludf.DUMMYFUNCTION("GOOGLEFINANCE(C399,""changepct"")/100"),0.0106)</f>
        <v>1.06E-2</v>
      </c>
      <c r="H399">
        <f ca="1">IFERROR(__xludf.DUMMYFUNCTION("GOOGLEFINANCE(C399,""marketcap"")"),99272998000)</f>
        <v>99272998000</v>
      </c>
    </row>
    <row r="400" spans="1:8" ht="12.75" hidden="1" x14ac:dyDescent="0.2">
      <c r="A400" s="1" t="s">
        <v>827</v>
      </c>
      <c r="B400" s="1" t="s">
        <v>32</v>
      </c>
      <c r="C400" s="1" t="s">
        <v>828</v>
      </c>
      <c r="D400" s="1" t="s">
        <v>13</v>
      </c>
      <c r="E400">
        <f ca="1">IFERROR(__xludf.DUMMYFUNCTION("GOOGLEFINANCE(C400)"),425)</f>
        <v>425</v>
      </c>
      <c r="F400">
        <f ca="1">IFERROR(__xludf.DUMMYFUNCTION("GOOGLEFINANCE(C400,""change"")"),-5.05)</f>
        <v>-5.05</v>
      </c>
      <c r="G400" s="2">
        <f ca="1">IFERROR(__xludf.DUMMYFUNCTION("GOOGLEFINANCE(C400,""changepct"")/100"),-0.0116999999999999)</f>
        <v>-1.16999999999999E-2</v>
      </c>
      <c r="H400">
        <f ca="1">IFERROR(__xludf.DUMMYFUNCTION("GOOGLEFINANCE(C400,""marketcap"")"),34579182262)</f>
        <v>34579182262</v>
      </c>
    </row>
    <row r="401" spans="1:8" ht="12.75" hidden="1" x14ac:dyDescent="0.2">
      <c r="A401" s="1" t="s">
        <v>829</v>
      </c>
      <c r="B401" s="1" t="s">
        <v>11</v>
      </c>
      <c r="C401" s="1" t="s">
        <v>830</v>
      </c>
      <c r="D401" s="1" t="s">
        <v>13</v>
      </c>
      <c r="E401">
        <f ca="1">IFERROR(__xludf.DUMMYFUNCTION("GOOGLEFINANCE(C401)"),86.4)</f>
        <v>86.4</v>
      </c>
      <c r="F401">
        <f ca="1">IFERROR(__xludf.DUMMYFUNCTION("GOOGLEFINANCE(C401,""change"")"),-1.3)</f>
        <v>-1.3</v>
      </c>
      <c r="G401" s="2">
        <f ca="1">IFERROR(__xludf.DUMMYFUNCTION("GOOGLEFINANCE(C401,""changepct"")/100"),-0.0148)</f>
        <v>-1.4800000000000001E-2</v>
      </c>
      <c r="H401">
        <f ca="1">IFERROR(__xludf.DUMMYFUNCTION("GOOGLEFINANCE(C401,""marketcap"")"),40407046004)</f>
        <v>40407046004</v>
      </c>
    </row>
    <row r="402" spans="1:8" ht="12.75" hidden="1" x14ac:dyDescent="0.2">
      <c r="A402" s="1" t="s">
        <v>831</v>
      </c>
      <c r="B402" s="1" t="s">
        <v>56</v>
      </c>
      <c r="C402" s="1" t="s">
        <v>832</v>
      </c>
      <c r="D402" s="1" t="s">
        <v>13</v>
      </c>
      <c r="E402">
        <f ca="1">IFERROR(__xludf.DUMMYFUNCTION("GOOGLEFINANCE(C402)"),215.9)</f>
        <v>215.9</v>
      </c>
      <c r="F402">
        <f ca="1">IFERROR(__xludf.DUMMYFUNCTION("GOOGLEFINANCE(C402,""change"")"),5.25)</f>
        <v>5.25</v>
      </c>
      <c r="G402" s="2">
        <f ca="1">IFERROR(__xludf.DUMMYFUNCTION("GOOGLEFINANCE(C402,""changepct"")/100"),0.0249)</f>
        <v>2.4899999999999999E-2</v>
      </c>
      <c r="H402">
        <f ca="1">IFERROR(__xludf.DUMMYFUNCTION("GOOGLEFINANCE(C402,""marketcap"")"),23610585842)</f>
        <v>23610585842</v>
      </c>
    </row>
    <row r="403" spans="1:8" ht="12.75" x14ac:dyDescent="0.2">
      <c r="A403" s="1" t="s">
        <v>833</v>
      </c>
      <c r="B403" s="1" t="s">
        <v>20</v>
      </c>
      <c r="C403" s="1" t="s">
        <v>834</v>
      </c>
      <c r="D403" s="1" t="s">
        <v>22</v>
      </c>
      <c r="E403">
        <f ca="1">IFERROR(__xludf.DUMMYFUNCTION("GOOGLEFINANCE(C403)"),28639.95)</f>
        <v>28639.95</v>
      </c>
      <c r="F403">
        <f ca="1">IFERROR(__xludf.DUMMYFUNCTION("GOOGLEFINANCE(C403,""change"")"),674.1)</f>
        <v>674.1</v>
      </c>
      <c r="G403" s="2">
        <f ca="1">IFERROR(__xludf.DUMMYFUNCTION("GOOGLEFINANCE(C403,""changepct"")/100"),0.0241)</f>
        <v>2.41E-2</v>
      </c>
      <c r="H403">
        <f ca="1">IFERROR(__xludf.DUMMYFUNCTION("GOOGLEFINANCE(C403,""marketcap"")"),1034610697097)</f>
        <v>1034610697097</v>
      </c>
    </row>
    <row r="404" spans="1:8" ht="12.75" hidden="1" x14ac:dyDescent="0.2">
      <c r="A404" s="1" t="s">
        <v>835</v>
      </c>
      <c r="B404" s="1" t="s">
        <v>29</v>
      </c>
      <c r="C404" s="1" t="s">
        <v>836</v>
      </c>
      <c r="D404" s="1" t="s">
        <v>13</v>
      </c>
      <c r="E404">
        <f ca="1">IFERROR(__xludf.DUMMYFUNCTION("GOOGLEFINANCE(C404)"),1480)</f>
        <v>1480</v>
      </c>
      <c r="F404">
        <f ca="1">IFERROR(__xludf.DUMMYFUNCTION("GOOGLEFINANCE(C404,""change"")"),43.55)</f>
        <v>43.55</v>
      </c>
      <c r="G404" s="2">
        <f ca="1">IFERROR(__xludf.DUMMYFUNCTION("GOOGLEFINANCE(C404,""changepct"")/100"),0.0302999999999999)</f>
        <v>3.02999999999999E-2</v>
      </c>
      <c r="H404">
        <f ca="1">IFERROR(__xludf.DUMMYFUNCTION("GOOGLEFINANCE(C404,""marketcap"")"),97754745807)</f>
        <v>97754745807</v>
      </c>
    </row>
    <row r="405" spans="1:8" ht="12.75" x14ac:dyDescent="0.2">
      <c r="A405" s="1" t="s">
        <v>837</v>
      </c>
      <c r="B405" s="1" t="s">
        <v>29</v>
      </c>
      <c r="C405" s="1" t="s">
        <v>838</v>
      </c>
      <c r="D405" s="1" t="s">
        <v>22</v>
      </c>
      <c r="E405">
        <f ca="1">IFERROR(__xludf.DUMMYFUNCTION("GOOGLEFINANCE(C405)"),1513.05)</f>
        <v>1513.05</v>
      </c>
      <c r="F405">
        <f ca="1">IFERROR(__xludf.DUMMYFUNCTION("GOOGLEFINANCE(C405,""change"")"),74.8)</f>
        <v>74.8</v>
      </c>
      <c r="G405" s="2">
        <f ca="1">IFERROR(__xludf.DUMMYFUNCTION("GOOGLEFINANCE(C405,""changepct"")/100"),0.052)</f>
        <v>5.1999999999999998E-2</v>
      </c>
      <c r="H405">
        <f ca="1">IFERROR(__xludf.DUMMYFUNCTION("GOOGLEFINANCE(C405,""marketcap"")"),382869232773)</f>
        <v>382869232773</v>
      </c>
    </row>
    <row r="406" spans="1:8" ht="12.75" x14ac:dyDescent="0.2">
      <c r="A406" s="1" t="s">
        <v>839</v>
      </c>
      <c r="B406" s="1" t="s">
        <v>15</v>
      </c>
      <c r="C406" s="1" t="s">
        <v>840</v>
      </c>
      <c r="D406" s="1" t="s">
        <v>22</v>
      </c>
      <c r="E406">
        <f ca="1">IFERROR(__xludf.DUMMYFUNCTION("GOOGLEFINANCE(C406)"),1876.25)</f>
        <v>1876.25</v>
      </c>
      <c r="F406">
        <f ca="1">IFERROR(__xludf.DUMMYFUNCTION("GOOGLEFINANCE(C406,""change"")"),30.1)</f>
        <v>30.1</v>
      </c>
      <c r="G406" s="2">
        <f ca="1">IFERROR(__xludf.DUMMYFUNCTION("GOOGLEFINANCE(C406,""changepct"")/100"),0.0163)</f>
        <v>1.6299999999999999E-2</v>
      </c>
      <c r="H406">
        <f ca="1">IFERROR(__xludf.DUMMYFUNCTION("GOOGLEFINANCE(C406,""marketcap"")"),667472845741)</f>
        <v>667472845741</v>
      </c>
    </row>
    <row r="407" spans="1:8" ht="12.75" hidden="1" x14ac:dyDescent="0.2">
      <c r="A407" s="1" t="s">
        <v>841</v>
      </c>
      <c r="B407" s="1" t="s">
        <v>95</v>
      </c>
      <c r="C407" s="1" t="s">
        <v>842</v>
      </c>
      <c r="D407" s="1" t="s">
        <v>13</v>
      </c>
      <c r="E407">
        <f ca="1">IFERROR(__xludf.DUMMYFUNCTION("GOOGLEFINANCE(C407)"),447)</f>
        <v>447</v>
      </c>
      <c r="F407">
        <f ca="1">IFERROR(__xludf.DUMMYFUNCTION("GOOGLEFINANCE(C407,""change"")"),-0.2)</f>
        <v>-0.2</v>
      </c>
      <c r="G407" s="2">
        <f ca="1">IFERROR(__xludf.DUMMYFUNCTION("GOOGLEFINANCE(C407,""changepct"")/100"),-0.0004)</f>
        <v>-4.0000000000000002E-4</v>
      </c>
      <c r="H407">
        <f ca="1">IFERROR(__xludf.DUMMYFUNCTION("GOOGLEFINANCE(C407,""marketcap"")"),42410308408)</f>
        <v>42410308408</v>
      </c>
    </row>
    <row r="408" spans="1:8" ht="12.75" hidden="1" x14ac:dyDescent="0.2">
      <c r="A408" s="1" t="s">
        <v>843</v>
      </c>
      <c r="B408" s="1" t="s">
        <v>35</v>
      </c>
      <c r="C408" s="1" t="s">
        <v>844</v>
      </c>
      <c r="D408" s="1" t="s">
        <v>13</v>
      </c>
      <c r="E408">
        <f ca="1">IFERROR(__xludf.DUMMYFUNCTION("GOOGLEFINANCE(C408)"),1249.55)</f>
        <v>1249.55</v>
      </c>
      <c r="F408">
        <f ca="1">IFERROR(__xludf.DUMMYFUNCTION("GOOGLEFINANCE(C408,""change"")"),9.3)</f>
        <v>9.3000000000000007</v>
      </c>
      <c r="G408" s="2">
        <f ca="1">IFERROR(__xludf.DUMMYFUNCTION("GOOGLEFINANCE(C408,""changepct"")/100"),0.0075)</f>
        <v>7.4999999999999997E-3</v>
      </c>
      <c r="H408">
        <f ca="1">IFERROR(__xludf.DUMMYFUNCTION("GOOGLEFINANCE(C408,""marketcap"")"),112942416000)</f>
        <v>112942416000</v>
      </c>
    </row>
    <row r="409" spans="1:8" ht="12.75" hidden="1" x14ac:dyDescent="0.2">
      <c r="A409" s="1" t="s">
        <v>845</v>
      </c>
      <c r="B409" s="1" t="s">
        <v>32</v>
      </c>
      <c r="C409" s="1" t="s">
        <v>846</v>
      </c>
      <c r="D409" s="1" t="s">
        <v>13</v>
      </c>
      <c r="E409">
        <f ca="1">IFERROR(__xludf.DUMMYFUNCTION("GOOGLEFINANCE(C409)"),1540)</f>
        <v>1540</v>
      </c>
      <c r="F409">
        <f ca="1">IFERROR(__xludf.DUMMYFUNCTION("GOOGLEFINANCE(C409,""change"")"),-26.85)</f>
        <v>-26.85</v>
      </c>
      <c r="G409" s="2">
        <f ca="1">IFERROR(__xludf.DUMMYFUNCTION("GOOGLEFINANCE(C409,""changepct"")/100"),-0.0171)</f>
        <v>-1.7100000000000001E-2</v>
      </c>
      <c r="H409">
        <f ca="1">IFERROR(__xludf.DUMMYFUNCTION("GOOGLEFINANCE(C409,""marketcap"")"),55301030400)</f>
        <v>55301030400</v>
      </c>
    </row>
    <row r="410" spans="1:8" ht="12.75" hidden="1" x14ac:dyDescent="0.2">
      <c r="A410" s="1" t="s">
        <v>847</v>
      </c>
      <c r="B410" s="1" t="s">
        <v>63</v>
      </c>
      <c r="C410" s="1" t="s">
        <v>848</v>
      </c>
      <c r="D410" s="1" t="s">
        <v>13</v>
      </c>
      <c r="E410">
        <f ca="1">IFERROR(__xludf.DUMMYFUNCTION("GOOGLEFINANCE(C410)"),393.5)</f>
        <v>393.5</v>
      </c>
      <c r="F410">
        <f ca="1">IFERROR(__xludf.DUMMYFUNCTION("GOOGLEFINANCE(C410,""change"")"),-6.95)</f>
        <v>-6.95</v>
      </c>
      <c r="G410" s="2">
        <f ca="1">IFERROR(__xludf.DUMMYFUNCTION("GOOGLEFINANCE(C410,""changepct"")/100"),-0.0174)</f>
        <v>-1.7399999999999999E-2</v>
      </c>
      <c r="H410">
        <f ca="1">IFERROR(__xludf.DUMMYFUNCTION("GOOGLEFINANCE(C410,""marketcap"")"),40762613380)</f>
        <v>40762613380</v>
      </c>
    </row>
    <row r="411" spans="1:8" ht="12.75" hidden="1" x14ac:dyDescent="0.2">
      <c r="A411" s="1" t="s">
        <v>849</v>
      </c>
      <c r="B411" s="1" t="s">
        <v>29</v>
      </c>
      <c r="C411" s="1" t="s">
        <v>850</v>
      </c>
      <c r="D411" s="1" t="s">
        <v>13</v>
      </c>
      <c r="E411">
        <f ca="1">IFERROR(__xludf.DUMMYFUNCTION("GOOGLEFINANCE(C411)"),8.1)</f>
        <v>8.1</v>
      </c>
      <c r="F411">
        <f ca="1">IFERROR(__xludf.DUMMYFUNCTION("GOOGLEFINANCE(C411,""change"")"),-0.1)</f>
        <v>-0.1</v>
      </c>
      <c r="G411" s="2">
        <f ca="1">IFERROR(__xludf.DUMMYFUNCTION("GOOGLEFINANCE(C411,""changepct"")/100"),-0.0121999999999999)</f>
        <v>-1.21999999999999E-2</v>
      </c>
      <c r="H411">
        <f ca="1">IFERROR(__xludf.DUMMYFUNCTION("GOOGLEFINANCE(C411,""marketcap"")"),14586661638)</f>
        <v>14586661638</v>
      </c>
    </row>
    <row r="412" spans="1:8" ht="12.75" hidden="1" x14ac:dyDescent="0.2">
      <c r="A412" s="1" t="s">
        <v>851</v>
      </c>
      <c r="B412" s="1" t="s">
        <v>11</v>
      </c>
      <c r="C412" s="1" t="s">
        <v>852</v>
      </c>
      <c r="D412" s="1" t="s">
        <v>13</v>
      </c>
      <c r="E412">
        <f ca="1">IFERROR(__xludf.DUMMYFUNCTION("GOOGLEFINANCE(C412)"),89.1)</f>
        <v>89.1</v>
      </c>
      <c r="F412">
        <f ca="1">IFERROR(__xludf.DUMMYFUNCTION("GOOGLEFINANCE(C412,""change"")"),-1.6)</f>
        <v>-1.6</v>
      </c>
      <c r="G412" s="2">
        <f ca="1">IFERROR(__xludf.DUMMYFUNCTION("GOOGLEFINANCE(C412,""changepct"")/100"),-0.0176)</f>
        <v>-1.7600000000000001E-2</v>
      </c>
      <c r="H412">
        <f ca="1">IFERROR(__xludf.DUMMYFUNCTION("GOOGLEFINANCE(C412,""marketcap"")"),53663195775)</f>
        <v>53663195775</v>
      </c>
    </row>
    <row r="413" spans="1:8" ht="12.75" hidden="1" x14ac:dyDescent="0.2">
      <c r="A413" s="1" t="s">
        <v>853</v>
      </c>
      <c r="B413" s="1" t="s">
        <v>20</v>
      </c>
      <c r="C413" s="1" t="s">
        <v>854</v>
      </c>
      <c r="D413" s="1" t="s">
        <v>13</v>
      </c>
      <c r="E413">
        <f ca="1">IFERROR(__xludf.DUMMYFUNCTION("GOOGLEFINANCE(C413)"),98)</f>
        <v>98</v>
      </c>
      <c r="F413">
        <f ca="1">IFERROR(__xludf.DUMMYFUNCTION("GOOGLEFINANCE(C413,""change"")"),2.2)</f>
        <v>2.2000000000000002</v>
      </c>
      <c r="G413" s="2">
        <f ca="1">IFERROR(__xludf.DUMMYFUNCTION("GOOGLEFINANCE(C413,""changepct"")/100"),0.023)</f>
        <v>2.3E-2</v>
      </c>
      <c r="H413">
        <f ca="1">IFERROR(__xludf.DUMMYFUNCTION("GOOGLEFINANCE(C413,""marketcap"")"),40478891925)</f>
        <v>40478891925</v>
      </c>
    </row>
    <row r="414" spans="1:8" ht="12.75" x14ac:dyDescent="0.2">
      <c r="A414" s="1" t="s">
        <v>855</v>
      </c>
      <c r="B414" s="1" t="s">
        <v>29</v>
      </c>
      <c r="C414" s="1" t="s">
        <v>856</v>
      </c>
      <c r="D414" s="1" t="s">
        <v>22</v>
      </c>
      <c r="E414">
        <f ca="1">IFERROR(__xludf.DUMMYFUNCTION("GOOGLEFINANCE(C414)"),409)</f>
        <v>409</v>
      </c>
      <c r="F414">
        <f ca="1">IFERROR(__xludf.DUMMYFUNCTION("GOOGLEFINANCE(C414,""change"")"),15.85)</f>
        <v>15.85</v>
      </c>
      <c r="G414" s="2">
        <f ca="1">IFERROR(__xludf.DUMMYFUNCTION("GOOGLEFINANCE(C414,""changepct"")/100"),0.0403)</f>
        <v>4.0300000000000002E-2</v>
      </c>
      <c r="H414">
        <f ca="1">IFERROR(__xludf.DUMMYFUNCTION("GOOGLEFINANCE(C414,""marketcap"")"),3632300796870)</f>
        <v>3632300796870</v>
      </c>
    </row>
    <row r="415" spans="1:8" ht="12.75" x14ac:dyDescent="0.2">
      <c r="A415" s="1" t="s">
        <v>857</v>
      </c>
      <c r="B415" s="1" t="s">
        <v>26</v>
      </c>
      <c r="C415" s="1" t="s">
        <v>858</v>
      </c>
      <c r="D415" s="1" t="s">
        <v>22</v>
      </c>
      <c r="E415">
        <f ca="1">IFERROR(__xludf.DUMMYFUNCTION("GOOGLEFINANCE(C415)"),62.5)</f>
        <v>62.5</v>
      </c>
      <c r="F415">
        <f ca="1">IFERROR(__xludf.DUMMYFUNCTION("GOOGLEFINANCE(C415,""change"")"),-2.25)</f>
        <v>-2.25</v>
      </c>
      <c r="G415" s="2">
        <f ca="1">IFERROR(__xludf.DUMMYFUNCTION("GOOGLEFINANCE(C415,""changepct"")/100"),-0.0347)</f>
        <v>-3.4700000000000002E-2</v>
      </c>
      <c r="H415">
        <f ca="1">IFERROR(__xludf.DUMMYFUNCTION("GOOGLEFINANCE(C415,""marketcap"")"),258577669347)</f>
        <v>258577669347</v>
      </c>
    </row>
    <row r="416" spans="1:8" ht="12.75" hidden="1" x14ac:dyDescent="0.2">
      <c r="A416" s="1" t="s">
        <v>859</v>
      </c>
      <c r="B416" s="1" t="s">
        <v>95</v>
      </c>
      <c r="C416" s="1" t="s">
        <v>860</v>
      </c>
      <c r="D416" s="1" t="s">
        <v>13</v>
      </c>
      <c r="E416">
        <f ca="1">IFERROR(__xludf.DUMMYFUNCTION("GOOGLEFINANCE(C416)"),235.8)</f>
        <v>235.8</v>
      </c>
      <c r="F416">
        <f ca="1">IFERROR(__xludf.DUMMYFUNCTION("GOOGLEFINANCE(C416,""change"")"),-18.1)</f>
        <v>-18.100000000000001</v>
      </c>
      <c r="G416" s="2">
        <f ca="1">IFERROR(__xludf.DUMMYFUNCTION("GOOGLEFINANCE(C416,""changepct"")/100"),-0.0713)</f>
        <v>-7.1300000000000002E-2</v>
      </c>
      <c r="H416">
        <f ca="1">IFERROR(__xludf.DUMMYFUNCTION("GOOGLEFINANCE(C416,""marketcap"")"),37841455872)</f>
        <v>37841455872</v>
      </c>
    </row>
    <row r="417" spans="1:8" ht="12.75" hidden="1" x14ac:dyDescent="0.2">
      <c r="A417" s="1" t="s">
        <v>861</v>
      </c>
      <c r="B417" s="1" t="s">
        <v>167</v>
      </c>
      <c r="C417" s="1" t="s">
        <v>862</v>
      </c>
      <c r="D417" s="1" t="s">
        <v>13</v>
      </c>
      <c r="E417">
        <f ca="1">IFERROR(__xludf.DUMMYFUNCTION("GOOGLEFINANCE(C417)"),180.1)</f>
        <v>180.1</v>
      </c>
      <c r="F417">
        <f ca="1">IFERROR(__xludf.DUMMYFUNCTION("GOOGLEFINANCE(C417,""change"")"),5.45)</f>
        <v>5.45</v>
      </c>
      <c r="G417" s="2">
        <f ca="1">IFERROR(__xludf.DUMMYFUNCTION("GOOGLEFINANCE(C417,""changepct"")/100"),0.0312)</f>
        <v>3.1199999999999999E-2</v>
      </c>
      <c r="H417">
        <f ca="1">IFERROR(__xludf.DUMMYFUNCTION("GOOGLEFINANCE(C417,""marketcap"")"),71416316120)</f>
        <v>71416316120</v>
      </c>
    </row>
    <row r="418" spans="1:8" ht="12.75" hidden="1" x14ac:dyDescent="0.2">
      <c r="A418" s="1" t="s">
        <v>863</v>
      </c>
      <c r="B418" s="1" t="s">
        <v>32</v>
      </c>
      <c r="C418" s="1" t="s">
        <v>864</v>
      </c>
      <c r="D418" s="1" t="s">
        <v>13</v>
      </c>
      <c r="E418">
        <f ca="1">IFERROR(__xludf.DUMMYFUNCTION("GOOGLEFINANCE(C418)"),904.8)</f>
        <v>904.8</v>
      </c>
      <c r="F418">
        <f ca="1">IFERROR(__xludf.DUMMYFUNCTION("GOOGLEFINANCE(C418,""change"")"),16.55)</f>
        <v>16.55</v>
      </c>
      <c r="G418" s="2">
        <f ca="1">IFERROR(__xludf.DUMMYFUNCTION("GOOGLEFINANCE(C418,""changepct"")/100"),0.0186)</f>
        <v>1.8599999999999998E-2</v>
      </c>
      <c r="H418">
        <f ca="1">IFERROR(__xludf.DUMMYFUNCTION("GOOGLEFINANCE(C418,""marketcap"")"),80832467161)</f>
        <v>80832467161</v>
      </c>
    </row>
    <row r="419" spans="1:8" ht="12.75" hidden="1" x14ac:dyDescent="0.2">
      <c r="A419" s="1" t="s">
        <v>865</v>
      </c>
      <c r="B419" s="1" t="s">
        <v>35</v>
      </c>
      <c r="C419" s="1" t="s">
        <v>866</v>
      </c>
      <c r="D419" s="1" t="s">
        <v>13</v>
      </c>
      <c r="E419">
        <f ca="1">IFERROR(__xludf.DUMMYFUNCTION("GOOGLEFINANCE(C419)"),507.8)</f>
        <v>507.8</v>
      </c>
      <c r="F419">
        <f ca="1">IFERROR(__xludf.DUMMYFUNCTION("GOOGLEFINANCE(C419,""change"")"),-2.4)</f>
        <v>-2.4</v>
      </c>
      <c r="G419" s="2">
        <f ca="1">IFERROR(__xludf.DUMMYFUNCTION("GOOGLEFINANCE(C419,""changepct"")/100"),-0.00469999999999999)</f>
        <v>-4.6999999999999898E-3</v>
      </c>
      <c r="H419">
        <f ca="1">IFERROR(__xludf.DUMMYFUNCTION("GOOGLEFINANCE(C419,""marketcap"")"),35153591626)</f>
        <v>35153591626</v>
      </c>
    </row>
    <row r="420" spans="1:8" ht="12.75" hidden="1" x14ac:dyDescent="0.2">
      <c r="A420" s="1" t="s">
        <v>867</v>
      </c>
      <c r="B420" s="1" t="s">
        <v>35</v>
      </c>
      <c r="C420" s="1" t="s">
        <v>868</v>
      </c>
      <c r="D420" s="1" t="s">
        <v>13</v>
      </c>
      <c r="E420">
        <f ca="1">IFERROR(__xludf.DUMMYFUNCTION("GOOGLEFINANCE(C420)"),304.7)</f>
        <v>304.7</v>
      </c>
      <c r="F420">
        <f ca="1">IFERROR(__xludf.DUMMYFUNCTION("GOOGLEFINANCE(C420,""change"")"),-3.3)</f>
        <v>-3.3</v>
      </c>
      <c r="G420" s="2">
        <f ca="1">IFERROR(__xludf.DUMMYFUNCTION("GOOGLEFINANCE(C420,""changepct"")/100"),-0.0107)</f>
        <v>-1.0699999999999999E-2</v>
      </c>
      <c r="H420">
        <f ca="1">IFERROR(__xludf.DUMMYFUNCTION("GOOGLEFINANCE(C420,""marketcap"")"),152138065800)</f>
        <v>152138065800</v>
      </c>
    </row>
    <row r="421" spans="1:8" ht="12.75" hidden="1" x14ac:dyDescent="0.2">
      <c r="A421" s="1" t="s">
        <v>869</v>
      </c>
      <c r="B421" s="1" t="s">
        <v>32</v>
      </c>
      <c r="C421" s="1" t="s">
        <v>870</v>
      </c>
      <c r="D421" s="1" t="s">
        <v>13</v>
      </c>
      <c r="E421">
        <f ca="1">IFERROR(__xludf.DUMMYFUNCTION("GOOGLEFINANCE(C421)"),182.05)</f>
        <v>182.05</v>
      </c>
      <c r="F421">
        <f ca="1">IFERROR(__xludf.DUMMYFUNCTION("GOOGLEFINANCE(C421,""change"")"),-1.35)</f>
        <v>-1.35</v>
      </c>
      <c r="G421" s="2">
        <f ca="1">IFERROR(__xludf.DUMMYFUNCTION("GOOGLEFINANCE(C421,""changepct"")/100"),-0.0074)</f>
        <v>-7.4000000000000003E-3</v>
      </c>
      <c r="H421">
        <f ca="1">IFERROR(__xludf.DUMMYFUNCTION("GOOGLEFINANCE(C421,""marketcap"")"),47706408323)</f>
        <v>47706408323</v>
      </c>
    </row>
    <row r="422" spans="1:8" ht="12.75" x14ac:dyDescent="0.2">
      <c r="A422" s="1" t="s">
        <v>871</v>
      </c>
      <c r="B422" s="1" t="s">
        <v>32</v>
      </c>
      <c r="C422" s="1" t="s">
        <v>872</v>
      </c>
      <c r="D422" s="1" t="s">
        <v>22</v>
      </c>
      <c r="E422">
        <f ca="1">IFERROR(__xludf.DUMMYFUNCTION("GOOGLEFINANCE(C422)"),627.45)</f>
        <v>627.45000000000005</v>
      </c>
      <c r="F422">
        <f ca="1">IFERROR(__xludf.DUMMYFUNCTION("GOOGLEFINANCE(C422,""change"")"),0.3)</f>
        <v>0.3</v>
      </c>
      <c r="G422" s="2">
        <f ca="1">IFERROR(__xludf.DUMMYFUNCTION("GOOGLEFINANCE(C422,""changepct"")/100"),0.0005)</f>
        <v>5.0000000000000001E-4</v>
      </c>
      <c r="H422">
        <f ca="1">IFERROR(__xludf.DUMMYFUNCTION("GOOGLEFINANCE(C422,""marketcap"")"),1504982478631)</f>
        <v>1504982478631</v>
      </c>
    </row>
    <row r="423" spans="1:8" ht="12.75" x14ac:dyDescent="0.2">
      <c r="A423" s="1" t="s">
        <v>873</v>
      </c>
      <c r="B423" s="1" t="s">
        <v>263</v>
      </c>
      <c r="C423" s="1" t="s">
        <v>874</v>
      </c>
      <c r="D423" s="1" t="s">
        <v>22</v>
      </c>
      <c r="E423">
        <f ca="1">IFERROR(__xludf.DUMMYFUNCTION("GOOGLEFINANCE(C423)"),518)</f>
        <v>518</v>
      </c>
      <c r="F423">
        <f ca="1">IFERROR(__xludf.DUMMYFUNCTION("GOOGLEFINANCE(C423,""change"")"),6.15)</f>
        <v>6.15</v>
      </c>
      <c r="G423" s="2">
        <f ca="1">IFERROR(__xludf.DUMMYFUNCTION("GOOGLEFINANCE(C423,""changepct"")/100"),0.012)</f>
        <v>1.2E-2</v>
      </c>
      <c r="H423">
        <f ca="1">IFERROR(__xludf.DUMMYFUNCTION("GOOGLEFINANCE(C423,""marketcap"")"),204372476838)</f>
        <v>204372476838</v>
      </c>
    </row>
    <row r="424" spans="1:8" ht="12.75" hidden="1" x14ac:dyDescent="0.2">
      <c r="A424" s="1" t="s">
        <v>875</v>
      </c>
      <c r="B424" s="1" t="s">
        <v>29</v>
      </c>
      <c r="C424" s="1" t="s">
        <v>876</v>
      </c>
      <c r="D424" s="1" t="s">
        <v>13</v>
      </c>
      <c r="E424">
        <f ca="1">IFERROR(__xludf.DUMMYFUNCTION("GOOGLEFINANCE(C424)"),2198)</f>
        <v>2198</v>
      </c>
      <c r="F424">
        <f ca="1">IFERROR(__xludf.DUMMYFUNCTION("GOOGLEFINANCE(C424,""change"")"),65.85)</f>
        <v>65.849999999999994</v>
      </c>
      <c r="G424" s="2">
        <f ca="1">IFERROR(__xludf.DUMMYFUNCTION("GOOGLEFINANCE(C424,""changepct"")/100"),0.0308999999999999)</f>
        <v>3.08999999999999E-2</v>
      </c>
      <c r="H424">
        <f ca="1">IFERROR(__xludf.DUMMYFUNCTION("GOOGLEFINANCE(C424,""marketcap"")"),239089960270)</f>
        <v>239089960270</v>
      </c>
    </row>
    <row r="425" spans="1:8" ht="12.75" hidden="1" x14ac:dyDescent="0.2">
      <c r="A425" s="1" t="s">
        <v>877</v>
      </c>
      <c r="B425" s="1" t="s">
        <v>81</v>
      </c>
      <c r="C425" s="1" t="s">
        <v>878</v>
      </c>
      <c r="D425" s="1" t="s">
        <v>13</v>
      </c>
      <c r="E425">
        <f ca="1">IFERROR(__xludf.DUMMYFUNCTION("GOOGLEFINANCE(C425)"),644)</f>
        <v>644</v>
      </c>
      <c r="F425">
        <f ca="1">IFERROR(__xludf.DUMMYFUNCTION("GOOGLEFINANCE(C425,""change"")"),21.6)</f>
        <v>21.6</v>
      </c>
      <c r="G425" s="2">
        <f ca="1">IFERROR(__xludf.DUMMYFUNCTION("GOOGLEFINANCE(C425,""changepct"")/100"),0.0347)</f>
        <v>3.4700000000000002E-2</v>
      </c>
      <c r="H425">
        <f ca="1">IFERROR(__xludf.DUMMYFUNCTION("GOOGLEFINANCE(C425,""marketcap"")"),135322625200)</f>
        <v>135322625200</v>
      </c>
    </row>
    <row r="426" spans="1:8" ht="12.75" hidden="1" x14ac:dyDescent="0.2">
      <c r="A426" s="1" t="s">
        <v>879</v>
      </c>
      <c r="B426" s="1" t="s">
        <v>95</v>
      </c>
      <c r="C426" s="1" t="s">
        <v>880</v>
      </c>
      <c r="D426" s="1" t="s">
        <v>13</v>
      </c>
      <c r="E426">
        <f ca="1">IFERROR(__xludf.DUMMYFUNCTION("GOOGLEFINANCE(C426)"),364.3)</f>
        <v>364.3</v>
      </c>
      <c r="F426">
        <f ca="1">IFERROR(__xludf.DUMMYFUNCTION("GOOGLEFINANCE(C426,""change"")"),-16.05)</f>
        <v>-16.05</v>
      </c>
      <c r="G426" s="2">
        <f ca="1">IFERROR(__xludf.DUMMYFUNCTION("GOOGLEFINANCE(C426,""changepct"")/100"),-0.0421999999999999)</f>
        <v>-4.2199999999999897E-2</v>
      </c>
      <c r="H426">
        <f ca="1">IFERROR(__xludf.DUMMYFUNCTION("GOOGLEFINANCE(C426,""marketcap"")"),53735658612)</f>
        <v>53735658612</v>
      </c>
    </row>
    <row r="427" spans="1:8" ht="12.75" hidden="1" x14ac:dyDescent="0.2">
      <c r="A427" s="1" t="s">
        <v>881</v>
      </c>
      <c r="B427" s="1" t="s">
        <v>81</v>
      </c>
      <c r="C427" s="1" t="s">
        <v>882</v>
      </c>
      <c r="D427" s="1" t="s">
        <v>13</v>
      </c>
      <c r="E427">
        <f ca="1">IFERROR(__xludf.DUMMYFUNCTION("GOOGLEFINANCE(C427)"),251.9)</f>
        <v>251.9</v>
      </c>
      <c r="F427">
        <f ca="1">IFERROR(__xludf.DUMMYFUNCTION("GOOGLEFINANCE(C427,""change"")"),-2.9)</f>
        <v>-2.9</v>
      </c>
      <c r="G427" s="2">
        <f ca="1">IFERROR(__xludf.DUMMYFUNCTION("GOOGLEFINANCE(C427,""changepct"")/100"),-0.0113999999999999)</f>
        <v>-1.13999999999999E-2</v>
      </c>
      <c r="H427">
        <f ca="1">IFERROR(__xludf.DUMMYFUNCTION("GOOGLEFINANCE(C427,""marketcap"")"),35268467765)</f>
        <v>35268467765</v>
      </c>
    </row>
    <row r="428" spans="1:8" ht="12.75" hidden="1" x14ac:dyDescent="0.2">
      <c r="A428" s="1" t="s">
        <v>883</v>
      </c>
      <c r="B428" s="1" t="s">
        <v>15</v>
      </c>
      <c r="C428" s="1" t="s">
        <v>884</v>
      </c>
      <c r="D428" s="1" t="s">
        <v>13</v>
      </c>
      <c r="E428">
        <f ca="1">IFERROR(__xludf.DUMMYFUNCTION("GOOGLEFINANCE(C428)"),1957.95)</f>
        <v>1957.95</v>
      </c>
      <c r="F428">
        <f ca="1">IFERROR(__xludf.DUMMYFUNCTION("GOOGLEFINANCE(C428,""change"")"),25.25)</f>
        <v>25.25</v>
      </c>
      <c r="G428" s="2">
        <f ca="1">IFERROR(__xludf.DUMMYFUNCTION("GOOGLEFINANCE(C428,""changepct"")/100"),0.0131)</f>
        <v>1.3100000000000001E-2</v>
      </c>
      <c r="H428">
        <f ca="1">IFERROR(__xludf.DUMMYFUNCTION("GOOGLEFINANCE(C428,""marketcap"")"),248712116857)</f>
        <v>248712116857</v>
      </c>
    </row>
    <row r="429" spans="1:8" ht="12.75" hidden="1" x14ac:dyDescent="0.2">
      <c r="A429" s="1" t="s">
        <v>885</v>
      </c>
      <c r="B429" s="1" t="s">
        <v>35</v>
      </c>
      <c r="C429" s="1" t="s">
        <v>886</v>
      </c>
      <c r="D429" s="1" t="s">
        <v>13</v>
      </c>
      <c r="E429">
        <f ca="1">IFERROR(__xludf.DUMMYFUNCTION("GOOGLEFINANCE(C429)"),384.1)</f>
        <v>384.1</v>
      </c>
      <c r="F429">
        <f ca="1">IFERROR(__xludf.DUMMYFUNCTION("GOOGLEFINANCE(C429,""change"")"),1.5)</f>
        <v>1.5</v>
      </c>
      <c r="G429" s="2">
        <f ca="1">IFERROR(__xludf.DUMMYFUNCTION("GOOGLEFINANCE(C429,""changepct"")/100"),0.0039)</f>
        <v>3.8999999999999998E-3</v>
      </c>
      <c r="H429">
        <f ca="1">IFERROR(__xludf.DUMMYFUNCTION("GOOGLEFINANCE(C429,""marketcap"")"),36061755660)</f>
        <v>36061755660</v>
      </c>
    </row>
    <row r="430" spans="1:8" ht="12.75" hidden="1" x14ac:dyDescent="0.2">
      <c r="A430" s="1" t="s">
        <v>887</v>
      </c>
      <c r="B430" s="1" t="s">
        <v>32</v>
      </c>
      <c r="C430" s="1" t="s">
        <v>888</v>
      </c>
      <c r="D430" s="1" t="s">
        <v>13</v>
      </c>
      <c r="E430">
        <f ca="1">IFERROR(__xludf.DUMMYFUNCTION("GOOGLEFINANCE(C430)"),492)</f>
        <v>492</v>
      </c>
      <c r="F430">
        <f ca="1">IFERROR(__xludf.DUMMYFUNCTION("GOOGLEFINANCE(C430,""change"")"),1.65)</f>
        <v>1.65</v>
      </c>
      <c r="G430" s="2">
        <f ca="1">IFERROR(__xludf.DUMMYFUNCTION("GOOGLEFINANCE(C430,""changepct"")/100"),0.0034)</f>
        <v>3.3999999999999998E-3</v>
      </c>
      <c r="H430">
        <f ca="1">IFERROR(__xludf.DUMMYFUNCTION("GOOGLEFINANCE(C430,""marketcap"")"),126279994500)</f>
        <v>126279994500</v>
      </c>
    </row>
    <row r="431" spans="1:8" ht="12.75" hidden="1" x14ac:dyDescent="0.2">
      <c r="A431" s="1" t="s">
        <v>889</v>
      </c>
      <c r="B431" s="1" t="s">
        <v>15</v>
      </c>
      <c r="C431" s="1" t="s">
        <v>890</v>
      </c>
      <c r="D431" s="1" t="s">
        <v>13</v>
      </c>
      <c r="E431">
        <f ca="1">IFERROR(__xludf.DUMMYFUNCTION("GOOGLEFINANCE(C431)"),5.9)</f>
        <v>5.9</v>
      </c>
      <c r="F431">
        <f ca="1">IFERROR(__xludf.DUMMYFUNCTION("GOOGLEFINANCE(C431,""change"")"),-0.2)</f>
        <v>-0.2</v>
      </c>
      <c r="G431" s="2">
        <f ca="1">IFERROR(__xludf.DUMMYFUNCTION("GOOGLEFINANCE(C431,""changepct"")/100"),-0.0327999999999999)</f>
        <v>-3.2799999999999899E-2</v>
      </c>
      <c r="H431">
        <f ca="1">IFERROR(__xludf.DUMMYFUNCTION("GOOGLEFINANCE(C431,""marketcap"")"),49678742361)</f>
        <v>49678742361</v>
      </c>
    </row>
    <row r="432" spans="1:8" ht="12.75" hidden="1" x14ac:dyDescent="0.2">
      <c r="A432" s="1" t="s">
        <v>891</v>
      </c>
      <c r="B432" s="1" t="s">
        <v>95</v>
      </c>
      <c r="C432" s="1" t="s">
        <v>892</v>
      </c>
      <c r="D432" s="1" t="s">
        <v>13</v>
      </c>
      <c r="E432">
        <f ca="1">IFERROR(__xludf.DUMMYFUNCTION("GOOGLEFINANCE(C432)"),149.5)</f>
        <v>149.5</v>
      </c>
      <c r="F432">
        <f ca="1">IFERROR(__xludf.DUMMYFUNCTION("GOOGLEFINANCE(C432,""change"")"),1.3)</f>
        <v>1.3</v>
      </c>
      <c r="G432" s="2">
        <f ca="1">IFERROR(__xludf.DUMMYFUNCTION("GOOGLEFINANCE(C432,""changepct"")/100"),0.0088)</f>
        <v>8.8000000000000005E-3</v>
      </c>
      <c r="H432">
        <f ca="1">IFERROR(__xludf.DUMMYFUNCTION("GOOGLEFINANCE(C432,""marketcap"")"),36516421500)</f>
        <v>36516421500</v>
      </c>
    </row>
    <row r="433" spans="1:8" ht="12.75" hidden="1" x14ac:dyDescent="0.2">
      <c r="A433" s="1" t="s">
        <v>893</v>
      </c>
      <c r="B433" s="1" t="s">
        <v>15</v>
      </c>
      <c r="C433" s="1" t="s">
        <v>894</v>
      </c>
      <c r="D433" s="1" t="s">
        <v>13</v>
      </c>
      <c r="E433">
        <f ca="1">IFERROR(__xludf.DUMMYFUNCTION("GOOGLEFINANCE(C433)"),1289)</f>
        <v>1289</v>
      </c>
      <c r="F433">
        <f ca="1">IFERROR(__xludf.DUMMYFUNCTION("GOOGLEFINANCE(C433,""change"")"),9.65)</f>
        <v>9.65</v>
      </c>
      <c r="G433" s="2">
        <f ca="1">IFERROR(__xludf.DUMMYFUNCTION("GOOGLEFINANCE(C433,""changepct"")/100"),0.0075)</f>
        <v>7.4999999999999997E-3</v>
      </c>
      <c r="H433">
        <f ca="1">IFERROR(__xludf.DUMMYFUNCTION("GOOGLEFINANCE(C433,""marketcap"")"),15609721012)</f>
        <v>15609721012</v>
      </c>
    </row>
    <row r="434" spans="1:8" ht="12.75" hidden="1" x14ac:dyDescent="0.2">
      <c r="A434" s="1" t="s">
        <v>895</v>
      </c>
      <c r="B434" s="1" t="s">
        <v>56</v>
      </c>
      <c r="C434" s="1" t="s">
        <v>896</v>
      </c>
      <c r="D434" s="1" t="s">
        <v>13</v>
      </c>
      <c r="E434">
        <f ca="1">IFERROR(__xludf.DUMMYFUNCTION("GOOGLEFINANCE(C434)"),1055.5)</f>
        <v>1055.5</v>
      </c>
      <c r="F434">
        <f ca="1">IFERROR(__xludf.DUMMYFUNCTION("GOOGLEFINANCE(C434,""change"")"),-9.8)</f>
        <v>-9.8000000000000007</v>
      </c>
      <c r="G434" s="2">
        <f ca="1">IFERROR(__xludf.DUMMYFUNCTION("GOOGLEFINANCE(C434,""changepct"")/100"),-0.0092)</f>
        <v>-9.1999999999999998E-3</v>
      </c>
      <c r="H434">
        <f ca="1">IFERROR(__xludf.DUMMYFUNCTION("GOOGLEFINANCE(C434,""marketcap"")"),74087860512)</f>
        <v>74087860512</v>
      </c>
    </row>
    <row r="435" spans="1:8" ht="12.75" hidden="1" x14ac:dyDescent="0.2">
      <c r="A435" s="1" t="s">
        <v>897</v>
      </c>
      <c r="B435" s="1" t="s">
        <v>32</v>
      </c>
      <c r="C435" s="1" t="s">
        <v>898</v>
      </c>
      <c r="D435" s="1" t="s">
        <v>13</v>
      </c>
      <c r="E435">
        <f ca="1">IFERROR(__xludf.DUMMYFUNCTION("GOOGLEFINANCE(C435)"),589.1)</f>
        <v>589.1</v>
      </c>
      <c r="F435">
        <f ca="1">IFERROR(__xludf.DUMMYFUNCTION("GOOGLEFINANCE(C435,""change"")"),6.95)</f>
        <v>6.95</v>
      </c>
      <c r="G435" s="2">
        <f ca="1">IFERROR(__xludf.DUMMYFUNCTION("GOOGLEFINANCE(C435,""changepct"")/100"),0.0118999999999999)</f>
        <v>1.18999999999999E-2</v>
      </c>
      <c r="H435">
        <f ca="1">IFERROR(__xludf.DUMMYFUNCTION("GOOGLEFINANCE(C435,""marketcap"")"),234544809619)</f>
        <v>234544809619</v>
      </c>
    </row>
    <row r="436" spans="1:8" ht="12.75" hidden="1" x14ac:dyDescent="0.2">
      <c r="A436" s="1" t="s">
        <v>899</v>
      </c>
      <c r="B436" s="1" t="s">
        <v>11</v>
      </c>
      <c r="C436" s="1" t="s">
        <v>900</v>
      </c>
      <c r="D436" s="1" t="s">
        <v>13</v>
      </c>
      <c r="E436">
        <f ca="1">IFERROR(__xludf.DUMMYFUNCTION("GOOGLEFINANCE(C436)"),938)</f>
        <v>938</v>
      </c>
      <c r="F436">
        <f ca="1">IFERROR(__xludf.DUMMYFUNCTION("GOOGLEFINANCE(C436,""change"")"),-25.65)</f>
        <v>-25.65</v>
      </c>
      <c r="G436" s="2">
        <f ca="1">IFERROR(__xludf.DUMMYFUNCTION("GOOGLEFINANCE(C436,""changepct"")/100"),-0.0266)</f>
        <v>-2.6599999999999999E-2</v>
      </c>
      <c r="H436">
        <f ca="1">IFERROR(__xludf.DUMMYFUNCTION("GOOGLEFINANCE(C436,""marketcap"")"),36051579760)</f>
        <v>36051579760</v>
      </c>
    </row>
    <row r="437" spans="1:8" ht="12.75" hidden="1" x14ac:dyDescent="0.2">
      <c r="A437" s="1" t="s">
        <v>901</v>
      </c>
      <c r="B437" s="1" t="s">
        <v>78</v>
      </c>
      <c r="C437" s="1" t="s">
        <v>902</v>
      </c>
      <c r="D437" s="1" t="s">
        <v>13</v>
      </c>
      <c r="E437">
        <f ca="1">IFERROR(__xludf.DUMMYFUNCTION("GOOGLEFINANCE(C437)"),400)</f>
        <v>400</v>
      </c>
      <c r="F437">
        <f ca="1">IFERROR(__xludf.DUMMYFUNCTION("GOOGLEFINANCE(C437,""change"")"),-4.65)</f>
        <v>-4.6500000000000004</v>
      </c>
      <c r="G437" s="2">
        <f ca="1">IFERROR(__xludf.DUMMYFUNCTION("GOOGLEFINANCE(C437,""changepct"")/100"),-0.0115)</f>
        <v>-1.15E-2</v>
      </c>
      <c r="H437">
        <f ca="1">IFERROR(__xludf.DUMMYFUNCTION("GOOGLEFINANCE(C437,""marketcap"")"),24609000000)</f>
        <v>24609000000</v>
      </c>
    </row>
    <row r="438" spans="1:8" ht="12.75" hidden="1" x14ac:dyDescent="0.2">
      <c r="A438" s="1" t="s">
        <v>903</v>
      </c>
      <c r="B438" s="1" t="s">
        <v>56</v>
      </c>
      <c r="C438" s="1" t="s">
        <v>904</v>
      </c>
      <c r="D438" s="1" t="s">
        <v>13</v>
      </c>
      <c r="E438">
        <f ca="1">IFERROR(__xludf.DUMMYFUNCTION("GOOGLEFINANCE(C438)"),7301)</f>
        <v>7301</v>
      </c>
      <c r="F438">
        <f ca="1">IFERROR(__xludf.DUMMYFUNCTION("GOOGLEFINANCE(C438,""change"")"),-88.85)</f>
        <v>-88.85</v>
      </c>
      <c r="G438" s="2">
        <f ca="1">IFERROR(__xludf.DUMMYFUNCTION("GOOGLEFINANCE(C438,""changepct"")/100"),-0.012)</f>
        <v>-1.2E-2</v>
      </c>
      <c r="H438">
        <f ca="1">IFERROR(__xludf.DUMMYFUNCTION("GOOGLEFINANCE(C438,""marketcap"")"),101202081400)</f>
        <v>101202081400</v>
      </c>
    </row>
    <row r="439" spans="1:8" ht="12.75" hidden="1" x14ac:dyDescent="0.2">
      <c r="A439" s="1" t="s">
        <v>905</v>
      </c>
      <c r="B439" s="1" t="s">
        <v>263</v>
      </c>
      <c r="C439" s="1" t="s">
        <v>906</v>
      </c>
      <c r="D439" s="1" t="s">
        <v>13</v>
      </c>
      <c r="E439">
        <f ca="1">IFERROR(__xludf.DUMMYFUNCTION("GOOGLEFINANCE(C439)"),259.65)</f>
        <v>259.64999999999998</v>
      </c>
      <c r="F439">
        <f ca="1">IFERROR(__xludf.DUMMYFUNCTION("GOOGLEFINANCE(C439,""change"")"),-3.1)</f>
        <v>-3.1</v>
      </c>
      <c r="G439" s="2">
        <f ca="1">IFERROR(__xludf.DUMMYFUNCTION("GOOGLEFINANCE(C439,""changepct"")/100"),-0.0118)</f>
        <v>-1.18E-2</v>
      </c>
      <c r="H439">
        <f ca="1">IFERROR(__xludf.DUMMYFUNCTION("GOOGLEFINANCE(C439,""marketcap"")"),15492956818)</f>
        <v>15492956818</v>
      </c>
    </row>
    <row r="440" spans="1:8" ht="12.75" hidden="1" x14ac:dyDescent="0.2">
      <c r="A440" s="1" t="s">
        <v>907</v>
      </c>
      <c r="B440" s="1" t="s">
        <v>263</v>
      </c>
      <c r="C440" s="1" t="s">
        <v>908</v>
      </c>
      <c r="D440" s="1" t="s">
        <v>13</v>
      </c>
      <c r="E440">
        <f ca="1">IFERROR(__xludf.DUMMYFUNCTION("GOOGLEFINANCE(C440)"),30)</f>
        <v>30</v>
      </c>
      <c r="F440">
        <f ca="1">IFERROR(__xludf.DUMMYFUNCTION("GOOGLEFINANCE(C440,""change"")"),0)</f>
        <v>0</v>
      </c>
      <c r="G440" s="2">
        <f ca="1">IFERROR(__xludf.DUMMYFUNCTION("GOOGLEFINANCE(C440,""changepct"")/100"),0)</f>
        <v>0</v>
      </c>
      <c r="H440">
        <f ca="1">IFERROR(__xludf.DUMMYFUNCTION("GOOGLEFINANCE(C440,""marketcap"")"),51516660000)</f>
        <v>51516660000</v>
      </c>
    </row>
    <row r="441" spans="1:8" ht="12.75" x14ac:dyDescent="0.2">
      <c r="A441" s="1" t="s">
        <v>909</v>
      </c>
      <c r="B441" s="1" t="s">
        <v>81</v>
      </c>
      <c r="C441" s="1" t="s">
        <v>910</v>
      </c>
      <c r="D441" s="1" t="s">
        <v>22</v>
      </c>
      <c r="E441">
        <f ca="1">IFERROR(__xludf.DUMMYFUNCTION("GOOGLEFINANCE(C441)"),632.05)</f>
        <v>632.04999999999995</v>
      </c>
      <c r="F441">
        <f ca="1">IFERROR(__xludf.DUMMYFUNCTION("GOOGLEFINANCE(C441,""change"")"),-4.4)</f>
        <v>-4.4000000000000004</v>
      </c>
      <c r="G441" s="2">
        <f ca="1">IFERROR(__xludf.DUMMYFUNCTION("GOOGLEFINANCE(C441,""changepct"")/100"),-0.0069)</f>
        <v>-6.8999999999999999E-3</v>
      </c>
      <c r="H441">
        <f ca="1">IFERROR(__xludf.DUMMYFUNCTION("GOOGLEFINANCE(C441,""marketcap"")"),300871560512)</f>
        <v>300871560512</v>
      </c>
    </row>
    <row r="442" spans="1:8" ht="12.75" hidden="1" x14ac:dyDescent="0.2">
      <c r="A442" s="1" t="s">
        <v>911</v>
      </c>
      <c r="B442" s="1" t="s">
        <v>56</v>
      </c>
      <c r="C442" s="1" t="s">
        <v>912</v>
      </c>
      <c r="D442" s="1" t="s">
        <v>13</v>
      </c>
      <c r="E442">
        <f ca="1">IFERROR(__xludf.DUMMYFUNCTION("GOOGLEFINANCE(C442)"),14200)</f>
        <v>14200</v>
      </c>
      <c r="F442">
        <f ca="1">IFERROR(__xludf.DUMMYFUNCTION("GOOGLEFINANCE(C442,""change"")"),177.15)</f>
        <v>177.15</v>
      </c>
      <c r="G442" s="2">
        <f ca="1">IFERROR(__xludf.DUMMYFUNCTION("GOOGLEFINANCE(C442,""changepct"")/100"),0.0126)</f>
        <v>1.26E-2</v>
      </c>
      <c r="H442">
        <f ca="1">IFERROR(__xludf.DUMMYFUNCTION("GOOGLEFINANCE(C442,""marketcap"")"),36008932500)</f>
        <v>36008932500</v>
      </c>
    </row>
    <row r="443" spans="1:8" ht="12.75" x14ac:dyDescent="0.2">
      <c r="A443" s="1" t="s">
        <v>913</v>
      </c>
      <c r="B443" s="1" t="s">
        <v>35</v>
      </c>
      <c r="C443" s="1" t="s">
        <v>914</v>
      </c>
      <c r="D443" s="1" t="s">
        <v>22</v>
      </c>
      <c r="E443">
        <f ca="1">IFERROR(__xludf.DUMMYFUNCTION("GOOGLEFINANCE(C443)"),568.6)</f>
        <v>568.6</v>
      </c>
      <c r="F443">
        <f ca="1">IFERROR(__xludf.DUMMYFUNCTION("GOOGLEFINANCE(C443,""change"")"),7.65)</f>
        <v>7.65</v>
      </c>
      <c r="G443" s="2">
        <f ca="1">IFERROR(__xludf.DUMMYFUNCTION("GOOGLEFINANCE(C443,""changepct"")/100"),0.0136)</f>
        <v>1.3599999999999999E-2</v>
      </c>
      <c r="H443">
        <f ca="1">IFERROR(__xludf.DUMMYFUNCTION("GOOGLEFINANCE(C443,""marketcap"")"),144880027705)</f>
        <v>144880027705</v>
      </c>
    </row>
    <row r="444" spans="1:8" ht="12.75" hidden="1" x14ac:dyDescent="0.2">
      <c r="A444" s="1" t="s">
        <v>915</v>
      </c>
      <c r="B444" s="1" t="s">
        <v>56</v>
      </c>
      <c r="C444" s="1" t="s">
        <v>916</v>
      </c>
      <c r="D444" s="1" t="s">
        <v>13</v>
      </c>
      <c r="E444">
        <f ca="1">IFERROR(__xludf.DUMMYFUNCTION("GOOGLEFINANCE(C444)"),109.15)</f>
        <v>109.15</v>
      </c>
      <c r="F444">
        <f ca="1">IFERROR(__xludf.DUMMYFUNCTION("GOOGLEFINANCE(C444,""change"")"),-1.1)</f>
        <v>-1.1000000000000001</v>
      </c>
      <c r="G444" s="2">
        <f ca="1">IFERROR(__xludf.DUMMYFUNCTION("GOOGLEFINANCE(C444,""changepct"")/100"),-0.01)</f>
        <v>-0.01</v>
      </c>
      <c r="H444">
        <f ca="1">IFERROR(__xludf.DUMMYFUNCTION("GOOGLEFINANCE(C444,""marketcap"")"),20386066950)</f>
        <v>20386066950</v>
      </c>
    </row>
    <row r="445" spans="1:8" ht="12.75" hidden="1" x14ac:dyDescent="0.2">
      <c r="A445" s="1" t="s">
        <v>917</v>
      </c>
      <c r="B445" s="1" t="s">
        <v>167</v>
      </c>
      <c r="C445" s="1" t="s">
        <v>918</v>
      </c>
      <c r="D445" s="1" t="s">
        <v>13</v>
      </c>
      <c r="E445">
        <f ca="1">IFERROR(__xludf.DUMMYFUNCTION("GOOGLEFINANCE(C445)"),994)</f>
        <v>994</v>
      </c>
      <c r="F445">
        <f ca="1">IFERROR(__xludf.DUMMYFUNCTION("GOOGLEFINANCE(C445,""change"")"),-20.35)</f>
        <v>-20.350000000000001</v>
      </c>
      <c r="G445" s="2">
        <f ca="1">IFERROR(__xludf.DUMMYFUNCTION("GOOGLEFINANCE(C445,""changepct"")/100"),-0.0200999999999999)</f>
        <v>-2.0099999999999899E-2</v>
      </c>
      <c r="H445">
        <f ca="1">IFERROR(__xludf.DUMMYFUNCTION("GOOGLEFINANCE(C445,""marketcap"")"),283290000000)</f>
        <v>283290000000</v>
      </c>
    </row>
    <row r="446" spans="1:8" ht="12.75" x14ac:dyDescent="0.2">
      <c r="A446" s="1" t="s">
        <v>919</v>
      </c>
      <c r="B446" s="1" t="s">
        <v>63</v>
      </c>
      <c r="C446" s="1" t="s">
        <v>920</v>
      </c>
      <c r="D446" s="1" t="s">
        <v>22</v>
      </c>
      <c r="E446">
        <f ca="1">IFERROR(__xludf.DUMMYFUNCTION("GOOGLEFINANCE(C446)"),3149)</f>
        <v>3149</v>
      </c>
      <c r="F446">
        <f ca="1">IFERROR(__xludf.DUMMYFUNCTION("GOOGLEFINANCE(C446,""change"")"),-41.8)</f>
        <v>-41.8</v>
      </c>
      <c r="G446" s="2">
        <f ca="1">IFERROR(__xludf.DUMMYFUNCTION("GOOGLEFINANCE(C446,""changepct"")/100"),-0.0131)</f>
        <v>-1.3100000000000001E-2</v>
      </c>
      <c r="H446">
        <f ca="1">IFERROR(__xludf.DUMMYFUNCTION("GOOGLEFINANCE(C446,""marketcap"")"),11613557047202)</f>
        <v>11613557047202</v>
      </c>
    </row>
    <row r="447" spans="1:8" ht="12.75" x14ac:dyDescent="0.2">
      <c r="A447" s="1" t="s">
        <v>921</v>
      </c>
      <c r="B447" s="1" t="s">
        <v>56</v>
      </c>
      <c r="C447" s="1" t="s">
        <v>922</v>
      </c>
      <c r="D447" s="1" t="s">
        <v>22</v>
      </c>
      <c r="E447">
        <f ca="1">IFERROR(__xludf.DUMMYFUNCTION("GOOGLEFINANCE(C447)"),625.5)</f>
        <v>625.5</v>
      </c>
      <c r="F447">
        <f ca="1">IFERROR(__xludf.DUMMYFUNCTION("GOOGLEFINANCE(C447,""change"")"),18)</f>
        <v>18</v>
      </c>
      <c r="G447" s="2">
        <f ca="1">IFERROR(__xludf.DUMMYFUNCTION("GOOGLEFINANCE(C447,""changepct"")/100"),0.0296)</f>
        <v>2.9600000000000001E-2</v>
      </c>
      <c r="H447">
        <f ca="1">IFERROR(__xludf.DUMMYFUNCTION("GOOGLEFINANCE(C447,""marketcap"")"),574403163360)</f>
        <v>574403163360</v>
      </c>
    </row>
    <row r="448" spans="1:8" ht="12.75" hidden="1" x14ac:dyDescent="0.2">
      <c r="A448" s="1" t="s">
        <v>923</v>
      </c>
      <c r="B448" s="1" t="s">
        <v>63</v>
      </c>
      <c r="C448" s="1" t="s">
        <v>924</v>
      </c>
      <c r="D448" s="1" t="s">
        <v>13</v>
      </c>
      <c r="E448">
        <f ca="1">IFERROR(__xludf.DUMMYFUNCTION("GOOGLEFINANCE(C448)"),2859)</f>
        <v>2859</v>
      </c>
      <c r="F448">
        <f ca="1">IFERROR(__xludf.DUMMYFUNCTION("GOOGLEFINANCE(C448,""change"")"),22.2)</f>
        <v>22.2</v>
      </c>
      <c r="G448" s="2">
        <f ca="1">IFERROR(__xludf.DUMMYFUNCTION("GOOGLEFINANCE(C448,""changepct"")/100"),0.0078)</f>
        <v>7.7999999999999996E-3</v>
      </c>
      <c r="H448">
        <f ca="1">IFERROR(__xludf.DUMMYFUNCTION("GOOGLEFINANCE(C448,""marketcap"")"),177805883860)</f>
        <v>177805883860</v>
      </c>
    </row>
    <row r="449" spans="1:8" ht="12.75" hidden="1" x14ac:dyDescent="0.2">
      <c r="A449" s="1" t="s">
        <v>925</v>
      </c>
      <c r="B449" s="1" t="s">
        <v>29</v>
      </c>
      <c r="C449" s="1" t="s">
        <v>926</v>
      </c>
      <c r="D449" s="1" t="s">
        <v>13</v>
      </c>
      <c r="E449">
        <f ca="1">IFERROR(__xludf.DUMMYFUNCTION("GOOGLEFINANCE(C449)"),1084)</f>
        <v>1084</v>
      </c>
      <c r="F449">
        <f ca="1">IFERROR(__xludf.DUMMYFUNCTION("GOOGLEFINANCE(C449,""change"")"),5.85)</f>
        <v>5.85</v>
      </c>
      <c r="G449" s="2">
        <f ca="1">IFERROR(__xludf.DUMMYFUNCTION("GOOGLEFINANCE(C449,""changepct"")/100"),0.0054)</f>
        <v>5.4000000000000003E-3</v>
      </c>
      <c r="H449">
        <f ca="1">IFERROR(__xludf.DUMMYFUNCTION("GOOGLEFINANCE(C449,""marketcap"")"),54845294360)</f>
        <v>54845294360</v>
      </c>
    </row>
    <row r="450" spans="1:8" ht="12.75" hidden="1" x14ac:dyDescent="0.2">
      <c r="A450" s="1" t="s">
        <v>927</v>
      </c>
      <c r="B450" s="1" t="s">
        <v>81</v>
      </c>
      <c r="C450" s="1" t="s">
        <v>928</v>
      </c>
      <c r="D450" s="1" t="s">
        <v>13</v>
      </c>
      <c r="E450">
        <f ca="1">IFERROR(__xludf.DUMMYFUNCTION("GOOGLEFINANCE(C450)"),132.45)</f>
        <v>132.44999999999999</v>
      </c>
      <c r="F450">
        <f ca="1">IFERROR(__xludf.DUMMYFUNCTION("GOOGLEFINANCE(C450,""change"")"),0.75)</f>
        <v>0.75</v>
      </c>
      <c r="G450" s="2">
        <f ca="1">IFERROR(__xludf.DUMMYFUNCTION("GOOGLEFINANCE(C450,""changepct"")/100"),0.00569999999999999)</f>
        <v>5.6999999999999898E-3</v>
      </c>
      <c r="H450">
        <f ca="1">IFERROR(__xludf.DUMMYFUNCTION("GOOGLEFINANCE(C450,""marketcap"")"),1175796032236)</f>
        <v>1175796032236</v>
      </c>
    </row>
    <row r="451" spans="1:8" ht="12.75" x14ac:dyDescent="0.2">
      <c r="A451" s="1" t="s">
        <v>929</v>
      </c>
      <c r="B451" s="1" t="s">
        <v>81</v>
      </c>
      <c r="C451" s="1" t="s">
        <v>930</v>
      </c>
      <c r="D451" s="1" t="s">
        <v>22</v>
      </c>
      <c r="E451">
        <f ca="1">IFERROR(__xludf.DUMMYFUNCTION("GOOGLEFINANCE(C451)"),331.9)</f>
        <v>331.9</v>
      </c>
      <c r="F451">
        <f ca="1">IFERROR(__xludf.DUMMYFUNCTION("GOOGLEFINANCE(C451,""change"")"),6.5)</f>
        <v>6.5</v>
      </c>
      <c r="G451" s="2">
        <f ca="1">IFERROR(__xludf.DUMMYFUNCTION("GOOGLEFINANCE(C451,""changepct"")/100"),0.02)</f>
        <v>0.02</v>
      </c>
      <c r="H451">
        <f ca="1">IFERROR(__xludf.DUMMYFUNCTION("GOOGLEFINANCE(C451,""marketcap"")"),1175796032236)</f>
        <v>1175796032236</v>
      </c>
    </row>
    <row r="452" spans="1:8" ht="12.75" x14ac:dyDescent="0.2">
      <c r="A452" s="1" t="s">
        <v>931</v>
      </c>
      <c r="B452" s="1" t="s">
        <v>44</v>
      </c>
      <c r="C452" s="1" t="s">
        <v>932</v>
      </c>
      <c r="D452" s="1" t="s">
        <v>22</v>
      </c>
      <c r="E452">
        <f ca="1">IFERROR(__xludf.DUMMYFUNCTION("GOOGLEFINANCE(C452)"),86.6)</f>
        <v>86.6</v>
      </c>
      <c r="F452">
        <f ca="1">IFERROR(__xludf.DUMMYFUNCTION("GOOGLEFINANCE(C452,""change"")"),-0.7)</f>
        <v>-0.7</v>
      </c>
      <c r="G452" s="2">
        <f ca="1">IFERROR(__xludf.DUMMYFUNCTION("GOOGLEFINANCE(C452,""changepct"")/100"),-0.008)</f>
        <v>-8.0000000000000002E-3</v>
      </c>
      <c r="H452">
        <f ca="1">IFERROR(__xludf.DUMMYFUNCTION("GOOGLEFINANCE(C452,""marketcap"")"),276876215875)</f>
        <v>276876215875</v>
      </c>
    </row>
    <row r="453" spans="1:8" ht="12.75" hidden="1" x14ac:dyDescent="0.2">
      <c r="A453" s="1" t="s">
        <v>933</v>
      </c>
      <c r="B453" s="1" t="s">
        <v>26</v>
      </c>
      <c r="C453" s="1" t="s">
        <v>934</v>
      </c>
      <c r="D453" s="1" t="s">
        <v>13</v>
      </c>
      <c r="E453">
        <f ca="1">IFERROR(__xludf.DUMMYFUNCTION("GOOGLEFINANCE(C453)"),42.3)</f>
        <v>42.3</v>
      </c>
      <c r="F453">
        <f ca="1">IFERROR(__xludf.DUMMYFUNCTION("GOOGLEFINANCE(C453,""change"")"),-0.65)</f>
        <v>-0.65</v>
      </c>
      <c r="G453" s="2">
        <f ca="1">IFERROR(__xludf.DUMMYFUNCTION("GOOGLEFINANCE(C453,""changepct"")/100"),-0.0151)</f>
        <v>-1.5100000000000001E-2</v>
      </c>
      <c r="H453">
        <f ca="1">IFERROR(__xludf.DUMMYFUNCTION("GOOGLEFINANCE(C453,""marketcap"")"),46963240000)</f>
        <v>46963240000</v>
      </c>
    </row>
    <row r="454" spans="1:8" ht="12.75" x14ac:dyDescent="0.2">
      <c r="A454" s="1" t="s">
        <v>935</v>
      </c>
      <c r="B454" s="1" t="s">
        <v>26</v>
      </c>
      <c r="C454" s="1" t="s">
        <v>936</v>
      </c>
      <c r="D454" s="1" t="s">
        <v>22</v>
      </c>
      <c r="E454">
        <f ca="1">IFERROR(__xludf.DUMMYFUNCTION("GOOGLEFINANCE(C454)"),670.5)</f>
        <v>670.5</v>
      </c>
      <c r="F454">
        <f ca="1">IFERROR(__xludf.DUMMYFUNCTION("GOOGLEFINANCE(C454,""change"")"),-10)</f>
        <v>-10</v>
      </c>
      <c r="G454" s="2">
        <f ca="1">IFERROR(__xludf.DUMMYFUNCTION("GOOGLEFINANCE(C454,""changepct"")/100"),-0.0147)</f>
        <v>-1.47E-2</v>
      </c>
      <c r="H454">
        <f ca="1">IFERROR(__xludf.DUMMYFUNCTION("GOOGLEFINANCE(C454,""marketcap"")"),773521704241)</f>
        <v>773521704241</v>
      </c>
    </row>
    <row r="455" spans="1:8" ht="12.75" hidden="1" x14ac:dyDescent="0.2">
      <c r="A455" s="1" t="s">
        <v>937</v>
      </c>
      <c r="B455" s="1" t="s">
        <v>11</v>
      </c>
      <c r="C455" s="1" t="s">
        <v>938</v>
      </c>
      <c r="D455" s="1" t="s">
        <v>13</v>
      </c>
      <c r="E455">
        <f ca="1">IFERROR(__xludf.DUMMYFUNCTION("GOOGLEFINANCE(C455)"),3075.5)</f>
        <v>3075.5</v>
      </c>
      <c r="F455">
        <f ca="1">IFERROR(__xludf.DUMMYFUNCTION("GOOGLEFINANCE(C455,""change"")"),-125.05)</f>
        <v>-125.05</v>
      </c>
      <c r="G455" s="2">
        <f ca="1">IFERROR(__xludf.DUMMYFUNCTION("GOOGLEFINANCE(C455,""changepct"")/100"),-0.0391)</f>
        <v>-3.9100000000000003E-2</v>
      </c>
      <c r="H455">
        <f ca="1">IFERROR(__xludf.DUMMYFUNCTION("GOOGLEFINANCE(C455,""marketcap"")"),52525265055)</f>
        <v>52525265055</v>
      </c>
    </row>
    <row r="456" spans="1:8" ht="12.75" x14ac:dyDescent="0.2">
      <c r="A456" s="1" t="s">
        <v>939</v>
      </c>
      <c r="B456" s="1" t="s">
        <v>63</v>
      </c>
      <c r="C456" s="1" t="s">
        <v>940</v>
      </c>
      <c r="D456" s="1" t="s">
        <v>22</v>
      </c>
      <c r="E456">
        <f ca="1">IFERROR(__xludf.DUMMYFUNCTION("GOOGLEFINANCE(C456)"),982.9)</f>
        <v>982.9</v>
      </c>
      <c r="F456">
        <f ca="1">IFERROR(__xludf.DUMMYFUNCTION("GOOGLEFINANCE(C456,""change"")"),-8.3)</f>
        <v>-8.3000000000000007</v>
      </c>
      <c r="G456" s="2">
        <f ca="1">IFERROR(__xludf.DUMMYFUNCTION("GOOGLEFINANCE(C456,""changepct"")/100"),-0.0084)</f>
        <v>-8.3999999999999995E-3</v>
      </c>
      <c r="H456">
        <f ca="1">IFERROR(__xludf.DUMMYFUNCTION("GOOGLEFINANCE(C456,""marketcap"")"),947790708206)</f>
        <v>947790708206</v>
      </c>
    </row>
    <row r="457" spans="1:8" ht="12.75" hidden="1" x14ac:dyDescent="0.2">
      <c r="A457" s="1" t="s">
        <v>941</v>
      </c>
      <c r="B457" s="1" t="s">
        <v>29</v>
      </c>
      <c r="C457" s="1" t="s">
        <v>942</v>
      </c>
      <c r="D457" s="1" t="s">
        <v>13</v>
      </c>
      <c r="E457">
        <f ca="1">IFERROR(__xludf.DUMMYFUNCTION("GOOGLEFINANCE(C457)"),136.9)</f>
        <v>136.9</v>
      </c>
      <c r="F457">
        <f ca="1">IFERROR(__xludf.DUMMYFUNCTION("GOOGLEFINANCE(C457,""change"")"),-0.15)</f>
        <v>-0.15</v>
      </c>
      <c r="G457" s="2">
        <f ca="1">IFERROR(__xludf.DUMMYFUNCTION("GOOGLEFINANCE(C457,""changepct"")/100"),-0.0011)</f>
        <v>-1.1000000000000001E-3</v>
      </c>
      <c r="H457">
        <f ca="1">IFERROR(__xludf.DUMMYFUNCTION("GOOGLEFINANCE(C457,""marketcap"")"),224540917351)</f>
        <v>224540917351</v>
      </c>
    </row>
    <row r="458" spans="1:8" ht="12.75" x14ac:dyDescent="0.2">
      <c r="A458" s="1" t="s">
        <v>943</v>
      </c>
      <c r="B458" s="1" t="s">
        <v>20</v>
      </c>
      <c r="C458" s="1" t="s">
        <v>944</v>
      </c>
      <c r="D458" s="1" t="s">
        <v>22</v>
      </c>
      <c r="E458">
        <f ca="1">IFERROR(__xludf.DUMMYFUNCTION("GOOGLEFINANCE(C458)"),975)</f>
        <v>975</v>
      </c>
      <c r="F458">
        <f ca="1">IFERROR(__xludf.DUMMYFUNCTION("GOOGLEFINANCE(C458,""change"")"),18.2)</f>
        <v>18.2</v>
      </c>
      <c r="G458" s="2">
        <f ca="1">IFERROR(__xludf.DUMMYFUNCTION("GOOGLEFINANCE(C458,""changepct"")/100"),0.019)</f>
        <v>1.9E-2</v>
      </c>
      <c r="H458">
        <f ca="1">IFERROR(__xludf.DUMMYFUNCTION("GOOGLEFINANCE(C458,""marketcap"")"),229992652500)</f>
        <v>229992652500</v>
      </c>
    </row>
    <row r="459" spans="1:8" ht="12.75" hidden="1" x14ac:dyDescent="0.2">
      <c r="A459" s="1" t="s">
        <v>945</v>
      </c>
      <c r="B459" s="1" t="s">
        <v>15</v>
      </c>
      <c r="C459" s="1" t="s">
        <v>946</v>
      </c>
      <c r="D459" s="1" t="s">
        <v>13</v>
      </c>
      <c r="E459">
        <f ca="1">IFERROR(__xludf.DUMMYFUNCTION("GOOGLEFINANCE(C459)"),1163.5)</f>
        <v>1163.5</v>
      </c>
      <c r="F459">
        <f ca="1">IFERROR(__xludf.DUMMYFUNCTION("GOOGLEFINANCE(C459,""change"")"),22.9)</f>
        <v>22.9</v>
      </c>
      <c r="G459" s="2">
        <f ca="1">IFERROR(__xludf.DUMMYFUNCTION("GOOGLEFINANCE(C459,""changepct"")/100"),0.0200999999999999)</f>
        <v>2.0099999999999899E-2</v>
      </c>
      <c r="H459">
        <f ca="1">IFERROR(__xludf.DUMMYFUNCTION("GOOGLEFINANCE(C459,""marketcap"")"),129954716700)</f>
        <v>129954716700</v>
      </c>
    </row>
    <row r="460" spans="1:8" ht="12.75" hidden="1" x14ac:dyDescent="0.2">
      <c r="A460" s="1" t="s">
        <v>947</v>
      </c>
      <c r="B460" s="1" t="s">
        <v>88</v>
      </c>
      <c r="C460" s="1" t="s">
        <v>948</v>
      </c>
      <c r="D460" s="1" t="s">
        <v>13</v>
      </c>
      <c r="E460">
        <f ca="1">IFERROR(__xludf.DUMMYFUNCTION("GOOGLEFINANCE(C460)"),900)</f>
        <v>900</v>
      </c>
      <c r="F460">
        <f ca="1">IFERROR(__xludf.DUMMYFUNCTION("GOOGLEFINANCE(C460,""change"")"),-0.05)</f>
        <v>-0.05</v>
      </c>
      <c r="G460" s="2">
        <f ca="1">IFERROR(__xludf.DUMMYFUNCTION("GOOGLEFINANCE(C460,""changepct"")/100"),-0.0001)</f>
        <v>-1E-4</v>
      </c>
      <c r="H460">
        <f ca="1">IFERROR(__xludf.DUMMYFUNCTION("GOOGLEFINANCE(C460,""marketcap"")"),47586645000)</f>
        <v>47586645000</v>
      </c>
    </row>
    <row r="461" spans="1:8" ht="12.75" hidden="1" x14ac:dyDescent="0.2">
      <c r="A461" s="1" t="s">
        <v>949</v>
      </c>
      <c r="B461" s="1" t="s">
        <v>15</v>
      </c>
      <c r="C461" s="1" t="s">
        <v>950</v>
      </c>
      <c r="D461" s="1" t="s">
        <v>13</v>
      </c>
      <c r="E461">
        <f ca="1">IFERROR(__xludf.DUMMYFUNCTION("GOOGLEFINANCE(C461)"),1303.8)</f>
        <v>1303.8</v>
      </c>
      <c r="F461">
        <f ca="1">IFERROR(__xludf.DUMMYFUNCTION("GOOGLEFINANCE(C461,""change"")"),-130.95)</f>
        <v>-130.94999999999999</v>
      </c>
      <c r="G461" s="2">
        <f ca="1">IFERROR(__xludf.DUMMYFUNCTION("GOOGLEFINANCE(C461,""changepct"")/100"),-0.0913)</f>
        <v>-9.1300000000000006E-2</v>
      </c>
      <c r="H461">
        <f ca="1">IFERROR(__xludf.DUMMYFUNCTION("GOOGLEFINANCE(C461,""marketcap"")"),98268030225)</f>
        <v>98268030225</v>
      </c>
    </row>
    <row r="462" spans="1:8" ht="12.75" x14ac:dyDescent="0.2">
      <c r="A462" s="1" t="s">
        <v>951</v>
      </c>
      <c r="B462" s="1" t="s">
        <v>56</v>
      </c>
      <c r="C462" s="1" t="s">
        <v>952</v>
      </c>
      <c r="D462" s="1" t="s">
        <v>22</v>
      </c>
      <c r="E462">
        <f ca="1">IFERROR(__xludf.DUMMYFUNCTION("GOOGLEFINANCE(C462)"),1484.3)</f>
        <v>1484.3</v>
      </c>
      <c r="F462">
        <f ca="1">IFERROR(__xludf.DUMMYFUNCTION("GOOGLEFINANCE(C462,""change"")"),-9.9)</f>
        <v>-9.9</v>
      </c>
      <c r="G462" s="2">
        <f ca="1">IFERROR(__xludf.DUMMYFUNCTION("GOOGLEFINANCE(C462,""changepct"")/100"),-0.0066)</f>
        <v>-6.6E-3</v>
      </c>
      <c r="H462">
        <f ca="1">IFERROR(__xludf.DUMMYFUNCTION("GOOGLEFINANCE(C462,""marketcap"")"),1317253451582)</f>
        <v>1317253451582</v>
      </c>
    </row>
    <row r="463" spans="1:8" ht="12.75" x14ac:dyDescent="0.2">
      <c r="A463" s="1" t="s">
        <v>953</v>
      </c>
      <c r="B463" s="1" t="s">
        <v>32</v>
      </c>
      <c r="C463" s="1" t="s">
        <v>954</v>
      </c>
      <c r="D463" s="1" t="s">
        <v>22</v>
      </c>
      <c r="E463">
        <f ca="1">IFERROR(__xludf.DUMMYFUNCTION("GOOGLEFINANCE(C463)"),2604.65)</f>
        <v>2604.65</v>
      </c>
      <c r="F463">
        <f ca="1">IFERROR(__xludf.DUMMYFUNCTION("GOOGLEFINANCE(C463,""change"")"),2.8)</f>
        <v>2.8</v>
      </c>
      <c r="G463" s="2">
        <f ca="1">IFERROR(__xludf.DUMMYFUNCTION("GOOGLEFINANCE(C463,""changepct"")/100"),0.0011)</f>
        <v>1.1000000000000001E-3</v>
      </c>
      <c r="H463">
        <f ca="1">IFERROR(__xludf.DUMMYFUNCTION("GOOGLEFINANCE(C463,""marketcap"")"),440858677050)</f>
        <v>440858677050</v>
      </c>
    </row>
    <row r="464" spans="1:8" ht="12.75" x14ac:dyDescent="0.2">
      <c r="A464" s="1" t="s">
        <v>955</v>
      </c>
      <c r="B464" s="1" t="s">
        <v>44</v>
      </c>
      <c r="C464" s="1" t="s">
        <v>956</v>
      </c>
      <c r="D464" s="1" t="s">
        <v>22</v>
      </c>
      <c r="E464">
        <f ca="1">IFERROR(__xludf.DUMMYFUNCTION("GOOGLEFINANCE(C464)"),333)</f>
        <v>333</v>
      </c>
      <c r="F464">
        <f ca="1">IFERROR(__xludf.DUMMYFUNCTION("GOOGLEFINANCE(C464,""change"")"),3.65)</f>
        <v>3.65</v>
      </c>
      <c r="G464" s="2">
        <f ca="1">IFERROR(__xludf.DUMMYFUNCTION("GOOGLEFINANCE(C464,""changepct"")/100"),0.0111)</f>
        <v>1.11E-2</v>
      </c>
      <c r="H464">
        <f ca="1">IFERROR(__xludf.DUMMYFUNCTION("GOOGLEFINANCE(C464,""marketcap"")"),160045327800)</f>
        <v>160045327800</v>
      </c>
    </row>
    <row r="465" spans="1:8" ht="12.75" hidden="1" x14ac:dyDescent="0.2">
      <c r="A465" s="1" t="s">
        <v>957</v>
      </c>
      <c r="B465" s="1" t="s">
        <v>56</v>
      </c>
      <c r="C465" s="1" t="s">
        <v>958</v>
      </c>
      <c r="D465" s="1" t="s">
        <v>13</v>
      </c>
      <c r="E465">
        <f ca="1">IFERROR(__xludf.DUMMYFUNCTION("GOOGLEFINANCE(C465)"),710)</f>
        <v>710</v>
      </c>
      <c r="F465">
        <f ca="1">IFERROR(__xludf.DUMMYFUNCTION("GOOGLEFINANCE(C465,""change"")"),24.35)</f>
        <v>24.35</v>
      </c>
      <c r="G465" s="2">
        <f ca="1">IFERROR(__xludf.DUMMYFUNCTION("GOOGLEFINANCE(C465,""changepct"")/100"),0.0355)</f>
        <v>3.5499999999999997E-2</v>
      </c>
      <c r="H465">
        <f ca="1">IFERROR(__xludf.DUMMYFUNCTION("GOOGLEFINANCE(C465,""marketcap"")"),248761691922)</f>
        <v>248761691922</v>
      </c>
    </row>
    <row r="466" spans="1:8" ht="12.75" hidden="1" x14ac:dyDescent="0.2">
      <c r="A466" s="1" t="s">
        <v>959</v>
      </c>
      <c r="B466" s="1" t="s">
        <v>78</v>
      </c>
      <c r="C466" s="1" t="s">
        <v>960</v>
      </c>
      <c r="D466" s="1" t="s">
        <v>13</v>
      </c>
      <c r="E466">
        <f ca="1">IFERROR(__xludf.DUMMYFUNCTION("GOOGLEFINANCE(C466)"),13.95)</f>
        <v>13.95</v>
      </c>
      <c r="F466">
        <f ca="1">IFERROR(__xludf.DUMMYFUNCTION("GOOGLEFINANCE(C466,""change"")"),-0.15)</f>
        <v>-0.15</v>
      </c>
      <c r="G466" s="2">
        <f ca="1">IFERROR(__xludf.DUMMYFUNCTION("GOOGLEFINANCE(C466,""changepct"")/100"),-0.0106)</f>
        <v>-1.06E-2</v>
      </c>
      <c r="H466">
        <f ca="1">IFERROR(__xludf.DUMMYFUNCTION("GOOGLEFINANCE(C466,""marketcap"")"),69594263005)</f>
        <v>69594263005</v>
      </c>
    </row>
    <row r="467" spans="1:8" ht="12.75" hidden="1" x14ac:dyDescent="0.2">
      <c r="A467" s="1" t="s">
        <v>961</v>
      </c>
      <c r="B467" s="1" t="s">
        <v>81</v>
      </c>
      <c r="C467" s="1" t="s">
        <v>962</v>
      </c>
      <c r="D467" s="1" t="s">
        <v>13</v>
      </c>
      <c r="E467">
        <f ca="1">IFERROR(__xludf.DUMMYFUNCTION("GOOGLEFINANCE(C467)"),1007)</f>
        <v>1007</v>
      </c>
      <c r="F467">
        <f ca="1">IFERROR(__xludf.DUMMYFUNCTION("GOOGLEFINANCE(C467,""change"")"),57.8)</f>
        <v>57.8</v>
      </c>
      <c r="G467" s="2">
        <f ca="1">IFERROR(__xludf.DUMMYFUNCTION("GOOGLEFINANCE(C467,""changepct"")/100"),0.0608999999999999)</f>
        <v>6.0899999999999899E-2</v>
      </c>
      <c r="H467">
        <f ca="1">IFERROR(__xludf.DUMMYFUNCTION("GOOGLEFINANCE(C467,""marketcap"")"),194395488772)</f>
        <v>194395488772</v>
      </c>
    </row>
    <row r="468" spans="1:8" ht="12.75" hidden="1" x14ac:dyDescent="0.2">
      <c r="A468" s="1" t="s">
        <v>963</v>
      </c>
      <c r="B468" s="1" t="s">
        <v>29</v>
      </c>
      <c r="C468" s="1" t="s">
        <v>964</v>
      </c>
      <c r="D468" s="1" t="s">
        <v>13</v>
      </c>
      <c r="E468">
        <f ca="1">IFERROR(__xludf.DUMMYFUNCTION("GOOGLEFINANCE(C468)"),12.85)</f>
        <v>12.85</v>
      </c>
      <c r="F468">
        <f ca="1">IFERROR(__xludf.DUMMYFUNCTION("GOOGLEFINANCE(C468,""change"")"),-0.05)</f>
        <v>-0.05</v>
      </c>
      <c r="G468" s="2">
        <f ca="1">IFERROR(__xludf.DUMMYFUNCTION("GOOGLEFINANCE(C468,""changepct"")/100"),-0.0039)</f>
        <v>-3.8999999999999998E-3</v>
      </c>
      <c r="H468">
        <f ca="1">IFERROR(__xludf.DUMMYFUNCTION("GOOGLEFINANCE(C468,""marketcap"")"),127351028292)</f>
        <v>127351028292</v>
      </c>
    </row>
    <row r="469" spans="1:8" ht="12.75" hidden="1" x14ac:dyDescent="0.2">
      <c r="A469" s="1" t="s">
        <v>965</v>
      </c>
      <c r="B469" s="1" t="s">
        <v>15</v>
      </c>
      <c r="C469" s="1" t="s">
        <v>966</v>
      </c>
      <c r="D469" s="1" t="s">
        <v>13</v>
      </c>
      <c r="E469">
        <f ca="1">IFERROR(__xludf.DUMMYFUNCTION("GOOGLEFINANCE(C469)"),354.15)</f>
        <v>354.15</v>
      </c>
      <c r="F469">
        <f ca="1">IFERROR(__xludf.DUMMYFUNCTION("GOOGLEFINANCE(C469,""change"")"),0.7)</f>
        <v>0.7</v>
      </c>
      <c r="G469" s="2">
        <f ca="1">IFERROR(__xludf.DUMMYFUNCTION("GOOGLEFINANCE(C469,""changepct"")/100"),0.002)</f>
        <v>2E-3</v>
      </c>
      <c r="H469">
        <f ca="1">IFERROR(__xludf.DUMMYFUNCTION("GOOGLEFINANCE(C469,""marketcap"")"),25580956860)</f>
        <v>25580956860</v>
      </c>
    </row>
    <row r="470" spans="1:8" ht="12.75" x14ac:dyDescent="0.2">
      <c r="A470" s="1" t="s">
        <v>967</v>
      </c>
      <c r="B470" s="1" t="s">
        <v>150</v>
      </c>
      <c r="C470" s="1" t="s">
        <v>968</v>
      </c>
      <c r="D470" s="1" t="s">
        <v>22</v>
      </c>
      <c r="E470">
        <f ca="1">IFERROR(__xludf.DUMMYFUNCTION("GOOGLEFINANCE(C470)"),537.25)</f>
        <v>537.25</v>
      </c>
      <c r="F470">
        <f ca="1">IFERROR(__xludf.DUMMYFUNCTION("GOOGLEFINANCE(C470,""change"")"),1.45)</f>
        <v>1.45</v>
      </c>
      <c r="G470" s="2">
        <f ca="1">IFERROR(__xludf.DUMMYFUNCTION("GOOGLEFINANCE(C470,""changepct"")/100"),0.0027)</f>
        <v>2.7000000000000001E-3</v>
      </c>
      <c r="H470">
        <f ca="1">IFERROR(__xludf.DUMMYFUNCTION("GOOGLEFINANCE(C470,""marketcap"")"),410483444875)</f>
        <v>410483444875</v>
      </c>
    </row>
    <row r="471" spans="1:8" ht="12.75" hidden="1" x14ac:dyDescent="0.2">
      <c r="A471" s="1" t="s">
        <v>969</v>
      </c>
      <c r="B471" s="1" t="s">
        <v>29</v>
      </c>
      <c r="C471" s="1" t="s">
        <v>970</v>
      </c>
      <c r="D471" s="1" t="s">
        <v>13</v>
      </c>
      <c r="E471">
        <f ca="1">IFERROR(__xludf.DUMMYFUNCTION("GOOGLEFINANCE(C471)"),247.5)</f>
        <v>247.5</v>
      </c>
      <c r="F471">
        <f ca="1">IFERROR(__xludf.DUMMYFUNCTION("GOOGLEFINANCE(C471,""change"")"),4)</f>
        <v>4</v>
      </c>
      <c r="G471" s="2">
        <f ca="1">IFERROR(__xludf.DUMMYFUNCTION("GOOGLEFINANCE(C471,""changepct"")/100"),0.0163999999999999)</f>
        <v>1.6399999999999901E-2</v>
      </c>
      <c r="H471">
        <f ca="1">IFERROR(__xludf.DUMMYFUNCTION("GOOGLEFINANCE(C471,""marketcap"")"),30145688111)</f>
        <v>30145688111</v>
      </c>
    </row>
    <row r="472" spans="1:8" ht="12.75" hidden="1" x14ac:dyDescent="0.2">
      <c r="A472" s="1" t="s">
        <v>971</v>
      </c>
      <c r="B472" s="1" t="s">
        <v>29</v>
      </c>
      <c r="C472" s="1" t="s">
        <v>972</v>
      </c>
      <c r="D472" s="1" t="s">
        <v>13</v>
      </c>
      <c r="E472">
        <f ca="1">IFERROR(__xludf.DUMMYFUNCTION("GOOGLEFINANCE(C472)"),35.95)</f>
        <v>35.950000000000003</v>
      </c>
      <c r="F472">
        <f ca="1">IFERROR(__xludf.DUMMYFUNCTION("GOOGLEFINANCE(C472,""change"")"),0.6)</f>
        <v>0.6</v>
      </c>
      <c r="G472" s="2">
        <f ca="1">IFERROR(__xludf.DUMMYFUNCTION("GOOGLEFINANCE(C472,""changepct"")/100"),0.017)</f>
        <v>1.7000000000000001E-2</v>
      </c>
      <c r="H472">
        <f ca="1">IFERROR(__xludf.DUMMYFUNCTION("GOOGLEFINANCE(C472,""marketcap"")"),61956294433)</f>
        <v>61956294433</v>
      </c>
    </row>
    <row r="473" spans="1:8" ht="12.75" x14ac:dyDescent="0.2">
      <c r="A473" s="1" t="s">
        <v>973</v>
      </c>
      <c r="B473" s="1" t="s">
        <v>20</v>
      </c>
      <c r="C473" s="1" t="s">
        <v>974</v>
      </c>
      <c r="D473" s="1" t="s">
        <v>22</v>
      </c>
      <c r="E473">
        <f ca="1">IFERROR(__xludf.DUMMYFUNCTION("GOOGLEFINANCE(C473)"),6409.05)</f>
        <v>6409.05</v>
      </c>
      <c r="F473">
        <f ca="1">IFERROR(__xludf.DUMMYFUNCTION("GOOGLEFINANCE(C473,""change"")"),11.8)</f>
        <v>11.8</v>
      </c>
      <c r="G473" s="2">
        <f ca="1">IFERROR(__xludf.DUMMYFUNCTION("GOOGLEFINANCE(C473,""changepct"")/100"),0.0018)</f>
        <v>1.8E-3</v>
      </c>
      <c r="H473">
        <f ca="1">IFERROR(__xludf.DUMMYFUNCTION("GOOGLEFINANCE(C473,""marketcap"")"),1847574471931)</f>
        <v>1847574471931</v>
      </c>
    </row>
    <row r="474" spans="1:8" ht="12.75" hidden="1" x14ac:dyDescent="0.2">
      <c r="A474" s="1" t="s">
        <v>975</v>
      </c>
      <c r="B474" s="1" t="s">
        <v>29</v>
      </c>
      <c r="C474" s="1" t="s">
        <v>976</v>
      </c>
      <c r="D474" s="1" t="s">
        <v>13</v>
      </c>
      <c r="E474">
        <f ca="1">IFERROR(__xludf.DUMMYFUNCTION("GOOGLEFINANCE(C474)"),33.45)</f>
        <v>33.450000000000003</v>
      </c>
      <c r="F474">
        <f ca="1">IFERROR(__xludf.DUMMYFUNCTION("GOOGLEFINANCE(C474,""change"")"),0.25)</f>
        <v>0.25</v>
      </c>
      <c r="G474" s="2">
        <f ca="1">IFERROR(__xludf.DUMMYFUNCTION("GOOGLEFINANCE(C474,""changepct"")/100"),0.0075)</f>
        <v>7.4999999999999997E-3</v>
      </c>
      <c r="H474">
        <f ca="1">IFERROR(__xludf.DUMMYFUNCTION("GOOGLEFINANCE(C474,""marketcap"")"),198487098000)</f>
        <v>198487098000</v>
      </c>
    </row>
    <row r="475" spans="1:8" ht="12.75" x14ac:dyDescent="0.2">
      <c r="A475" s="1" t="s">
        <v>977</v>
      </c>
      <c r="B475" s="1" t="s">
        <v>56</v>
      </c>
      <c r="C475" s="1" t="s">
        <v>978</v>
      </c>
      <c r="D475" s="1" t="s">
        <v>22</v>
      </c>
      <c r="E475">
        <f ca="1">IFERROR(__xludf.DUMMYFUNCTION("GOOGLEFINANCE(C475)"),1275.95)</f>
        <v>1275.95</v>
      </c>
      <c r="F475">
        <f ca="1">IFERROR(__xludf.DUMMYFUNCTION("GOOGLEFINANCE(C475,""change"")"),22.65)</f>
        <v>22.65</v>
      </c>
      <c r="G475" s="2">
        <f ca="1">IFERROR(__xludf.DUMMYFUNCTION("GOOGLEFINANCE(C475,""changepct"")/100"),0.0181)</f>
        <v>1.8100000000000002E-2</v>
      </c>
      <c r="H475">
        <f ca="1">IFERROR(__xludf.DUMMYFUNCTION("GOOGLEFINANCE(C475,""marketcap"")"),337367674434)</f>
        <v>337367674434</v>
      </c>
    </row>
    <row r="476" spans="1:8" ht="12.75" x14ac:dyDescent="0.2">
      <c r="A476" s="1" t="s">
        <v>979</v>
      </c>
      <c r="B476" s="1" t="s">
        <v>56</v>
      </c>
      <c r="C476" s="1" t="s">
        <v>980</v>
      </c>
      <c r="D476" s="1" t="s">
        <v>22</v>
      </c>
      <c r="E476">
        <f ca="1">IFERROR(__xludf.DUMMYFUNCTION("GOOGLEFINANCE(C476)"),569.25)</f>
        <v>569.25</v>
      </c>
      <c r="F476">
        <f ca="1">IFERROR(__xludf.DUMMYFUNCTION("GOOGLEFINANCE(C476,""change"")"),1.6)</f>
        <v>1.6</v>
      </c>
      <c r="G476" s="2">
        <f ca="1">IFERROR(__xludf.DUMMYFUNCTION("GOOGLEFINANCE(C476,""changepct"")/100"),0.0028)</f>
        <v>2.8E-3</v>
      </c>
      <c r="H476">
        <f ca="1">IFERROR(__xludf.DUMMYFUNCTION("GOOGLEFINANCE(C476,""marketcap"")"),413639079975)</f>
        <v>413639079975</v>
      </c>
    </row>
    <row r="477" spans="1:8" ht="12.75" hidden="1" x14ac:dyDescent="0.2">
      <c r="A477" s="1" t="s">
        <v>981</v>
      </c>
      <c r="B477" s="1" t="s">
        <v>56</v>
      </c>
      <c r="C477" s="1" t="s">
        <v>982</v>
      </c>
      <c r="D477" s="1" t="s">
        <v>13</v>
      </c>
      <c r="E477">
        <f ca="1">IFERROR(__xludf.DUMMYFUNCTION("GOOGLEFINANCE(C477)"),223.55)</f>
        <v>223.55</v>
      </c>
      <c r="F477">
        <f ca="1">IFERROR(__xludf.DUMMYFUNCTION("GOOGLEFINANCE(C477,""change"")"),-1.45)</f>
        <v>-1.45</v>
      </c>
      <c r="G477" s="2">
        <f ca="1">IFERROR(__xludf.DUMMYFUNCTION("GOOGLEFINANCE(C477,""changepct"")/100"),-0.0064)</f>
        <v>-6.4000000000000003E-3</v>
      </c>
      <c r="H477">
        <f ca="1">IFERROR(__xludf.DUMMYFUNCTION("GOOGLEFINANCE(C477,""marketcap"")"),95818134283)</f>
        <v>95818134283</v>
      </c>
    </row>
    <row r="478" spans="1:8" ht="12.75" hidden="1" x14ac:dyDescent="0.2">
      <c r="A478" s="1" t="s">
        <v>983</v>
      </c>
      <c r="B478" s="1" t="s">
        <v>56</v>
      </c>
      <c r="C478" s="1" t="s">
        <v>984</v>
      </c>
      <c r="D478" s="1" t="s">
        <v>13</v>
      </c>
      <c r="E478">
        <f ca="1">IFERROR(__xludf.DUMMYFUNCTION("GOOGLEFINANCE(C478)"),2843)</f>
        <v>2843</v>
      </c>
      <c r="F478">
        <f ca="1">IFERROR(__xludf.DUMMYFUNCTION("GOOGLEFINANCE(C478,""change"")"),-37.7)</f>
        <v>-37.700000000000003</v>
      </c>
      <c r="G478" s="2">
        <f ca="1">IFERROR(__xludf.DUMMYFUNCTION("GOOGLEFINANCE(C478,""changepct"")/100"),-0.0131)</f>
        <v>-1.3100000000000001E-2</v>
      </c>
      <c r="H478">
        <f ca="1">IFERROR(__xludf.DUMMYFUNCTION("GOOGLEFINANCE(C478,""marketcap"")"),56118291872)</f>
        <v>56118291872</v>
      </c>
    </row>
    <row r="479" spans="1:8" ht="12.75" hidden="1" x14ac:dyDescent="0.2">
      <c r="A479" s="1" t="s">
        <v>985</v>
      </c>
      <c r="B479" s="1" t="s">
        <v>56</v>
      </c>
      <c r="C479" s="1" t="s">
        <v>986</v>
      </c>
      <c r="D479" s="1" t="s">
        <v>13</v>
      </c>
      <c r="E479">
        <f ca="1">IFERROR(__xludf.DUMMYFUNCTION("GOOGLEFINANCE(C479)"),386)</f>
        <v>386</v>
      </c>
      <c r="F479">
        <f ca="1">IFERROR(__xludf.DUMMYFUNCTION("GOOGLEFINANCE(C479,""change"")"),30.9)</f>
        <v>30.9</v>
      </c>
      <c r="G479" s="2">
        <f ca="1">IFERROR(__xludf.DUMMYFUNCTION("GOOGLEFINANCE(C479,""changepct"")/100"),0.087)</f>
        <v>8.6999999999999994E-2</v>
      </c>
      <c r="H479">
        <f ca="1">IFERROR(__xludf.DUMMYFUNCTION("GOOGLEFINANCE(C479,""marketcap"")"),54115787422)</f>
        <v>54115787422</v>
      </c>
    </row>
    <row r="480" spans="1:8" ht="12.75" hidden="1" x14ac:dyDescent="0.2">
      <c r="A480" s="1" t="s">
        <v>987</v>
      </c>
      <c r="B480" s="1" t="s">
        <v>11</v>
      </c>
      <c r="C480" s="1" t="s">
        <v>988</v>
      </c>
      <c r="D480" s="1" t="s">
        <v>13</v>
      </c>
      <c r="E480">
        <f ca="1">IFERROR(__xludf.DUMMYFUNCTION("GOOGLEFINANCE(C480)"),227.7)</f>
        <v>227.7</v>
      </c>
      <c r="F480">
        <f ca="1">IFERROR(__xludf.DUMMYFUNCTION("GOOGLEFINANCE(C480,""change"")"),-0.8)</f>
        <v>-0.8</v>
      </c>
      <c r="G480" s="2">
        <f ca="1">IFERROR(__xludf.DUMMYFUNCTION("GOOGLEFINANCE(C480,""changepct"")/100"),-0.00349999999999999)</f>
        <v>-3.4999999999999901E-3</v>
      </c>
      <c r="H480">
        <f ca="1">IFERROR(__xludf.DUMMYFUNCTION("GOOGLEFINANCE(C480,""marketcap"")"),20666069699)</f>
        <v>20666069699</v>
      </c>
    </row>
    <row r="481" spans="1:8" ht="12.75" hidden="1" x14ac:dyDescent="0.2">
      <c r="A481" s="1" t="s">
        <v>989</v>
      </c>
      <c r="B481" s="1" t="s">
        <v>56</v>
      </c>
      <c r="C481" s="1" t="s">
        <v>990</v>
      </c>
      <c r="D481" s="1" t="s">
        <v>13</v>
      </c>
      <c r="E481">
        <f ca="1">IFERROR(__xludf.DUMMYFUNCTION("GOOGLEFINANCE(C481)"),3560)</f>
        <v>3560</v>
      </c>
      <c r="F481">
        <f ca="1">IFERROR(__xludf.DUMMYFUNCTION("GOOGLEFINANCE(C481,""change"")"),-49.5)</f>
        <v>-49.5</v>
      </c>
      <c r="G481" s="2">
        <f ca="1">IFERROR(__xludf.DUMMYFUNCTION("GOOGLEFINANCE(C481,""changepct"")/100"),-0.0137)</f>
        <v>-1.37E-2</v>
      </c>
      <c r="H481">
        <f ca="1">IFERROR(__xludf.DUMMYFUNCTION("GOOGLEFINANCE(C481,""marketcap"")"),54887877630)</f>
        <v>54887877630</v>
      </c>
    </row>
    <row r="482" spans="1:8" ht="12.75" hidden="1" x14ac:dyDescent="0.2">
      <c r="A482" s="1" t="s">
        <v>991</v>
      </c>
      <c r="B482" s="1" t="s">
        <v>56</v>
      </c>
      <c r="C482" s="1" t="s">
        <v>992</v>
      </c>
      <c r="D482" s="1" t="s">
        <v>13</v>
      </c>
      <c r="E482">
        <f ca="1">IFERROR(__xludf.DUMMYFUNCTION("GOOGLEFINANCE(C482)"),2978)</f>
        <v>2978</v>
      </c>
      <c r="F482">
        <f ca="1">IFERROR(__xludf.DUMMYFUNCTION("GOOGLEFINANCE(C482,""change"")"),119.85)</f>
        <v>119.85</v>
      </c>
      <c r="G482" s="2">
        <f ca="1">IFERROR(__xludf.DUMMYFUNCTION("GOOGLEFINANCE(C482,""changepct"")/100"),0.0419)</f>
        <v>4.19E-2</v>
      </c>
      <c r="H482">
        <f ca="1">IFERROR(__xludf.DUMMYFUNCTION("GOOGLEFINANCE(C482,""marketcap"")"),97097459200)</f>
        <v>97097459200</v>
      </c>
    </row>
    <row r="483" spans="1:8" ht="12.75" hidden="1" x14ac:dyDescent="0.2">
      <c r="A483" s="1" t="s">
        <v>993</v>
      </c>
      <c r="B483" s="1" t="s">
        <v>63</v>
      </c>
      <c r="C483" s="1" t="s">
        <v>994</v>
      </c>
      <c r="D483" s="1" t="s">
        <v>13</v>
      </c>
      <c r="E483">
        <f ca="1">IFERROR(__xludf.DUMMYFUNCTION("GOOGLEFINANCE(C483)"),58.15)</f>
        <v>58.15</v>
      </c>
      <c r="F483">
        <f ca="1">IFERROR(__xludf.DUMMYFUNCTION("GOOGLEFINANCE(C483,""change"")"),2.75)</f>
        <v>2.75</v>
      </c>
      <c r="G483" s="2">
        <f ca="1">IFERROR(__xludf.DUMMYFUNCTION("GOOGLEFINANCE(C483,""changepct"")/100"),0.0496)</f>
        <v>4.9599999999999998E-2</v>
      </c>
      <c r="H483">
        <f ca="1">IFERROR(__xludf.DUMMYFUNCTION("GOOGLEFINANCE(C483,""marketcap"")"),61604402366)</f>
        <v>61604402366</v>
      </c>
    </row>
    <row r="484" spans="1:8" ht="12.75" hidden="1" x14ac:dyDescent="0.2">
      <c r="A484" s="1" t="s">
        <v>995</v>
      </c>
      <c r="B484" s="1" t="s">
        <v>78</v>
      </c>
      <c r="C484" s="1" t="s">
        <v>996</v>
      </c>
      <c r="D484" s="1" t="s">
        <v>13</v>
      </c>
      <c r="E484">
        <f ca="1">IFERROR(__xludf.DUMMYFUNCTION("GOOGLEFINANCE(C484)"),1031.65)</f>
        <v>1031.6500000000001</v>
      </c>
      <c r="F484">
        <f ca="1">IFERROR(__xludf.DUMMYFUNCTION("GOOGLEFINANCE(C484,""change"")"),3.5)</f>
        <v>3.5</v>
      </c>
      <c r="G484" s="2">
        <f ca="1">IFERROR(__xludf.DUMMYFUNCTION("GOOGLEFINANCE(C484,""changepct"")/100"),0.0034)</f>
        <v>3.3999999999999998E-3</v>
      </c>
      <c r="H484">
        <f ca="1">IFERROR(__xludf.DUMMYFUNCTION("GOOGLEFINANCE(C484,""marketcap"")"),58733894094)</f>
        <v>58733894094</v>
      </c>
    </row>
    <row r="485" spans="1:8" ht="12.75" hidden="1" x14ac:dyDescent="0.2">
      <c r="A485" s="1" t="s">
        <v>997</v>
      </c>
      <c r="B485" s="1" t="s">
        <v>81</v>
      </c>
      <c r="C485" s="1" t="s">
        <v>998</v>
      </c>
      <c r="D485" s="1" t="s">
        <v>13</v>
      </c>
      <c r="E485">
        <f ca="1">IFERROR(__xludf.DUMMYFUNCTION("GOOGLEFINANCE(C485)"),385.9)</f>
        <v>385.9</v>
      </c>
      <c r="F485">
        <f ca="1">IFERROR(__xludf.DUMMYFUNCTION("GOOGLEFINANCE(C485,""change"")"),-8.65)</f>
        <v>-8.65</v>
      </c>
      <c r="G485" s="2">
        <f ca="1">IFERROR(__xludf.DUMMYFUNCTION("GOOGLEFINANCE(C485,""changepct"")/100"),-0.0219)</f>
        <v>-2.1899999999999999E-2</v>
      </c>
      <c r="H485">
        <f ca="1">IFERROR(__xludf.DUMMYFUNCTION("GOOGLEFINANCE(C485,""marketcap"")"),51781606850)</f>
        <v>51781606850</v>
      </c>
    </row>
    <row r="486" spans="1:8" ht="12.75" hidden="1" x14ac:dyDescent="0.2">
      <c r="A486" s="1" t="s">
        <v>999</v>
      </c>
      <c r="B486" s="1" t="s">
        <v>56</v>
      </c>
      <c r="C486" s="1" t="s">
        <v>1000</v>
      </c>
      <c r="D486" s="1" t="s">
        <v>13</v>
      </c>
      <c r="E486">
        <f ca="1">IFERROR(__xludf.DUMMYFUNCTION("GOOGLEFINANCE(C486)"),942)</f>
        <v>942</v>
      </c>
      <c r="F486">
        <f ca="1">IFERROR(__xludf.DUMMYFUNCTION("GOOGLEFINANCE(C486,""change"")"),29.35)</f>
        <v>29.35</v>
      </c>
      <c r="G486" s="2">
        <f ca="1">IFERROR(__xludf.DUMMYFUNCTION("GOOGLEFINANCE(C486,""changepct"")/100"),0.0322)</f>
        <v>3.2199999999999999E-2</v>
      </c>
      <c r="H486">
        <f ca="1">IFERROR(__xludf.DUMMYFUNCTION("GOOGLEFINANCE(C486,""marketcap"")"),272570931027)</f>
        <v>272570931027</v>
      </c>
    </row>
    <row r="487" spans="1:8" ht="12.75" hidden="1" x14ac:dyDescent="0.2">
      <c r="A487" s="1" t="s">
        <v>1001</v>
      </c>
      <c r="B487" s="1" t="s">
        <v>56</v>
      </c>
      <c r="C487" s="1" t="s">
        <v>1002</v>
      </c>
      <c r="D487" s="1" t="s">
        <v>13</v>
      </c>
      <c r="E487">
        <f ca="1">IFERROR(__xludf.DUMMYFUNCTION("GOOGLEFINANCE(C487)"),1614)</f>
        <v>1614</v>
      </c>
      <c r="F487">
        <f ca="1">IFERROR(__xludf.DUMMYFUNCTION("GOOGLEFINANCE(C487,""change"")"),-15.8)</f>
        <v>-15.8</v>
      </c>
      <c r="G487" s="2">
        <f ca="1">IFERROR(__xludf.DUMMYFUNCTION("GOOGLEFINANCE(C487,""changepct"")/100"),-0.0097)</f>
        <v>-9.7000000000000003E-3</v>
      </c>
      <c r="H487">
        <f ca="1">IFERROR(__xludf.DUMMYFUNCTION("GOOGLEFINANCE(C487,""marketcap"")"),22808519542)</f>
        <v>22808519542</v>
      </c>
    </row>
    <row r="488" spans="1:8" ht="12.75" hidden="1" x14ac:dyDescent="0.2">
      <c r="A488" s="1" t="s">
        <v>1003</v>
      </c>
      <c r="B488" s="1" t="s">
        <v>35</v>
      </c>
      <c r="C488" s="1" t="s">
        <v>1004</v>
      </c>
      <c r="D488" s="1" t="s">
        <v>13</v>
      </c>
      <c r="E488">
        <f ca="1">IFERROR(__xludf.DUMMYFUNCTION("GOOGLEFINANCE(C488)"),1490)</f>
        <v>1490</v>
      </c>
      <c r="F488">
        <f ca="1">IFERROR(__xludf.DUMMYFUNCTION("GOOGLEFINANCE(C488,""change"")"),9.5)</f>
        <v>9.5</v>
      </c>
      <c r="G488" s="2">
        <f ca="1">IFERROR(__xludf.DUMMYFUNCTION("GOOGLEFINANCE(C488,""changepct"")/100"),0.0064)</f>
        <v>6.4000000000000003E-3</v>
      </c>
      <c r="H488">
        <f ca="1">IFERROR(__xludf.DUMMYFUNCTION("GOOGLEFINANCE(C488,""marketcap"")"),153310868000)</f>
        <v>153310868000</v>
      </c>
    </row>
    <row r="489" spans="1:8" ht="12.75" x14ac:dyDescent="0.2">
      <c r="A489" s="1" t="s">
        <v>1005</v>
      </c>
      <c r="B489" s="1" t="s">
        <v>167</v>
      </c>
      <c r="C489" s="1" t="s">
        <v>1006</v>
      </c>
      <c r="D489" s="1" t="s">
        <v>22</v>
      </c>
      <c r="E489">
        <f ca="1">IFERROR(__xludf.DUMMYFUNCTION("GOOGLEFINANCE(C489)"),12.1)</f>
        <v>12.1</v>
      </c>
      <c r="F489">
        <f ca="1">IFERROR(__xludf.DUMMYFUNCTION("GOOGLEFINANCE(C489,""change"")"),-0.4)</f>
        <v>-0.4</v>
      </c>
      <c r="G489" s="2">
        <f ca="1">IFERROR(__xludf.DUMMYFUNCTION("GOOGLEFINANCE(C489,""changepct"")/100"),-0.032)</f>
        <v>-3.2000000000000001E-2</v>
      </c>
      <c r="H489">
        <f ca="1">IFERROR(__xludf.DUMMYFUNCTION("GOOGLEFINANCE(C489,""marketcap"")"),346016256214)</f>
        <v>346016256214</v>
      </c>
    </row>
    <row r="490" spans="1:8" ht="12.75" x14ac:dyDescent="0.2">
      <c r="A490" s="1" t="s">
        <v>1007</v>
      </c>
      <c r="B490" s="1" t="s">
        <v>56</v>
      </c>
      <c r="C490" s="1" t="s">
        <v>1008</v>
      </c>
      <c r="D490" s="1" t="s">
        <v>22</v>
      </c>
      <c r="E490">
        <f ca="1">IFERROR(__xludf.DUMMYFUNCTION("GOOGLEFINANCE(C490)"),1059)</f>
        <v>1059</v>
      </c>
      <c r="F490">
        <f ca="1">IFERROR(__xludf.DUMMYFUNCTION("GOOGLEFINANCE(C490,""change"")"),-20.2)</f>
        <v>-20.2</v>
      </c>
      <c r="G490" s="2">
        <f ca="1">IFERROR(__xludf.DUMMYFUNCTION("GOOGLEFINANCE(C490,""changepct"")/100"),-0.0187)</f>
        <v>-1.8700000000000001E-2</v>
      </c>
      <c r="H490">
        <f ca="1">IFERROR(__xludf.DUMMYFUNCTION("GOOGLEFINANCE(C490,""marketcap"")"),350406897300)</f>
        <v>350406897300</v>
      </c>
    </row>
    <row r="491" spans="1:8" ht="12.75" hidden="1" x14ac:dyDescent="0.2">
      <c r="A491" s="1" t="s">
        <v>1009</v>
      </c>
      <c r="B491" s="1" t="s">
        <v>81</v>
      </c>
      <c r="C491" s="1" t="s">
        <v>1010</v>
      </c>
      <c r="D491" s="1" t="s">
        <v>13</v>
      </c>
      <c r="E491">
        <f ca="1">IFERROR(__xludf.DUMMYFUNCTION("GOOGLEFINANCE(C491)"),6048)</f>
        <v>6048</v>
      </c>
      <c r="F491">
        <f ca="1">IFERROR(__xludf.DUMMYFUNCTION("GOOGLEFINANCE(C491,""change"")"),-175.75)</f>
        <v>-175.75</v>
      </c>
      <c r="G491" s="2">
        <f ca="1">IFERROR(__xludf.DUMMYFUNCTION("GOOGLEFINANCE(C491,""changepct"")/100"),-0.0282)</f>
        <v>-2.8199999999999999E-2</v>
      </c>
      <c r="H491">
        <f ca="1">IFERROR(__xludf.DUMMYFUNCTION("GOOGLEFINANCE(C491,""marketcap"")"),115383911760)</f>
        <v>115383911760</v>
      </c>
    </row>
    <row r="492" spans="1:8" ht="12.75" hidden="1" x14ac:dyDescent="0.2">
      <c r="A492" s="1" t="s">
        <v>1011</v>
      </c>
      <c r="B492" s="1" t="s">
        <v>26</v>
      </c>
      <c r="C492" s="1" t="s">
        <v>1012</v>
      </c>
      <c r="D492" s="1" t="s">
        <v>13</v>
      </c>
      <c r="E492">
        <f ca="1">IFERROR(__xludf.DUMMYFUNCTION("GOOGLEFINANCE(C492)"),123.8)</f>
        <v>123.8</v>
      </c>
      <c r="F492">
        <f ca="1">IFERROR(__xludf.DUMMYFUNCTION("GOOGLEFINANCE(C492,""change"")"),1.45)</f>
        <v>1.45</v>
      </c>
      <c r="G492" s="2">
        <f ca="1">IFERROR(__xludf.DUMMYFUNCTION("GOOGLEFINANCE(C492,""changepct"")/100"),0.0118999999999999)</f>
        <v>1.18999999999999E-2</v>
      </c>
      <c r="H492">
        <f ca="1">IFERROR(__xludf.DUMMYFUNCTION("GOOGLEFINANCE(C492,""marketcap"")"),32179871189)</f>
        <v>32179871189</v>
      </c>
    </row>
    <row r="493" spans="1:8" ht="12.75" hidden="1" x14ac:dyDescent="0.2">
      <c r="A493" s="1" t="s">
        <v>1013</v>
      </c>
      <c r="B493" s="1" t="s">
        <v>78</v>
      </c>
      <c r="C493" s="1" t="s">
        <v>1014</v>
      </c>
      <c r="D493" s="1" t="s">
        <v>13</v>
      </c>
      <c r="E493">
        <f ca="1">IFERROR(__xludf.DUMMYFUNCTION("GOOGLEFINANCE(C493)"),67)</f>
        <v>67</v>
      </c>
      <c r="F493">
        <f ca="1">IFERROR(__xludf.DUMMYFUNCTION("GOOGLEFINANCE(C493,""change"")"),-0.3)</f>
        <v>-0.3</v>
      </c>
      <c r="G493" s="2">
        <f ca="1">IFERROR(__xludf.DUMMYFUNCTION("GOOGLEFINANCE(C493,""changepct"")/100"),-0.0045)</f>
        <v>-4.4999999999999997E-3</v>
      </c>
      <c r="H493">
        <f ca="1">IFERROR(__xludf.DUMMYFUNCTION("GOOGLEFINANCE(C493,""marketcap"")"),67668130238)</f>
        <v>67668130238</v>
      </c>
    </row>
    <row r="494" spans="1:8" ht="12.75" hidden="1" x14ac:dyDescent="0.2">
      <c r="A494" s="1" t="s">
        <v>1015</v>
      </c>
      <c r="B494" s="1" t="s">
        <v>11</v>
      </c>
      <c r="C494" s="1" t="s">
        <v>1016</v>
      </c>
      <c r="D494" s="1" t="s">
        <v>13</v>
      </c>
      <c r="E494">
        <f ca="1">IFERROR(__xludf.DUMMYFUNCTION("GOOGLEFINANCE(C494)"),461)</f>
        <v>461</v>
      </c>
      <c r="F494">
        <f ca="1">IFERROR(__xludf.DUMMYFUNCTION("GOOGLEFINANCE(C494,""change"")"),3.45)</f>
        <v>3.45</v>
      </c>
      <c r="G494" s="2">
        <f ca="1">IFERROR(__xludf.DUMMYFUNCTION("GOOGLEFINANCE(C494,""changepct"")/100"),0.0075)</f>
        <v>7.4999999999999997E-3</v>
      </c>
      <c r="H494">
        <f ca="1">IFERROR(__xludf.DUMMYFUNCTION("GOOGLEFINANCE(C494,""marketcap"")"),71059859686)</f>
        <v>71059859686</v>
      </c>
    </row>
    <row r="495" spans="1:8" ht="12.75" hidden="1" x14ac:dyDescent="0.2">
      <c r="A495" s="1" t="s">
        <v>1017</v>
      </c>
      <c r="B495" s="1" t="s">
        <v>56</v>
      </c>
      <c r="C495" s="1" t="s">
        <v>1018</v>
      </c>
      <c r="D495" s="1" t="s">
        <v>13</v>
      </c>
      <c r="E495">
        <f ca="1">IFERROR(__xludf.DUMMYFUNCTION("GOOGLEFINANCE(C495)"),2476.7)</f>
        <v>2476.6999999999998</v>
      </c>
      <c r="F495">
        <f ca="1">IFERROR(__xludf.DUMMYFUNCTION("GOOGLEFINANCE(C495,""change"")"),-4.6)</f>
        <v>-4.5999999999999996</v>
      </c>
      <c r="G495" s="2">
        <f ca="1">IFERROR(__xludf.DUMMYFUNCTION("GOOGLEFINANCE(C495,""changepct"")/100"),-0.0019)</f>
        <v>-1.9E-3</v>
      </c>
      <c r="H495">
        <f ca="1">IFERROR(__xludf.DUMMYFUNCTION("GOOGLEFINANCE(C495,""marketcap"")"),314223380865)</f>
        <v>314223380865</v>
      </c>
    </row>
    <row r="496" spans="1:8" ht="12.75" x14ac:dyDescent="0.2">
      <c r="A496" s="1" t="s">
        <v>1019</v>
      </c>
      <c r="B496" s="1" t="s">
        <v>63</v>
      </c>
      <c r="C496" s="1" t="s">
        <v>1020</v>
      </c>
      <c r="D496" s="1" t="s">
        <v>22</v>
      </c>
      <c r="E496">
        <f ca="1">IFERROR(__xludf.DUMMYFUNCTION("GOOGLEFINANCE(C496)"),440.6)</f>
        <v>440.6</v>
      </c>
      <c r="F496">
        <f ca="1">IFERROR(__xludf.DUMMYFUNCTION("GOOGLEFINANCE(C496,""change"")"),-1.4)</f>
        <v>-1.4</v>
      </c>
      <c r="G496" s="2">
        <f ca="1">IFERROR(__xludf.DUMMYFUNCTION("GOOGLEFINANCE(C496,""changepct"")/100"),-0.0032)</f>
        <v>-3.2000000000000002E-3</v>
      </c>
      <c r="H496">
        <f ca="1">IFERROR(__xludf.DUMMYFUNCTION("GOOGLEFINANCE(C496,""marketcap"")"),2400451638441)</f>
        <v>2400451638441</v>
      </c>
    </row>
    <row r="497" spans="1:8" ht="12.75" hidden="1" x14ac:dyDescent="0.2">
      <c r="A497" s="1" t="s">
        <v>1021</v>
      </c>
      <c r="B497" s="1" t="s">
        <v>32</v>
      </c>
      <c r="C497" s="1" t="s">
        <v>1022</v>
      </c>
      <c r="D497" s="1" t="s">
        <v>13</v>
      </c>
      <c r="E497">
        <f ca="1">IFERROR(__xludf.DUMMYFUNCTION("GOOGLEFINANCE(C497)"),492.5)</f>
        <v>492.5</v>
      </c>
      <c r="F497">
        <f ca="1">IFERROR(__xludf.DUMMYFUNCTION("GOOGLEFINANCE(C497,""change"")"),-8.95)</f>
        <v>-8.9499999999999993</v>
      </c>
      <c r="G497" s="2">
        <f ca="1">IFERROR(__xludf.DUMMYFUNCTION("GOOGLEFINANCE(C497,""changepct"")/100"),-0.0178)</f>
        <v>-1.78E-2</v>
      </c>
      <c r="H497">
        <f ca="1">IFERROR(__xludf.DUMMYFUNCTION("GOOGLEFINANCE(C497,""marketcap"")"),54629514166)</f>
        <v>54629514166</v>
      </c>
    </row>
    <row r="498" spans="1:8" ht="12.75" hidden="1" x14ac:dyDescent="0.2">
      <c r="A498" s="1" t="s">
        <v>1023</v>
      </c>
      <c r="B498" s="1" t="s">
        <v>29</v>
      </c>
      <c r="C498" s="1" t="s">
        <v>1024</v>
      </c>
      <c r="D498" s="1" t="s">
        <v>13</v>
      </c>
      <c r="E498">
        <f ca="1">IFERROR(__xludf.DUMMYFUNCTION("GOOGLEFINANCE(C498)"),16.25)</f>
        <v>16.25</v>
      </c>
      <c r="F498">
        <f ca="1">IFERROR(__xludf.DUMMYFUNCTION("GOOGLEFINANCE(C498,""change"")"),-0.15)</f>
        <v>-0.15</v>
      </c>
      <c r="G498" s="2">
        <f ca="1">IFERROR(__xludf.DUMMYFUNCTION("GOOGLEFINANCE(C498,""changepct"")/100"),-0.0091)</f>
        <v>-9.1000000000000004E-3</v>
      </c>
      <c r="H498">
        <f ca="1">IFERROR(__xludf.DUMMYFUNCTION("GOOGLEFINANCE(C498,""marketcap"")"),407142125000)</f>
        <v>407142125000</v>
      </c>
    </row>
    <row r="499" spans="1:8" ht="12.75" x14ac:dyDescent="0.2">
      <c r="A499" s="1" t="s">
        <v>1025</v>
      </c>
      <c r="B499" s="1" t="s">
        <v>263</v>
      </c>
      <c r="C499" s="1" t="s">
        <v>1026</v>
      </c>
      <c r="D499" s="1" t="s">
        <v>22</v>
      </c>
      <c r="E499">
        <f ca="1">IFERROR(__xludf.DUMMYFUNCTION("GOOGLEFINANCE(C499)"),211.3)</f>
        <v>211.3</v>
      </c>
      <c r="F499">
        <f ca="1">IFERROR(__xludf.DUMMYFUNCTION("GOOGLEFINANCE(C499,""change"")"),-1.2)</f>
        <v>-1.2</v>
      </c>
      <c r="G499" s="2">
        <f ca="1">IFERROR(__xludf.DUMMYFUNCTION("GOOGLEFINANCE(C499,""changepct"")/100"),-0.0056)</f>
        <v>-5.5999999999999999E-3</v>
      </c>
      <c r="H499">
        <f ca="1">IFERROR(__xludf.DUMMYFUNCTION("GOOGLEFINANCE(C499,""marketcap"")"),203722989102)</f>
        <v>203722989102</v>
      </c>
    </row>
    <row r="500" spans="1:8" ht="12.75" hidden="1" x14ac:dyDescent="0.2">
      <c r="A500" s="1" t="s">
        <v>1027</v>
      </c>
      <c r="B500" s="1" t="s">
        <v>63</v>
      </c>
      <c r="C500" s="1" t="s">
        <v>1028</v>
      </c>
      <c r="D500" s="1" t="s">
        <v>13</v>
      </c>
      <c r="E500">
        <f ca="1">IFERROR(__xludf.DUMMYFUNCTION("GOOGLEFINANCE(C500)"),230.6)</f>
        <v>230.6</v>
      </c>
      <c r="F500">
        <f ca="1">IFERROR(__xludf.DUMMYFUNCTION("GOOGLEFINANCE(C500,""change"")"),1.8)</f>
        <v>1.8</v>
      </c>
      <c r="G500" s="2">
        <f ca="1">IFERROR(__xludf.DUMMYFUNCTION("GOOGLEFINANCE(C500,""changepct"")/100"),0.0079)</f>
        <v>7.9000000000000008E-3</v>
      </c>
      <c r="H500">
        <f ca="1">IFERROR(__xludf.DUMMYFUNCTION("GOOGLEFINANCE(C500,""marketcap"")"),51780495456)</f>
        <v>51780495456</v>
      </c>
    </row>
    <row r="501" spans="1:8" ht="12.75" hidden="1" x14ac:dyDescent="0.2">
      <c r="A501" s="1" t="s">
        <v>1029</v>
      </c>
      <c r="B501" s="1" t="s">
        <v>56</v>
      </c>
      <c r="C501" s="1" t="s">
        <v>1030</v>
      </c>
      <c r="D501" s="1" t="s">
        <v>13</v>
      </c>
      <c r="E501">
        <f ca="1">IFERROR(__xludf.DUMMYFUNCTION("GOOGLEFINANCE(C501)"),1848)</f>
        <v>1848</v>
      </c>
      <c r="F501">
        <f ca="1">IFERROR(__xludf.DUMMYFUNCTION("GOOGLEFINANCE(C501,""change"")"),-48.7)</f>
        <v>-48.7</v>
      </c>
      <c r="G501" s="2">
        <f ca="1">IFERROR(__xludf.DUMMYFUNCTION("GOOGLEFINANCE(C501,""changepct"")/100"),-0.0256999999999999)</f>
        <v>-2.56999999999999E-2</v>
      </c>
      <c r="H501">
        <f ca="1">IFERROR(__xludf.DUMMYFUNCTION("GOOGLEFINANCE(C501,""marketcap"")"),118176762113)</f>
        <v>118176762113</v>
      </c>
    </row>
    <row r="502" spans="1:8" ht="12.75" hidden="1" x14ac:dyDescent="0.2">
      <c r="A502" s="1" t="s">
        <v>1031</v>
      </c>
      <c r="B502" s="1" t="s">
        <v>63</v>
      </c>
      <c r="C502" s="1" t="s">
        <v>1032</v>
      </c>
      <c r="D502" s="1" t="s">
        <v>13</v>
      </c>
      <c r="E502">
        <f ca="1">IFERROR(__xludf.DUMMYFUNCTION("GOOGLEFINANCE(C502)"),940)</f>
        <v>940</v>
      </c>
      <c r="F502">
        <f ca="1">IFERROR(__xludf.DUMMYFUNCTION("GOOGLEFINANCE(C502,""change"")"),-25.45)</f>
        <v>-25.45</v>
      </c>
      <c r="G502" s="2">
        <f ca="1">IFERROR(__xludf.DUMMYFUNCTION("GOOGLEFINANCE(C502,""changepct"")/100"),-0.0264)</f>
        <v>-2.64E-2</v>
      </c>
      <c r="H502">
        <f ca="1">IFERROR(__xludf.DUMMYFUNCTION("GOOGLEFINANCE(C502,""marketcap"")"),31973006340)</f>
        <v>31973006340</v>
      </c>
    </row>
  </sheetData>
  <autoFilter ref="A1:Z502" xr:uid="{00000000-0009-0000-0000-000000000000}">
    <filterColumn colId="3">
      <filters>
        <filter val="F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"/>
  <sheetViews>
    <sheetView workbookViewId="0"/>
  </sheetViews>
  <sheetFormatPr defaultColWidth="14.42578125" defaultRowHeight="15.75" customHeight="1" x14ac:dyDescent="0.2"/>
  <cols>
    <col min="2" max="2" width="16.5703125" customWidth="1"/>
  </cols>
  <sheetData>
    <row r="1" spans="1:6" ht="15.75" customHeight="1" x14ac:dyDescent="0.2">
      <c r="A1" s="1" t="s">
        <v>1033</v>
      </c>
      <c r="B1" s="1" t="s">
        <v>2</v>
      </c>
      <c r="C1" s="1" t="s">
        <v>1034</v>
      </c>
      <c r="D1" s="1" t="s">
        <v>1035</v>
      </c>
      <c r="E1" s="1" t="s">
        <v>1036</v>
      </c>
      <c r="F1" s="1" t="s">
        <v>1037</v>
      </c>
    </row>
    <row r="2" spans="1:6" x14ac:dyDescent="0.25">
      <c r="A2" s="1" t="s">
        <v>1038</v>
      </c>
      <c r="B2" s="4" t="s">
        <v>804</v>
      </c>
      <c r="C2" s="1">
        <v>25000</v>
      </c>
      <c r="D2">
        <f ca="1">IFERROR(__xludf.DUMMYFUNCTION("GOOGLEFINANCE(B2)"),2034)</f>
        <v>2034</v>
      </c>
      <c r="E2" s="1">
        <v>10</v>
      </c>
      <c r="F2">
        <f t="shared" ref="F2:F7" ca="1" si="0">D2*E2</f>
        <v>20340</v>
      </c>
    </row>
    <row r="3" spans="1:6" x14ac:dyDescent="0.25">
      <c r="A3" s="1" t="s">
        <v>1039</v>
      </c>
      <c r="B3" s="4" t="s">
        <v>148</v>
      </c>
      <c r="C3" s="1">
        <v>25000</v>
      </c>
      <c r="D3">
        <f ca="1">IFERROR(__xludf.DUMMYFUNCTION("GOOGLEFINANCE(B3)"),1551)</f>
        <v>1551</v>
      </c>
      <c r="E3" s="1">
        <v>15</v>
      </c>
      <c r="F3">
        <f t="shared" ca="1" si="0"/>
        <v>23265</v>
      </c>
    </row>
    <row r="4" spans="1:6" x14ac:dyDescent="0.25">
      <c r="A4" s="1" t="s">
        <v>1040</v>
      </c>
      <c r="B4" s="4" t="s">
        <v>930</v>
      </c>
      <c r="C4" s="1">
        <v>100000</v>
      </c>
      <c r="D4">
        <f ca="1">IFERROR(__xludf.DUMMYFUNCTION("GOOGLEFINANCE(B4)"),331.9)</f>
        <v>331.9</v>
      </c>
      <c r="E4" s="1">
        <v>380</v>
      </c>
      <c r="F4">
        <f t="shared" ca="1" si="0"/>
        <v>126121.99999999999</v>
      </c>
    </row>
    <row r="5" spans="1:6" x14ac:dyDescent="0.25">
      <c r="A5" s="1" t="s">
        <v>1041</v>
      </c>
      <c r="B5" s="4" t="s">
        <v>616</v>
      </c>
      <c r="C5" s="1">
        <v>75000</v>
      </c>
      <c r="D5">
        <f ca="1">IFERROR(__xludf.DUMMYFUNCTION("GOOGLEFINANCE(B5)"),1058)</f>
        <v>1058</v>
      </c>
      <c r="E5" s="1">
        <v>50</v>
      </c>
      <c r="F5">
        <f t="shared" ca="1" si="0"/>
        <v>52900</v>
      </c>
    </row>
    <row r="6" spans="1:6" x14ac:dyDescent="0.25">
      <c r="A6" s="1" t="s">
        <v>1042</v>
      </c>
      <c r="B6" s="4" t="s">
        <v>296</v>
      </c>
      <c r="C6" s="1">
        <v>25000</v>
      </c>
      <c r="D6">
        <f ca="1">IFERROR(__xludf.DUMMYFUNCTION("GOOGLEFINANCE(B6)"),4705.75)</f>
        <v>4705.75</v>
      </c>
      <c r="E6" s="1">
        <v>50</v>
      </c>
      <c r="F6">
        <f t="shared" ca="1" si="0"/>
        <v>235287.5</v>
      </c>
    </row>
    <row r="7" spans="1:6" x14ac:dyDescent="0.25">
      <c r="A7" s="1" t="s">
        <v>1043</v>
      </c>
      <c r="B7" s="4" t="s">
        <v>239</v>
      </c>
      <c r="C7" s="1">
        <v>100000</v>
      </c>
      <c r="D7">
        <f ca="1">IFERROR(__xludf.DUMMYFUNCTION("GOOGLEFINANCE(B7)"),845)</f>
        <v>845</v>
      </c>
      <c r="E7" s="1">
        <v>100</v>
      </c>
      <c r="F7">
        <f t="shared" ca="1" si="0"/>
        <v>84500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4"/>
  <sheetViews>
    <sheetView tabSelected="1" workbookViewId="0">
      <selection activeCell="E10" sqref="E10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1044</v>
      </c>
      <c r="B1" s="1" t="s">
        <v>1045</v>
      </c>
    </row>
    <row r="2" spans="1:2" x14ac:dyDescent="0.25">
      <c r="A2" s="5">
        <v>44201</v>
      </c>
      <c r="B2" s="6">
        <v>10000</v>
      </c>
    </row>
    <row r="3" spans="1:2" x14ac:dyDescent="0.25">
      <c r="A3" s="5">
        <v>44202</v>
      </c>
      <c r="B3" s="6">
        <v>-5250</v>
      </c>
    </row>
    <row r="4" spans="1:2" x14ac:dyDescent="0.25">
      <c r="A4" s="5">
        <v>44202</v>
      </c>
      <c r="B4" s="6">
        <v>4000</v>
      </c>
    </row>
    <row r="5" spans="1:2" x14ac:dyDescent="0.25">
      <c r="A5" s="5">
        <v>44204</v>
      </c>
      <c r="B5" s="1">
        <v>750</v>
      </c>
    </row>
    <row r="6" spans="1:2" x14ac:dyDescent="0.25">
      <c r="A6" s="5">
        <v>44207</v>
      </c>
      <c r="B6" s="6">
        <v>4200</v>
      </c>
    </row>
    <row r="7" spans="1:2" x14ac:dyDescent="0.25">
      <c r="A7" s="5">
        <v>44208</v>
      </c>
      <c r="B7" s="6">
        <v>5675</v>
      </c>
    </row>
    <row r="8" spans="1:2" x14ac:dyDescent="0.25">
      <c r="A8" s="5">
        <v>44214</v>
      </c>
      <c r="B8" s="6">
        <v>6818.75</v>
      </c>
    </row>
    <row r="9" spans="1:2" x14ac:dyDescent="0.25">
      <c r="A9" s="5">
        <v>44215</v>
      </c>
      <c r="B9" s="6">
        <v>4426.25</v>
      </c>
    </row>
    <row r="10" spans="1:2" x14ac:dyDescent="0.25">
      <c r="A10" s="5">
        <v>44216</v>
      </c>
      <c r="B10" s="6">
        <v>2730</v>
      </c>
    </row>
    <row r="11" spans="1:2" x14ac:dyDescent="0.25">
      <c r="A11" s="5">
        <v>44216</v>
      </c>
      <c r="B11" s="1">
        <v>775</v>
      </c>
    </row>
    <row r="12" spans="1:2" x14ac:dyDescent="0.25">
      <c r="A12" s="5">
        <v>44217</v>
      </c>
      <c r="B12" s="1">
        <v>15</v>
      </c>
    </row>
    <row r="13" spans="1:2" x14ac:dyDescent="0.25">
      <c r="A13" s="5">
        <v>44218</v>
      </c>
      <c r="B13" s="1">
        <v>93000</v>
      </c>
    </row>
    <row r="14" spans="1:2" x14ac:dyDescent="0.25">
      <c r="A14" s="5">
        <v>44221</v>
      </c>
      <c r="B14" s="1">
        <v>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NSEData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Anand Kumar</cp:lastModifiedBy>
  <dcterms:created xsi:type="dcterms:W3CDTF">2021-02-15T17:15:07Z</dcterms:created>
  <dcterms:modified xsi:type="dcterms:W3CDTF">2021-02-15T17:15:07Z</dcterms:modified>
</cp:coreProperties>
</file>