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00.MOI\Template\"/>
    </mc:Choice>
  </mc:AlternateContent>
  <xr:revisionPtr revIDLastSave="0" documentId="13_ncr:1_{BA4D157B-A0A0-431E-9327-8CA372D84092}" xr6:coauthVersionLast="47" xr6:coauthVersionMax="47" xr10:uidLastSave="{00000000-0000-0000-0000-000000000000}"/>
  <bookViews>
    <workbookView xWindow="-120" yWindow="-120" windowWidth="20730" windowHeight="11160" xr2:uid="{66240AC2-9266-455D-B1C0-8DE5D02EC3EA}"/>
  </bookViews>
  <sheets>
    <sheet name="tample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\8" hidden="1">#REF!</definedName>
    <definedName name="_______key2" hidden="1">'[1]單價分析表(1-11)'!#REF!</definedName>
    <definedName name="______key2" hidden="1">'[1]單價分析表(1-11)'!#REF!</definedName>
    <definedName name="_____A123456" hidden="1">#REF!</definedName>
    <definedName name="_____key2" hidden="1">'[1]單價分析表(1-11)'!#REF!</definedName>
    <definedName name="____A123456" hidden="1">#REF!</definedName>
    <definedName name="____key2" hidden="1">'[1]單價分析表(1-11)'!#REF!</definedName>
    <definedName name="____kk1" hidden="1">'[2]單價分析表(1-11)'!#REF!</definedName>
    <definedName name="____ss1" hidden="1">'[2]單價分析表(1-11)'!#REF!</definedName>
    <definedName name="___A123456" hidden="1">#REF!</definedName>
    <definedName name="___key2" hidden="1">'[3]單價分析表(1-11)'!#REF!</definedName>
    <definedName name="___kk1" hidden="1">'[2]單價分析表(1-11)'!#REF!</definedName>
    <definedName name="___ss1" hidden="1">'[2]單價分析表(1-11)'!#REF!</definedName>
    <definedName name="__A123456" hidden="1">#REF!</definedName>
    <definedName name="__key2" hidden="1">'[3]單價分析表(1-11)'!#REF!</definedName>
    <definedName name="__kk1" hidden="1">'[2]單價分析表(1-11)'!#REF!</definedName>
    <definedName name="__ss1" hidden="1">'[2]單價分析表(1-11)'!#REF!</definedName>
    <definedName name="_1___0_S" hidden="1">'[4]單價分析表(1-11)'!#REF!</definedName>
    <definedName name="_1_0_S" hidden="1">'[4]單價分析表(1-11)'!#REF!</definedName>
    <definedName name="_1S" hidden="1">'[4]單價分析表(1-11)'!#REF!</definedName>
    <definedName name="_2___0_S" hidden="1">'[4]單價分析表(1-11)'!#REF!</definedName>
    <definedName name="_2_0_S" hidden="1">'[4]單價分析表(1-11)'!#REF!</definedName>
    <definedName name="_3_0_S" hidden="1">'[4]單價分析表(1-11)'!#REF!</definedName>
    <definedName name="_4_0_S" hidden="1">'[4]單價分析表(1-11)'!#REF!</definedName>
    <definedName name="_A123456" hidden="1">#REF!</definedName>
    <definedName name="_Fill" hidden="1">#REF!</definedName>
    <definedName name="_xlnm._FilterDatabase" hidden="1">'[5]工程預算書 '!#REF!</definedName>
    <definedName name="_Key1" hidden="1">'[6]單價分析表(1-11)'!#REF!</definedName>
    <definedName name="_key2" hidden="1">'[3]單價分析表(1-11)'!#REF!</definedName>
    <definedName name="_kk1" hidden="1">'[2]單價分析表(1-11)'!#REF!</definedName>
    <definedName name="_Order1" hidden="1">255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'[6]單價分析表(1-11)'!#REF!</definedName>
    <definedName name="_sort2" hidden="1">'[3]單價分析表(1-11)'!#REF!</definedName>
    <definedName name="_ss1" hidden="1">'[2]單價分析表(1-11)'!#REF!</definedName>
    <definedName name="_Table1_In1" hidden="1">#REF!</definedName>
    <definedName name="_Table1_Out" hidden="1">#REF!</definedName>
    <definedName name="aaaaa" hidden="1">'[2]單價分析表(1-11)'!#REF!</definedName>
    <definedName name="asd" hidden="1">'[7]工程預算書 '!#REF!</definedName>
    <definedName name="BASE" hidden="1">#REF!</definedName>
    <definedName name="baseX">_xlfn.ANCHORARRAY(tample!$D$156)</definedName>
    <definedName name="baseY">_xlfn.ANCHORARRAY(tample!$E$156)</definedName>
    <definedName name="BottomX">_xlfn.ANCHORARRAY(#REF!)</definedName>
    <definedName name="BottomXO">_xlfn.ANCHORARRAY(#REF!)</definedName>
    <definedName name="BottomY">_xlfn.ANCHORARRAY(#REF!)</definedName>
    <definedName name="BottomYO">_xlfn.ANCHORARRAY(#REF!)</definedName>
    <definedName name="coverY">_xlfn.ANCHORARRAY(tample!$F$156)</definedName>
    <definedName name="FE" hidden="1">#REF!</definedName>
    <definedName name="ff" hidden="1">#REF!</definedName>
    <definedName name="fff" hidden="1">#REF!</definedName>
    <definedName name="fgdfh" hidden="1">'[8]單價分析表(1-11)'!#REF!</definedName>
    <definedName name="GFFTF" hidden="1">'[9]工程預算書 '!#REF!</definedName>
    <definedName name="GGG" hidden="1">'[10]工程預算書 '!#REF!</definedName>
    <definedName name="ggggg" hidden="1">#REF!</definedName>
    <definedName name="LSideX">_xlfn.ANCHORARRAY(#REF!)</definedName>
    <definedName name="LSideXO">_xlfn.ANCHORARRAY(#REF!)</definedName>
    <definedName name="LSideY">_xlfn.ANCHORARRAY(#REF!)</definedName>
    <definedName name="LSideYO">_xlfn.ANCHORARRAY(#REF!)</definedName>
    <definedName name="_xlnm.Print_Area" localSheetId="0">tample!$A$1:$L$52</definedName>
    <definedName name="regeg" hidden="1">#REF!</definedName>
    <definedName name="RSideX">_xlfn.ANCHORARRAY(#REF!)</definedName>
    <definedName name="RSideXO">_xlfn.ANCHORARRAY(#REF!)</definedName>
    <definedName name="sort1" hidden="1">'[8]單價分析表(1-11)'!#REF!</definedName>
    <definedName name="sort2" hidden="1">'[3]單價分析表(1-11)'!#REF!</definedName>
    <definedName name="TopX">_xlfn.ANCHORARRAY(#REF!)</definedName>
    <definedName name="TopY">_xlfn.ANCHORARRAY(#REF!)</definedName>
    <definedName name="UpperY">_xlfn.ANCHORARRAY(#REF!)</definedName>
    <definedName name="wallLX">_xlfn.ANCHORARRAY(tample!$H$156)</definedName>
    <definedName name="wallLY">_xlfn.ANCHORARRAY(tample!$I$156)</definedName>
    <definedName name="wallRX">_xlfn.ANCHORARRAY(tample!$J$156)</definedName>
    <definedName name="WE" hidden="1">'[11]工程預算書 '!#REF!</definedName>
    <definedName name="Z_9FE365C0_20B0_11D4_BCD2_0000B43A35DD_.wvu.PrintArea" hidden="1">#REF!</definedName>
    <definedName name="Z_9FE365C0_20B0_11D4_BCD2_0000B43A35DD_.wvu.Rows" hidden="1">#REF!,#REF!</definedName>
    <definedName name="Z_9FE365C1_20B0_11D4_BCD2_0000B43A35DD_.wvu.PrintArea" hidden="1">#REF!</definedName>
    <definedName name="Z_9FE365C1_20B0_11D4_BCD2_0000B43A35DD_.wvu.Rows" hidden="1">#REF!,#REF!</definedName>
    <definedName name="ㄎㄊ" hidden="1">'[12]工程預算書 '!#REF!</definedName>
    <definedName name="土1" hidden="1">#REF!</definedName>
    <definedName name="日" hidden="1">'[13]工程預算書 '!#REF!</definedName>
    <definedName name="封面2" hidden="1">[14]預2!$A$8:$A$32</definedName>
    <definedName name="真ㄉ" hidden="1">'[15]工程預算書 '!#REF!</definedName>
    <definedName name="新格式封面" hidden="1">'[16]工程預算書 '!#REF!</definedName>
    <definedName name="變更封面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" i="10" l="1"/>
  <c r="G58" i="10"/>
  <c r="G59" i="10"/>
  <c r="G43" i="10" l="1"/>
  <c r="G42" i="10"/>
  <c r="G39" i="10"/>
  <c r="G38" i="10"/>
  <c r="H33" i="10" a="1"/>
  <c r="H33" i="10" s="1"/>
  <c r="G33" i="10" a="1"/>
  <c r="G33" i="10" s="1"/>
  <c r="F33" i="10" a="1"/>
  <c r="F33" i="10" s="1"/>
  <c r="E33" i="10" a="1"/>
  <c r="E33" i="10" s="1"/>
  <c r="I33" i="10" a="1"/>
  <c r="I33" i="10" s="1"/>
  <c r="H29" i="10" a="1"/>
  <c r="H29" i="10" s="1"/>
  <c r="G29" i="10" a="1"/>
  <c r="G29" i="10" s="1"/>
  <c r="F29" i="10" a="1"/>
  <c r="F29" i="10" s="1"/>
  <c r="E29" i="10" a="1"/>
  <c r="E29" i="10" s="1"/>
  <c r="H30" i="10" a="1"/>
  <c r="H30" i="10" s="1"/>
  <c r="G30" i="10" a="1"/>
  <c r="G30" i="10" s="1"/>
  <c r="F30" i="10" a="1"/>
  <c r="F30" i="10" s="1"/>
  <c r="E30" i="10" a="1"/>
  <c r="E30" i="10" s="1"/>
  <c r="G46" i="10" l="1"/>
  <c r="K112" i="10"/>
  <c r="J111" i="10"/>
  <c r="J115" i="10" s="1"/>
  <c r="K108" i="10"/>
  <c r="K109" i="10" s="1"/>
  <c r="K105" i="10"/>
  <c r="K114" i="10" s="1"/>
  <c r="K102" i="10"/>
  <c r="K103" i="10" s="1"/>
  <c r="J100" i="10"/>
  <c r="J109" i="10" s="1"/>
  <c r="J99" i="10"/>
  <c r="J102" i="10" s="1"/>
  <c r="H108" i="10"/>
  <c r="H109" i="10" s="1"/>
  <c r="G109" i="10"/>
  <c r="G105" i="10"/>
  <c r="G106" i="10" s="1"/>
  <c r="G102" i="10"/>
  <c r="G103" i="10" s="1"/>
  <c r="H100" i="10"/>
  <c r="H103" i="10" s="1"/>
  <c r="H99" i="10"/>
  <c r="H105" i="10" s="1"/>
  <c r="E108" i="10"/>
  <c r="E109" i="10" s="1"/>
  <c r="E105" i="10"/>
  <c r="D106" i="10" s="1"/>
  <c r="D109" i="10" s="1"/>
  <c r="D99" i="10"/>
  <c r="E100" i="10" s="1"/>
  <c r="E103" i="10" s="1"/>
  <c r="D102" i="10"/>
  <c r="D103" i="10" s="1"/>
  <c r="I137" i="10"/>
  <c r="H134" i="10"/>
  <c r="D134" i="10"/>
  <c r="C138" i="10"/>
  <c r="H122" i="10"/>
  <c r="H123" i="10" s="1"/>
  <c r="G123" i="10"/>
  <c r="G122" i="10"/>
  <c r="E123" i="10"/>
  <c r="E137" i="10" s="1"/>
  <c r="E122" i="10"/>
  <c r="E125" i="10" s="1"/>
  <c r="D124" i="10"/>
  <c r="D125" i="10" s="1"/>
  <c r="D122" i="10"/>
  <c r="D123" i="10" s="1"/>
  <c r="D137" i="10" s="1"/>
  <c r="J84" i="10"/>
  <c r="J83" i="10"/>
  <c r="H84" i="10"/>
  <c r="H85" i="10" s="1"/>
  <c r="E86" i="10"/>
  <c r="E87" i="10" s="1"/>
  <c r="E84" i="10"/>
  <c r="E85" i="10" s="1"/>
  <c r="D89" i="10"/>
  <c r="G85" i="10" s="1"/>
  <c r="G86" i="10" s="1"/>
  <c r="D87" i="10"/>
  <c r="D88" i="10" s="1"/>
  <c r="D85" i="10"/>
  <c r="D86" i="10" s="1"/>
  <c r="G83" i="10"/>
  <c r="G87" i="10" s="1"/>
  <c r="E91" i="10"/>
  <c r="D91" i="10"/>
  <c r="E90" i="10"/>
  <c r="D84" i="10"/>
  <c r="D138" i="10" l="1"/>
  <c r="G138" i="10" s="1"/>
  <c r="H83" i="10"/>
  <c r="H87" i="10" s="1"/>
  <c r="K106" i="10"/>
  <c r="E99" i="10"/>
  <c r="E102" i="10" s="1"/>
  <c r="F137" i="10"/>
  <c r="F138" i="10" s="1"/>
  <c r="H106" i="10"/>
  <c r="K115" i="10"/>
  <c r="K99" i="10"/>
  <c r="K111" i="10" s="1"/>
  <c r="E106" i="10"/>
  <c r="E124" i="10"/>
  <c r="C139" i="10"/>
  <c r="C140" i="10" s="1"/>
  <c r="C141" i="10" s="1"/>
  <c r="C142" i="10" s="1"/>
  <c r="C143" i="10" s="1"/>
  <c r="C144" i="10" s="1"/>
  <c r="C145" i="10" s="1"/>
  <c r="C146" i="10" s="1"/>
  <c r="C147" i="10" s="1"/>
  <c r="C148" i="10" s="1"/>
  <c r="C149" i="10" s="1"/>
  <c r="C150" i="10" s="1"/>
  <c r="C151" i="10" s="1"/>
  <c r="C152" i="10" s="1"/>
  <c r="J152" i="10" s="1"/>
  <c r="D105" i="10"/>
  <c r="D108" i="10" s="1"/>
  <c r="J137" i="10"/>
  <c r="J138" i="10" s="1"/>
  <c r="J103" i="10"/>
  <c r="J114" i="10"/>
  <c r="I138" i="10"/>
  <c r="K138" i="10" s="1"/>
  <c r="J108" i="10"/>
  <c r="J86" i="10"/>
  <c r="J87" i="10" s="1"/>
  <c r="J91" i="10" s="1"/>
  <c r="J94" i="10" s="1"/>
  <c r="D100" i="10"/>
  <c r="G99" i="10"/>
  <c r="H102" i="10"/>
  <c r="J106" i="10"/>
  <c r="J112" i="10"/>
  <c r="G84" i="10"/>
  <c r="E138" i="10"/>
  <c r="J105" i="10"/>
  <c r="G137" i="10"/>
  <c r="H137" i="10"/>
  <c r="D90" i="10"/>
  <c r="E88" i="10"/>
  <c r="E89" i="10" s="1"/>
  <c r="I42" i="10"/>
  <c r="I39" i="10"/>
  <c r="I43" i="10"/>
  <c r="G32" i="10"/>
  <c r="E32" i="10"/>
  <c r="E26" i="10"/>
  <c r="F28" i="10"/>
  <c r="F32" i="10" s="1"/>
  <c r="F19" i="10"/>
  <c r="G41" i="10" s="1"/>
  <c r="F18" i="10"/>
  <c r="E56" i="10" s="1"/>
  <c r="G56" i="10" s="1"/>
  <c r="G61" i="10" s="1"/>
  <c r="H28" i="10"/>
  <c r="H32" i="10" s="1"/>
  <c r="G26" i="10"/>
  <c r="G48" i="10"/>
  <c r="I48" i="10" s="1"/>
  <c r="I50" i="10"/>
  <c r="G47" i="10"/>
  <c r="H86" i="10" l="1"/>
  <c r="G44" i="10"/>
  <c r="I44" i="10" s="1"/>
  <c r="H146" i="10"/>
  <c r="F140" i="10"/>
  <c r="J89" i="10"/>
  <c r="H152" i="10"/>
  <c r="E144" i="10"/>
  <c r="K100" i="10"/>
  <c r="H151" i="10"/>
  <c r="F144" i="10"/>
  <c r="E143" i="10"/>
  <c r="H150" i="10"/>
  <c r="J144" i="10"/>
  <c r="D148" i="10"/>
  <c r="G148" i="10" s="1"/>
  <c r="I149" i="10"/>
  <c r="K149" i="10" s="1"/>
  <c r="J151" i="10"/>
  <c r="H147" i="10"/>
  <c r="E139" i="10"/>
  <c r="J146" i="10"/>
  <c r="E149" i="10"/>
  <c r="J140" i="10"/>
  <c r="F147" i="10"/>
  <c r="I145" i="10"/>
  <c r="K145" i="10" s="1"/>
  <c r="D149" i="10"/>
  <c r="G149" i="10" s="1"/>
  <c r="J139" i="10"/>
  <c r="F146" i="10"/>
  <c r="J142" i="10"/>
  <c r="E142" i="10"/>
  <c r="D139" i="10"/>
  <c r="G139" i="10" s="1"/>
  <c r="H139" i="10"/>
  <c r="F151" i="10"/>
  <c r="F149" i="10"/>
  <c r="E141" i="10"/>
  <c r="E150" i="10"/>
  <c r="E148" i="10"/>
  <c r="F148" i="10"/>
  <c r="I151" i="10"/>
  <c r="K151" i="10" s="1"/>
  <c r="F142" i="10"/>
  <c r="I139" i="10"/>
  <c r="I140" i="10" s="1"/>
  <c r="J145" i="10"/>
  <c r="J88" i="10"/>
  <c r="J92" i="10" s="1"/>
  <c r="J95" i="10" s="1"/>
  <c r="F139" i="10"/>
  <c r="I152" i="10"/>
  <c r="K152" i="10" s="1"/>
  <c r="H148" i="10"/>
  <c r="F143" i="10"/>
  <c r="E140" i="10"/>
  <c r="E146" i="10"/>
  <c r="J149" i="10"/>
  <c r="H141" i="10"/>
  <c r="F141" i="10"/>
  <c r="J147" i="10"/>
  <c r="I147" i="10"/>
  <c r="K147" i="10" s="1"/>
  <c r="H143" i="10"/>
  <c r="E151" i="10"/>
  <c r="D151" i="10"/>
  <c r="G151" i="10" s="1"/>
  <c r="I150" i="10"/>
  <c r="K150" i="10" s="1"/>
  <c r="H142" i="10"/>
  <c r="D150" i="10"/>
  <c r="G150" i="10" s="1"/>
  <c r="H149" i="10"/>
  <c r="J148" i="10"/>
  <c r="I148" i="10"/>
  <c r="K148" i="10" s="1"/>
  <c r="H144" i="10"/>
  <c r="E152" i="10"/>
  <c r="D152" i="10"/>
  <c r="G152" i="10" s="1"/>
  <c r="J141" i="10"/>
  <c r="F152" i="10"/>
  <c r="E145" i="10"/>
  <c r="J143" i="10"/>
  <c r="F150" i="10"/>
  <c r="E147" i="10"/>
  <c r="D147" i="10"/>
  <c r="G147" i="10" s="1"/>
  <c r="J150" i="10"/>
  <c r="I146" i="10"/>
  <c r="K146" i="10" s="1"/>
  <c r="F145" i="10"/>
  <c r="H145" i="10"/>
  <c r="H140" i="10"/>
  <c r="G100" i="10"/>
  <c r="G108" i="10"/>
  <c r="H138" i="10"/>
  <c r="K137" i="10"/>
  <c r="I41" i="10"/>
  <c r="K83" i="10"/>
  <c r="H47" i="10"/>
  <c r="I47" i="10" s="1"/>
  <c r="I38" i="10"/>
  <c r="G40" i="10"/>
  <c r="I40" i="10" s="1"/>
  <c r="F31" i="10"/>
  <c r="E31" i="10"/>
  <c r="G31" i="10"/>
  <c r="H31" i="10"/>
  <c r="G49" i="10"/>
  <c r="I49" i="10" s="1"/>
  <c r="G45" i="10" l="1"/>
  <c r="I46" i="10"/>
  <c r="K140" i="10"/>
  <c r="I141" i="10"/>
  <c r="D140" i="10"/>
  <c r="D141" i="10" s="1"/>
  <c r="K139" i="10"/>
  <c r="K84" i="10"/>
  <c r="K91" i="10"/>
  <c r="K92" i="10" s="1"/>
  <c r="K94" i="10"/>
  <c r="K95" i="10" s="1"/>
  <c r="K86" i="10"/>
  <c r="G141" i="10" l="1"/>
  <c r="D142" i="10"/>
  <c r="G140" i="10"/>
  <c r="K141" i="10"/>
  <c r="I142" i="10"/>
  <c r="K87" i="10"/>
  <c r="K88" i="10" s="1"/>
  <c r="K89" i="10"/>
  <c r="I143" i="10" l="1"/>
  <c r="K142" i="10"/>
  <c r="G142" i="10"/>
  <c r="D143" i="10"/>
  <c r="I144" i="10" l="1"/>
  <c r="K144" i="10" s="1"/>
  <c r="K143" i="10"/>
  <c r="G143" i="10"/>
  <c r="D144" i="10"/>
  <c r="H156" i="10" l="1" a="1"/>
  <c r="H156" i="10" s="1"/>
  <c r="J156" i="10" a="1"/>
  <c r="J156" i="10" s="1"/>
  <c r="I156" i="10" a="1"/>
  <c r="I156" i="10" s="1"/>
  <c r="G144" i="10"/>
  <c r="D145" i="10"/>
  <c r="G145" i="10" l="1"/>
  <c r="D146" i="10"/>
  <c r="G146" i="10" s="1"/>
  <c r="E156" i="10" l="1" a="1"/>
  <c r="E156" i="10" s="1"/>
  <c r="F156" i="10" a="1"/>
  <c r="F156" i="10" s="1"/>
  <c r="D156" i="10" a="1"/>
  <c r="D156" i="10" s="1"/>
  <c r="I45" i="10" l="1"/>
  <c r="I51" i="10" s="1"/>
  <c r="J5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<sst xmlns="http://schemas.openxmlformats.org/spreadsheetml/2006/main" count="182" uniqueCount="110">
  <si>
    <t>m</t>
    <phoneticPr fontId="5" type="noConversion"/>
  </si>
  <si>
    <t>No.</t>
    <phoneticPr fontId="8" type="noConversion"/>
  </si>
  <si>
    <t>D13</t>
    <phoneticPr fontId="8" type="noConversion"/>
  </si>
  <si>
    <t>A.</t>
    <phoneticPr fontId="5" type="noConversion"/>
  </si>
  <si>
    <t>D16</t>
    <phoneticPr fontId="8" type="noConversion"/>
  </si>
  <si>
    <t>H</t>
    <phoneticPr fontId="5" type="noConversion"/>
  </si>
  <si>
    <t>Width</t>
    <phoneticPr fontId="5" type="noConversion"/>
  </si>
  <si>
    <t>D19</t>
    <phoneticPr fontId="8" type="noConversion"/>
  </si>
  <si>
    <t>D22</t>
    <phoneticPr fontId="8" type="noConversion"/>
  </si>
  <si>
    <t>D25</t>
    <phoneticPr fontId="8" type="noConversion"/>
  </si>
  <si>
    <t>D29</t>
    <phoneticPr fontId="8" type="noConversion"/>
  </si>
  <si>
    <t>D32</t>
    <phoneticPr fontId="8" type="noConversion"/>
  </si>
  <si>
    <t>D36</t>
    <phoneticPr fontId="8" type="noConversion"/>
  </si>
  <si>
    <t>B.</t>
    <phoneticPr fontId="5" type="noConversion"/>
  </si>
  <si>
    <t>工</t>
  </si>
  <si>
    <t>Item</t>
    <phoneticPr fontId="5" type="noConversion"/>
  </si>
  <si>
    <t>unit</t>
    <phoneticPr fontId="5" type="noConversion"/>
  </si>
  <si>
    <t>Z.</t>
    <phoneticPr fontId="8" type="noConversion"/>
  </si>
  <si>
    <t>x</t>
    <phoneticPr fontId="5" type="noConversion"/>
  </si>
  <si>
    <t>y</t>
    <phoneticPr fontId="5" type="noConversion"/>
  </si>
  <si>
    <t>space</t>
    <phoneticPr fontId="5" type="noConversion"/>
  </si>
  <si>
    <t>B</t>
    <phoneticPr fontId="5" type="noConversion"/>
  </si>
  <si>
    <t>L</t>
    <phoneticPr fontId="5" type="noConversion"/>
  </si>
  <si>
    <t>R</t>
    <phoneticPr fontId="5" type="noConversion"/>
  </si>
  <si>
    <t>U</t>
    <phoneticPr fontId="5" type="noConversion"/>
  </si>
  <si>
    <t>Top</t>
    <phoneticPr fontId="5" type="noConversion"/>
  </si>
  <si>
    <t>T</t>
    <phoneticPr fontId="5" type="noConversion"/>
  </si>
  <si>
    <t>line</t>
    <phoneticPr fontId="5" type="noConversion"/>
  </si>
  <si>
    <t>Water</t>
    <phoneticPr fontId="5" type="noConversion"/>
  </si>
  <si>
    <t>Height</t>
    <phoneticPr fontId="5" type="noConversion"/>
  </si>
  <si>
    <t>Thickness of top</t>
    <phoneticPr fontId="5" type="noConversion"/>
  </si>
  <si>
    <t>Thickness of bottom ditch</t>
    <phoneticPr fontId="5" type="noConversion"/>
  </si>
  <si>
    <t>Ditch wall Thickness</t>
    <phoneticPr fontId="5" type="noConversion"/>
  </si>
  <si>
    <t>Value</t>
    <phoneticPr fontId="5" type="noConversion"/>
  </si>
  <si>
    <t>Unit</t>
    <phoneticPr fontId="5" type="noConversion"/>
  </si>
  <si>
    <t>Remark</t>
    <phoneticPr fontId="5" type="noConversion"/>
  </si>
  <si>
    <t>Symbol</t>
    <phoneticPr fontId="5" type="noConversion"/>
  </si>
  <si>
    <t>W</t>
    <phoneticPr fontId="5" type="noConversion"/>
  </si>
  <si>
    <t>t1</t>
    <phoneticPr fontId="5" type="noConversion"/>
  </si>
  <si>
    <t>t2</t>
    <phoneticPr fontId="5" type="noConversion"/>
  </si>
  <si>
    <t>t3</t>
    <phoneticPr fontId="5" type="noConversion"/>
  </si>
  <si>
    <t>w1</t>
    <phoneticPr fontId="5" type="noConversion"/>
  </si>
  <si>
    <t>D</t>
    <phoneticPr fontId="5" type="noConversion"/>
  </si>
  <si>
    <t>Requirement</t>
    <phoneticPr fontId="5" type="noConversion"/>
  </si>
  <si>
    <t>Length of ditch</t>
    <phoneticPr fontId="5" type="noConversion"/>
  </si>
  <si>
    <t>Expansion Jonit, set every</t>
    <phoneticPr fontId="5" type="noConversion"/>
  </si>
  <si>
    <t>C.</t>
    <phoneticPr fontId="5" type="noConversion"/>
  </si>
  <si>
    <t>Steel Rebars</t>
    <phoneticPr fontId="5" type="noConversion"/>
  </si>
  <si>
    <t>Length</t>
    <phoneticPr fontId="5" type="noConversion"/>
  </si>
  <si>
    <t>Space</t>
    <phoneticPr fontId="5" type="noConversion"/>
  </si>
  <si>
    <t>quantity</t>
    <phoneticPr fontId="5" type="noConversion"/>
  </si>
  <si>
    <t>kg/m</t>
  </si>
  <si>
    <t>Unit Weight</t>
    <phoneticPr fontId="5" type="noConversion"/>
  </si>
  <si>
    <t>D13</t>
    <phoneticPr fontId="5" type="noConversion"/>
  </si>
  <si>
    <t>SD280</t>
    <phoneticPr fontId="5" type="noConversion"/>
  </si>
  <si>
    <t>SD420W</t>
    <phoneticPr fontId="5" type="noConversion"/>
  </si>
  <si>
    <t>total weight</t>
    <phoneticPr fontId="5" type="noConversion"/>
  </si>
  <si>
    <t>D16</t>
    <phoneticPr fontId="5" type="noConversion"/>
  </si>
  <si>
    <t>Expansion Jonit</t>
  </si>
  <si>
    <t>D.</t>
    <phoneticPr fontId="5" type="noConversion"/>
  </si>
  <si>
    <t>price</t>
    <phoneticPr fontId="5" type="noConversion"/>
  </si>
  <si>
    <t>total</t>
    <phoneticPr fontId="5" type="noConversion"/>
  </si>
  <si>
    <t>product</t>
    <phoneticPr fontId="5" type="noConversion"/>
  </si>
  <si>
    <t>ordinary salary</t>
    <phoneticPr fontId="5" type="noConversion"/>
  </si>
  <si>
    <t>installation fee</t>
    <phoneticPr fontId="5" type="noConversion"/>
  </si>
  <si>
    <t>Other materials (including Silica)</t>
    <phoneticPr fontId="5" type="noConversion"/>
  </si>
  <si>
    <t>Sum=</t>
    <phoneticPr fontId="5" type="noConversion"/>
  </si>
  <si>
    <t>Budget</t>
    <phoneticPr fontId="5" type="noConversion"/>
  </si>
  <si>
    <t>Expansion Jonit</t>
    <phoneticPr fontId="5" type="noConversion"/>
  </si>
  <si>
    <t>concrete, 210 kg/cm²</t>
    <phoneticPr fontId="5" type="noConversion"/>
  </si>
  <si>
    <t>formwork</t>
    <phoneticPr fontId="5" type="noConversion"/>
  </si>
  <si>
    <t>rebar, SD280</t>
    <phoneticPr fontId="5" type="noConversion"/>
  </si>
  <si>
    <t>place</t>
    <phoneticPr fontId="5" type="noConversion"/>
  </si>
  <si>
    <t>excavation</t>
  </si>
  <si>
    <t>concrete, 140 kg/cm²</t>
    <phoneticPr fontId="5" type="noConversion"/>
  </si>
  <si>
    <t>Ditch cover, set every</t>
    <phoneticPr fontId="5" type="noConversion"/>
  </si>
  <si>
    <t>PVC drain pipe, D=50mm</t>
    <phoneticPr fontId="5" type="noConversion"/>
  </si>
  <si>
    <t>Ditch cover, TG-60</t>
    <phoneticPr fontId="5" type="noConversion"/>
  </si>
  <si>
    <t>Clear cover of reinforcement</t>
    <phoneticPr fontId="5" type="noConversion"/>
  </si>
  <si>
    <t>m</t>
    <phoneticPr fontId="5" type="noConversion"/>
  </si>
  <si>
    <t>kg</t>
    <phoneticPr fontId="5" type="noConversion"/>
  </si>
  <si>
    <t>m³</t>
    <phoneticPr fontId="5" type="noConversion"/>
  </si>
  <si>
    <t>m²</t>
    <phoneticPr fontId="5" type="noConversion"/>
  </si>
  <si>
    <t>lump sum</t>
    <phoneticPr fontId="5" type="noConversion"/>
  </si>
  <si>
    <t>permanent forms</t>
    <phoneticPr fontId="5" type="noConversion"/>
  </si>
  <si>
    <t>depletion</t>
  </si>
  <si>
    <t>disposal of waste</t>
    <phoneticPr fontId="5" type="noConversion"/>
  </si>
  <si>
    <t>backfill</t>
    <phoneticPr fontId="5" type="noConversion"/>
  </si>
  <si>
    <t>cover</t>
    <phoneticPr fontId="5" type="noConversion"/>
  </si>
  <si>
    <t>main structure</t>
    <phoneticPr fontId="5" type="noConversion"/>
  </si>
  <si>
    <t>U</t>
    <phoneticPr fontId="5" type="noConversion"/>
  </si>
  <si>
    <t>Cover</t>
    <phoneticPr fontId="5" type="noConversion"/>
  </si>
  <si>
    <t>Reference</t>
    <phoneticPr fontId="5" type="noConversion"/>
  </si>
  <si>
    <t>(kg/m)</t>
  </si>
  <si>
    <t>Unit Weight</t>
  </si>
  <si>
    <t>COMPANY NAME</t>
    <phoneticPr fontId="5" type="noConversion"/>
  </si>
  <si>
    <t>Y.</t>
    <phoneticPr fontId="5" type="noConversion"/>
  </si>
  <si>
    <t>Quantity</t>
    <phoneticPr fontId="5" type="noConversion"/>
  </si>
  <si>
    <t>Price</t>
    <phoneticPr fontId="5" type="noConversion"/>
  </si>
  <si>
    <t>Total</t>
    <phoneticPr fontId="5" type="noConversion"/>
  </si>
  <si>
    <t>rebar, SD420W</t>
    <phoneticPr fontId="5" type="noConversion"/>
  </si>
  <si>
    <t>Type</t>
    <phoneticPr fontId="5" type="noConversion"/>
  </si>
  <si>
    <t>Drawing</t>
  </si>
  <si>
    <t>The estimate price for every m about</t>
    <phoneticPr fontId="5" type="noConversion"/>
  </si>
  <si>
    <t>Width, clear</t>
    <phoneticPr fontId="5" type="noConversion"/>
  </si>
  <si>
    <t>Depth, clear</t>
    <phoneticPr fontId="5" type="noConversion"/>
  </si>
  <si>
    <t>Bar-size</t>
    <phoneticPr fontId="5" type="noConversion"/>
  </si>
  <si>
    <t>X.</t>
    <phoneticPr fontId="5" type="noConversion"/>
  </si>
  <si>
    <t>Estimate of Draining Ditch</t>
    <phoneticPr fontId="5" type="noConversion"/>
  </si>
  <si>
    <t>Geometry of Draining Ditch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</si>
</sst>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#,##0_ "/>
  </numFmts>
  <fonts count="30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  <scheme val="minor"/>
    </font>
    <font>
      <sz val="12"/>
      <color theme="1" tint="0.249977111117893"/>
      <name val="微軟正黑體"/>
      <family val="2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b/>
      <sz val="12"/>
      <color theme="1" tint="0.249977111117893"/>
      <name val="微軟正黑體"/>
      <family val="2"/>
      <charset val="136"/>
    </font>
    <font>
      <sz val="10"/>
      <color theme="0" tint="-0.34998626667073579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theme="0" tint="-0.34998626667073579"/>
      <name val="微軟正黑體"/>
      <family val="2"/>
      <charset val="136"/>
    </font>
    <font>
      <sz val="12"/>
      <color theme="0" tint="-0.34998626667073579"/>
      <name val="微軟正黑體"/>
      <family val="2"/>
      <charset val="136"/>
    </font>
    <font>
      <sz val="10"/>
      <name val="Arial"/>
      <family val="2"/>
    </font>
    <font>
      <sz val="12"/>
      <name val="Times New Roman"/>
      <family val="1"/>
    </font>
    <font>
      <sz val="10"/>
      <color theme="1" tint="0.249977111117893"/>
      <name val="微軟正黑體"/>
      <family val="2"/>
      <charset val="136"/>
    </font>
    <font>
      <b/>
      <sz val="12"/>
      <color theme="1" tint="0.14999847407452621"/>
      <name val="微軟正黑體"/>
      <family val="2"/>
      <charset val="136"/>
    </font>
    <font>
      <b/>
      <sz val="10"/>
      <color theme="1" tint="0.249977111117893"/>
      <name val="微軟正黑體"/>
      <family val="2"/>
      <charset val="136"/>
    </font>
    <font>
      <b/>
      <sz val="18"/>
      <color theme="1" tint="0.249977111117893"/>
      <name val="微軟正黑體"/>
      <family val="2"/>
      <charset val="136"/>
    </font>
    <font>
      <sz val="12"/>
      <color theme="2" tint="-9.9978637043366805E-2"/>
      <name val="微軟正黑體"/>
      <family val="2"/>
      <charset val="136"/>
    </font>
    <font>
      <b/>
      <sz val="18"/>
      <color theme="2" tint="-9.9978637043366805E-2"/>
      <name val="微軟正黑體"/>
      <family val="2"/>
      <charset val="136"/>
    </font>
    <font>
      <sz val="12"/>
      <color theme="2" tint="-0.249977111117893"/>
      <name val="微軟正黑體"/>
      <family val="2"/>
      <charset val="136"/>
    </font>
    <font>
      <b/>
      <sz val="16"/>
      <color theme="2" tint="-0.249977111117893"/>
      <name val="微軟正黑體"/>
      <family val="2"/>
      <charset val="136"/>
    </font>
    <font>
      <b/>
      <sz val="14"/>
      <color theme="1" tint="0.1499984740745262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theme="0" tint="-0.34998626667073579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/>
      <bottom style="medium">
        <color theme="3" tint="0.59996337778862885"/>
      </bottom>
      <diagonal/>
    </border>
    <border>
      <left/>
      <right/>
      <top style="medium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</borders>
  <cellStyleXfs count="3">
    <xf numFmtId="0" fontId="0" fillId="0" borderId="0">
      <alignment vertical="center"/>
    </xf>
    <xf numFmtId="0" fontId="17" fillId="0" borderId="0"/>
    <xf numFmtId="0" fontId="18" fillId="0" borderId="0"/>
  </cellStyleXfs>
  <cellXfs count="80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178" fontId="13" fillId="0" borderId="0" xfId="0" applyNumberFormat="1" applyFont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 indent="1"/>
    </xf>
    <xf numFmtId="0" fontId="16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 indent="1"/>
    </xf>
    <xf numFmtId="0" fontId="13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178" fontId="4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>
      <alignment vertical="center"/>
    </xf>
    <xf numFmtId="178" fontId="13" fillId="0" borderId="0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left" vertical="center" indent="1"/>
    </xf>
    <xf numFmtId="0" fontId="6" fillId="0" borderId="4" xfId="0" applyFont="1" applyBorder="1">
      <alignment vertical="center"/>
    </xf>
    <xf numFmtId="0" fontId="19" fillId="0" borderId="5" xfId="0" applyFont="1" applyBorder="1" applyAlignment="1">
      <alignment horizontal="left" vertical="center" indent="1"/>
    </xf>
    <xf numFmtId="0" fontId="6" fillId="0" borderId="5" xfId="0" applyFont="1" applyBorder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4" xfId="0" applyFont="1" applyBorder="1">
      <alignment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left" vertical="center"/>
    </xf>
    <xf numFmtId="0" fontId="19" fillId="0" borderId="5" xfId="0" applyFont="1" applyBorder="1">
      <alignment vertical="center"/>
    </xf>
    <xf numFmtId="0" fontId="21" fillId="0" borderId="5" xfId="0" applyFont="1" applyBorder="1">
      <alignment vertical="center"/>
    </xf>
    <xf numFmtId="0" fontId="23" fillId="4" borderId="0" xfId="0" applyFont="1" applyFill="1">
      <alignment vertical="center"/>
    </xf>
    <xf numFmtId="0" fontId="24" fillId="4" borderId="0" xfId="0" applyFont="1" applyFill="1">
      <alignment vertical="center"/>
    </xf>
    <xf numFmtId="0" fontId="25" fillId="5" borderId="0" xfId="0" applyFont="1" applyFill="1">
      <alignment vertical="center"/>
    </xf>
    <xf numFmtId="0" fontId="19" fillId="0" borderId="0" xfId="0" applyFont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left" vertical="center"/>
    </xf>
    <xf numFmtId="178" fontId="19" fillId="0" borderId="4" xfId="0" applyNumberFormat="1" applyFont="1" applyBorder="1" applyAlignment="1">
      <alignment horizontal="right" vertical="center"/>
    </xf>
    <xf numFmtId="178" fontId="19" fillId="0" borderId="5" xfId="0" applyNumberFormat="1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19" fillId="0" borderId="4" xfId="0" applyFont="1" applyBorder="1" applyAlignment="1">
      <alignment horizontal="right" vertical="center"/>
    </xf>
    <xf numFmtId="0" fontId="19" fillId="0" borderId="5" xfId="0" applyFont="1" applyBorder="1" applyAlignment="1">
      <alignment horizontal="right" vertical="center"/>
    </xf>
    <xf numFmtId="0" fontId="26" fillId="5" borderId="0" xfId="0" applyFont="1" applyFill="1" applyAlignment="1">
      <alignment horizontal="right" indent="1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0" fontId="22" fillId="0" borderId="0" xfId="0" applyFont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6" fillId="2" borderId="4" xfId="0" applyFont="1" applyFill="1" applyBorder="1" applyProtection="1">
      <alignment vertical="center"/>
      <protection locked="0"/>
    </xf>
    <xf numFmtId="0" fontId="6" fillId="2" borderId="5" xfId="0" applyFont="1" applyFill="1" applyBorder="1" applyProtection="1">
      <alignment vertical="center"/>
      <protection locked="0"/>
    </xf>
    <xf numFmtId="0" fontId="19" fillId="2" borderId="4" xfId="0" applyFont="1" applyFill="1" applyBorder="1" applyAlignment="1" applyProtection="1">
      <alignment horizontal="left" vertical="center"/>
      <protection locked="0"/>
    </xf>
    <xf numFmtId="0" fontId="19" fillId="2" borderId="5" xfId="0" applyFont="1" applyFill="1" applyBorder="1" applyAlignment="1" applyProtection="1">
      <alignment horizontal="left" vertical="center"/>
      <protection locked="0"/>
    </xf>
    <xf numFmtId="178" fontId="19" fillId="2" borderId="4" xfId="0" applyNumberFormat="1" applyFont="1" applyFill="1" applyBorder="1" applyAlignment="1" applyProtection="1">
      <alignment horizontal="right" vertical="center"/>
      <protection locked="0"/>
    </xf>
    <xf numFmtId="178" fontId="19" fillId="2" borderId="5" xfId="0" applyNumberFormat="1" applyFont="1" applyFill="1" applyBorder="1" applyAlignment="1" applyProtection="1">
      <alignment horizontal="right" vertical="center"/>
      <protection locked="0"/>
    </xf>
    <xf numFmtId="0" fontId="19" fillId="0" borderId="0" xfId="0" applyFont="1" applyBorder="1" applyAlignment="1">
      <alignment horizontal="left" vertical="center" indent="1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right" vertical="center" indent="1"/>
    </xf>
    <xf numFmtId="0" fontId="6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 indent="1"/>
    </xf>
  </cellXfs>
  <cellStyles count="3">
    <cellStyle name="一般" xfId="0" builtinId="0"/>
    <cellStyle name="一般 5" xfId="1" xr:uid="{41186302-45FB-481F-8E51-CA2613170354}"/>
    <cellStyle name="一般 8" xfId="2" xr:uid="{C190B9EF-4013-4F2F-8783-F235024A1FD9}"/>
  </cellStyles>
  <dxfs count="0"/>
  <tableStyles count="1" defaultTableStyle="TableStyleMedium2" defaultPivotStyle="PivotStyleLight16">
    <tableStyle name="Invisible" pivot="0" table="0" count="0" xr9:uid="{62C4A1FA-08FB-42A3-9AC5-2C1ECC0E31C5}"/>
  </tableStyles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sheetMetadata" Target="metadata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主體結構</c:v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tample!$D$83:$D$91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0.2</c:v>
                </c:pt>
                <c:pt idx="4">
                  <c:v>0.8</c:v>
                </c:pt>
                <c:pt idx="5">
                  <c:v>0.8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xVal>
          <c:yVal>
            <c:numRef>
              <c:f>tample!$E$83:$E$91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BA-4B9C-9AD5-D40ED8F0FCE9}"/>
            </c:ext>
          </c:extLst>
        </c:ser>
        <c:ser>
          <c:idx val="21"/>
          <c:order val="1"/>
          <c:tx>
            <c:v>Cover</c:v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tample!$G$83:$G$87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xVal>
          <c:yVal>
            <c:numRef>
              <c:f>tample!$H$83:$H$87</c:f>
              <c:numCache>
                <c:formatCode>General</c:formatCode>
                <c:ptCount val="5"/>
                <c:pt idx="0">
                  <c:v>1</c:v>
                </c:pt>
                <c:pt idx="1">
                  <c:v>1.2</c:v>
                </c:pt>
                <c:pt idx="2">
                  <c:v>1.2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BA-4B9C-9AD5-D40ED8F0FCE9}"/>
            </c:ext>
          </c:extLst>
        </c:ser>
        <c:ser>
          <c:idx val="26"/>
          <c:order val="2"/>
          <c:tx>
            <c:v>water</c:v>
          </c:tx>
          <c:spPr>
            <a:ln w="127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tample!$J$83:$J$95</c:f>
              <c:numCache>
                <c:formatCode>General</c:formatCode>
                <c:ptCount val="13"/>
                <c:pt idx="0">
                  <c:v>0.2</c:v>
                </c:pt>
                <c:pt idx="1">
                  <c:v>0.8</c:v>
                </c:pt>
                <c:pt idx="3">
                  <c:v>0.5</c:v>
                </c:pt>
                <c:pt idx="4">
                  <c:v>0.47</c:v>
                </c:pt>
                <c:pt idx="5">
                  <c:v>0.53</c:v>
                </c:pt>
                <c:pt idx="6">
                  <c:v>0.5</c:v>
                </c:pt>
                <c:pt idx="8">
                  <c:v>0.47</c:v>
                </c:pt>
                <c:pt idx="9">
                  <c:v>0.53</c:v>
                </c:pt>
                <c:pt idx="11">
                  <c:v>0.47</c:v>
                </c:pt>
                <c:pt idx="12">
                  <c:v>0.53</c:v>
                </c:pt>
              </c:numCache>
            </c:numRef>
          </c:xVal>
          <c:yVal>
            <c:numRef>
              <c:f>tample!$K$83:$K$95</c:f>
              <c:numCache>
                <c:formatCode>General</c:formatCode>
                <c:ptCount val="13"/>
                <c:pt idx="0">
                  <c:v>0.4</c:v>
                </c:pt>
                <c:pt idx="1">
                  <c:v>0.4</c:v>
                </c:pt>
                <c:pt idx="3">
                  <c:v>0.4</c:v>
                </c:pt>
                <c:pt idx="4">
                  <c:v>0.43000000000000005</c:v>
                </c:pt>
                <c:pt idx="5">
                  <c:v>0.43000000000000005</c:v>
                </c:pt>
                <c:pt idx="6">
                  <c:v>0.4</c:v>
                </c:pt>
                <c:pt idx="8">
                  <c:v>0.37</c:v>
                </c:pt>
                <c:pt idx="9">
                  <c:v>0.37</c:v>
                </c:pt>
                <c:pt idx="11">
                  <c:v>0.34</c:v>
                </c:pt>
                <c:pt idx="12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9DBA-4B9C-9AD5-D40ED8F0FCE9}"/>
            </c:ext>
          </c:extLst>
        </c:ser>
        <c:ser>
          <c:idx val="13"/>
          <c:order val="3"/>
          <c:tx>
            <c:strRef>
              <c:f>tample!$E$32</c:f>
              <c:strCache>
                <c:ptCount val="1"/>
                <c:pt idx="0">
                  <c:v>D16@0.2m</c:v>
                </c:pt>
              </c:strCache>
            </c:strRef>
          </c:tx>
          <c:spPr>
            <a:ln w="1587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2"/>
              <c:layout>
                <c:manualLayout>
                  <c:x val="5.543670634920634E-2"/>
                  <c:y val="0.1259920634920634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954007936507935"/>
                      <c:h val="0.129419047619047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E-9DBA-4B9C-9AD5-D40ED8F0FC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>
                      <a:solidFill>
                        <a:srgbClr val="A6A6A6"/>
                      </a:solidFill>
                    </a:ln>
                  </c:spPr>
                </c15:leaderLines>
              </c:ext>
            </c:extLst>
          </c:dLbls>
          <c:xVal>
            <c:numRef>
              <c:f>tample!$D$122:$D$125</c:f>
              <c:numCache>
                <c:formatCode>General</c:formatCode>
                <c:ptCount val="4"/>
                <c:pt idx="0">
                  <c:v>0.1</c:v>
                </c:pt>
                <c:pt idx="1">
                  <c:v>0.1</c:v>
                </c:pt>
                <c:pt idx="2">
                  <c:v>0.9</c:v>
                </c:pt>
                <c:pt idx="3">
                  <c:v>0.9</c:v>
                </c:pt>
              </c:numCache>
            </c:numRef>
          </c:xVal>
          <c:yVal>
            <c:numRef>
              <c:f>tample!$E$122:$E$125</c:f>
              <c:numCache>
                <c:formatCode>General</c:formatCode>
                <c:ptCount val="4"/>
                <c:pt idx="0">
                  <c:v>1.125</c:v>
                </c:pt>
                <c:pt idx="1">
                  <c:v>0.1</c:v>
                </c:pt>
                <c:pt idx="2">
                  <c:v>0.1</c:v>
                </c:pt>
                <c:pt idx="3">
                  <c:v>1.125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9DBA-4B9C-9AD5-D40ED8F0FCE9}"/>
            </c:ext>
          </c:extLst>
        </c:ser>
        <c:ser>
          <c:idx val="14"/>
          <c:order val="4"/>
          <c:tx>
            <c:v>點筋L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[0]!wallLX</c:f>
              <c:numCache>
                <c:formatCode>General</c:formatCode>
                <c:ptCount val="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</c:numCache>
            </c:numRef>
          </c:xVal>
          <c:yVal>
            <c:numRef>
              <c:f>[0]!wallLY</c:f>
              <c:numCache>
                <c:formatCode>General</c:formatCode>
                <c:ptCount val="4"/>
                <c:pt idx="0">
                  <c:v>0.27500000000000002</c:v>
                </c:pt>
                <c:pt idx="1">
                  <c:v>0.4916666666666667</c:v>
                </c:pt>
                <c:pt idx="2">
                  <c:v>0.70833333333333337</c:v>
                </c:pt>
                <c:pt idx="3">
                  <c:v>0.92500000000000004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DBA-4B9C-9AD5-D40ED8F0FCE9}"/>
            </c:ext>
          </c:extLst>
        </c:ser>
        <c:ser>
          <c:idx val="15"/>
          <c:order val="5"/>
          <c:tx>
            <c:strRef>
              <c:f>tample!$F$32</c:f>
              <c:strCache>
                <c:ptCount val="1"/>
                <c:pt idx="0">
                  <c:v>13-D13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5.0396825396825398E-2"/>
                  <c:y val="0.2116666666666666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9DBA-4B9C-9AD5-D40ED8F0FC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[0]!baseX</c:f>
              <c:numCache>
                <c:formatCode>General</c:formatCode>
                <c:ptCount val="5"/>
                <c:pt idx="0">
                  <c:v>0.1</c:v>
                </c:pt>
                <c:pt idx="1">
                  <c:v>0.30000000000000004</c:v>
                </c:pt>
                <c:pt idx="2">
                  <c:v>0.5</c:v>
                </c:pt>
                <c:pt idx="3">
                  <c:v>0.7</c:v>
                </c:pt>
                <c:pt idx="4">
                  <c:v>0.89999999999999991</c:v>
                </c:pt>
              </c:numCache>
            </c:numRef>
          </c:xVal>
          <c:yVal>
            <c:numRef>
              <c:f>[0]!baseY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9DBA-4B9C-9AD5-D40ED8F0FCE9}"/>
            </c:ext>
          </c:extLst>
        </c:ser>
        <c:ser>
          <c:idx val="16"/>
          <c:order val="6"/>
          <c:tx>
            <c:v>點筋R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[0]!wallRX</c:f>
              <c:numCache>
                <c:formatCode>General</c:formatCode>
                <c:ptCount val="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</c:numCache>
            </c:numRef>
          </c:xVal>
          <c:yVal>
            <c:numRef>
              <c:f>[0]!wallLY</c:f>
              <c:numCache>
                <c:formatCode>General</c:formatCode>
                <c:ptCount val="4"/>
                <c:pt idx="0">
                  <c:v>0.27500000000000002</c:v>
                </c:pt>
                <c:pt idx="1">
                  <c:v>0.4916666666666667</c:v>
                </c:pt>
                <c:pt idx="2">
                  <c:v>0.70833333333333337</c:v>
                </c:pt>
                <c:pt idx="3">
                  <c:v>0.92500000000000004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9DBA-4B9C-9AD5-D40ED8F0FCE9}"/>
            </c:ext>
          </c:extLst>
        </c:ser>
        <c:ser>
          <c:idx val="24"/>
          <c:order val="7"/>
          <c:tx>
            <c:strRef>
              <c:f>tample!$G$32</c:f>
              <c:strCache>
                <c:ptCount val="1"/>
                <c:pt idx="0">
                  <c:v>D16@0.2m</c:v>
                </c:pt>
              </c:strCache>
            </c:strRef>
          </c:tx>
          <c:spPr>
            <a:ln w="15875">
              <a:solidFill>
                <a:schemeClr val="accent2"/>
              </a:solidFill>
            </a:ln>
          </c:spPr>
          <c:marker>
            <c:symbol val="none"/>
          </c:marker>
          <c:dLbls>
            <c:dLbl>
              <c:idx val="1"/>
              <c:layout>
                <c:manualLayout>
                  <c:x val="4.2837301587301549E-2"/>
                  <c:y val="-0.18646825396825401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473809523809517"/>
                      <c:h val="0.129419047619047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5-9DBA-4B9C-9AD5-D40ED8F0FC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tample!$G$122:$G$123</c:f>
              <c:numCache>
                <c:formatCode>General</c:formatCode>
                <c:ptCount val="2"/>
                <c:pt idx="0">
                  <c:v>7.4999999999999997E-2</c:v>
                </c:pt>
                <c:pt idx="1">
                  <c:v>0.92500000000000004</c:v>
                </c:pt>
              </c:numCache>
            </c:numRef>
          </c:xVal>
          <c:yVal>
            <c:numRef>
              <c:f>tample!$H$122:$H$123</c:f>
              <c:numCache>
                <c:formatCode>General</c:formatCode>
                <c:ptCount val="2"/>
                <c:pt idx="0">
                  <c:v>1.0999999999999999</c:v>
                </c:pt>
                <c:pt idx="1">
                  <c:v>1.0999999999999999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9DBA-4B9C-9AD5-D40ED8F0FCE9}"/>
            </c:ext>
          </c:extLst>
        </c:ser>
        <c:ser>
          <c:idx val="25"/>
          <c:order val="8"/>
          <c:tx>
            <c:strRef>
              <c:f>tample!$H$32</c:f>
              <c:strCache>
                <c:ptCount val="1"/>
                <c:pt idx="0">
                  <c:v>5-D13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0.11591269841269841"/>
                  <c:y val="0.12095238095238099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9DBA-4B9C-9AD5-D40ED8F0FC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[0]!baseX</c:f>
              <c:numCache>
                <c:formatCode>General</c:formatCode>
                <c:ptCount val="5"/>
                <c:pt idx="0">
                  <c:v>0.1</c:v>
                </c:pt>
                <c:pt idx="1">
                  <c:v>0.30000000000000004</c:v>
                </c:pt>
                <c:pt idx="2">
                  <c:v>0.5</c:v>
                </c:pt>
                <c:pt idx="3">
                  <c:v>0.7</c:v>
                </c:pt>
                <c:pt idx="4">
                  <c:v>0.89999999999999991</c:v>
                </c:pt>
              </c:numCache>
            </c:numRef>
          </c:xVal>
          <c:yVal>
            <c:numRef>
              <c:f>[0]!coverY</c:f>
              <c:numCache>
                <c:formatCode>General</c:formatCode>
                <c:ptCount val="5"/>
                <c:pt idx="0">
                  <c:v>1.0999999999999999</c:v>
                </c:pt>
                <c:pt idx="1">
                  <c:v>1.0999999999999999</c:v>
                </c:pt>
                <c:pt idx="2">
                  <c:v>1.0999999999999999</c:v>
                </c:pt>
                <c:pt idx="3">
                  <c:v>1.0999999999999999</c:v>
                </c:pt>
                <c:pt idx="4">
                  <c:v>1.0999999999999999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9DBA-4B9C-9AD5-D40ED8F0FCE9}"/>
            </c:ext>
          </c:extLst>
        </c:ser>
        <c:ser>
          <c:idx val="1"/>
          <c:order val="9"/>
          <c:spPr>
            <a:ln w="1270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none"/>
          </c:marker>
          <c:xVal>
            <c:numRef>
              <c:f>tample!$D$99:$D$109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3">
                  <c:v>1</c:v>
                </c:pt>
                <c:pt idx="4">
                  <c:v>1</c:v>
                </c:pt>
                <c:pt idx="6">
                  <c:v>-0.1</c:v>
                </c:pt>
                <c:pt idx="7">
                  <c:v>-0.3</c:v>
                </c:pt>
                <c:pt idx="9">
                  <c:v>-0.1</c:v>
                </c:pt>
                <c:pt idx="10">
                  <c:v>-0.3</c:v>
                </c:pt>
              </c:numCache>
            </c:numRef>
          </c:xVal>
          <c:yVal>
            <c:numRef>
              <c:f>tample!$E$99:$E$109</c:f>
              <c:numCache>
                <c:formatCode>General</c:formatCode>
                <c:ptCount val="11"/>
                <c:pt idx="0">
                  <c:v>-0.1</c:v>
                </c:pt>
                <c:pt idx="1">
                  <c:v>-0.3</c:v>
                </c:pt>
                <c:pt idx="3">
                  <c:v>-0.1</c:v>
                </c:pt>
                <c:pt idx="4">
                  <c:v>-0.3</c:v>
                </c:pt>
                <c:pt idx="6">
                  <c:v>0</c:v>
                </c:pt>
                <c:pt idx="7">
                  <c:v>0</c:v>
                </c:pt>
                <c:pt idx="9">
                  <c:v>1.2</c:v>
                </c:pt>
                <c:pt idx="10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9DBA-4B9C-9AD5-D40ED8F0FCE9}"/>
            </c:ext>
          </c:extLst>
        </c:ser>
        <c:ser>
          <c:idx val="2"/>
          <c:order val="10"/>
          <c:tx>
            <c:v>W</c:v>
          </c:tx>
          <c:spPr>
            <a:ln w="12700">
              <a:solidFill>
                <a:schemeClr val="tx1">
                  <a:lumMod val="75000"/>
                  <a:lumOff val="25000"/>
                </a:schemeClr>
              </a:solidFill>
              <a:headEnd type="arrow"/>
              <a:tailEnd type="arrow"/>
            </a:ln>
          </c:spPr>
          <c:marker>
            <c:symbol val="none"/>
          </c:marker>
          <c:dLbls>
            <c:dLbl>
              <c:idx val="1"/>
              <c:layout>
                <c:manualLayout>
                  <c:x val="-0.30238095238095247"/>
                  <c:y val="-3.0238095238095238E-2"/>
                </c:manualLayout>
              </c:layout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9DBA-4B9C-9AD5-D40ED8F0FC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(tample!$D$99,tample!$F$14)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-0.2</c:v>
              </c:pt>
              <c:pt idx="1">
                <c:v>-0.2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2D-9DBA-4B9C-9AD5-D40ED8F0FCE9}"/>
            </c:ext>
          </c:extLst>
        </c:ser>
        <c:ser>
          <c:idx val="3"/>
          <c:order val="11"/>
          <c:tx>
            <c:v>H</c:v>
          </c:tx>
          <c:spPr>
            <a:ln w="12700">
              <a:solidFill>
                <a:schemeClr val="tx1">
                  <a:lumMod val="75000"/>
                  <a:lumOff val="25000"/>
                </a:schemeClr>
              </a:solidFill>
              <a:headEnd type="arrow"/>
              <a:tailEnd type="arrow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9DBA-4B9C-9AD5-D40ED8F0FCE9}"/>
                </c:ext>
              </c:extLst>
            </c:dLbl>
            <c:dLbl>
              <c:idx val="1"/>
              <c:layout>
                <c:manualLayout>
                  <c:x val="-0.14615079365079364"/>
                  <c:y val="0.29734126984126985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9DBA-4B9C-9AD5-D40ED8F0FC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2"/>
              <c:pt idx="0">
                <c:v>-0.2</c:v>
              </c:pt>
              <c:pt idx="1">
                <c:v>-0.2</c:v>
              </c:pt>
            </c:numLit>
          </c:xVal>
          <c:yVal>
            <c:numRef>
              <c:f>(tample!$E$105,tample!$F$13)</c:f>
              <c:numCache>
                <c:formatCode>General</c:formatCode>
                <c:ptCount val="2"/>
                <c:pt idx="0">
                  <c:v>0</c:v>
                </c:pt>
                <c:pt idx="1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9DBA-4B9C-9AD5-D40ED8F0FCE9}"/>
            </c:ext>
          </c:extLst>
        </c:ser>
        <c:ser>
          <c:idx val="4"/>
          <c:order val="12"/>
          <c:spPr>
            <a:ln w="1270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none"/>
          </c:marker>
          <c:xVal>
            <c:numRef>
              <c:f>tample!$G$99:$G$109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3">
                  <c:v>0.2</c:v>
                </c:pt>
                <c:pt idx="4">
                  <c:v>0.2</c:v>
                </c:pt>
                <c:pt idx="6">
                  <c:v>0.8</c:v>
                </c:pt>
                <c:pt idx="7">
                  <c:v>0.8</c:v>
                </c:pt>
                <c:pt idx="9">
                  <c:v>0</c:v>
                </c:pt>
                <c:pt idx="10">
                  <c:v>0.2</c:v>
                </c:pt>
              </c:numCache>
            </c:numRef>
          </c:xVal>
          <c:yVal>
            <c:numRef>
              <c:f>tample!$H$99:$H$109</c:f>
              <c:numCache>
                <c:formatCode>General</c:formatCode>
                <c:ptCount val="11"/>
                <c:pt idx="0">
                  <c:v>1.3</c:v>
                </c:pt>
                <c:pt idx="1">
                  <c:v>1.5</c:v>
                </c:pt>
                <c:pt idx="3">
                  <c:v>1.3</c:v>
                </c:pt>
                <c:pt idx="4">
                  <c:v>1.5</c:v>
                </c:pt>
                <c:pt idx="6">
                  <c:v>1.3</c:v>
                </c:pt>
                <c:pt idx="7">
                  <c:v>1.5</c:v>
                </c:pt>
                <c:pt idx="9">
                  <c:v>1.4</c:v>
                </c:pt>
                <c:pt idx="10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9DBA-4B9C-9AD5-D40ED8F0FCE9}"/>
            </c:ext>
          </c:extLst>
        </c:ser>
        <c:ser>
          <c:idx val="5"/>
          <c:order val="13"/>
          <c:tx>
            <c:strRef>
              <c:f>tample!$E$18</c:f>
              <c:strCache>
                <c:ptCount val="1"/>
                <c:pt idx="0">
                  <c:v>w1</c:v>
                </c:pt>
              </c:strCache>
            </c:strRef>
          </c:tx>
          <c:spPr>
            <a:ln w="12700">
              <a:solidFill>
                <a:schemeClr val="tx1">
                  <a:lumMod val="75000"/>
                  <a:lumOff val="25000"/>
                </a:schemeClr>
              </a:solidFill>
              <a:headEnd type="arrow"/>
              <a:tailEnd type="arrow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12599206349206349"/>
                  <c:y val="-4.031746031746031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9DBA-4B9C-9AD5-D40ED8F0FCE9}"/>
                </c:ext>
              </c:extLst>
            </c:dLbl>
            <c:dLbl>
              <c:idx val="1"/>
              <c:layout>
                <c:manualLayout>
                  <c:x val="-0.21166666666666667"/>
                  <c:y val="-5.0396825396825398E-2"/>
                </c:manualLayout>
              </c:layout>
              <c:tx>
                <c:strRef>
                  <c:f>tample!$F$18</c:f>
                  <c:strCache>
                    <c:ptCount val="1"/>
                    <c:pt idx="0">
                      <c:v>0.6</c:v>
                    </c:pt>
                  </c:strCache>
                </c:strRef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{6D02BAD3-50E1-462A-9124-E92BB1C3FB2F}</c15:txfldGUID>
                      <c15:f>tample!$F$18</c15:f>
                      <c15:dlblFieldTableCache>
                        <c:ptCount val="1"/>
                        <c:pt idx="0">
                          <c:v>0.6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9DBA-4B9C-9AD5-D40ED8F0FC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(tample!$G$102,tample!$G$105)</c:f>
              <c:numCache>
                <c:formatCode>General</c:formatCode>
                <c:ptCount val="2"/>
                <c:pt idx="0">
                  <c:v>0.2</c:v>
                </c:pt>
                <c:pt idx="1">
                  <c:v>0.8</c:v>
                </c:pt>
              </c:numCache>
            </c:numRef>
          </c:xVal>
          <c:yVal>
            <c:numRef>
              <c:f>tample!$H$108:$H$109</c:f>
              <c:numCache>
                <c:formatCode>General</c:formatCode>
                <c:ptCount val="2"/>
                <c:pt idx="0">
                  <c:v>1.4</c:v>
                </c:pt>
                <c:pt idx="1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9DBA-4B9C-9AD5-D40ED8F0FCE9}"/>
            </c:ext>
          </c:extLst>
        </c:ser>
        <c:ser>
          <c:idx val="6"/>
          <c:order val="14"/>
          <c:spPr>
            <a:ln w="1270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none"/>
          </c:marker>
          <c:dLbls>
            <c:dLbl>
              <c:idx val="13"/>
              <c:layout>
                <c:manualLayout>
                  <c:x val="0"/>
                  <c:y val="4.53571428571427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9DBA-4B9C-9AD5-D40ED8F0FCE9}"/>
                </c:ext>
              </c:extLst>
            </c:dLbl>
            <c:dLbl>
              <c:idx val="16"/>
              <c:layout>
                <c:manualLayout>
                  <c:x val="0"/>
                  <c:y val="4.535714285714286E-2"/>
                </c:manualLayout>
              </c:layout>
              <c:tx>
                <c:strRef>
                  <c:f>tample!$F$15</c:f>
                  <c:strCache>
                    <c:ptCount val="1"/>
                    <c:pt idx="0">
                      <c:v>0.2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{25467D3F-1A4B-4482-882F-3AC7B395497E}</c15:txfldGUID>
                      <c15:f>tample!$F$15</c15:f>
                      <c15:dlblFieldTableCache>
                        <c:ptCount val="1"/>
                        <c:pt idx="0">
                          <c:v>0.2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9DBA-4B9C-9AD5-D40ED8F0FC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tample!$J$99:$J$115</c:f>
              <c:numCache>
                <c:formatCode>General</c:formatCode>
                <c:ptCount val="17"/>
                <c:pt idx="0">
                  <c:v>1.1000000000000001</c:v>
                </c:pt>
                <c:pt idx="1">
                  <c:v>1.3</c:v>
                </c:pt>
                <c:pt idx="3">
                  <c:v>1.1000000000000001</c:v>
                </c:pt>
                <c:pt idx="4">
                  <c:v>1.3</c:v>
                </c:pt>
                <c:pt idx="6">
                  <c:v>1.1000000000000001</c:v>
                </c:pt>
                <c:pt idx="7">
                  <c:v>1.3</c:v>
                </c:pt>
                <c:pt idx="9">
                  <c:v>1.1000000000000001</c:v>
                </c:pt>
                <c:pt idx="10">
                  <c:v>1.3</c:v>
                </c:pt>
                <c:pt idx="12">
                  <c:v>1.2</c:v>
                </c:pt>
                <c:pt idx="13">
                  <c:v>1.2</c:v>
                </c:pt>
                <c:pt idx="15">
                  <c:v>1.2</c:v>
                </c:pt>
                <c:pt idx="16">
                  <c:v>1.2</c:v>
                </c:pt>
              </c:numCache>
            </c:numRef>
          </c:xVal>
          <c:yVal>
            <c:numRef>
              <c:f>tample!$K$99:$K$115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0.2</c:v>
                </c:pt>
                <c:pt idx="4">
                  <c:v>0.2</c:v>
                </c:pt>
                <c:pt idx="6">
                  <c:v>1</c:v>
                </c:pt>
                <c:pt idx="7">
                  <c:v>1</c:v>
                </c:pt>
                <c:pt idx="9">
                  <c:v>1.2</c:v>
                </c:pt>
                <c:pt idx="10">
                  <c:v>1.2</c:v>
                </c:pt>
                <c:pt idx="12">
                  <c:v>0</c:v>
                </c:pt>
                <c:pt idx="13">
                  <c:v>0.2</c:v>
                </c:pt>
                <c:pt idx="15">
                  <c:v>1</c:v>
                </c:pt>
                <c:pt idx="16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9DBA-4B9C-9AD5-D40ED8F0FCE9}"/>
            </c:ext>
          </c:extLst>
        </c:ser>
        <c:ser>
          <c:idx val="7"/>
          <c:order val="15"/>
          <c:tx>
            <c:strRef>
              <c:f>tample!$E$19</c:f>
              <c:strCache>
                <c:ptCount val="1"/>
                <c:pt idx="0">
                  <c:v>D</c:v>
                </c:pt>
              </c:strCache>
            </c:strRef>
          </c:tx>
          <c:spPr>
            <a:ln w="12700">
              <a:solidFill>
                <a:schemeClr val="tx1">
                  <a:lumMod val="75000"/>
                  <a:lumOff val="25000"/>
                </a:schemeClr>
              </a:solidFill>
              <a:headEnd type="arrow"/>
              <a:tailEnd type="arrow"/>
            </a:ln>
          </c:spPr>
          <c:marker>
            <c:symbol val="none"/>
          </c:marker>
          <c:dLbls>
            <c:dLbl>
              <c:idx val="1"/>
              <c:layout>
                <c:manualLayout>
                  <c:x val="-2.0158730158730067E-2"/>
                  <c:y val="0.15623015873015864"/>
                </c:manualLayout>
              </c:layout>
              <c:tx>
                <c:strRef>
                  <c:f>tample!$F$19</c:f>
                  <c:strCache>
                    <c:ptCount val="1"/>
                    <c:pt idx="0">
                      <c:v>0.8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{12B6519B-67D8-4906-B061-893BF58E0588}</c15:txfldGUID>
                      <c15:f>tample!$F$19</c15:f>
                      <c15:dlblFieldTableCache>
                        <c:ptCount val="1"/>
                        <c:pt idx="0">
                          <c:v>0.8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8-9DBA-4B9C-9AD5-D40ED8F0FC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tample!$J$111:$J$112</c:f>
              <c:numCache>
                <c:formatCode>General</c:formatCode>
                <c:ptCount val="2"/>
                <c:pt idx="0">
                  <c:v>1.2</c:v>
                </c:pt>
                <c:pt idx="1">
                  <c:v>1.2</c:v>
                </c:pt>
              </c:numCache>
            </c:numRef>
          </c:xVal>
          <c:yVal>
            <c:numRef>
              <c:f>(tample!$K$112,tample!$K$114)</c:f>
              <c:numCache>
                <c:formatCode>General</c:formatCode>
                <c:ptCount val="2"/>
                <c:pt idx="0">
                  <c:v>0.2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9DBA-4B9C-9AD5-D40ED8F0F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93208"/>
        <c:axId val="579101736"/>
      </c:scatterChart>
      <c:valAx>
        <c:axId val="579093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9101736"/>
        <c:crosses val="autoZero"/>
        <c:crossBetween val="midCat"/>
      </c:valAx>
      <c:valAx>
        <c:axId val="579101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9093208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75000"/>
              <a:lumOff val="25000"/>
            </a:schemeClr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488155</xdr:colOff>
      <xdr:row>8</xdr:row>
      <xdr:rowOff>142870</xdr:rowOff>
    </xdr:from>
    <xdr:to>
      <xdr:col>10</xdr:col>
      <xdr:colOff>582093</xdr:colOff>
      <xdr:row>20</xdr:row>
      <xdr:rowOff>22495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ACE2A5E-3D96-462F-BE5A-5B3EEFE42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488154</xdr:colOff>
      <xdr:row>20</xdr:row>
      <xdr:rowOff>0</xdr:rowOff>
    </xdr:from>
    <xdr:to>
      <xdr:col>10</xdr:col>
      <xdr:colOff>582092</xdr:colOff>
      <xdr:row>21</xdr:row>
      <xdr:rowOff>109968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8D6B5BC-4728-469C-843A-847A1BA11B9B}"/>
            </a:ext>
          </a:extLst>
        </xdr:cNvPr>
        <xdr:cNvSpPr txBox="1"/>
      </xdr:nvSpPr>
      <xdr:spPr>
        <a:xfrm>
          <a:off x="7465217" y="4905375"/>
          <a:ext cx="2880000" cy="36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solidFill>
                <a:schemeClr val="tx1">
                  <a:lumMod val="75000"/>
                  <a:lumOff val="25000"/>
                </a:schemeClr>
              </a:solidFill>
            </a:rPr>
            <a:t>section drawing</a:t>
          </a:r>
          <a:endParaRPr lang="zh-TW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MI\APP\USR\LMC\TPGM\TPGM1\TAIP\WRL\CHISAN\BGT-G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21103;&#32317;1f\&#26412;&#27231;&#30913;&#30879;%20(f)\&#24037;&#26989;&#31649;&#36335;\&#31532;&#19971;&#31449;&#31400;&#20117;\WRL\CHISAN\BGT-G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MI\DATA\WRL\CHISAN\BGT-G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934;&#20729;&#20998;&#26512;&#34920;(1-11)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nyu\&#30928;&#31161;&#24037;&#20316;&#21312;\&#36865;&#23529;&#2193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MI\DATA\CYH\CHISAN\DOC\BGT-GAT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KS47\XLS\ANALYSI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ga\&#26412;&#27231;&#30913;&#30879;%20(d)\Documents%20and%20Settings\administrator\Local%20Settings\Temporary%20Internet%20Files\Content.IE5\IHRSD4BE\My%20Documents\&#12304;&#21335;&#25237;&#24066;&#20844;&#25152;&#12305;\&#33290;&#36039;&#26009;\EXCEL\&#35722;&#26356;&#35373;&#35336;\&#21335;&#25237;&#24066;&#20161;&#21644;&#37324;&#36335;&#38754;&#25490;&#27700;&#28317;&#25913;&#21892;&#24037;&#31243;(&#35722;&#26356;&#35373;&#35336;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\USER1\56&#33457;&#22290;&#26449;&#20116;&#20214;\56-2&#25171;&#37941;&#22353;&#28330;\&#38928;&#31639;&#26360;-&#25171;&#37941;&#22353;&#28330;9403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31168;&#29618;\&#20849;&#29992;\B&#24037;&#31243;&#35373;&#35336;\9803&#27700;&#20445;&#33457;&#34030;&#21271;&#21312;1&#38534;&#25104;\9804&#33622;&#28330;&#19978;&#28216;&#22303;&#30707;&#38450;&#27835;&#24037;&#31243;\XLS\85XLS\853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fl\&#26412;&#27231;&#30913;&#30879;%20(d)\XLS\85XLS\853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test\2004&#27700;&#20445;&#23616;&#19968;&#25152;&#30340;&#21253;&#34993;\2004&#27700;&#20445;&#23616;&#19968;&#25152;&#30340;&#21253;&#34993;\9310&#40179;&#23665;&#28330;4&#20214;\&#29275;&#27396;&#27827;\F-&#27700;&#20445;&#23616;&#38928;&#31639;&#26360;-9301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0061;&#19968;&#23478;&#28304;&#27211;&#33267;&#22826;&#24179;&#23665;\&#20161;&#28580;1k\&#20161;&#28580;1k&#38928;&#31639;&#26360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IC\SYS\WORK\EEE\E050-5\E050-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24037;&#21209;&#35506;\&#27770;&#31639;&#26360;90.04.0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I\86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經費總表"/>
      <sheetName val="分年經費"/>
      <sheetName val="成本明細(方案一)"/>
      <sheetName val="成本明細(方案二)"/>
      <sheetName val="基本單價說明"/>
      <sheetName val="單價分析表(1-11)"/>
      <sheetName val="單價分析表_1_11_"/>
      <sheetName val="B"/>
      <sheetName val="Sheet2"/>
      <sheetName val="_x0000_"/>
      <sheetName val="基本資料表"/>
      <sheetName val="E85D014"/>
      <sheetName val="?"/>
      <sheetName val="投單"/>
      <sheetName val="預算資源統計表"/>
      <sheetName val="預算書10"/>
      <sheetName val="12(31)"/>
      <sheetName val="1(1)"/>
      <sheetName val="1(2)"/>
      <sheetName val="1(3)"/>
      <sheetName val="1(4)"/>
      <sheetName val="1(5)"/>
      <sheetName val="1(6)"/>
      <sheetName val="12(24)"/>
      <sheetName val="12(25)"/>
      <sheetName val="12(26)"/>
      <sheetName val="12(27)"/>
      <sheetName val="12(28)"/>
      <sheetName val="12(29)"/>
      <sheetName val="12(30)"/>
      <sheetName val="單價分析表"/>
      <sheetName val="合約2"/>
      <sheetName val="單價總表"/>
      <sheetName val="工程預算書"/>
      <sheetName val="BGT-GATE"/>
      <sheetName val="右岸"/>
      <sheetName val="左岸"/>
      <sheetName val="左右岸"/>
      <sheetName val="右排"/>
      <sheetName val="左No1"/>
      <sheetName val="左No2"/>
      <sheetName val="合計"/>
      <sheetName val="工程預算書 "/>
      <sheetName val="鋼筋明細表"/>
      <sheetName val="計劃書"/>
      <sheetName val="預算書"/>
      <sheetName val="費率表"/>
      <sheetName val="工料單價表"/>
      <sheetName val="材料單價"/>
      <sheetName val="工程數量計算"/>
      <sheetName val="土石方"/>
      <sheetName val="鋼筋統計表"/>
      <sheetName val="單價分析(包商用)"/>
      <sheetName val="單價分析"/>
      <sheetName val="明細"/>
      <sheetName val="預算明細表"/>
      <sheetName val="資料庫2"/>
      <sheetName val="單價"/>
      <sheetName val="水理計算"/>
      <sheetName val="_"/>
      <sheetName val="項目分析(備用)"/>
      <sheetName val="項目分析"/>
      <sheetName val="數量表"/>
      <sheetName val="總表"/>
      <sheetName val="TYP1"/>
      <sheetName val="預算明細"/>
      <sheetName val="單價分析43-C"/>
      <sheetName val="表"/>
      <sheetName val="計算表"/>
      <sheetName val="預算"/>
      <sheetName val="封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單價分析表(1-11)"/>
      <sheetName val="經費總表"/>
      <sheetName val="分年經費"/>
      <sheetName val="成本明細(方案一)"/>
      <sheetName val="成本明細(方案二)"/>
      <sheetName val="基本單價說明"/>
      <sheetName val="E85D014"/>
      <sheetName val="合約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單價分析表(1-11)"/>
      <sheetName val="經費總表"/>
      <sheetName val="分年經費"/>
      <sheetName val="成本明細(方案一)"/>
      <sheetName val="成本明細(方案二)"/>
      <sheetName val="基本單價說明"/>
      <sheetName val="基本資料表"/>
      <sheetName val="工程預算書"/>
      <sheetName val="預算"/>
      <sheetName val="封面"/>
      <sheetName val="工程預算書 "/>
      <sheetName val="預算明細表"/>
      <sheetName val="單價分析表_1_11_"/>
      <sheetName val="12(31)"/>
      <sheetName val="1(1)"/>
      <sheetName val="1(2)"/>
      <sheetName val="1(3)"/>
      <sheetName val="1(4)"/>
      <sheetName val="1(5)"/>
      <sheetName val="1(6)"/>
      <sheetName val="12(24)"/>
      <sheetName val="12(25)"/>
      <sheetName val="12(26)"/>
      <sheetName val="12(27)"/>
      <sheetName val="12(28)"/>
      <sheetName val="12(29)"/>
      <sheetName val="12(30)"/>
      <sheetName val="單價分析表"/>
      <sheetName val="合約2"/>
      <sheetName val="單價總表"/>
      <sheetName val="BGT-GATE"/>
      <sheetName val="鋼筋明細表"/>
      <sheetName val="計劃書"/>
      <sheetName val="預算書"/>
      <sheetName val="費率表"/>
      <sheetName val="工料單價表"/>
      <sheetName val="材料單價"/>
      <sheetName val="工程數量計算"/>
      <sheetName val="土石方"/>
      <sheetName val="鋼筋統計表"/>
      <sheetName val="預算資源統計表"/>
      <sheetName val="材料表"/>
      <sheetName val="總表"/>
      <sheetName val="基本單價"/>
      <sheetName val="分析資料"/>
      <sheetName val="工程資料"/>
      <sheetName val="進度(日)"/>
      <sheetName val="施工封面"/>
      <sheetName val="0530"/>
      <sheetName val="0531"/>
      <sheetName val="0601"/>
      <sheetName val="0602"/>
      <sheetName val="0603"/>
      <sheetName val="0604"/>
      <sheetName val="0605"/>
      <sheetName val="0606"/>
      <sheetName val="0607"/>
      <sheetName val="0608"/>
      <sheetName val="0609"/>
      <sheetName val="0610"/>
      <sheetName val="0611"/>
      <sheetName val="0612"/>
      <sheetName val="0613"/>
      <sheetName val="0614"/>
      <sheetName val="0615"/>
      <sheetName val="0616"/>
      <sheetName val="0617"/>
      <sheetName val="0618"/>
      <sheetName val="0619"/>
      <sheetName val="0620"/>
      <sheetName val="0621"/>
      <sheetName val="0622ok"/>
      <sheetName val="0623"/>
      <sheetName val="0624"/>
      <sheetName val="0625"/>
      <sheetName val="0626"/>
      <sheetName val="0627"/>
      <sheetName val="0628"/>
      <sheetName val="0629"/>
      <sheetName val="0630"/>
      <sheetName val="0701"/>
      <sheetName val="0702"/>
      <sheetName val="0703"/>
      <sheetName val="0704"/>
      <sheetName val="0705"/>
      <sheetName val="0706"/>
      <sheetName val="0707"/>
      <sheetName val="0708"/>
      <sheetName val="0709"/>
      <sheetName val="0710"/>
      <sheetName val="0711"/>
      <sheetName val="0712"/>
      <sheetName val="0713"/>
      <sheetName val="0714"/>
      <sheetName val="0715"/>
      <sheetName val="0716"/>
      <sheetName val="0717"/>
      <sheetName val="0718"/>
      <sheetName val="0719"/>
      <sheetName val="0720"/>
      <sheetName val="0721"/>
      <sheetName val="0722"/>
      <sheetName val="0723"/>
      <sheetName val="0724"/>
      <sheetName val="0725"/>
      <sheetName val="0726"/>
      <sheetName val="0727"/>
      <sheetName val="0728"/>
      <sheetName val="0729"/>
      <sheetName val="0730"/>
      <sheetName val="0731"/>
      <sheetName val="0801"/>
      <sheetName val="0802"/>
      <sheetName val="0803"/>
      <sheetName val="0804"/>
      <sheetName val="0805"/>
      <sheetName val="0806"/>
      <sheetName val="0807"/>
      <sheetName val="0808"/>
      <sheetName val="0809"/>
      <sheetName val="0810"/>
      <sheetName val="0811"/>
      <sheetName val="0812"/>
      <sheetName val="0813"/>
      <sheetName val="0814"/>
      <sheetName val="0815"/>
      <sheetName val="0816"/>
      <sheetName val="0817"/>
      <sheetName val="0818"/>
      <sheetName val="0819"/>
      <sheetName val="0820"/>
      <sheetName val="0821"/>
      <sheetName val="0822"/>
      <sheetName val="0823"/>
      <sheetName val="0824"/>
      <sheetName val="0825"/>
      <sheetName val="0826"/>
      <sheetName val="0827"/>
      <sheetName val="0828"/>
      <sheetName val="0829"/>
      <sheetName val="0830"/>
      <sheetName val="0831"/>
      <sheetName val="0901"/>
      <sheetName val="0902"/>
      <sheetName val="0903"/>
      <sheetName val="0904"/>
      <sheetName val="0905"/>
      <sheetName val="0906"/>
      <sheetName val="0907"/>
      <sheetName val="0908"/>
      <sheetName val="資料庫日"/>
      <sheetName val="各部完成"/>
      <sheetName val="坍度"/>
      <sheetName val="Sheet2"/>
      <sheetName val="工程預算書_"/>
      <sheetName val="資料庫"/>
      <sheetName val="RCP規格表"/>
      <sheetName val="變更明細表(處) "/>
      <sheetName val="DATA"/>
      <sheetName val="右岸"/>
      <sheetName val="左岸"/>
      <sheetName val="左右岸"/>
      <sheetName val="右排"/>
      <sheetName val="左No1"/>
      <sheetName val="左No2"/>
      <sheetName val="合計"/>
      <sheetName val="_x0000_"/>
      <sheetName val="進度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單價分析表(1-11)"/>
      <sheetName val="單價分析表_1_11_"/>
      <sheetName val="工程預算書"/>
      <sheetName val="基本資料"/>
      <sheetName val="初稿審查意見處理表"/>
      <sheetName val="初稿審核單"/>
      <sheetName val="封面"/>
      <sheetName val="工程計畫說明書"/>
      <sheetName val="預算書總表"/>
      <sheetName val="主體工程費"/>
      <sheetName val="雜項工程費"/>
      <sheetName val="環境保護措施費"/>
      <sheetName val="品質檢驗費"/>
      <sheetName val="勞工安全衛生費"/>
      <sheetName val="單價分析表1"/>
      <sheetName val="單價分析表2"/>
      <sheetName val="單價分析表3 "/>
      <sheetName val="單價分析表4"/>
      <sheetName val="單價分析表5"/>
      <sheetName val="單價分析表6"/>
      <sheetName val="單價計算表"/>
      <sheetName val="工程數量總表A4"/>
      <sheetName val="數量計算表"/>
      <sheetName val="土石方計算表"/>
      <sheetName val="計算空污費表"/>
      <sheetName val="空污費"/>
      <sheetName val="工期分析表"/>
      <sheetName val="預定進度表"/>
      <sheetName val="注意事項"/>
      <sheetName val="施工補充說明書封面"/>
      <sheetName val="剩餘土石方運棄計畫表"/>
      <sheetName val="各處所地點"/>
      <sheetName val="單價分析表"/>
      <sheetName val="材料表"/>
      <sheetName val="預算明細表"/>
      <sheetName val="工程計算表"/>
      <sheetName val="U型溝暗溝 (0.6X1.3)"/>
      <sheetName val="資料庫"/>
      <sheetName val="修改"/>
      <sheetName val="數量"/>
      <sheetName val="單價"/>
      <sheetName val="發包檔"/>
      <sheetName val="Sheet1"/>
      <sheetName val="計1"/>
      <sheetName val="分析表"/>
      <sheetName val="預算書"/>
      <sheetName val="時價表"/>
      <sheetName val="合約2"/>
      <sheetName val="cant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料庫"/>
      <sheetName val="審查意見及回覆表"/>
      <sheetName val="審查意見"/>
      <sheetName val="照片"/>
      <sheetName val="封面"/>
      <sheetName val="計劃說明書"/>
      <sheetName val="工程預算書 "/>
      <sheetName val="單價分析表 "/>
      <sheetName val="工程計算表"/>
      <sheetName val="土石方數量計算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單價分析表(1-11)"/>
      <sheetName val="單價分析表_1_11_"/>
      <sheetName val="12(31)"/>
      <sheetName val="1(1)"/>
      <sheetName val="1(2)"/>
      <sheetName val="1(3)"/>
      <sheetName val="1(4)"/>
      <sheetName val="1(5)"/>
      <sheetName val="1(6)"/>
      <sheetName val="12(24)"/>
      <sheetName val="12(25)"/>
      <sheetName val="12(26)"/>
      <sheetName val="12(27)"/>
      <sheetName val="12(28)"/>
      <sheetName val="12(29)"/>
      <sheetName val="12(30)"/>
      <sheetName val="單價分析表"/>
      <sheetName val="合約2"/>
      <sheetName val="單價總表"/>
      <sheetName val="工程預算書"/>
      <sheetName val="經費總表"/>
      <sheetName val="分年經費"/>
      <sheetName val="成本明細(方案一)"/>
      <sheetName val="成本明細(方案二)"/>
      <sheetName val="基本單價說明"/>
      <sheetName val="BGT-GATE"/>
      <sheetName val="基本資料表"/>
      <sheetName val="工程預算書 "/>
      <sheetName val="鋼筋明細表"/>
      <sheetName val="計劃書"/>
      <sheetName val="預算書"/>
      <sheetName val="費率表"/>
      <sheetName val="工料單價表"/>
      <sheetName val="材料單價"/>
      <sheetName val="工程數量計算"/>
      <sheetName val="土石方"/>
      <sheetName val="鋼筋統計表"/>
      <sheetName val="Sheet2"/>
      <sheetName val="Sheet1"/>
      <sheetName val="材料表"/>
      <sheetName val="預算明細表"/>
      <sheetName val="項目分析(備用)"/>
      <sheetName val="項目分析"/>
      <sheetName val="A6-面積數量計算表"/>
      <sheetName val="A7體積數量計算表"/>
      <sheetName val="資料庫"/>
      <sheetName val="C"/>
      <sheetName val="單價表"/>
      <sheetName val="數量表"/>
      <sheetName val="發包檔"/>
      <sheetName val="計算工作表"/>
      <sheetName val="預算明細"/>
      <sheetName val="右岸"/>
      <sheetName val="左岸"/>
      <sheetName val="左右岸"/>
      <sheetName val="右排"/>
      <sheetName val="左No1"/>
      <sheetName val="左No2"/>
      <sheetName val="合計"/>
      <sheetName val="預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工程預算書 "/>
      <sheetName val="數量表(變更)"/>
      <sheetName val="Sheet2"/>
      <sheetName val="ANALYSIS.XLS"/>
      <sheetName val="工程預算表"/>
      <sheetName val="總"/>
      <sheetName val="開工報告書(橫章)"/>
      <sheetName val="工程完工報告書"/>
      <sheetName val="監造日報表封面"/>
      <sheetName val="監造日報表 (1)"/>
      <sheetName val="監造日報表"/>
      <sheetName val="監造日報表 (2)"/>
      <sheetName val="監造日報表 (3)"/>
      <sheetName val="監造日報表 (4)"/>
      <sheetName val="結算書封面(橫章)"/>
      <sheetName val="工程驗收單"/>
      <sheetName val="結算明細總表"/>
      <sheetName val="基本資料"/>
      <sheetName val="初稿審查意見處理表"/>
      <sheetName val="初稿審核單"/>
      <sheetName val="封面"/>
      <sheetName val="工程計畫說明書"/>
      <sheetName val="預算書總表"/>
      <sheetName val="主體工程費"/>
      <sheetName val="雜項工程費"/>
      <sheetName val="環境保護措施費"/>
      <sheetName val="品質檢驗費"/>
      <sheetName val="勞工安全衛生費"/>
      <sheetName val="單價分析表1"/>
      <sheetName val="單價分析表2"/>
      <sheetName val="單價分析表3 "/>
      <sheetName val="單價分析表4"/>
      <sheetName val="單價分析表5"/>
      <sheetName val="單價分析表6"/>
      <sheetName val="單價計算表"/>
      <sheetName val="工程數量總表A4"/>
      <sheetName val="數量計算表"/>
      <sheetName val="土石方計算表"/>
      <sheetName val="計算空污費表"/>
      <sheetName val="空污費"/>
      <sheetName val="工期分析表"/>
      <sheetName val="預定進度表"/>
      <sheetName val="注意事項"/>
      <sheetName val="施工補充說明書封面"/>
      <sheetName val="剩餘土石方運棄計畫表"/>
      <sheetName val="各處所地點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變更 (3)"/>
      <sheetName val="變更 (2)"/>
      <sheetName val="工程預算書  (2)"/>
      <sheetName val="數量計算表"/>
      <sheetName val="數量計算表 (2)"/>
      <sheetName val="資料庫"/>
      <sheetName val="變更"/>
      <sheetName val="工程預算書 "/>
      <sheetName val="工程計算表"/>
      <sheetName val="施工預算書"/>
      <sheetName val="封面 "/>
      <sheetName val="單價分析表(1-11)"/>
      <sheetName val="南投市仁和里路面排水溝改善工程(變更設計)"/>
      <sheetName val="預算書10"/>
      <sheetName val="預算"/>
      <sheetName val="基本單價"/>
      <sheetName val="E85D014"/>
      <sheetName val="Sheet2"/>
      <sheetName val="TYP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封面 "/>
      <sheetName val="02簽證"/>
      <sheetName val="03工程位置圖"/>
      <sheetName val="04說明書"/>
      <sheetName val="05進度表"/>
      <sheetName val="06總表"/>
      <sheetName val="07詳細表"/>
      <sheetName val="08基本單價"/>
      <sheetName val="09單價分析表"/>
      <sheetName val="09單價分析表 (2)"/>
      <sheetName val="10-1土方計算表甲"/>
      <sheetName val="10-3數量計算表丙"/>
      <sheetName val="10-4數量計算附表丁"/>
      <sheetName val="11水理計算一般"/>
      <sheetName val="14施工規範"/>
      <sheetName val="預算資源統計表"/>
      <sheetName val="單價分析表"/>
      <sheetName val="input"/>
      <sheetName val="第一次審查表"/>
      <sheetName val="分析資料"/>
      <sheetName val="單價總表"/>
      <sheetName val="基本單價"/>
      <sheetName val="費率"/>
      <sheetName val="第一次審查表 (2)"/>
      <sheetName val="工程預算書 "/>
      <sheetName val="單價分析表(1-1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計畫說明書"/>
      <sheetName val="工程預算書1"/>
      <sheetName val="工程預算書2"/>
      <sheetName val="1.挖方 , 回填方"/>
      <sheetName val="3.遠運棄方,填碎石級配"/>
      <sheetName val="5.水泥砂漿,210混凝土"/>
      <sheetName val="7.140 混凝土.鋼筋"/>
      <sheetName val="9.甲種模板,舖底基礎"/>
      <sheetName val="11,洗石子斬假石"/>
      <sheetName val="13.鑄鐵蓋,基地遷移"/>
      <sheetName val="15.U型集水溝,明溝加蓋"/>
      <sheetName val="17.集水井.景觀護坡"/>
      <sheetName val="19.紐澤西護欄.擋土牆"/>
      <sheetName val="21.圓形花臺 ,浪型花臺"/>
      <sheetName val="23.不鏽鋼欄杆"/>
      <sheetName val=" 計算表1"/>
      <sheetName val="預算書1"/>
      <sheetName val="預算書2 (2)"/>
      <sheetName val="預算書3 (2)"/>
      <sheetName val="1.放樣,挖土方"/>
      <sheetName val="3.回填方.回填級配料"/>
      <sheetName val="5.運棄方,2000混凝土"/>
      <sheetName val="7夯排卵石,砌磚"/>
      <sheetName val="9.砌玻璃磚,3000混凝土"/>
      <sheetName val="11.普通模板,鋼筋加工組立"/>
      <sheetName val="13.壁磚,地磚"/>
      <sheetName val="15.止滑地磚,大理石片"/>
      <sheetName val="17.滑地磚,油性水漆"/>
      <sheetName val="19.防水粉刷,樹脂"/>
      <sheetName val="21.恩德霖魚鱗片.粗飾"/>
      <sheetName val="23.陰井"/>
      <sheetName val="25.排水溝"/>
      <sheetName val="27.砌花台牆.導盲磚"/>
      <sheetName val="29.鋼管鷹架"/>
      <sheetName val="工程預算書1 (2)"/>
      <sheetName val="預算書2"/>
      <sheetName val="預算書3"/>
      <sheetName val="預算書4"/>
      <sheetName val="預算書5"/>
      <sheetName val="預算書6"/>
      <sheetName val="預算書7"/>
      <sheetName val="預算書8"/>
      <sheetName val="預算書9"/>
      <sheetName val="預算書10"/>
      <sheetName val="37擋土牆.休憩亭"/>
      <sheetName val="舖設透層,密級配瀝青混凝土面層 "/>
      <sheetName val="19.AC,花岡石板舖面"/>
      <sheetName val="21.漿砌花岡石.高壓混凝土"/>
      <sheetName val="23.黃木紋石,步石"/>
      <sheetName val="25.景觀花台,導盲磚"/>
      <sheetName val="31.花岡石牆板,人行道"/>
      <sheetName val="33.步道階梯,景石(1)"/>
      <sheetName val="39. 配電控制"/>
      <sheetName val="41..導線埋設,100W-1"/>
      <sheetName val="43.景觀庭園燈60-1,60-5 (3)"/>
      <sheetName val="1.挖方.回填方"/>
      <sheetName val="3.遠運棄方.填碎石級配"/>
      <sheetName val="5.水泥砂漿.210混凝土"/>
      <sheetName val="11.洗石子.斬假石"/>
      <sheetName val="13.鑄鐵蓋.基地遷移"/>
      <sheetName val="15.U型集水溝.明溝加蓋"/>
      <sheetName val="21.圓形花臺.浪型花臺"/>
      <sheetName val="1.放樣.挖土方"/>
      <sheetName val="5.運棄方.2000混凝土"/>
      <sheetName val="7.夯排卵石.砌磚"/>
      <sheetName val="9.砌玻璃磚.3000混凝土"/>
      <sheetName val="11.普通模板.鋼筋加工組立"/>
      <sheetName val="13.壁磚.地磚"/>
      <sheetName val="15.止滑地磚.大理石片"/>
      <sheetName val="17.滑地磚.油性水漆"/>
      <sheetName val="19.防水粉刷.樹脂"/>
      <sheetName val="21恩德霖魚鱗片.粗飾"/>
      <sheetName val="工程預算書 "/>
      <sheetName val="預算資源統計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計畫說明書"/>
      <sheetName val="工程預算書1"/>
      <sheetName val="工程預算書2"/>
      <sheetName val="1.挖方 , 回填方"/>
      <sheetName val="3.遠運棄方,填碎石級配"/>
      <sheetName val="5.水泥砂漿,210混凝土"/>
      <sheetName val="7.140 混凝土.鋼筋"/>
      <sheetName val="9.甲種模板,舖底基礎"/>
      <sheetName val="11,洗石子斬假石"/>
      <sheetName val="13.鑄鐵蓋,基地遷移"/>
      <sheetName val="15.U型集水溝,明溝加蓋"/>
      <sheetName val="17.集水井.景觀護坡"/>
      <sheetName val="19.紐澤西護欄.擋土牆"/>
      <sheetName val="21.圓形花臺 ,浪型花臺"/>
      <sheetName val="23.不鏽鋼欄杆"/>
      <sheetName val=" 計算表1"/>
      <sheetName val="預算書1"/>
      <sheetName val="預算書2 (2)"/>
      <sheetName val="預算書3 (2)"/>
      <sheetName val="1.放樣,挖土方"/>
      <sheetName val="3.回填方.回填級配料"/>
      <sheetName val="5.運棄方,2000混凝土"/>
      <sheetName val="7夯排卵石,砌磚"/>
      <sheetName val="9.砌玻璃磚,3000混凝土"/>
      <sheetName val="11.普通模板,鋼筋加工組立"/>
      <sheetName val="13.壁磚,地磚"/>
      <sheetName val="15.止滑地磚,大理石片"/>
      <sheetName val="17.滑地磚,油性水漆"/>
      <sheetName val="19.防水粉刷,樹脂"/>
      <sheetName val="21.恩德霖魚鱗片.粗飾"/>
      <sheetName val="23.陰井"/>
      <sheetName val="25.排水溝"/>
      <sheetName val="27.砌花台牆.導盲磚"/>
      <sheetName val="29.鋼管鷹架"/>
      <sheetName val="工程預算書1 (2)"/>
      <sheetName val="預算書2"/>
      <sheetName val="預算書3"/>
      <sheetName val="預算書4"/>
      <sheetName val="預算書5"/>
      <sheetName val="預算書6"/>
      <sheetName val="預算書7"/>
      <sheetName val="預算書8"/>
      <sheetName val="預算書9"/>
      <sheetName val="預算書10"/>
      <sheetName val="37擋土牆.休憩亭"/>
      <sheetName val="舖設透層,密級配瀝青混凝土面層 "/>
      <sheetName val="19.AC,花岡石板舖面"/>
      <sheetName val="21.漿砌花岡石.高壓混凝土"/>
      <sheetName val="23.黃木紋石,步石"/>
      <sheetName val="25.景觀花台,導盲磚"/>
      <sheetName val="31.花岡石牆板,人行道"/>
      <sheetName val="33.步道階梯,景石(1)"/>
      <sheetName val="39. 配電控制"/>
      <sheetName val="41..導線埋設,100W-1"/>
      <sheetName val="43.景觀庭園燈60-1,60-5 (3)"/>
      <sheetName val="1.挖方.回填方"/>
      <sheetName val="3.遠運棄方.填碎石級配"/>
      <sheetName val="5.水泥砂漿.210混凝土"/>
      <sheetName val="11.洗石子.斬假石"/>
      <sheetName val="13.鑄鐵蓋.基地遷移"/>
      <sheetName val="15.U型集水溝.明溝加蓋"/>
      <sheetName val="21.圓形花臺.浪型花臺"/>
      <sheetName val="1.放樣.挖土方"/>
      <sheetName val="5.運棄方.2000混凝土"/>
      <sheetName val="7.夯排卵石.砌磚"/>
      <sheetName val="9.砌玻璃磚.3000混凝土"/>
      <sheetName val="11.普通模板.鋼筋加工組立"/>
      <sheetName val="13.壁磚.地磚"/>
      <sheetName val="15.止滑地磚.大理石片"/>
      <sheetName val="17.滑地磚.油性水漆"/>
      <sheetName val="19.防水粉刷.樹脂"/>
      <sheetName val="21恩德霖魚鱗片.粗飾"/>
      <sheetName val="27.砌花台癆Ú導盲磚"/>
      <sheetName val="工程預算書 "/>
      <sheetName val="計算表a1"/>
      <sheetName val="單價總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審查表"/>
      <sheetName val="施工預計進度"/>
      <sheetName val="設計核章"/>
      <sheetName val="預算封面 "/>
      <sheetName val="數量表甲"/>
      <sheetName val="數量附表"/>
      <sheetName val="數量表"/>
      <sheetName val="施工計畫書"/>
      <sheetName val="input"/>
      <sheetName val="單價計算"/>
      <sheetName val="單價分析表"/>
      <sheetName val="預算書"/>
      <sheetName val="估價單1"/>
      <sheetName val="估價單2"/>
      <sheetName val="合約1"/>
      <sheetName val="合約2"/>
      <sheetName val="變更"/>
      <sheetName val="估驗"/>
      <sheetName val="結算"/>
      <sheetName val="分析資料"/>
      <sheetName val="單價總表"/>
      <sheetName val="基本單價"/>
      <sheetName val="費率"/>
      <sheetName val="單價分析"/>
      <sheetName val="預算書10"/>
      <sheetName val="鋼筋計算(環村擋牆4.5-409)"/>
      <sheetName val="工程預算書 "/>
      <sheetName val="內容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預算表"/>
      <sheetName val="發包預算明細"/>
      <sheetName val="單價分析(包商用)"/>
      <sheetName val="和平標價清單"/>
      <sheetName val="預算明細 "/>
      <sheetName val="數量計算表 "/>
      <sheetName val="單價分析"/>
      <sheetName val="0K+150岩方"/>
      <sheetName val="1K土方"/>
      <sheetName val="碎"/>
      <sheetName val="床"/>
      <sheetName val="床 (2)"/>
      <sheetName val="R"/>
      <sheetName val="模鋼"/>
      <sheetName val="AC標"/>
      <sheetName val="護坡"/>
      <sheetName val="結算明細"/>
      <sheetName val="結算驗收"/>
      <sheetName val="決算明細"/>
      <sheetName val="決算表"/>
      <sheetName val="單價"/>
      <sheetName val="保證金"/>
      <sheetName val="數量計算表"/>
      <sheetName val="數量計算表 (2)"/>
      <sheetName val="竣工數量計算"/>
      <sheetName val="竣工數量明細"/>
      <sheetName val="竣工土石方"/>
      <sheetName val="工程估價單(新增)"/>
      <sheetName val="進度表"/>
      <sheetName val="增減預算表"/>
      <sheetName val="增減明細(包商)"/>
      <sheetName val="增減明細"/>
      <sheetName val="估驗(1)"/>
      <sheetName val="估驗(2)"/>
      <sheetName val="估驗(3)"/>
      <sheetName val="請款單(1)"/>
      <sheetName val="請款單(2)"/>
      <sheetName val="請款單(3)"/>
      <sheetName val="付款表(1)"/>
      <sheetName val="付款表(2)"/>
      <sheetName val="付款表(3)"/>
      <sheetName val="付款表(4)"/>
      <sheetName val="工程預算書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封面 (2)"/>
      <sheetName val="預1"/>
      <sheetName val="預2"/>
      <sheetName val="單1"/>
      <sheetName val="單2"/>
      <sheetName val="單3"/>
      <sheetName val="單4"/>
      <sheetName val="單5"/>
      <sheetName val="單6"/>
      <sheetName val="單7"/>
      <sheetName val="統1"/>
      <sheetName val="計1"/>
      <sheetName val="Sheet2"/>
      <sheetName val="基本單價"/>
      <sheetName val="工程預算書 "/>
      <sheetName val="單價總表"/>
      <sheetName val="單價"/>
      <sheetName val="預算書10"/>
      <sheetName val="預算明細表"/>
    </sheetNames>
    <sheetDataSet>
      <sheetData sheetId="0" refreshError="1"/>
      <sheetData sheetId="1" refreshError="1"/>
      <sheetData sheetId="2" refreshError="1"/>
      <sheetData sheetId="3" refreshError="1">
        <row r="8">
          <cell r="A8">
            <v>1</v>
          </cell>
        </row>
        <row r="9">
          <cell r="A9">
            <v>2</v>
          </cell>
        </row>
        <row r="10">
          <cell r="A10">
            <v>3</v>
          </cell>
        </row>
        <row r="11">
          <cell r="A11">
            <v>4</v>
          </cell>
        </row>
        <row r="12">
          <cell r="A12">
            <v>5</v>
          </cell>
        </row>
        <row r="13">
          <cell r="A13">
            <v>6</v>
          </cell>
        </row>
        <row r="14">
          <cell r="A14">
            <v>7</v>
          </cell>
        </row>
        <row r="15">
          <cell r="A15">
            <v>8</v>
          </cell>
        </row>
        <row r="16">
          <cell r="A16">
            <v>9</v>
          </cell>
        </row>
        <row r="17">
          <cell r="A17">
            <v>10</v>
          </cell>
        </row>
        <row r="18">
          <cell r="A18">
            <v>11</v>
          </cell>
        </row>
        <row r="19">
          <cell r="A19">
            <v>12</v>
          </cell>
        </row>
        <row r="20">
          <cell r="A20">
            <v>13</v>
          </cell>
        </row>
        <row r="21">
          <cell r="A21">
            <v>14</v>
          </cell>
        </row>
        <row r="22">
          <cell r="A22">
            <v>15</v>
          </cell>
        </row>
        <row r="23">
          <cell r="A23">
            <v>16</v>
          </cell>
        </row>
        <row r="24">
          <cell r="A24">
            <v>17</v>
          </cell>
        </row>
        <row r="25">
          <cell r="A25">
            <v>18</v>
          </cell>
        </row>
        <row r="26">
          <cell r="A26">
            <v>19</v>
          </cell>
        </row>
        <row r="27">
          <cell r="A27">
            <v>20</v>
          </cell>
        </row>
        <row r="28">
          <cell r="A28">
            <v>21</v>
          </cell>
        </row>
        <row r="29">
          <cell r="A29">
            <v>22</v>
          </cell>
        </row>
        <row r="30">
          <cell r="A30">
            <v>23</v>
          </cell>
        </row>
        <row r="31">
          <cell r="A31">
            <v>24</v>
          </cell>
        </row>
        <row r="32">
          <cell r="A32">
            <v>25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結算數量計算表 (新) "/>
      <sheetName val="工程決算表"/>
      <sheetName val="結算明細-1"/>
      <sheetName val="結算明細總表"/>
      <sheetName val="完工計價單 "/>
      <sheetName val="工程預算書 "/>
      <sheetName val="結算明細表"/>
      <sheetName val="Sheet2"/>
      <sheetName val="結算數量計算表_(新)_"/>
      <sheetName val="完工計價單_"/>
      <sheetName val="預2"/>
      <sheetName val="單價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預算書"/>
      <sheetName val="單價分析表"/>
      <sheetName val="工程預算書 "/>
      <sheetName val="完工計價單 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785-5193-44D4-A2AD-86A019E72022}">
  <dimension ref="A2:U170"/>
  <sheetViews>
    <sheetView showGridLines="0" tabSelected="1" view="pageBreakPreview" zoomScale="80" zoomScaleNormal="80" zoomScaleSheetLayoutView="80" workbookViewId="0">
      <selection activeCell="H49" sqref="H49"/>
    </sheetView>
  </sheetViews>
  <sheetFormatPr defaultRowHeight="15.75" x14ac:dyDescent="0.25"/>
  <cols>
    <col min="1" max="1" width="2.77734375" style="13" customWidth="1"/>
    <col min="2" max="2" width="4.44140625" style="2" customWidth="1"/>
    <col min="3" max="3" width="30.77734375" style="2" customWidth="1"/>
    <col min="4" max="10" width="10.77734375" style="2" customWidth="1"/>
    <col min="11" max="11" width="10.77734375" style="1" customWidth="1"/>
    <col min="12" max="12" width="2.77734375" style="13" customWidth="1"/>
    <col min="13" max="18" width="8.88671875" style="1"/>
    <col min="19" max="19" width="12.33203125" style="1" customWidth="1"/>
    <col min="20" max="20" width="2.109375" style="1" customWidth="1"/>
    <col min="21" max="16384" width="8.88671875" style="13"/>
  </cols>
  <sheetData>
    <row r="2" spans="1:20" ht="39.950000000000003" customHeight="1" x14ac:dyDescent="0.3">
      <c r="B2" s="47"/>
      <c r="C2" s="48" t="s">
        <v>95</v>
      </c>
      <c r="D2" s="47"/>
      <c r="E2" s="47"/>
      <c r="F2" s="47"/>
      <c r="G2" s="47"/>
      <c r="H2" s="49"/>
      <c r="I2" s="49"/>
      <c r="J2" s="49"/>
      <c r="K2" s="60" t="s">
        <v>108</v>
      </c>
      <c r="T2" s="6"/>
    </row>
    <row r="4" spans="1:20" s="16" customFormat="1" ht="20.100000000000001" customHeight="1" x14ac:dyDescent="0.25">
      <c r="B4" s="66" t="s">
        <v>3</v>
      </c>
      <c r="C4" s="66" t="s">
        <v>43</v>
      </c>
      <c r="D4" s="4"/>
      <c r="E4" s="4"/>
      <c r="F4" s="4"/>
      <c r="G4" s="4"/>
      <c r="H4" s="4"/>
      <c r="I4" s="4"/>
      <c r="J4" s="4"/>
    </row>
    <row r="5" spans="1:20" ht="20.100000000000001" customHeight="1" thickBot="1" x14ac:dyDescent="0.35">
      <c r="C5" s="35" t="s">
        <v>15</v>
      </c>
      <c r="D5" s="35" t="s">
        <v>33</v>
      </c>
      <c r="E5" s="35" t="s">
        <v>34</v>
      </c>
      <c r="I5" s="62" t="s">
        <v>103</v>
      </c>
      <c r="J5" s="63" t="str">
        <f>TEXT(ROUND(I51/$D$6,-2),"?,???")&amp;" NT"</f>
        <v>6,500 NT</v>
      </c>
      <c r="K5" s="2"/>
      <c r="T5" s="6"/>
    </row>
    <row r="6" spans="1:20" ht="20.100000000000001" customHeight="1" x14ac:dyDescent="0.25">
      <c r="C6" s="37" t="s">
        <v>44</v>
      </c>
      <c r="D6" s="69">
        <v>50</v>
      </c>
      <c r="E6" s="38" t="s">
        <v>0</v>
      </c>
      <c r="K6" s="2"/>
      <c r="T6" s="6"/>
    </row>
    <row r="7" spans="1:20" ht="20.100000000000001" customHeight="1" x14ac:dyDescent="0.25">
      <c r="C7" s="39" t="s">
        <v>75</v>
      </c>
      <c r="D7" s="70">
        <v>5</v>
      </c>
      <c r="E7" s="40" t="s">
        <v>0</v>
      </c>
      <c r="F7" s="13"/>
    </row>
    <row r="8" spans="1:20" ht="20.100000000000001" customHeight="1" x14ac:dyDescent="0.25">
      <c r="C8" s="39" t="s">
        <v>45</v>
      </c>
      <c r="D8" s="70">
        <v>20</v>
      </c>
      <c r="E8" s="40" t="s">
        <v>0</v>
      </c>
      <c r="F8" s="13"/>
    </row>
    <row r="9" spans="1:20" ht="20.100000000000001" customHeight="1" x14ac:dyDescent="0.25">
      <c r="C9" s="75"/>
      <c r="D9" s="76"/>
      <c r="E9" s="76"/>
      <c r="F9" s="13"/>
    </row>
    <row r="10" spans="1:20" ht="20.100000000000001" customHeight="1" x14ac:dyDescent="0.25"/>
    <row r="11" spans="1:20" s="16" customFormat="1" ht="20.100000000000001" customHeight="1" x14ac:dyDescent="0.25">
      <c r="A11" s="67"/>
      <c r="B11" s="66" t="s">
        <v>13</v>
      </c>
      <c r="C11" s="66" t="s">
        <v>109</v>
      </c>
      <c r="D11" s="4"/>
      <c r="E11" s="4"/>
      <c r="F11" s="4"/>
      <c r="G11" s="4"/>
      <c r="H11" s="4"/>
      <c r="I11" s="4"/>
      <c r="J11" s="4"/>
    </row>
    <row r="12" spans="1:20" ht="20.100000000000001" customHeight="1" thickBot="1" x14ac:dyDescent="0.3">
      <c r="C12" s="35" t="s">
        <v>15</v>
      </c>
      <c r="D12" s="35" t="s">
        <v>34</v>
      </c>
      <c r="E12" s="35" t="s">
        <v>36</v>
      </c>
      <c r="F12" s="35" t="s">
        <v>33</v>
      </c>
      <c r="G12" s="35" t="s">
        <v>35</v>
      </c>
      <c r="K12" s="2"/>
      <c r="T12" s="6"/>
    </row>
    <row r="13" spans="1:20" ht="20.100000000000001" customHeight="1" x14ac:dyDescent="0.25">
      <c r="B13" s="14"/>
      <c r="C13" s="37" t="s">
        <v>29</v>
      </c>
      <c r="D13" s="41" t="s">
        <v>0</v>
      </c>
      <c r="E13" s="42" t="s">
        <v>5</v>
      </c>
      <c r="F13" s="71">
        <v>1.2</v>
      </c>
      <c r="G13" s="43"/>
      <c r="J13" s="14"/>
      <c r="K13" s="2"/>
      <c r="T13" s="6"/>
    </row>
    <row r="14" spans="1:20" ht="20.100000000000001" customHeight="1" x14ac:dyDescent="0.25">
      <c r="C14" s="39" t="s">
        <v>6</v>
      </c>
      <c r="D14" s="44" t="s">
        <v>0</v>
      </c>
      <c r="E14" s="45" t="s">
        <v>37</v>
      </c>
      <c r="F14" s="72">
        <v>1</v>
      </c>
      <c r="G14" s="45"/>
      <c r="K14" s="5"/>
      <c r="M14" s="5"/>
      <c r="N14" s="5"/>
      <c r="O14" s="5"/>
      <c r="P14" s="5"/>
      <c r="Q14" s="5"/>
      <c r="R14" s="5"/>
      <c r="S14" s="5"/>
    </row>
    <row r="15" spans="1:20" ht="20.100000000000001" customHeight="1" x14ac:dyDescent="0.25">
      <c r="C15" s="39" t="s">
        <v>30</v>
      </c>
      <c r="D15" s="44" t="s">
        <v>0</v>
      </c>
      <c r="E15" s="45" t="s">
        <v>38</v>
      </c>
      <c r="F15" s="72">
        <v>0.2</v>
      </c>
      <c r="G15" s="45"/>
      <c r="K15" s="5"/>
      <c r="M15" s="5"/>
      <c r="N15" s="5"/>
      <c r="O15" s="5"/>
      <c r="P15" s="5"/>
      <c r="Q15" s="5"/>
      <c r="R15" s="5"/>
    </row>
    <row r="16" spans="1:20" ht="20.100000000000001" customHeight="1" x14ac:dyDescent="0.25">
      <c r="C16" s="39" t="s">
        <v>31</v>
      </c>
      <c r="D16" s="44" t="s">
        <v>0</v>
      </c>
      <c r="E16" s="45" t="s">
        <v>39</v>
      </c>
      <c r="F16" s="72">
        <v>0.2</v>
      </c>
      <c r="G16" s="45"/>
      <c r="J16" s="21"/>
      <c r="K16" s="22"/>
      <c r="M16" s="22"/>
      <c r="N16" s="23"/>
      <c r="O16" s="22"/>
      <c r="P16" s="22"/>
      <c r="Q16" s="22"/>
      <c r="R16" s="22"/>
      <c r="S16" s="23"/>
    </row>
    <row r="17" spans="2:19" ht="20.100000000000001" customHeight="1" x14ac:dyDescent="0.25">
      <c r="C17" s="39" t="s">
        <v>32</v>
      </c>
      <c r="D17" s="44" t="s">
        <v>0</v>
      </c>
      <c r="E17" s="45" t="s">
        <v>40</v>
      </c>
      <c r="F17" s="72">
        <v>0.2</v>
      </c>
      <c r="G17" s="45"/>
      <c r="J17" s="21"/>
      <c r="K17" s="23"/>
      <c r="M17" s="23"/>
      <c r="N17" s="23"/>
      <c r="O17" s="23"/>
      <c r="P17" s="23"/>
      <c r="Q17" s="23"/>
      <c r="R17" s="23"/>
      <c r="S17" s="23"/>
    </row>
    <row r="18" spans="2:19" ht="20.100000000000001" customHeight="1" x14ac:dyDescent="0.25">
      <c r="B18" s="4"/>
      <c r="C18" s="39" t="s">
        <v>104</v>
      </c>
      <c r="D18" s="44" t="s">
        <v>0</v>
      </c>
      <c r="E18" s="45" t="s">
        <v>41</v>
      </c>
      <c r="F18" s="44">
        <f>F14-2*F17</f>
        <v>0.6</v>
      </c>
      <c r="G18" s="46"/>
      <c r="J18" s="24"/>
      <c r="K18" s="24"/>
      <c r="M18" s="21"/>
      <c r="N18" s="21"/>
      <c r="O18" s="21"/>
      <c r="P18" s="21"/>
      <c r="Q18" s="21"/>
      <c r="R18" s="21"/>
      <c r="S18" s="23"/>
    </row>
    <row r="19" spans="2:19" ht="20.100000000000001" customHeight="1" x14ac:dyDescent="0.25">
      <c r="C19" s="39" t="s">
        <v>105</v>
      </c>
      <c r="D19" s="44" t="s">
        <v>0</v>
      </c>
      <c r="E19" s="45" t="s">
        <v>42</v>
      </c>
      <c r="F19" s="44">
        <f>F13-F15-F16</f>
        <v>0.8</v>
      </c>
      <c r="G19" s="45"/>
      <c r="J19" s="21"/>
      <c r="K19" s="25"/>
      <c r="M19" s="25"/>
      <c r="N19" s="25"/>
      <c r="O19" s="25"/>
      <c r="P19" s="25"/>
      <c r="Q19" s="25"/>
      <c r="R19" s="25"/>
      <c r="S19" s="23"/>
    </row>
    <row r="20" spans="2:19" ht="20.100000000000001" customHeight="1" x14ac:dyDescent="0.25">
      <c r="C20" s="39" t="s">
        <v>78</v>
      </c>
      <c r="D20" s="44" t="s">
        <v>0</v>
      </c>
      <c r="E20" s="45"/>
      <c r="F20" s="72">
        <v>7.4999999999999997E-2</v>
      </c>
      <c r="G20" s="45"/>
      <c r="J20" s="21"/>
      <c r="K20" s="26"/>
      <c r="M20" s="26"/>
      <c r="N20" s="26"/>
      <c r="O20" s="26"/>
      <c r="P20" s="26"/>
      <c r="Q20" s="26"/>
      <c r="R20" s="26"/>
      <c r="S20" s="23"/>
    </row>
    <row r="21" spans="2:19" ht="20.100000000000001" customHeight="1" x14ac:dyDescent="0.25">
      <c r="J21" s="21"/>
      <c r="K21" s="26"/>
      <c r="M21" s="26"/>
      <c r="N21" s="26"/>
      <c r="O21" s="26"/>
      <c r="P21" s="26"/>
      <c r="Q21" s="26"/>
      <c r="R21" s="26"/>
      <c r="S21" s="23"/>
    </row>
    <row r="22" spans="2:19" ht="20.100000000000001" customHeight="1" x14ac:dyDescent="0.25">
      <c r="J22" s="21"/>
      <c r="K22" s="26"/>
      <c r="M22" s="26"/>
      <c r="N22" s="26"/>
      <c r="O22" s="26"/>
      <c r="P22" s="26"/>
      <c r="Q22" s="26"/>
      <c r="R22" s="26"/>
      <c r="S22" s="23"/>
    </row>
    <row r="23" spans="2:19" ht="20.100000000000001" customHeight="1" x14ac:dyDescent="0.25">
      <c r="B23" s="66" t="s">
        <v>46</v>
      </c>
      <c r="C23" s="66" t="s">
        <v>47</v>
      </c>
      <c r="J23" s="21"/>
      <c r="K23" s="26"/>
      <c r="M23" s="26"/>
      <c r="N23" s="26"/>
      <c r="O23" s="26"/>
      <c r="P23" s="26"/>
      <c r="Q23" s="26"/>
      <c r="R23" s="26"/>
      <c r="S23" s="23"/>
    </row>
    <row r="24" spans="2:19" ht="20.100000000000001" customHeight="1" thickBot="1" x14ac:dyDescent="0.3">
      <c r="B24" s="17"/>
      <c r="C24" s="35" t="s">
        <v>15</v>
      </c>
      <c r="D24" s="54" t="s">
        <v>34</v>
      </c>
      <c r="E24" s="54" t="s">
        <v>90</v>
      </c>
      <c r="F24" s="54"/>
      <c r="G24" s="54" t="s">
        <v>91</v>
      </c>
      <c r="H24" s="36"/>
      <c r="I24" s="35"/>
      <c r="J24" s="21"/>
      <c r="K24" s="26"/>
      <c r="M24" s="26"/>
      <c r="N24" s="26"/>
      <c r="O24" s="26"/>
      <c r="P24" s="26"/>
      <c r="Q24" s="26"/>
      <c r="R24" s="26"/>
      <c r="S24" s="23"/>
    </row>
    <row r="25" spans="2:19" ht="20.100000000000001" customHeight="1" x14ac:dyDescent="0.25">
      <c r="C25" s="37" t="s">
        <v>106</v>
      </c>
      <c r="D25" s="42"/>
      <c r="E25" s="71" t="s">
        <v>57</v>
      </c>
      <c r="F25" s="71" t="s">
        <v>53</v>
      </c>
      <c r="G25" s="71" t="s">
        <v>57</v>
      </c>
      <c r="H25" s="71" t="s">
        <v>53</v>
      </c>
      <c r="I25" s="71"/>
      <c r="J25" s="21"/>
      <c r="K25" s="26"/>
      <c r="M25" s="26"/>
      <c r="N25" s="26"/>
      <c r="O25" s="26"/>
      <c r="P25" s="26"/>
      <c r="Q25" s="26"/>
      <c r="R25" s="26"/>
      <c r="S25" s="23"/>
    </row>
    <row r="26" spans="2:19" ht="20.100000000000001" customHeight="1" x14ac:dyDescent="0.25">
      <c r="C26" s="39" t="s">
        <v>48</v>
      </c>
      <c r="D26" s="45" t="s">
        <v>79</v>
      </c>
      <c r="E26" s="44">
        <f>(F13-F20*2)*2+(F14-F20*2)</f>
        <v>2.95</v>
      </c>
      <c r="F26" s="44">
        <v>1</v>
      </c>
      <c r="G26" s="44">
        <f>F14-2*F20</f>
        <v>0.85</v>
      </c>
      <c r="H26" s="44">
        <v>1</v>
      </c>
      <c r="I26" s="44"/>
      <c r="J26" s="21"/>
      <c r="K26" s="26"/>
      <c r="M26" s="26"/>
      <c r="N26" s="26"/>
      <c r="O26" s="26"/>
      <c r="P26" s="26"/>
      <c r="Q26" s="26"/>
      <c r="R26" s="26"/>
      <c r="S26" s="23"/>
    </row>
    <row r="27" spans="2:19" ht="20.100000000000001" customHeight="1" x14ac:dyDescent="0.25">
      <c r="C27" s="39" t="s">
        <v>49</v>
      </c>
      <c r="D27" s="45" t="s">
        <v>79</v>
      </c>
      <c r="E27" s="72">
        <v>0.2</v>
      </c>
      <c r="F27" s="72">
        <v>0.2</v>
      </c>
      <c r="G27" s="72">
        <v>0.2</v>
      </c>
      <c r="H27" s="72">
        <v>0.2</v>
      </c>
      <c r="I27" s="72"/>
      <c r="J27" s="21"/>
      <c r="K27" s="23"/>
      <c r="M27" s="23"/>
      <c r="N27" s="23"/>
      <c r="O27" s="23"/>
      <c r="P27" s="23"/>
      <c r="Q27" s="23"/>
      <c r="R27" s="23"/>
      <c r="S27" s="23"/>
    </row>
    <row r="28" spans="2:19" ht="20.100000000000001" customHeight="1" x14ac:dyDescent="0.25">
      <c r="C28" s="39" t="s">
        <v>50</v>
      </c>
      <c r="D28" s="45"/>
      <c r="E28" s="44"/>
      <c r="F28" s="44">
        <f>ROUND((F13-F15-F16)/F27*2+(F14-2*F20)/F27+1,0)</f>
        <v>13</v>
      </c>
      <c r="G28" s="44"/>
      <c r="H28" s="44">
        <f>ROUND((F14-2*F20)/H27+1,0)</f>
        <v>5</v>
      </c>
      <c r="I28" s="44"/>
      <c r="J28" s="21"/>
      <c r="K28" s="21"/>
      <c r="M28" s="21"/>
      <c r="N28" s="21"/>
      <c r="O28" s="21"/>
      <c r="P28" s="21"/>
      <c r="Q28" s="21"/>
      <c r="R28" s="21"/>
      <c r="S28" s="21"/>
    </row>
    <row r="29" spans="2:19" ht="20.100000000000001" customHeight="1" x14ac:dyDescent="0.25">
      <c r="C29" s="39" t="s">
        <v>52</v>
      </c>
      <c r="D29" s="45" t="s">
        <v>51</v>
      </c>
      <c r="E29" s="44" cm="1">
        <f t="array" ref="E29">IFERROR(_xlfn.XLOOKUP(E$25,$D$67:$D$75,_xlfn.XLOOKUP($C29,$E$66:$F$66,$E$67:$F$75)),"")</f>
        <v>1.56</v>
      </c>
      <c r="F29" s="44" cm="1">
        <f t="array" ref="F29">IFERROR(_xlfn.XLOOKUP(F$25,$D$67:$D$75,_xlfn.XLOOKUP($C29,$E$66:$F$66,$E$67:$F$75)),"")</f>
        <v>0.99399999999999999</v>
      </c>
      <c r="G29" s="44" cm="1">
        <f t="array" ref="G29">IFERROR(_xlfn.XLOOKUP(G$25,$D$67:$D$75,_xlfn.XLOOKUP($C29,$E$66:$F$66,$E$67:$F$75)),"")</f>
        <v>1.56</v>
      </c>
      <c r="H29" s="44" cm="1">
        <f t="array" ref="H29">IFERROR(_xlfn.XLOOKUP(H$25,$D$67:$D$75,_xlfn.XLOOKUP($C29,$E$66:$F$66,$E$67:$F$75)),"")</f>
        <v>0.99399999999999999</v>
      </c>
      <c r="I29" s="44"/>
      <c r="J29" s="21"/>
      <c r="K29" s="25"/>
      <c r="M29" s="25"/>
      <c r="N29" s="25"/>
      <c r="O29" s="25"/>
      <c r="P29" s="25"/>
      <c r="Q29" s="25"/>
      <c r="R29" s="25"/>
      <c r="S29" s="25"/>
    </row>
    <row r="30" spans="2:19" ht="20.100000000000001" customHeight="1" x14ac:dyDescent="0.25">
      <c r="C30" s="39" t="s">
        <v>85</v>
      </c>
      <c r="D30" s="45"/>
      <c r="E30" s="44" cm="1">
        <f t="array" ref="E30">IFERROR(_xlfn.XLOOKUP(E$25,$D$67:$D$75,_xlfn.XLOOKUP($C30,$E$66:$F$66,$E$67:$F$75)),"")</f>
        <v>1.05</v>
      </c>
      <c r="F30" s="44" cm="1">
        <f t="array" ref="F30">IFERROR(_xlfn.XLOOKUP(F$25,$D$67:$D$75,_xlfn.XLOOKUP($C30,$E$66:$F$66,$E$67:$F$75)),"")</f>
        <v>1.05</v>
      </c>
      <c r="G30" s="44" cm="1">
        <f t="array" ref="G30">IFERROR(_xlfn.XLOOKUP(G$25,$D$67:$D$75,_xlfn.XLOOKUP($C30,$E$66:$F$66,$E$67:$F$75)),"")</f>
        <v>1.05</v>
      </c>
      <c r="H30" s="44" cm="1">
        <f t="array" ref="H30">IFERROR(_xlfn.XLOOKUP(H$25,$D$67:$D$75,_xlfn.XLOOKUP($C30,$E$66:$F$66,$E$67:$F$75)),"")</f>
        <v>1.05</v>
      </c>
      <c r="I30" s="44"/>
      <c r="J30" s="21"/>
      <c r="K30" s="26"/>
      <c r="M30" s="26"/>
      <c r="N30" s="26"/>
      <c r="O30" s="27"/>
      <c r="P30" s="26"/>
      <c r="Q30" s="26"/>
      <c r="R30" s="26"/>
      <c r="S30" s="27"/>
    </row>
    <row r="31" spans="2:19" ht="20.100000000000001" customHeight="1" x14ac:dyDescent="0.25">
      <c r="C31" s="39" t="s">
        <v>56</v>
      </c>
      <c r="D31" s="45" t="s">
        <v>80</v>
      </c>
      <c r="E31" s="44">
        <f>IFERROR(IF(E28="",E26*$D$6/E27*E29*E30,E26*$D$6*E28*E29*E30),"")</f>
        <v>1208.0250000000001</v>
      </c>
      <c r="F31" s="44">
        <f>IFERROR(IF(F28="",F26*$D$6/F27*F29*F30,F26*$D$6*F28*F29*F30),"")</f>
        <v>678.40500000000009</v>
      </c>
      <c r="G31" s="44">
        <f>IFERROR(IF(G28="",G26*$D$6/G27*G29*G30,G26*$D$6*G28*G29*G30),"")</f>
        <v>348.07499999999999</v>
      </c>
      <c r="H31" s="44">
        <f>IFERROR(IF(H28="",H26*$D$6/H27*H29*H30,H26*$D$6*H28*H29*H30),"")</f>
        <v>260.92500000000001</v>
      </c>
      <c r="I31" s="44"/>
      <c r="J31" s="21"/>
      <c r="K31" s="23"/>
      <c r="M31" s="23"/>
      <c r="N31" s="23"/>
      <c r="O31" s="23"/>
      <c r="P31" s="26"/>
      <c r="Q31" s="26"/>
      <c r="R31" s="26"/>
      <c r="S31" s="23"/>
    </row>
    <row r="32" spans="2:19" ht="20.100000000000001" customHeight="1" x14ac:dyDescent="0.25">
      <c r="C32" s="39" t="s">
        <v>35</v>
      </c>
      <c r="D32" s="40"/>
      <c r="E32" s="44" t="str">
        <f>IFERROR(IF(E28="",E25&amp;"@"&amp;E27&amp;"m",E28&amp;"-"&amp;E25),"")</f>
        <v>D16@0.2m</v>
      </c>
      <c r="F32" s="44" t="str">
        <f t="shared" ref="F32:H32" si="0">IFERROR(IF(F28="",F25&amp;"@"&amp;F27&amp;"m",F28&amp;"-"&amp;F25),"")</f>
        <v>13-D13</v>
      </c>
      <c r="G32" s="44" t="str">
        <f t="shared" si="0"/>
        <v>D16@0.2m</v>
      </c>
      <c r="H32" s="44" t="str">
        <f t="shared" si="0"/>
        <v>5-D13</v>
      </c>
      <c r="I32" s="44"/>
      <c r="J32" s="21"/>
      <c r="K32" s="23"/>
      <c r="M32" s="23"/>
      <c r="N32" s="23"/>
      <c r="O32" s="23"/>
      <c r="P32" s="26"/>
      <c r="Q32" s="26"/>
      <c r="R32" s="26"/>
      <c r="S32" s="23"/>
    </row>
    <row r="33" spans="2:19" ht="20.100000000000001" customHeight="1" x14ac:dyDescent="0.25">
      <c r="C33" s="39" t="s">
        <v>101</v>
      </c>
      <c r="D33" s="40"/>
      <c r="E33" s="44" t="str" cm="1">
        <f t="array" ref="E33">IF(E25="","",_xlfn.XLOOKUP(E$25,$D$67:$D$75,_xlfn.XLOOKUP($C33,$E$66:$G$66,$E$67:$G$75)))</f>
        <v>SD280</v>
      </c>
      <c r="F33" s="44" t="str" cm="1">
        <f t="array" ref="F33">IF(F25="","",_xlfn.XLOOKUP(F$25,$D$67:$D$75,_xlfn.XLOOKUP($C33,$E$66:$G$66,$E$67:$G$75)))</f>
        <v>SD280</v>
      </c>
      <c r="G33" s="44" t="str" cm="1">
        <f t="array" ref="G33">IF(G25="","",_xlfn.XLOOKUP(G$25,$D$67:$D$75,_xlfn.XLOOKUP($C33,$E$66:$G$66,$E$67:$G$75)))</f>
        <v>SD280</v>
      </c>
      <c r="H33" s="44" t="str" cm="1">
        <f t="array" ref="H33">IF(H25="","",_xlfn.XLOOKUP(H$25,$D$67:$D$75,_xlfn.XLOOKUP($C33,$E$66:$G$66,$E$67:$G$75)))</f>
        <v>SD280</v>
      </c>
      <c r="I33" s="44" t="str" cm="1">
        <f t="array" ref="I33">IF(I25="","",_xlfn.XLOOKUP(I$25,$D$67:$D$75,_xlfn.XLOOKUP($C33,$E$66:$G$66,$E$67:$G$75)))</f>
        <v/>
      </c>
      <c r="J33" s="21"/>
      <c r="K33" s="23"/>
      <c r="M33" s="23"/>
      <c r="N33" s="23"/>
      <c r="O33" s="23"/>
      <c r="P33" s="26"/>
      <c r="Q33" s="26"/>
      <c r="R33" s="26"/>
      <c r="S33" s="23"/>
    </row>
    <row r="34" spans="2:19" ht="20.100000000000001" customHeight="1" x14ac:dyDescent="0.25">
      <c r="J34" s="21"/>
      <c r="K34" s="23"/>
      <c r="M34" s="23"/>
      <c r="N34" s="23"/>
      <c r="O34" s="23"/>
      <c r="P34" s="23"/>
      <c r="Q34" s="23"/>
      <c r="R34" s="23"/>
      <c r="S34" s="23"/>
    </row>
    <row r="35" spans="2:19" ht="20.100000000000001" customHeight="1" x14ac:dyDescent="0.25">
      <c r="C35" s="15"/>
      <c r="D35" s="4"/>
      <c r="E35" s="14"/>
      <c r="I35" s="4"/>
      <c r="J35" s="21"/>
      <c r="K35" s="23"/>
      <c r="M35" s="23"/>
      <c r="N35" s="23"/>
      <c r="O35" s="21"/>
      <c r="P35" s="21"/>
      <c r="Q35" s="28"/>
      <c r="R35" s="28"/>
      <c r="S35" s="28"/>
    </row>
    <row r="36" spans="2:19" ht="20.100000000000001" customHeight="1" x14ac:dyDescent="0.25">
      <c r="B36" s="66" t="s">
        <v>59</v>
      </c>
      <c r="C36" s="66" t="s">
        <v>67</v>
      </c>
      <c r="S36" s="6"/>
    </row>
    <row r="37" spans="2:19" ht="20.100000000000001" customHeight="1" thickBot="1" x14ac:dyDescent="0.3">
      <c r="C37" s="35" t="s">
        <v>15</v>
      </c>
      <c r="D37" s="35"/>
      <c r="E37" s="35"/>
      <c r="F37" s="54" t="s">
        <v>16</v>
      </c>
      <c r="G37" s="57" t="s">
        <v>50</v>
      </c>
      <c r="H37" s="57" t="s">
        <v>60</v>
      </c>
      <c r="I37" s="57" t="s">
        <v>61</v>
      </c>
      <c r="M37" s="13"/>
      <c r="S37" s="6"/>
    </row>
    <row r="38" spans="2:19" ht="20.100000000000001" customHeight="1" x14ac:dyDescent="0.25">
      <c r="C38" s="37" t="s">
        <v>73</v>
      </c>
      <c r="D38" s="37"/>
      <c r="E38" s="37"/>
      <c r="F38" s="42" t="s">
        <v>81</v>
      </c>
      <c r="G38" s="55">
        <f>ROUND((((F14+0.5*2)+(F14+0.5*2+F13*0.3*2))*F13/2)*D6,0)</f>
        <v>142</v>
      </c>
      <c r="H38" s="73">
        <v>40</v>
      </c>
      <c r="I38" s="55">
        <f>G38*H38</f>
        <v>5680</v>
      </c>
      <c r="M38" s="13"/>
      <c r="S38" s="6"/>
    </row>
    <row r="39" spans="2:19" ht="20.100000000000001" customHeight="1" x14ac:dyDescent="0.25">
      <c r="C39" s="39" t="s">
        <v>87</v>
      </c>
      <c r="D39" s="39"/>
      <c r="E39" s="39"/>
      <c r="F39" s="45" t="s">
        <v>81</v>
      </c>
      <c r="G39" s="56">
        <f>ROUND(((0.5+0.5+F13*0.3)*F13/2*2)*D6,0)</f>
        <v>82</v>
      </c>
      <c r="H39" s="74">
        <v>25</v>
      </c>
      <c r="I39" s="56">
        <f>G39*H39</f>
        <v>2050</v>
      </c>
      <c r="M39" s="13"/>
      <c r="S39" s="6"/>
    </row>
    <row r="40" spans="2:19" ht="20.100000000000001" customHeight="1" x14ac:dyDescent="0.25">
      <c r="C40" s="39" t="s">
        <v>86</v>
      </c>
      <c r="D40" s="39"/>
      <c r="E40" s="39"/>
      <c r="F40" s="45" t="s">
        <v>81</v>
      </c>
      <c r="G40" s="56">
        <f>G38-G39</f>
        <v>60</v>
      </c>
      <c r="H40" s="74">
        <v>450</v>
      </c>
      <c r="I40" s="56">
        <f t="shared" ref="I40:I50" si="1">G40*H40</f>
        <v>27000</v>
      </c>
      <c r="M40" s="13"/>
      <c r="S40" s="6"/>
    </row>
    <row r="41" spans="2:19" ht="20.100000000000001" customHeight="1" x14ac:dyDescent="0.25">
      <c r="C41" s="39" t="s">
        <v>70</v>
      </c>
      <c r="D41" s="39"/>
      <c r="E41" s="39"/>
      <c r="F41" s="45" t="s">
        <v>82</v>
      </c>
      <c r="G41" s="56">
        <f>ROUND((F13*2+F19*2)*$D$6,0)</f>
        <v>200</v>
      </c>
      <c r="H41" s="74">
        <v>350</v>
      </c>
      <c r="I41" s="56">
        <f>G41*H41</f>
        <v>70000</v>
      </c>
      <c r="M41" s="13"/>
      <c r="S41" s="6"/>
    </row>
    <row r="42" spans="2:19" ht="20.100000000000001" customHeight="1" x14ac:dyDescent="0.25">
      <c r="C42" s="39" t="s">
        <v>84</v>
      </c>
      <c r="D42" s="39"/>
      <c r="E42" s="39"/>
      <c r="F42" s="45" t="s">
        <v>82</v>
      </c>
      <c r="G42" s="56">
        <f>ROUND((F14-F17/2)*D6,0)</f>
        <v>45</v>
      </c>
      <c r="H42" s="74">
        <v>300</v>
      </c>
      <c r="I42" s="56">
        <f>G42*H42</f>
        <v>13500</v>
      </c>
      <c r="M42" s="13"/>
      <c r="S42" s="6"/>
    </row>
    <row r="43" spans="2:19" ht="20.100000000000001" customHeight="1" x14ac:dyDescent="0.25">
      <c r="C43" s="39" t="s">
        <v>74</v>
      </c>
      <c r="D43" s="39"/>
      <c r="E43" s="39"/>
      <c r="F43" s="45" t="s">
        <v>81</v>
      </c>
      <c r="G43" s="56">
        <f>ROUND((F14+0.1)*0.05*D6,0)</f>
        <v>3</v>
      </c>
      <c r="H43" s="74">
        <v>2100</v>
      </c>
      <c r="I43" s="56">
        <f t="shared" si="1"/>
        <v>6300</v>
      </c>
      <c r="M43" s="13"/>
      <c r="S43" s="6"/>
    </row>
    <row r="44" spans="2:19" ht="20.100000000000001" customHeight="1" x14ac:dyDescent="0.25">
      <c r="C44" s="39" t="s">
        <v>69</v>
      </c>
      <c r="D44" s="39"/>
      <c r="E44" s="39"/>
      <c r="F44" s="45" t="s">
        <v>81</v>
      </c>
      <c r="G44" s="56">
        <f>ROUND(ROUND((F13*F14-F18*F19)*$D$6,0),0)</f>
        <v>36</v>
      </c>
      <c r="H44" s="74">
        <v>2300</v>
      </c>
      <c r="I44" s="56">
        <f t="shared" si="1"/>
        <v>82800</v>
      </c>
      <c r="M44" s="13"/>
      <c r="S44" s="6"/>
    </row>
    <row r="45" spans="2:19" ht="20.100000000000001" customHeight="1" x14ac:dyDescent="0.25">
      <c r="C45" s="39" t="s">
        <v>71</v>
      </c>
      <c r="D45" s="39"/>
      <c r="E45" s="39"/>
      <c r="F45" s="45" t="s">
        <v>80</v>
      </c>
      <c r="G45" s="56">
        <f>ROUND(SUMIF(E33:I33,"=SD280",E31:I31),0)</f>
        <v>2495</v>
      </c>
      <c r="H45" s="74">
        <v>36</v>
      </c>
      <c r="I45" s="56">
        <f t="shared" si="1"/>
        <v>89820</v>
      </c>
      <c r="M45" s="13"/>
      <c r="S45" s="6"/>
    </row>
    <row r="46" spans="2:19" ht="20.100000000000001" customHeight="1" x14ac:dyDescent="0.25">
      <c r="C46" s="39" t="s">
        <v>100</v>
      </c>
      <c r="D46" s="39"/>
      <c r="E46" s="39"/>
      <c r="F46" s="45" t="s">
        <v>80</v>
      </c>
      <c r="G46" s="56">
        <f>ROUND(SUMIF(E33:I33,"=SD420W",E31:I31),0)</f>
        <v>0</v>
      </c>
      <c r="H46" s="74">
        <v>41</v>
      </c>
      <c r="I46" s="56">
        <f t="shared" si="1"/>
        <v>0</v>
      </c>
      <c r="M46" s="13"/>
      <c r="S46" s="6"/>
    </row>
    <row r="47" spans="2:19" ht="20.100000000000001" customHeight="1" x14ac:dyDescent="0.25">
      <c r="C47" s="39" t="s">
        <v>58</v>
      </c>
      <c r="D47" s="39"/>
      <c r="E47" s="39"/>
      <c r="F47" s="45" t="s">
        <v>72</v>
      </c>
      <c r="G47" s="56">
        <f>ROUNDDOWN(D6/D8,0)</f>
        <v>2</v>
      </c>
      <c r="H47" s="74">
        <f>G61</f>
        <v>350</v>
      </c>
      <c r="I47" s="56">
        <f t="shared" si="1"/>
        <v>700</v>
      </c>
      <c r="S47" s="6"/>
    </row>
    <row r="48" spans="2:19" ht="20.100000000000001" customHeight="1" x14ac:dyDescent="0.25">
      <c r="C48" s="39" t="s">
        <v>77</v>
      </c>
      <c r="D48" s="39"/>
      <c r="E48" s="39"/>
      <c r="F48" s="45" t="s">
        <v>72</v>
      </c>
      <c r="G48" s="56">
        <f>ROUND(D6/D7,0)</f>
        <v>10</v>
      </c>
      <c r="H48" s="74">
        <v>2540</v>
      </c>
      <c r="I48" s="56">
        <f t="shared" si="1"/>
        <v>25400</v>
      </c>
      <c r="S48" s="6"/>
    </row>
    <row r="49" spans="2:20" ht="20.100000000000001" customHeight="1" x14ac:dyDescent="0.25">
      <c r="C49" s="39" t="s">
        <v>76</v>
      </c>
      <c r="D49" s="39"/>
      <c r="E49" s="39"/>
      <c r="F49" s="45" t="s">
        <v>72</v>
      </c>
      <c r="G49" s="56">
        <f>D6-G48</f>
        <v>40</v>
      </c>
      <c r="H49" s="74">
        <v>30</v>
      </c>
      <c r="I49" s="56">
        <f t="shared" si="1"/>
        <v>1200</v>
      </c>
      <c r="S49" s="6"/>
    </row>
    <row r="50" spans="2:20" ht="20.100000000000001" customHeight="1" x14ac:dyDescent="0.25">
      <c r="C50" s="45"/>
      <c r="D50" s="45"/>
      <c r="E50" s="45"/>
      <c r="F50" s="45"/>
      <c r="G50" s="56"/>
      <c r="H50" s="74"/>
      <c r="I50" s="56">
        <f t="shared" si="1"/>
        <v>0</v>
      </c>
      <c r="S50" s="6"/>
    </row>
    <row r="51" spans="2:20" ht="20.100000000000001" customHeight="1" x14ac:dyDescent="0.25">
      <c r="D51" s="13"/>
      <c r="E51" s="13"/>
      <c r="I51" s="6">
        <f>SUM(I38:I50)</f>
        <v>324450</v>
      </c>
      <c r="S51" s="6"/>
    </row>
    <row r="52" spans="2:20" ht="16.5" x14ac:dyDescent="0.25">
      <c r="S52" s="6"/>
    </row>
    <row r="53" spans="2:20" x14ac:dyDescent="0.25">
      <c r="T53" s="3"/>
    </row>
    <row r="54" spans="2:20" ht="20.100000000000001" customHeight="1" x14ac:dyDescent="0.25">
      <c r="B54" s="66" t="s">
        <v>107</v>
      </c>
      <c r="C54" s="66" t="s">
        <v>68</v>
      </c>
      <c r="J54" s="21"/>
      <c r="K54" s="23"/>
      <c r="M54" s="23"/>
      <c r="N54" s="23"/>
      <c r="O54" s="28"/>
      <c r="P54" s="30"/>
      <c r="Q54" s="29"/>
      <c r="R54" s="28"/>
      <c r="S54" s="29"/>
    </row>
    <row r="55" spans="2:20" ht="20.100000000000001" customHeight="1" thickBot="1" x14ac:dyDescent="0.3">
      <c r="C55" s="35" t="s">
        <v>15</v>
      </c>
      <c r="D55" s="54" t="s">
        <v>34</v>
      </c>
      <c r="E55" s="57" t="s">
        <v>97</v>
      </c>
      <c r="F55" s="57" t="s">
        <v>98</v>
      </c>
      <c r="G55" s="57" t="s">
        <v>99</v>
      </c>
      <c r="H55" s="36"/>
      <c r="J55" s="21"/>
      <c r="K55" s="23"/>
      <c r="M55" s="23"/>
      <c r="N55" s="23"/>
      <c r="O55" s="28"/>
      <c r="P55" s="23"/>
      <c r="Q55" s="29"/>
      <c r="R55" s="28"/>
      <c r="S55" s="29"/>
    </row>
    <row r="56" spans="2:20" ht="20.100000000000001" customHeight="1" x14ac:dyDescent="0.25">
      <c r="C56" s="37" t="s">
        <v>62</v>
      </c>
      <c r="D56" s="51" t="s">
        <v>82</v>
      </c>
      <c r="E56" s="58">
        <f>ROUND(F13*F14-F18*F19,2)</f>
        <v>0.72</v>
      </c>
      <c r="F56" s="58">
        <v>50</v>
      </c>
      <c r="G56" s="58">
        <f>E56*F56</f>
        <v>36</v>
      </c>
      <c r="H56" s="51"/>
      <c r="J56" s="21"/>
      <c r="K56" s="23"/>
      <c r="M56" s="23"/>
      <c r="N56" s="23"/>
      <c r="O56" s="28"/>
      <c r="P56" s="23"/>
      <c r="Q56" s="29"/>
      <c r="R56" s="23"/>
      <c r="S56" s="29"/>
    </row>
    <row r="57" spans="2:20" ht="20.100000000000001" customHeight="1" x14ac:dyDescent="0.25">
      <c r="C57" s="39" t="s">
        <v>65</v>
      </c>
      <c r="D57" s="52" t="s">
        <v>83</v>
      </c>
      <c r="E57" s="59">
        <v>1</v>
      </c>
      <c r="F57" s="59">
        <v>30</v>
      </c>
      <c r="G57" s="59">
        <f>E57*F57</f>
        <v>30</v>
      </c>
      <c r="H57" s="52"/>
      <c r="J57" s="21"/>
      <c r="K57" s="23"/>
      <c r="M57" s="23"/>
      <c r="N57" s="23"/>
      <c r="O57" s="28"/>
      <c r="P57" s="23"/>
      <c r="Q57" s="29"/>
      <c r="R57" s="28"/>
      <c r="S57" s="29"/>
    </row>
    <row r="58" spans="2:20" ht="20.100000000000001" customHeight="1" x14ac:dyDescent="0.25">
      <c r="C58" s="39" t="s">
        <v>63</v>
      </c>
      <c r="D58" s="52" t="s">
        <v>14</v>
      </c>
      <c r="E58" s="59">
        <v>0.2</v>
      </c>
      <c r="F58" s="59">
        <v>1200</v>
      </c>
      <c r="G58" s="59">
        <f>E58*F58</f>
        <v>240</v>
      </c>
      <c r="H58" s="52"/>
      <c r="J58" s="21"/>
      <c r="K58" s="23"/>
      <c r="M58" s="23"/>
      <c r="N58" s="23"/>
      <c r="O58" s="23"/>
      <c r="P58" s="23"/>
      <c r="Q58" s="29"/>
      <c r="R58" s="23"/>
      <c r="S58" s="29"/>
    </row>
    <row r="59" spans="2:20" ht="20.100000000000001" customHeight="1" x14ac:dyDescent="0.25">
      <c r="C59" s="39" t="s">
        <v>64</v>
      </c>
      <c r="D59" s="52" t="s">
        <v>83</v>
      </c>
      <c r="E59" s="59">
        <v>1</v>
      </c>
      <c r="F59" s="59">
        <v>44</v>
      </c>
      <c r="G59" s="59">
        <f>E59*F59</f>
        <v>44</v>
      </c>
      <c r="H59" s="52"/>
      <c r="J59" s="21"/>
      <c r="K59" s="23"/>
      <c r="M59" s="23"/>
      <c r="N59" s="23"/>
      <c r="O59" s="23"/>
      <c r="P59" s="23"/>
      <c r="Q59" s="23"/>
      <c r="R59" s="23"/>
      <c r="S59" s="31"/>
      <c r="T59" s="3"/>
    </row>
    <row r="60" spans="2:20" ht="20.100000000000001" customHeight="1" x14ac:dyDescent="0.25">
      <c r="C60" s="39"/>
      <c r="D60" s="52"/>
      <c r="E60" s="59"/>
      <c r="F60" s="59"/>
      <c r="G60" s="59"/>
      <c r="H60" s="52"/>
      <c r="J60" s="21"/>
      <c r="K60" s="23"/>
      <c r="M60" s="23"/>
      <c r="N60" s="23"/>
      <c r="O60" s="23"/>
      <c r="P60" s="23"/>
      <c r="Q60" s="23"/>
      <c r="R60" s="23"/>
      <c r="S60" s="31"/>
    </row>
    <row r="61" spans="2:20" ht="20.100000000000001" customHeight="1" x14ac:dyDescent="0.25">
      <c r="C61" s="50"/>
      <c r="D61" s="50"/>
      <c r="E61" s="18"/>
      <c r="F61" s="53" t="s">
        <v>66</v>
      </c>
      <c r="G61" s="61">
        <f>SUM(G56:G60)</f>
        <v>350</v>
      </c>
      <c r="H61" s="50"/>
      <c r="S61" s="6"/>
    </row>
    <row r="62" spans="2:20" ht="20.100000000000001" customHeight="1" x14ac:dyDescent="0.25">
      <c r="S62" s="6"/>
    </row>
    <row r="64" spans="2:20" ht="18.75" x14ac:dyDescent="0.25">
      <c r="B64" s="66" t="s">
        <v>96</v>
      </c>
      <c r="C64" s="66" t="s">
        <v>92</v>
      </c>
      <c r="D64" s="13"/>
      <c r="E64" s="13"/>
      <c r="F64" s="13"/>
      <c r="G64" s="13"/>
      <c r="J64" s="4"/>
      <c r="K64" s="7"/>
    </row>
    <row r="65" spans="2:11" ht="16.5" x14ac:dyDescent="0.25">
      <c r="E65" s="34" t="s">
        <v>93</v>
      </c>
      <c r="J65" s="4"/>
      <c r="K65" s="7"/>
    </row>
    <row r="66" spans="2:11" ht="16.5" x14ac:dyDescent="0.25">
      <c r="D66" s="64" t="s">
        <v>1</v>
      </c>
      <c r="E66" s="64" t="s">
        <v>94</v>
      </c>
      <c r="F66" s="64" t="s">
        <v>85</v>
      </c>
      <c r="G66" s="64" t="s">
        <v>101</v>
      </c>
      <c r="I66" s="76"/>
      <c r="J66" s="77"/>
      <c r="K66" s="7"/>
    </row>
    <row r="67" spans="2:11" ht="16.5" x14ac:dyDescent="0.25">
      <c r="D67" s="14" t="s">
        <v>2</v>
      </c>
      <c r="E67" s="14">
        <v>0.99399999999999999</v>
      </c>
      <c r="F67" s="14">
        <v>1.05</v>
      </c>
      <c r="G67" s="14" t="s">
        <v>54</v>
      </c>
      <c r="I67" s="78"/>
      <c r="J67" s="79"/>
      <c r="K67" s="7"/>
    </row>
    <row r="68" spans="2:11" ht="16.5" x14ac:dyDescent="0.25">
      <c r="D68" s="14" t="s">
        <v>4</v>
      </c>
      <c r="E68" s="14">
        <v>1.56</v>
      </c>
      <c r="F68" s="14">
        <v>1.05</v>
      </c>
      <c r="G68" s="14" t="s">
        <v>54</v>
      </c>
      <c r="I68" s="19"/>
      <c r="J68" s="65"/>
      <c r="K68" s="7"/>
    </row>
    <row r="69" spans="2:11" ht="16.5" x14ac:dyDescent="0.25">
      <c r="D69" s="14" t="s">
        <v>7</v>
      </c>
      <c r="E69" s="14">
        <v>2.25</v>
      </c>
      <c r="F69" s="14">
        <v>1.08</v>
      </c>
      <c r="G69" s="14" t="s">
        <v>55</v>
      </c>
      <c r="I69" s="3"/>
      <c r="J69" s="10"/>
      <c r="K69" s="7"/>
    </row>
    <row r="70" spans="2:11" ht="16.5" x14ac:dyDescent="0.25">
      <c r="D70" s="14" t="s">
        <v>8</v>
      </c>
      <c r="E70" s="14">
        <v>3.04</v>
      </c>
      <c r="F70" s="14">
        <v>1.1000000000000001</v>
      </c>
      <c r="G70" s="14" t="s">
        <v>55</v>
      </c>
      <c r="J70" s="4"/>
      <c r="K70" s="7"/>
    </row>
    <row r="71" spans="2:11" ht="16.5" x14ac:dyDescent="0.25">
      <c r="D71" s="14" t="s">
        <v>9</v>
      </c>
      <c r="E71" s="14">
        <v>3.98</v>
      </c>
      <c r="F71" s="14">
        <v>1.1000000000000001</v>
      </c>
      <c r="G71" s="14" t="s">
        <v>55</v>
      </c>
      <c r="J71" s="4"/>
      <c r="K71" s="7"/>
    </row>
    <row r="72" spans="2:11" ht="16.5" x14ac:dyDescent="0.25">
      <c r="D72" s="14" t="s">
        <v>10</v>
      </c>
      <c r="E72" s="14">
        <v>5.08</v>
      </c>
      <c r="F72" s="14">
        <v>1.1000000000000001</v>
      </c>
      <c r="G72" s="14" t="s">
        <v>55</v>
      </c>
      <c r="J72" s="4"/>
      <c r="K72" s="7"/>
    </row>
    <row r="73" spans="2:11" ht="16.5" x14ac:dyDescent="0.25">
      <c r="D73" s="14" t="s">
        <v>11</v>
      </c>
      <c r="E73" s="14">
        <v>6.39</v>
      </c>
      <c r="F73" s="14">
        <v>1.1000000000000001</v>
      </c>
      <c r="G73" s="14" t="s">
        <v>55</v>
      </c>
      <c r="J73" s="4"/>
      <c r="K73" s="7"/>
    </row>
    <row r="74" spans="2:11" ht="16.5" x14ac:dyDescent="0.25">
      <c r="D74" s="14" t="s">
        <v>12</v>
      </c>
      <c r="E74" s="14">
        <v>7.9</v>
      </c>
      <c r="F74" s="14">
        <v>1.1000000000000001</v>
      </c>
      <c r="G74" s="14" t="s">
        <v>55</v>
      </c>
      <c r="J74" s="4"/>
      <c r="K74" s="7"/>
    </row>
    <row r="75" spans="2:11" ht="16.5" x14ac:dyDescent="0.25">
      <c r="D75" s="13"/>
      <c r="E75" s="13"/>
      <c r="F75" s="13"/>
      <c r="G75" s="13"/>
      <c r="J75" s="4"/>
      <c r="K75" s="7"/>
    </row>
    <row r="76" spans="2:11" ht="16.5" x14ac:dyDescent="0.25">
      <c r="J76" s="4"/>
      <c r="K76" s="7"/>
    </row>
    <row r="77" spans="2:11" ht="16.5" x14ac:dyDescent="0.25">
      <c r="J77" s="4"/>
      <c r="K77" s="7"/>
    </row>
    <row r="80" spans="2:11" ht="18.75" hidden="1" x14ac:dyDescent="0.25">
      <c r="B80" s="68" t="s">
        <v>17</v>
      </c>
      <c r="C80" s="68" t="s">
        <v>102</v>
      </c>
      <c r="I80" s="4"/>
    </row>
    <row r="81" spans="3:21" hidden="1" x14ac:dyDescent="0.25">
      <c r="D81" s="9" t="s">
        <v>89</v>
      </c>
      <c r="F81" s="13"/>
      <c r="G81" s="9" t="s">
        <v>88</v>
      </c>
      <c r="H81" s="1"/>
      <c r="I81" s="13"/>
      <c r="J81" s="9" t="s">
        <v>28</v>
      </c>
      <c r="K81" s="12"/>
    </row>
    <row r="82" spans="3:21" hidden="1" x14ac:dyDescent="0.25">
      <c r="D82" s="8" t="s">
        <v>18</v>
      </c>
      <c r="E82" s="8" t="s">
        <v>19</v>
      </c>
      <c r="F82" s="13"/>
      <c r="G82" s="8" t="s">
        <v>18</v>
      </c>
      <c r="H82" s="8" t="s">
        <v>19</v>
      </c>
      <c r="I82" s="13"/>
      <c r="J82" s="8" t="s">
        <v>18</v>
      </c>
      <c r="K82" s="8" t="s">
        <v>19</v>
      </c>
      <c r="M82" s="9"/>
      <c r="N82" s="9"/>
      <c r="O82" s="9"/>
      <c r="U82" s="1"/>
    </row>
    <row r="83" spans="3:21" hidden="1" x14ac:dyDescent="0.25">
      <c r="D83" s="9">
        <v>0</v>
      </c>
      <c r="E83" s="9">
        <v>0</v>
      </c>
      <c r="F83" s="13"/>
      <c r="G83" s="9">
        <f>D83</f>
        <v>0</v>
      </c>
      <c r="H83" s="9">
        <f>E84</f>
        <v>1</v>
      </c>
      <c r="I83" s="13"/>
      <c r="J83" s="33">
        <f>F17</f>
        <v>0.2</v>
      </c>
      <c r="K83" s="33">
        <f>F19/2</f>
        <v>0.4</v>
      </c>
      <c r="M83" s="20"/>
      <c r="N83" s="9"/>
      <c r="O83" s="9"/>
      <c r="P83" s="9"/>
      <c r="U83" s="1"/>
    </row>
    <row r="84" spans="3:21" hidden="1" x14ac:dyDescent="0.25">
      <c r="D84" s="9">
        <f>D83</f>
        <v>0</v>
      </c>
      <c r="E84" s="9">
        <f>(F13-F15)</f>
        <v>1</v>
      </c>
      <c r="F84" s="13"/>
      <c r="G84" s="9">
        <f>G83</f>
        <v>0</v>
      </c>
      <c r="H84" s="9">
        <f>F13</f>
        <v>1.2</v>
      </c>
      <c r="I84" s="13"/>
      <c r="J84" s="33">
        <f>F14-F17</f>
        <v>0.8</v>
      </c>
      <c r="K84" s="9">
        <f>K83</f>
        <v>0.4</v>
      </c>
      <c r="M84" s="20"/>
      <c r="U84" s="1"/>
    </row>
    <row r="85" spans="3:21" hidden="1" x14ac:dyDescent="0.25">
      <c r="D85" s="9">
        <f>F17</f>
        <v>0.2</v>
      </c>
      <c r="E85" s="9">
        <f>E84</f>
        <v>1</v>
      </c>
      <c r="F85" s="13"/>
      <c r="G85" s="9">
        <f>D89</f>
        <v>1</v>
      </c>
      <c r="H85" s="9">
        <f>H84</f>
        <v>1.2</v>
      </c>
      <c r="I85" s="13"/>
      <c r="J85" s="12"/>
      <c r="K85" s="12"/>
      <c r="M85" s="20"/>
      <c r="U85" s="1"/>
    </row>
    <row r="86" spans="3:21" hidden="1" x14ac:dyDescent="0.25">
      <c r="D86" s="9">
        <f>D85</f>
        <v>0.2</v>
      </c>
      <c r="E86" s="9">
        <f>F16</f>
        <v>0.2</v>
      </c>
      <c r="F86" s="13"/>
      <c r="G86" s="9">
        <f>G85</f>
        <v>1</v>
      </c>
      <c r="H86" s="9">
        <f>H83</f>
        <v>1</v>
      </c>
      <c r="I86" s="13"/>
      <c r="J86" s="33">
        <f>F17+(J84-J83)/2</f>
        <v>0.5</v>
      </c>
      <c r="K86" s="9">
        <f>K83</f>
        <v>0.4</v>
      </c>
      <c r="M86" s="20"/>
      <c r="U86" s="1"/>
    </row>
    <row r="87" spans="3:21" hidden="1" x14ac:dyDescent="0.25">
      <c r="D87" s="9">
        <f>F14-F17</f>
        <v>0.8</v>
      </c>
      <c r="E87" s="9">
        <f>E86</f>
        <v>0.2</v>
      </c>
      <c r="F87" s="13"/>
      <c r="G87" s="9">
        <f>G83</f>
        <v>0</v>
      </c>
      <c r="H87" s="9">
        <f>H83</f>
        <v>1</v>
      </c>
      <c r="I87" s="13"/>
      <c r="J87" s="9">
        <f>J86-(J84-J83)/20</f>
        <v>0.47</v>
      </c>
      <c r="K87" s="9">
        <f>K86+(J84-J83)/20</f>
        <v>0.43000000000000005</v>
      </c>
      <c r="M87" s="20"/>
      <c r="U87" s="1"/>
    </row>
    <row r="88" spans="3:21" hidden="1" x14ac:dyDescent="0.25">
      <c r="D88" s="9">
        <f>D87</f>
        <v>0.8</v>
      </c>
      <c r="E88" s="9">
        <f>E84</f>
        <v>1</v>
      </c>
      <c r="F88" s="13"/>
      <c r="G88" s="9"/>
      <c r="I88" s="13"/>
      <c r="J88" s="9">
        <f>J86+(J84-J83)/20</f>
        <v>0.53</v>
      </c>
      <c r="K88" s="9">
        <f>K87</f>
        <v>0.43000000000000005</v>
      </c>
      <c r="M88" s="20"/>
      <c r="U88" s="1"/>
    </row>
    <row r="89" spans="3:21" hidden="1" x14ac:dyDescent="0.25">
      <c r="D89" s="9">
        <f>F14</f>
        <v>1</v>
      </c>
      <c r="E89" s="9">
        <f>E88</f>
        <v>1</v>
      </c>
      <c r="F89" s="13"/>
      <c r="G89" s="9"/>
      <c r="I89" s="13"/>
      <c r="J89" s="9">
        <f>J86</f>
        <v>0.5</v>
      </c>
      <c r="K89" s="9">
        <f>K86</f>
        <v>0.4</v>
      </c>
      <c r="M89" s="20"/>
      <c r="U89" s="1"/>
    </row>
    <row r="90" spans="3:21" hidden="1" x14ac:dyDescent="0.25">
      <c r="D90" s="9">
        <f>D89</f>
        <v>1</v>
      </c>
      <c r="E90" s="9">
        <f>E83</f>
        <v>0</v>
      </c>
      <c r="F90" s="13"/>
      <c r="G90" s="9"/>
      <c r="I90" s="13"/>
      <c r="J90" s="9"/>
      <c r="K90" s="9"/>
      <c r="M90" s="20"/>
      <c r="U90" s="1"/>
    </row>
    <row r="91" spans="3:21" hidden="1" x14ac:dyDescent="0.25">
      <c r="D91" s="9">
        <f>D83</f>
        <v>0</v>
      </c>
      <c r="E91" s="9">
        <f>E83</f>
        <v>0</v>
      </c>
      <c r="F91" s="13"/>
      <c r="G91" s="1"/>
      <c r="H91" s="13"/>
      <c r="I91" s="13"/>
      <c r="J91" s="9">
        <f>J87</f>
        <v>0.47</v>
      </c>
      <c r="K91" s="9">
        <f>K83-0.03</f>
        <v>0.37</v>
      </c>
      <c r="M91" s="20"/>
      <c r="U91" s="1"/>
    </row>
    <row r="92" spans="3:21" hidden="1" x14ac:dyDescent="0.25">
      <c r="D92" s="9"/>
      <c r="E92" s="9"/>
      <c r="F92" s="13"/>
      <c r="G92" s="1"/>
      <c r="H92" s="9"/>
      <c r="I92" s="13"/>
      <c r="J92" s="9">
        <f>J88</f>
        <v>0.53</v>
      </c>
      <c r="K92" s="9">
        <f>K91</f>
        <v>0.37</v>
      </c>
      <c r="M92" s="20"/>
      <c r="U92" s="1"/>
    </row>
    <row r="93" spans="3:21" hidden="1" x14ac:dyDescent="0.25">
      <c r="D93" s="13"/>
      <c r="E93" s="13"/>
      <c r="F93" s="13"/>
      <c r="G93" s="9"/>
      <c r="H93" s="9"/>
      <c r="I93" s="13"/>
      <c r="J93" s="12"/>
      <c r="K93" s="12"/>
      <c r="U93" s="1"/>
    </row>
    <row r="94" spans="3:21" hidden="1" x14ac:dyDescent="0.25">
      <c r="C94" s="13"/>
      <c r="D94" s="13"/>
      <c r="E94" s="13"/>
      <c r="F94" s="13"/>
      <c r="G94" s="9"/>
      <c r="H94" s="9"/>
      <c r="I94" s="13"/>
      <c r="J94" s="9">
        <f>J91</f>
        <v>0.47</v>
      </c>
      <c r="K94" s="9">
        <f>K83-0.06</f>
        <v>0.34</v>
      </c>
      <c r="U94" s="1"/>
    </row>
    <row r="95" spans="3:21" hidden="1" x14ac:dyDescent="0.25">
      <c r="D95" s="13"/>
      <c r="E95" s="13"/>
      <c r="F95" s="13"/>
      <c r="G95" s="9"/>
      <c r="H95" s="9"/>
      <c r="I95" s="13"/>
      <c r="J95" s="9">
        <f>J92</f>
        <v>0.53</v>
      </c>
      <c r="K95" s="9">
        <f>K94</f>
        <v>0.34</v>
      </c>
      <c r="U95" s="1"/>
    </row>
    <row r="96" spans="3:21" hidden="1" x14ac:dyDescent="0.25">
      <c r="D96" s="13"/>
      <c r="E96" s="13"/>
      <c r="F96" s="9"/>
      <c r="G96" s="9"/>
      <c r="H96" s="9"/>
      <c r="I96" s="9"/>
      <c r="J96" s="9"/>
      <c r="K96" s="9"/>
      <c r="U96" s="1"/>
    </row>
    <row r="97" spans="4:21" hidden="1" x14ac:dyDescent="0.25">
      <c r="D97" s="9" t="s">
        <v>27</v>
      </c>
      <c r="E97" s="13"/>
      <c r="F97" s="9"/>
      <c r="G97" s="9"/>
      <c r="H97" s="9"/>
      <c r="I97" s="9"/>
      <c r="J97" s="9"/>
      <c r="K97" s="9"/>
      <c r="U97" s="1"/>
    </row>
    <row r="98" spans="4:21" hidden="1" x14ac:dyDescent="0.25">
      <c r="D98" s="8" t="s">
        <v>18</v>
      </c>
      <c r="E98" s="8" t="s">
        <v>19</v>
      </c>
      <c r="F98" s="1"/>
      <c r="G98" s="8" t="s">
        <v>18</v>
      </c>
      <c r="H98" s="8" t="s">
        <v>19</v>
      </c>
      <c r="I98" s="1"/>
      <c r="J98" s="8" t="s">
        <v>18</v>
      </c>
      <c r="K98" s="8" t="s">
        <v>19</v>
      </c>
      <c r="U98" s="1"/>
    </row>
    <row r="99" spans="4:21" hidden="1" x14ac:dyDescent="0.25">
      <c r="D99" s="9">
        <f>D83</f>
        <v>0</v>
      </c>
      <c r="E99" s="9">
        <f>D99-0.1</f>
        <v>-0.1</v>
      </c>
      <c r="F99" s="9"/>
      <c r="G99" s="9">
        <f>D99</f>
        <v>0</v>
      </c>
      <c r="H99" s="9">
        <f>F13+0.1</f>
        <v>1.3</v>
      </c>
      <c r="I99" s="1"/>
      <c r="J99" s="9">
        <f>F14+0.1</f>
        <v>1.1000000000000001</v>
      </c>
      <c r="K99" s="9">
        <f>E105</f>
        <v>0</v>
      </c>
      <c r="U99" s="1"/>
    </row>
    <row r="100" spans="4:21" hidden="1" x14ac:dyDescent="0.25">
      <c r="D100" s="9">
        <f>D99</f>
        <v>0</v>
      </c>
      <c r="E100" s="9">
        <f>D99-0.3</f>
        <v>-0.3</v>
      </c>
      <c r="F100" s="1"/>
      <c r="G100" s="9">
        <f>G99</f>
        <v>0</v>
      </c>
      <c r="H100" s="9">
        <f>F13+0.3</f>
        <v>1.5</v>
      </c>
      <c r="I100" s="9"/>
      <c r="J100" s="9">
        <f>F14+0.3</f>
        <v>1.3</v>
      </c>
      <c r="K100" s="9">
        <f>K99</f>
        <v>0</v>
      </c>
      <c r="U100" s="1"/>
    </row>
    <row r="101" spans="4:21" hidden="1" x14ac:dyDescent="0.25">
      <c r="D101" s="9"/>
      <c r="E101" s="9"/>
      <c r="F101" s="1"/>
      <c r="G101" s="9"/>
      <c r="H101" s="1"/>
      <c r="I101" s="9"/>
      <c r="J101" s="9"/>
      <c r="U101" s="1"/>
    </row>
    <row r="102" spans="4:21" hidden="1" x14ac:dyDescent="0.25">
      <c r="D102" s="9">
        <f>F14</f>
        <v>1</v>
      </c>
      <c r="E102" s="9">
        <f>E99</f>
        <v>-0.1</v>
      </c>
      <c r="F102" s="1"/>
      <c r="G102" s="9">
        <f>F17</f>
        <v>0.2</v>
      </c>
      <c r="H102" s="9">
        <f>H99</f>
        <v>1.3</v>
      </c>
      <c r="I102" s="9"/>
      <c r="J102" s="9">
        <f>J99</f>
        <v>1.1000000000000001</v>
      </c>
      <c r="K102" s="9">
        <f>F16</f>
        <v>0.2</v>
      </c>
      <c r="U102" s="1"/>
    </row>
    <row r="103" spans="4:21" hidden="1" x14ac:dyDescent="0.25">
      <c r="D103" s="9">
        <f>D102</f>
        <v>1</v>
      </c>
      <c r="E103" s="9">
        <f>E100</f>
        <v>-0.3</v>
      </c>
      <c r="F103" s="1"/>
      <c r="G103" s="9">
        <f>G102</f>
        <v>0.2</v>
      </c>
      <c r="H103" s="9">
        <f>H100</f>
        <v>1.5</v>
      </c>
      <c r="I103" s="9"/>
      <c r="J103" s="9">
        <f>J100</f>
        <v>1.3</v>
      </c>
      <c r="K103" s="9">
        <f>K102</f>
        <v>0.2</v>
      </c>
      <c r="U103" s="1"/>
    </row>
    <row r="104" spans="4:21" hidden="1" x14ac:dyDescent="0.25">
      <c r="D104" s="9"/>
      <c r="E104" s="9"/>
      <c r="F104" s="1"/>
      <c r="G104" s="9"/>
      <c r="H104" s="9"/>
      <c r="I104" s="9"/>
      <c r="J104" s="9"/>
      <c r="K104" s="9"/>
      <c r="U104" s="1"/>
    </row>
    <row r="105" spans="4:21" hidden="1" x14ac:dyDescent="0.25">
      <c r="D105" s="9">
        <f>E105-0.1</f>
        <v>-0.1</v>
      </c>
      <c r="E105" s="9">
        <f>E83</f>
        <v>0</v>
      </c>
      <c r="F105" s="1"/>
      <c r="G105" s="9">
        <f>F14-F17</f>
        <v>0.8</v>
      </c>
      <c r="H105" s="9">
        <f>H99</f>
        <v>1.3</v>
      </c>
      <c r="I105" s="9"/>
      <c r="J105" s="9">
        <f>J99</f>
        <v>1.1000000000000001</v>
      </c>
      <c r="K105" s="9">
        <f>F13-F15</f>
        <v>1</v>
      </c>
      <c r="U105" s="1"/>
    </row>
    <row r="106" spans="4:21" hidden="1" x14ac:dyDescent="0.25">
      <c r="D106" s="9">
        <f>E105-0.3</f>
        <v>-0.3</v>
      </c>
      <c r="E106" s="9">
        <f>E105</f>
        <v>0</v>
      </c>
      <c r="F106" s="1"/>
      <c r="G106" s="9">
        <f>G105</f>
        <v>0.8</v>
      </c>
      <c r="H106" s="9">
        <f>H100</f>
        <v>1.5</v>
      </c>
      <c r="I106" s="9"/>
      <c r="J106" s="9">
        <f>J100</f>
        <v>1.3</v>
      </c>
      <c r="K106" s="9">
        <f>K105</f>
        <v>1</v>
      </c>
      <c r="U106" s="1"/>
    </row>
    <row r="107" spans="4:21" hidden="1" x14ac:dyDescent="0.25">
      <c r="D107" s="9"/>
      <c r="E107" s="9"/>
      <c r="F107" s="1"/>
      <c r="G107" s="9"/>
      <c r="H107" s="9"/>
      <c r="I107" s="9"/>
      <c r="J107" s="9"/>
      <c r="K107" s="9"/>
      <c r="U107" s="1"/>
    </row>
    <row r="108" spans="4:21" hidden="1" x14ac:dyDescent="0.25">
      <c r="D108" s="9">
        <f>D105</f>
        <v>-0.1</v>
      </c>
      <c r="E108" s="9">
        <f>F13</f>
        <v>1.2</v>
      </c>
      <c r="F108" s="1"/>
      <c r="G108" s="9">
        <f>G99</f>
        <v>0</v>
      </c>
      <c r="H108" s="9">
        <f>F13+0.2</f>
        <v>1.4</v>
      </c>
      <c r="I108" s="9"/>
      <c r="J108" s="9">
        <f>J99</f>
        <v>1.1000000000000001</v>
      </c>
      <c r="K108" s="9">
        <f>F13</f>
        <v>1.2</v>
      </c>
      <c r="U108" s="1"/>
    </row>
    <row r="109" spans="4:21" hidden="1" x14ac:dyDescent="0.25">
      <c r="D109" s="9">
        <f>D106</f>
        <v>-0.3</v>
      </c>
      <c r="E109" s="9">
        <f>E108</f>
        <v>1.2</v>
      </c>
      <c r="F109" s="9"/>
      <c r="G109" s="9">
        <f>F17</f>
        <v>0.2</v>
      </c>
      <c r="H109" s="9">
        <f>H108</f>
        <v>1.4</v>
      </c>
      <c r="I109" s="9"/>
      <c r="J109" s="9">
        <f>J100</f>
        <v>1.3</v>
      </c>
      <c r="K109" s="9">
        <f>K108</f>
        <v>1.2</v>
      </c>
      <c r="U109" s="1"/>
    </row>
    <row r="110" spans="4:21" hidden="1" x14ac:dyDescent="0.25">
      <c r="D110" s="9"/>
      <c r="E110" s="9"/>
      <c r="F110" s="9"/>
      <c r="G110" s="9"/>
      <c r="H110" s="9"/>
      <c r="I110" s="9"/>
      <c r="J110" s="9"/>
      <c r="K110" s="9"/>
      <c r="U110" s="1"/>
    </row>
    <row r="111" spans="4:21" hidden="1" x14ac:dyDescent="0.25">
      <c r="D111" s="9"/>
      <c r="E111" s="9"/>
      <c r="F111" s="9"/>
      <c r="G111" s="9"/>
      <c r="H111" s="9"/>
      <c r="I111" s="9"/>
      <c r="J111" s="9">
        <f>F14+0.2</f>
        <v>1.2</v>
      </c>
      <c r="K111" s="9">
        <f>K99</f>
        <v>0</v>
      </c>
      <c r="U111" s="1"/>
    </row>
    <row r="112" spans="4:21" hidden="1" x14ac:dyDescent="0.25">
      <c r="D112" s="9"/>
      <c r="E112" s="9"/>
      <c r="F112" s="9"/>
      <c r="G112" s="9"/>
      <c r="H112" s="9"/>
      <c r="I112" s="9"/>
      <c r="J112" s="9">
        <f>J111</f>
        <v>1.2</v>
      </c>
      <c r="K112" s="9">
        <f>F16</f>
        <v>0.2</v>
      </c>
      <c r="U112" s="1"/>
    </row>
    <row r="113" spans="4:21" hidden="1" x14ac:dyDescent="0.25">
      <c r="D113" s="9"/>
      <c r="E113" s="9"/>
      <c r="F113" s="9"/>
      <c r="G113" s="9"/>
      <c r="H113" s="9"/>
      <c r="I113" s="9"/>
      <c r="J113" s="9"/>
      <c r="K113" s="9"/>
      <c r="U113" s="1"/>
    </row>
    <row r="114" spans="4:21" hidden="1" x14ac:dyDescent="0.25">
      <c r="D114" s="13"/>
      <c r="E114" s="13"/>
      <c r="F114" s="9"/>
      <c r="G114" s="9"/>
      <c r="H114" s="9"/>
      <c r="I114" s="9"/>
      <c r="J114" s="9">
        <f>J111</f>
        <v>1.2</v>
      </c>
      <c r="K114" s="9">
        <f>K105</f>
        <v>1</v>
      </c>
      <c r="U114" s="1"/>
    </row>
    <row r="115" spans="4:21" hidden="1" x14ac:dyDescent="0.25">
      <c r="D115" s="9"/>
      <c r="E115" s="9"/>
      <c r="F115" s="9"/>
      <c r="G115" s="9"/>
      <c r="H115" s="9"/>
      <c r="I115" s="9"/>
      <c r="J115" s="9">
        <f>J111</f>
        <v>1.2</v>
      </c>
      <c r="K115" s="9">
        <f>K108</f>
        <v>1.2</v>
      </c>
      <c r="U115" s="1"/>
    </row>
    <row r="116" spans="4:21" hidden="1" x14ac:dyDescent="0.25">
      <c r="D116" s="9"/>
      <c r="E116" s="9"/>
      <c r="F116" s="9"/>
      <c r="G116" s="9"/>
      <c r="H116" s="9"/>
      <c r="I116" s="9"/>
      <c r="J116" s="9"/>
      <c r="K116" s="9"/>
      <c r="U116" s="1"/>
    </row>
    <row r="117" spans="4:21" hidden="1" x14ac:dyDescent="0.25">
      <c r="D117" s="9"/>
      <c r="E117" s="9"/>
      <c r="F117" s="9"/>
      <c r="G117" s="9"/>
      <c r="H117" s="9"/>
      <c r="I117" s="9"/>
      <c r="J117" s="9"/>
      <c r="K117" s="9"/>
      <c r="U117" s="1"/>
    </row>
    <row r="118" spans="4:21" hidden="1" x14ac:dyDescent="0.25">
      <c r="D118" s="9"/>
      <c r="E118" s="9"/>
      <c r="F118" s="9"/>
      <c r="G118" s="9"/>
      <c r="H118" s="9"/>
      <c r="I118" s="9"/>
      <c r="J118" s="9"/>
      <c r="K118" s="9"/>
      <c r="U118" s="1"/>
    </row>
    <row r="119" spans="4:21" hidden="1" x14ac:dyDescent="0.25">
      <c r="D119" s="9"/>
      <c r="E119" s="9"/>
      <c r="F119" s="9"/>
      <c r="G119" s="9"/>
      <c r="H119" s="9"/>
      <c r="I119" s="9"/>
      <c r="J119" s="9"/>
      <c r="K119" s="9"/>
      <c r="U119" s="1"/>
    </row>
    <row r="120" spans="4:21" hidden="1" x14ac:dyDescent="0.25">
      <c r="D120" s="11" t="s">
        <v>24</v>
      </c>
      <c r="E120" s="11"/>
      <c r="F120" s="1"/>
      <c r="G120" s="11" t="s">
        <v>25</v>
      </c>
      <c r="H120" s="11"/>
      <c r="I120" s="9"/>
      <c r="J120" s="9"/>
      <c r="K120" s="9"/>
      <c r="U120" s="1"/>
    </row>
    <row r="121" spans="4:21" hidden="1" x14ac:dyDescent="0.25">
      <c r="D121" s="8" t="s">
        <v>18</v>
      </c>
      <c r="E121" s="8" t="s">
        <v>19</v>
      </c>
      <c r="F121" s="1"/>
      <c r="G121" s="8" t="s">
        <v>18</v>
      </c>
      <c r="H121" s="8" t="s">
        <v>19</v>
      </c>
      <c r="I121" s="9"/>
      <c r="J121" s="9"/>
      <c r="K121" s="9"/>
      <c r="U121" s="1"/>
    </row>
    <row r="122" spans="4:21" hidden="1" x14ac:dyDescent="0.25">
      <c r="D122" s="9">
        <f>F17/2</f>
        <v>0.1</v>
      </c>
      <c r="E122" s="9">
        <f>F13-F20</f>
        <v>1.125</v>
      </c>
      <c r="F122" s="1"/>
      <c r="G122" s="9">
        <f>F20</f>
        <v>7.4999999999999997E-2</v>
      </c>
      <c r="H122" s="9">
        <f>F13-(F15/2)</f>
        <v>1.0999999999999999</v>
      </c>
      <c r="I122" s="9"/>
      <c r="J122" s="9"/>
      <c r="K122" s="9"/>
      <c r="U122" s="1"/>
    </row>
    <row r="123" spans="4:21" hidden="1" x14ac:dyDescent="0.25">
      <c r="D123" s="9">
        <f>D122</f>
        <v>0.1</v>
      </c>
      <c r="E123" s="9">
        <f>F16/2</f>
        <v>0.1</v>
      </c>
      <c r="F123" s="1"/>
      <c r="G123" s="9">
        <f>F14-F20</f>
        <v>0.92500000000000004</v>
      </c>
      <c r="H123" s="9">
        <f>H122</f>
        <v>1.0999999999999999</v>
      </c>
      <c r="I123" s="9"/>
      <c r="J123" s="9"/>
      <c r="K123" s="9"/>
      <c r="U123" s="1"/>
    </row>
    <row r="124" spans="4:21" hidden="1" x14ac:dyDescent="0.25">
      <c r="D124" s="9">
        <f>F14-F17/2</f>
        <v>0.9</v>
      </c>
      <c r="E124" s="9">
        <f>E123</f>
        <v>0.1</v>
      </c>
      <c r="F124" s="9"/>
      <c r="G124" s="9"/>
      <c r="H124" s="9"/>
      <c r="I124" s="9"/>
      <c r="J124" s="9"/>
      <c r="K124" s="9"/>
      <c r="U124" s="1"/>
    </row>
    <row r="125" spans="4:21" hidden="1" x14ac:dyDescent="0.25">
      <c r="D125" s="9">
        <f>D124</f>
        <v>0.9</v>
      </c>
      <c r="E125" s="9">
        <f>E122</f>
        <v>1.125</v>
      </c>
      <c r="F125" s="9"/>
      <c r="G125" s="9"/>
      <c r="H125" s="9"/>
      <c r="I125" s="9"/>
      <c r="J125" s="9"/>
      <c r="K125" s="9"/>
      <c r="U125" s="1"/>
    </row>
    <row r="126" spans="4:21" hidden="1" x14ac:dyDescent="0.25">
      <c r="D126" s="9"/>
      <c r="E126" s="9"/>
      <c r="F126" s="9"/>
      <c r="G126" s="9"/>
      <c r="H126" s="9"/>
      <c r="I126" s="9"/>
      <c r="J126" s="9"/>
      <c r="K126" s="9"/>
      <c r="U126" s="1"/>
    </row>
    <row r="127" spans="4:21" hidden="1" x14ac:dyDescent="0.25">
      <c r="D127" s="13"/>
      <c r="E127" s="13"/>
      <c r="F127" s="9"/>
      <c r="G127" s="9"/>
      <c r="H127" s="9"/>
      <c r="I127" s="9"/>
      <c r="J127" s="9"/>
      <c r="K127" s="9"/>
      <c r="U127" s="1"/>
    </row>
    <row r="128" spans="4:21" hidden="1" x14ac:dyDescent="0.25">
      <c r="D128" s="13"/>
      <c r="E128" s="13"/>
      <c r="F128" s="1"/>
      <c r="G128" s="1"/>
      <c r="H128" s="1"/>
      <c r="I128" s="1"/>
      <c r="J128" s="1"/>
      <c r="N128" s="9"/>
      <c r="O128" s="9"/>
      <c r="Q128" s="9"/>
      <c r="R128" s="9"/>
      <c r="S128" s="9"/>
      <c r="T128" s="9"/>
      <c r="U128" s="1"/>
    </row>
    <row r="129" spans="3:21" hidden="1" x14ac:dyDescent="0.25">
      <c r="D129" s="13"/>
      <c r="E129" s="13"/>
      <c r="F129" s="1"/>
      <c r="G129" s="9"/>
      <c r="H129" s="9"/>
      <c r="I129" s="9"/>
      <c r="J129" s="1"/>
      <c r="N129" s="9"/>
      <c r="O129" s="9"/>
      <c r="Q129" s="9"/>
      <c r="R129" s="9"/>
      <c r="S129" s="9"/>
      <c r="T129" s="9"/>
      <c r="U129" s="1"/>
    </row>
    <row r="130" spans="3:21" hidden="1" x14ac:dyDescent="0.25">
      <c r="D130" s="13"/>
      <c r="E130" s="13"/>
      <c r="F130" s="1"/>
      <c r="G130" s="1"/>
      <c r="H130" s="9"/>
      <c r="I130" s="9"/>
      <c r="J130" s="9"/>
      <c r="N130" s="9"/>
      <c r="O130" s="9"/>
      <c r="Q130" s="9"/>
      <c r="R130" s="9"/>
      <c r="S130" s="9"/>
      <c r="T130" s="9"/>
      <c r="U130" s="1"/>
    </row>
    <row r="131" spans="3:21" hidden="1" x14ac:dyDescent="0.25">
      <c r="D131" s="1"/>
      <c r="E131" s="9"/>
      <c r="F131" s="9"/>
      <c r="G131" s="1"/>
      <c r="H131" s="9"/>
      <c r="I131" s="9"/>
      <c r="J131" s="9"/>
      <c r="K131" s="9"/>
      <c r="N131" s="9"/>
      <c r="O131" s="9"/>
      <c r="Q131" s="9"/>
      <c r="R131" s="9"/>
      <c r="S131" s="9"/>
      <c r="T131" s="9"/>
      <c r="U131" s="1"/>
    </row>
    <row r="132" spans="3:21" hidden="1" x14ac:dyDescent="0.25">
      <c r="K132" s="2"/>
      <c r="N132" s="9"/>
      <c r="O132" s="9"/>
      <c r="Q132" s="9"/>
      <c r="R132" s="9"/>
      <c r="S132" s="9"/>
      <c r="T132" s="9"/>
      <c r="U132" s="1"/>
    </row>
    <row r="133" spans="3:21" hidden="1" x14ac:dyDescent="0.25">
      <c r="K133" s="2"/>
      <c r="N133" s="9"/>
      <c r="O133" s="9"/>
      <c r="Q133" s="9"/>
      <c r="R133" s="9"/>
      <c r="S133" s="9"/>
      <c r="T133" s="9"/>
      <c r="U133" s="1"/>
    </row>
    <row r="134" spans="3:21" hidden="1" x14ac:dyDescent="0.25">
      <c r="C134" s="32" t="s">
        <v>20</v>
      </c>
      <c r="D134" s="9">
        <f>ROUND((F14-F17)/F27,0)</f>
        <v>4</v>
      </c>
      <c r="E134" s="1"/>
      <c r="F134" s="1"/>
      <c r="G134" s="1"/>
      <c r="H134" s="9">
        <f>ROUND((F13-F16-F15-F20*2)/F27,0)</f>
        <v>3</v>
      </c>
      <c r="I134" s="9"/>
      <c r="J134" s="9"/>
      <c r="M134" s="9"/>
      <c r="O134" s="9"/>
      <c r="P134" s="9"/>
      <c r="Q134" s="9"/>
      <c r="R134" s="9"/>
      <c r="T134" s="13"/>
    </row>
    <row r="135" spans="3:21" hidden="1" x14ac:dyDescent="0.25">
      <c r="C135" s="32"/>
      <c r="D135" s="9" t="s">
        <v>21</v>
      </c>
      <c r="E135" s="1"/>
      <c r="F135" s="9" t="s">
        <v>26</v>
      </c>
      <c r="G135" s="1"/>
      <c r="H135" s="9" t="s">
        <v>22</v>
      </c>
      <c r="I135" s="9"/>
      <c r="J135" s="9" t="s">
        <v>23</v>
      </c>
      <c r="M135" s="9"/>
      <c r="O135" s="9"/>
      <c r="P135" s="9"/>
      <c r="Q135" s="9"/>
      <c r="R135" s="9"/>
      <c r="T135" s="13"/>
    </row>
    <row r="136" spans="3:21" hidden="1" x14ac:dyDescent="0.25">
      <c r="C136" s="3"/>
      <c r="D136" s="8" t="s">
        <v>18</v>
      </c>
      <c r="E136" s="8" t="s">
        <v>19</v>
      </c>
      <c r="F136" s="8" t="s">
        <v>19</v>
      </c>
      <c r="G136" s="1"/>
      <c r="H136" s="8" t="s">
        <v>18</v>
      </c>
      <c r="I136" s="8" t="s">
        <v>19</v>
      </c>
      <c r="J136" s="8" t="s">
        <v>18</v>
      </c>
      <c r="M136" s="9"/>
      <c r="O136" s="9"/>
      <c r="P136" s="9"/>
      <c r="Q136" s="9"/>
      <c r="R136" s="9"/>
      <c r="T136" s="13"/>
    </row>
    <row r="137" spans="3:21" hidden="1" x14ac:dyDescent="0.25">
      <c r="C137" s="32">
        <v>0</v>
      </c>
      <c r="D137" s="9">
        <f>D123</f>
        <v>0.1</v>
      </c>
      <c r="E137" s="9">
        <f>E123</f>
        <v>0.1</v>
      </c>
      <c r="F137" s="9">
        <f>H122</f>
        <v>1.0999999999999999</v>
      </c>
      <c r="G137" s="9">
        <f t="shared" ref="G137:G152" si="2">IF(D137="","",1)</f>
        <v>1</v>
      </c>
      <c r="H137" s="9">
        <f>D137</f>
        <v>0.1</v>
      </c>
      <c r="I137" s="9">
        <f>F16+F20</f>
        <v>0.27500000000000002</v>
      </c>
      <c r="J137" s="9">
        <f>D124</f>
        <v>0.9</v>
      </c>
      <c r="K137" s="9">
        <f>IF(I137="","",1)</f>
        <v>1</v>
      </c>
      <c r="M137" s="9"/>
      <c r="O137" s="9"/>
      <c r="P137" s="9"/>
      <c r="Q137" s="9"/>
      <c r="R137" s="9"/>
      <c r="T137" s="13"/>
    </row>
    <row r="138" spans="3:21" hidden="1" x14ac:dyDescent="0.25">
      <c r="C138" s="32">
        <f>C137+1</f>
        <v>1</v>
      </c>
      <c r="D138" s="9">
        <f>IF(C138&gt;$D$134,"",D137+($F$14-$F$17)/$D$134)</f>
        <v>0.30000000000000004</v>
      </c>
      <c r="E138" s="9">
        <f>IF(C138&gt;$D$134,"",$E$137)</f>
        <v>0.1</v>
      </c>
      <c r="F138" s="9">
        <f>IF(C138&gt;$D$134,"",$F$137)</f>
        <v>1.0999999999999999</v>
      </c>
      <c r="G138" s="9">
        <f t="shared" si="2"/>
        <v>1</v>
      </c>
      <c r="H138" s="9">
        <f>IF(C138&gt;$H$134,"",$H$137)</f>
        <v>0.1</v>
      </c>
      <c r="I138" s="9">
        <f>IF(C138&gt;$H$134,"",I137+($F$13-$F$15-$F$16-$F$20*2)/$H$134)</f>
        <v>0.4916666666666667</v>
      </c>
      <c r="J138" s="9">
        <f t="shared" ref="J138:J152" si="3">IF(C138&gt;$H$134,"",$J$137)</f>
        <v>0.9</v>
      </c>
      <c r="K138" s="9">
        <f t="shared" ref="K138:K152" si="4">IF(I138="","",1)</f>
        <v>1</v>
      </c>
      <c r="M138" s="9"/>
      <c r="O138" s="9"/>
      <c r="P138" s="9"/>
      <c r="Q138" s="9"/>
      <c r="R138" s="9"/>
      <c r="T138" s="13"/>
    </row>
    <row r="139" spans="3:21" hidden="1" x14ac:dyDescent="0.25">
      <c r="C139" s="32">
        <f t="shared" ref="C139:C152" si="5">C138+1</f>
        <v>2</v>
      </c>
      <c r="D139" s="9">
        <f>IF(C139&gt;$D$134,"",D138+($F$14-$F$17)/$D$134)</f>
        <v>0.5</v>
      </c>
      <c r="E139" s="9">
        <f t="shared" ref="E139:E152" si="6">IF(C139&gt;$D$134,"",$E$137)</f>
        <v>0.1</v>
      </c>
      <c r="F139" s="9">
        <f t="shared" ref="F139:F152" si="7">IF(C139&gt;$D$134,"",$F$137)</f>
        <v>1.0999999999999999</v>
      </c>
      <c r="G139" s="9">
        <f t="shared" si="2"/>
        <v>1</v>
      </c>
      <c r="H139" s="9">
        <f t="shared" ref="H139:H152" si="8">IF(C139&gt;$H$134,"",$H$137)</f>
        <v>0.1</v>
      </c>
      <c r="I139" s="9">
        <f>IF(C139&gt;$H$134,"",I138+($F$13-$F$15-$F$16-$F$20*2)/$H$134)</f>
        <v>0.70833333333333337</v>
      </c>
      <c r="J139" s="9">
        <f t="shared" si="3"/>
        <v>0.9</v>
      </c>
      <c r="K139" s="9">
        <f t="shared" si="4"/>
        <v>1</v>
      </c>
      <c r="M139" s="9"/>
      <c r="O139" s="9"/>
      <c r="P139" s="9"/>
      <c r="Q139" s="9"/>
      <c r="R139" s="9"/>
      <c r="T139" s="13"/>
    </row>
    <row r="140" spans="3:21" hidden="1" x14ac:dyDescent="0.25">
      <c r="C140" s="32">
        <f t="shared" si="5"/>
        <v>3</v>
      </c>
      <c r="D140" s="9">
        <f>IF(C140&gt;$D$134,"",D139+($F$14-$F$17)/$D$134)</f>
        <v>0.7</v>
      </c>
      <c r="E140" s="9">
        <f t="shared" si="6"/>
        <v>0.1</v>
      </c>
      <c r="F140" s="9">
        <f t="shared" si="7"/>
        <v>1.0999999999999999</v>
      </c>
      <c r="G140" s="9">
        <f t="shared" si="2"/>
        <v>1</v>
      </c>
      <c r="H140" s="9">
        <f t="shared" si="8"/>
        <v>0.1</v>
      </c>
      <c r="I140" s="9">
        <f>IF(C140&gt;$H$134,"",I139+($F$13-$F$15-$F$16-$F$20*2)/$H$134)</f>
        <v>0.92500000000000004</v>
      </c>
      <c r="J140" s="9">
        <f t="shared" si="3"/>
        <v>0.9</v>
      </c>
      <c r="K140" s="9">
        <f t="shared" si="4"/>
        <v>1</v>
      </c>
      <c r="M140" s="9"/>
      <c r="O140" s="9"/>
      <c r="P140" s="9"/>
      <c r="Q140" s="9"/>
      <c r="R140" s="9"/>
      <c r="T140" s="13"/>
    </row>
    <row r="141" spans="3:21" hidden="1" x14ac:dyDescent="0.25">
      <c r="C141" s="32">
        <f t="shared" si="5"/>
        <v>4</v>
      </c>
      <c r="D141" s="9">
        <f>IF(C141&gt;$D$134,"",D140+($F$14-$F$17)/$D$134)</f>
        <v>0.89999999999999991</v>
      </c>
      <c r="E141" s="9">
        <f t="shared" si="6"/>
        <v>0.1</v>
      </c>
      <c r="F141" s="9">
        <f t="shared" si="7"/>
        <v>1.0999999999999999</v>
      </c>
      <c r="G141" s="9">
        <f t="shared" si="2"/>
        <v>1</v>
      </c>
      <c r="H141" s="9" t="str">
        <f t="shared" si="8"/>
        <v/>
      </c>
      <c r="I141" s="9" t="str">
        <f>IF(C141&gt;$H$134,"",I140+($F$13-$F$15-$F$16-$F$20*2)/$H$134)</f>
        <v/>
      </c>
      <c r="J141" s="9" t="str">
        <f t="shared" si="3"/>
        <v/>
      </c>
      <c r="K141" s="9" t="str">
        <f t="shared" si="4"/>
        <v/>
      </c>
      <c r="M141" s="9"/>
      <c r="O141" s="9"/>
      <c r="P141" s="9"/>
      <c r="Q141" s="9"/>
      <c r="R141" s="9"/>
      <c r="T141" s="13"/>
    </row>
    <row r="142" spans="3:21" hidden="1" x14ac:dyDescent="0.25">
      <c r="C142" s="32">
        <f t="shared" si="5"/>
        <v>5</v>
      </c>
      <c r="D142" s="9" t="str">
        <f>IF(C142&gt;$D$134,"",D141+($F$14-$F$17)/$D$134)</f>
        <v/>
      </c>
      <c r="E142" s="9" t="str">
        <f t="shared" si="6"/>
        <v/>
      </c>
      <c r="F142" s="9" t="str">
        <f t="shared" si="7"/>
        <v/>
      </c>
      <c r="G142" s="9" t="str">
        <f t="shared" si="2"/>
        <v/>
      </c>
      <c r="H142" s="9" t="str">
        <f t="shared" si="8"/>
        <v/>
      </c>
      <c r="I142" s="9" t="str">
        <f>IF(C142&gt;$H$134,"",I141+($F$13-$F$15-$F$16-$F$20*2)/$H$134)</f>
        <v/>
      </c>
      <c r="J142" s="9" t="str">
        <f t="shared" si="3"/>
        <v/>
      </c>
      <c r="K142" s="9" t="str">
        <f t="shared" si="4"/>
        <v/>
      </c>
      <c r="M142" s="9"/>
      <c r="O142" s="9"/>
      <c r="P142" s="9"/>
      <c r="Q142" s="9"/>
      <c r="R142" s="9"/>
      <c r="T142" s="13"/>
    </row>
    <row r="143" spans="3:21" hidden="1" x14ac:dyDescent="0.25">
      <c r="C143" s="32">
        <f t="shared" si="5"/>
        <v>6</v>
      </c>
      <c r="D143" s="9" t="str">
        <f>IF(C143&gt;$D$134,"",D142+($F$14-$F$17)/$D$134)</f>
        <v/>
      </c>
      <c r="E143" s="9" t="str">
        <f t="shared" si="6"/>
        <v/>
      </c>
      <c r="F143" s="9" t="str">
        <f t="shared" si="7"/>
        <v/>
      </c>
      <c r="G143" s="9" t="str">
        <f t="shared" si="2"/>
        <v/>
      </c>
      <c r="H143" s="9" t="str">
        <f t="shared" si="8"/>
        <v/>
      </c>
      <c r="I143" s="9" t="str">
        <f>IF(C143&gt;$H$134,"",I142+($F$13-$F$15-$F$16-$F$20*2)/$H$134)</f>
        <v/>
      </c>
      <c r="J143" s="9" t="str">
        <f t="shared" si="3"/>
        <v/>
      </c>
      <c r="K143" s="9" t="str">
        <f t="shared" si="4"/>
        <v/>
      </c>
      <c r="T143" s="13"/>
    </row>
    <row r="144" spans="3:21" hidden="1" x14ac:dyDescent="0.25">
      <c r="C144" s="32">
        <f t="shared" si="5"/>
        <v>7</v>
      </c>
      <c r="D144" s="9" t="str">
        <f>IF(C144&gt;$D$134,"",D143+($F$14-$F$17)/$D$134)</f>
        <v/>
      </c>
      <c r="E144" s="9" t="str">
        <f t="shared" si="6"/>
        <v/>
      </c>
      <c r="F144" s="9" t="str">
        <f t="shared" si="7"/>
        <v/>
      </c>
      <c r="G144" s="9" t="str">
        <f t="shared" si="2"/>
        <v/>
      </c>
      <c r="H144" s="9" t="str">
        <f t="shared" si="8"/>
        <v/>
      </c>
      <c r="I144" s="9" t="str">
        <f>IF(C144&gt;$H$134,"",I143+($F$13-$F$15-$F$16-$F$20*2)/$H$134)</f>
        <v/>
      </c>
      <c r="J144" s="9" t="str">
        <f t="shared" si="3"/>
        <v/>
      </c>
      <c r="K144" s="9" t="str">
        <f t="shared" si="4"/>
        <v/>
      </c>
      <c r="T144" s="13"/>
    </row>
    <row r="145" spans="3:20" hidden="1" x14ac:dyDescent="0.25">
      <c r="C145" s="32">
        <f t="shared" si="5"/>
        <v>8</v>
      </c>
      <c r="D145" s="9" t="str">
        <f>IF(C145&gt;$D$134,"",D144+($F$14-$F$17)/$D$134)</f>
        <v/>
      </c>
      <c r="E145" s="9" t="str">
        <f t="shared" si="6"/>
        <v/>
      </c>
      <c r="F145" s="9" t="str">
        <f t="shared" si="7"/>
        <v/>
      </c>
      <c r="G145" s="9" t="str">
        <f t="shared" si="2"/>
        <v/>
      </c>
      <c r="H145" s="9" t="str">
        <f t="shared" si="8"/>
        <v/>
      </c>
      <c r="I145" s="9" t="str">
        <f>IF(C145&gt;$H$134,"",I144+($F$13-$F$15-$F$16-$F$20*2)/$H$134)</f>
        <v/>
      </c>
      <c r="J145" s="9" t="str">
        <f t="shared" si="3"/>
        <v/>
      </c>
      <c r="K145" s="9" t="str">
        <f t="shared" si="4"/>
        <v/>
      </c>
      <c r="T145" s="13"/>
    </row>
    <row r="146" spans="3:20" hidden="1" x14ac:dyDescent="0.25">
      <c r="C146" s="32">
        <f t="shared" si="5"/>
        <v>9</v>
      </c>
      <c r="D146" s="9" t="str">
        <f>IF(C146&gt;$D$134,"",D145+($F$14-$F$17)/$D$134)</f>
        <v/>
      </c>
      <c r="E146" s="9" t="str">
        <f t="shared" si="6"/>
        <v/>
      </c>
      <c r="F146" s="9" t="str">
        <f t="shared" si="7"/>
        <v/>
      </c>
      <c r="G146" s="9" t="str">
        <f t="shared" si="2"/>
        <v/>
      </c>
      <c r="H146" s="9" t="str">
        <f t="shared" si="8"/>
        <v/>
      </c>
      <c r="I146" s="9" t="str">
        <f>IF(C146&gt;$H$134,"",I145+($F$13-$F$15-$F$16-$F$20*2)/$H$134)</f>
        <v/>
      </c>
      <c r="J146" s="9" t="str">
        <f t="shared" si="3"/>
        <v/>
      </c>
      <c r="K146" s="9" t="str">
        <f t="shared" si="4"/>
        <v/>
      </c>
      <c r="T146" s="13"/>
    </row>
    <row r="147" spans="3:20" hidden="1" x14ac:dyDescent="0.25">
      <c r="C147" s="32">
        <f t="shared" si="5"/>
        <v>10</v>
      </c>
      <c r="D147" s="9" t="str">
        <f>IF(C147&gt;$D$134,"",D146+($F$14-$F$17)/$D$134)</f>
        <v/>
      </c>
      <c r="E147" s="9" t="str">
        <f t="shared" si="6"/>
        <v/>
      </c>
      <c r="F147" s="9" t="str">
        <f t="shared" si="7"/>
        <v/>
      </c>
      <c r="G147" s="9" t="str">
        <f t="shared" si="2"/>
        <v/>
      </c>
      <c r="H147" s="9" t="str">
        <f t="shared" si="8"/>
        <v/>
      </c>
      <c r="I147" s="9" t="str">
        <f>IF(C147&gt;$H$134,"",I146+($F$13-$F$15-$F$16-$F$20*2)/$H$134)</f>
        <v/>
      </c>
      <c r="J147" s="9" t="str">
        <f t="shared" si="3"/>
        <v/>
      </c>
      <c r="K147" s="9" t="str">
        <f t="shared" si="4"/>
        <v/>
      </c>
      <c r="T147" s="13"/>
    </row>
    <row r="148" spans="3:20" hidden="1" x14ac:dyDescent="0.25">
      <c r="C148" s="32">
        <f t="shared" si="5"/>
        <v>11</v>
      </c>
      <c r="D148" s="9" t="str">
        <f>IF(C148&gt;$D$134,"",D147+($F$14-$F$17)/$D$134)</f>
        <v/>
      </c>
      <c r="E148" s="9" t="str">
        <f t="shared" si="6"/>
        <v/>
      </c>
      <c r="F148" s="9" t="str">
        <f t="shared" si="7"/>
        <v/>
      </c>
      <c r="G148" s="9" t="str">
        <f t="shared" si="2"/>
        <v/>
      </c>
      <c r="H148" s="9" t="str">
        <f t="shared" si="8"/>
        <v/>
      </c>
      <c r="I148" s="9" t="str">
        <f>IF(C148&gt;$H$134,"",I147+($F$13-$F$15-$F$16-$F$20*2)/$H$134)</f>
        <v/>
      </c>
      <c r="J148" s="9" t="str">
        <f t="shared" si="3"/>
        <v/>
      </c>
      <c r="K148" s="9" t="str">
        <f t="shared" si="4"/>
        <v/>
      </c>
      <c r="T148" s="13"/>
    </row>
    <row r="149" spans="3:20" hidden="1" x14ac:dyDescent="0.25">
      <c r="C149" s="32">
        <f t="shared" si="5"/>
        <v>12</v>
      </c>
      <c r="D149" s="9" t="str">
        <f>IF(C149&gt;$D$134,"",D148+($F$14-$F$17)/$D$134)</f>
        <v/>
      </c>
      <c r="E149" s="9" t="str">
        <f t="shared" si="6"/>
        <v/>
      </c>
      <c r="F149" s="9" t="str">
        <f t="shared" si="7"/>
        <v/>
      </c>
      <c r="G149" s="9" t="str">
        <f t="shared" si="2"/>
        <v/>
      </c>
      <c r="H149" s="9" t="str">
        <f t="shared" si="8"/>
        <v/>
      </c>
      <c r="I149" s="9" t="str">
        <f>IF(C149&gt;$H$134,"",I148+($F$13-$F$15-$F$16-$F$20*2)/$H$134)</f>
        <v/>
      </c>
      <c r="J149" s="9" t="str">
        <f t="shared" si="3"/>
        <v/>
      </c>
      <c r="K149" s="9" t="str">
        <f t="shared" si="4"/>
        <v/>
      </c>
      <c r="T149" s="13"/>
    </row>
    <row r="150" spans="3:20" hidden="1" x14ac:dyDescent="0.25">
      <c r="C150" s="32">
        <f t="shared" si="5"/>
        <v>13</v>
      </c>
      <c r="D150" s="9" t="str">
        <f>IF(C150&gt;$D$134,"",D149+($F$14-$F$17)/$D$134)</f>
        <v/>
      </c>
      <c r="E150" s="9" t="str">
        <f t="shared" si="6"/>
        <v/>
      </c>
      <c r="F150" s="9" t="str">
        <f t="shared" si="7"/>
        <v/>
      </c>
      <c r="G150" s="9" t="str">
        <f t="shared" si="2"/>
        <v/>
      </c>
      <c r="H150" s="9" t="str">
        <f t="shared" si="8"/>
        <v/>
      </c>
      <c r="I150" s="9" t="str">
        <f>IF(C150&gt;$H$134,"",I149+($F$13-$F$15-$F$16-$F$20*2)/$H$134)</f>
        <v/>
      </c>
      <c r="J150" s="9" t="str">
        <f t="shared" si="3"/>
        <v/>
      </c>
      <c r="K150" s="9" t="str">
        <f t="shared" si="4"/>
        <v/>
      </c>
      <c r="T150" s="13"/>
    </row>
    <row r="151" spans="3:20" hidden="1" x14ac:dyDescent="0.25">
      <c r="C151" s="32">
        <f t="shared" si="5"/>
        <v>14</v>
      </c>
      <c r="D151" s="9" t="str">
        <f>IF(C151&gt;$D$134,"",D150+($F$14-$F$17)/$D$134)</f>
        <v/>
      </c>
      <c r="E151" s="9" t="str">
        <f t="shared" si="6"/>
        <v/>
      </c>
      <c r="F151" s="9" t="str">
        <f t="shared" si="7"/>
        <v/>
      </c>
      <c r="G151" s="9" t="str">
        <f t="shared" si="2"/>
        <v/>
      </c>
      <c r="H151" s="9" t="str">
        <f t="shared" si="8"/>
        <v/>
      </c>
      <c r="I151" s="9" t="str">
        <f>IF(C151&gt;$H$134,"",I150+($F$13-$F$15-$F$16-$F$20*2)/$H$134)</f>
        <v/>
      </c>
      <c r="J151" s="9" t="str">
        <f t="shared" si="3"/>
        <v/>
      </c>
      <c r="K151" s="9" t="str">
        <f t="shared" si="4"/>
        <v/>
      </c>
      <c r="T151" s="13"/>
    </row>
    <row r="152" spans="3:20" hidden="1" x14ac:dyDescent="0.25">
      <c r="C152" s="32">
        <f t="shared" si="5"/>
        <v>15</v>
      </c>
      <c r="D152" s="8" t="str">
        <f>IF(C152&gt;$D$134,"",D151+($F$14-$F$17)/$D$134)</f>
        <v/>
      </c>
      <c r="E152" s="8" t="str">
        <f t="shared" si="6"/>
        <v/>
      </c>
      <c r="F152" s="8" t="str">
        <f t="shared" si="7"/>
        <v/>
      </c>
      <c r="G152" s="9" t="str">
        <f t="shared" si="2"/>
        <v/>
      </c>
      <c r="H152" s="8" t="str">
        <f t="shared" si="8"/>
        <v/>
      </c>
      <c r="I152" s="8" t="str">
        <f>IF(C152&gt;$H$134,"",I151+($F$13-$F$15-$F$16-$F$20*2)/$H$134)</f>
        <v/>
      </c>
      <c r="J152" s="8" t="str">
        <f t="shared" si="3"/>
        <v/>
      </c>
      <c r="K152" s="9" t="str">
        <f t="shared" si="4"/>
        <v/>
      </c>
      <c r="T152" s="13"/>
    </row>
    <row r="153" spans="3:20" hidden="1" x14ac:dyDescent="0.25">
      <c r="C153" s="19"/>
      <c r="J153" s="1"/>
      <c r="T153" s="13"/>
    </row>
    <row r="154" spans="3:20" hidden="1" x14ac:dyDescent="0.25">
      <c r="C154" s="19"/>
      <c r="D154" s="9" t="s">
        <v>21</v>
      </c>
      <c r="E154" s="1"/>
      <c r="F154" s="9" t="s">
        <v>26</v>
      </c>
      <c r="G154" s="1"/>
      <c r="H154" s="9" t="s">
        <v>22</v>
      </c>
      <c r="I154" s="9"/>
      <c r="J154" s="9" t="s">
        <v>23</v>
      </c>
      <c r="T154" s="13"/>
    </row>
    <row r="155" spans="3:20" hidden="1" x14ac:dyDescent="0.25">
      <c r="C155" s="19"/>
      <c r="D155" s="8" t="s">
        <v>18</v>
      </c>
      <c r="E155" s="8" t="s">
        <v>19</v>
      </c>
      <c r="F155" s="8" t="s">
        <v>19</v>
      </c>
      <c r="G155" s="1"/>
      <c r="H155" s="8" t="s">
        <v>18</v>
      </c>
      <c r="I155" s="8" t="s">
        <v>19</v>
      </c>
      <c r="J155" s="8" t="s">
        <v>18</v>
      </c>
      <c r="T155" s="13"/>
    </row>
    <row r="156" spans="3:20" hidden="1" x14ac:dyDescent="0.25">
      <c r="C156" s="19"/>
      <c r="D156" s="9" cm="1">
        <f t="array" ref="D156:D160">_xlfn._xlws.FILTER(D137:D152,G137:G152=1)</f>
        <v>0.1</v>
      </c>
      <c r="E156" s="9" cm="1">
        <f t="array" ref="E156:E160">_xlfn._xlws.FILTER(E137:E152,G137:G152=1)</f>
        <v>0.1</v>
      </c>
      <c r="F156" s="9" cm="1">
        <f t="array" ref="F156:F160">_xlfn._xlws.FILTER(F137:F152,G137:G152=1)</f>
        <v>1.0999999999999999</v>
      </c>
      <c r="G156" s="9"/>
      <c r="H156" s="9" cm="1">
        <f t="array" ref="H156:H159">_xlfn._xlws.FILTER(H137:H152,K137:K152=1)</f>
        <v>0.1</v>
      </c>
      <c r="I156" s="9" cm="1">
        <f t="array" ref="I156:I159">_xlfn._xlws.FILTER(I137:I152,K137:K152=1)</f>
        <v>0.27500000000000002</v>
      </c>
      <c r="J156" s="9" cm="1">
        <f t="array" ref="J156:J159">_xlfn._xlws.FILTER(J137:J152,K137:K152=1)</f>
        <v>0.9</v>
      </c>
      <c r="T156" s="13"/>
    </row>
    <row r="157" spans="3:20" hidden="1" x14ac:dyDescent="0.25">
      <c r="C157" s="19"/>
      <c r="D157" s="9">
        <v>0.30000000000000004</v>
      </c>
      <c r="E157" s="9">
        <v>0.1</v>
      </c>
      <c r="F157" s="9">
        <v>1.0999999999999999</v>
      </c>
      <c r="G157" s="9"/>
      <c r="H157" s="9">
        <v>0.1</v>
      </c>
      <c r="I157" s="9">
        <v>0.4916666666666667</v>
      </c>
      <c r="J157" s="9">
        <v>0.9</v>
      </c>
      <c r="T157" s="13"/>
    </row>
    <row r="158" spans="3:20" hidden="1" x14ac:dyDescent="0.25">
      <c r="C158" s="19"/>
      <c r="D158" s="9">
        <v>0.5</v>
      </c>
      <c r="E158" s="9">
        <v>0.1</v>
      </c>
      <c r="F158" s="9">
        <v>1.0999999999999999</v>
      </c>
      <c r="G158" s="9"/>
      <c r="H158" s="9">
        <v>0.1</v>
      </c>
      <c r="I158" s="9">
        <v>0.70833333333333337</v>
      </c>
      <c r="J158" s="9">
        <v>0.9</v>
      </c>
      <c r="T158" s="13"/>
    </row>
    <row r="159" spans="3:20" hidden="1" x14ac:dyDescent="0.25">
      <c r="C159" s="19"/>
      <c r="D159" s="9">
        <v>0.7</v>
      </c>
      <c r="E159" s="9">
        <v>0.1</v>
      </c>
      <c r="F159" s="9">
        <v>1.0999999999999999</v>
      </c>
      <c r="G159" s="9"/>
      <c r="H159" s="9">
        <v>0.1</v>
      </c>
      <c r="I159" s="9">
        <v>0.92500000000000004</v>
      </c>
      <c r="J159" s="9">
        <v>0.9</v>
      </c>
      <c r="T159" s="13"/>
    </row>
    <row r="160" spans="3:20" hidden="1" x14ac:dyDescent="0.25">
      <c r="C160" s="19"/>
      <c r="D160" s="9">
        <v>0.89999999999999991</v>
      </c>
      <c r="E160" s="9">
        <v>0.1</v>
      </c>
      <c r="F160" s="9">
        <v>1.0999999999999999</v>
      </c>
      <c r="G160" s="9"/>
      <c r="H160" s="9"/>
      <c r="I160" s="9"/>
      <c r="J160" s="9"/>
      <c r="T160" s="13"/>
    </row>
    <row r="161" spans="4:10" hidden="1" x14ac:dyDescent="0.25">
      <c r="D161" s="9"/>
      <c r="E161" s="9"/>
      <c r="F161" s="9"/>
      <c r="G161" s="9"/>
      <c r="H161" s="9"/>
      <c r="I161" s="9"/>
      <c r="J161" s="9"/>
    </row>
    <row r="162" spans="4:10" hidden="1" x14ac:dyDescent="0.25">
      <c r="D162" s="9"/>
      <c r="E162" s="9"/>
      <c r="F162" s="9"/>
      <c r="G162" s="9"/>
      <c r="H162" s="9"/>
      <c r="I162" s="9"/>
      <c r="J162" s="9"/>
    </row>
    <row r="163" spans="4:10" hidden="1" x14ac:dyDescent="0.25">
      <c r="D163" s="9"/>
      <c r="E163" s="9"/>
      <c r="F163" s="9"/>
      <c r="G163" s="9"/>
      <c r="H163" s="9"/>
      <c r="I163" s="9"/>
      <c r="J163" s="9"/>
    </row>
    <row r="164" spans="4:10" hidden="1" x14ac:dyDescent="0.25">
      <c r="D164" s="9"/>
      <c r="E164" s="9"/>
      <c r="F164" s="9"/>
      <c r="G164" s="9"/>
      <c r="H164" s="9"/>
      <c r="I164" s="9"/>
      <c r="J164" s="9"/>
    </row>
    <row r="165" spans="4:10" hidden="1" x14ac:dyDescent="0.25">
      <c r="D165" s="9"/>
      <c r="E165" s="9"/>
      <c r="F165" s="9"/>
      <c r="G165" s="9"/>
      <c r="H165" s="9"/>
      <c r="I165" s="9"/>
      <c r="J165" s="9"/>
    </row>
    <row r="166" spans="4:10" hidden="1" x14ac:dyDescent="0.25">
      <c r="D166" s="9"/>
      <c r="E166" s="9"/>
      <c r="F166" s="9"/>
      <c r="G166" s="9"/>
      <c r="H166" s="9"/>
      <c r="I166" s="9"/>
      <c r="J166" s="9"/>
    </row>
    <row r="167" spans="4:10" x14ac:dyDescent="0.25">
      <c r="D167" s="9"/>
      <c r="E167" s="9"/>
      <c r="F167" s="9"/>
      <c r="G167" s="9"/>
      <c r="H167" s="9"/>
      <c r="I167" s="9"/>
      <c r="J167" s="9"/>
    </row>
    <row r="168" spans="4:10" x14ac:dyDescent="0.25">
      <c r="D168" s="9"/>
      <c r="E168" s="9"/>
      <c r="F168" s="9"/>
      <c r="G168" s="9"/>
      <c r="H168" s="9"/>
      <c r="I168" s="9"/>
      <c r="J168" s="9"/>
    </row>
    <row r="169" spans="4:10" x14ac:dyDescent="0.25">
      <c r="D169" s="9"/>
      <c r="E169" s="9"/>
      <c r="F169" s="9"/>
      <c r="G169" s="9"/>
      <c r="H169" s="9"/>
      <c r="I169" s="9"/>
      <c r="J169" s="9"/>
    </row>
    <row r="170" spans="4:10" x14ac:dyDescent="0.25">
      <c r="D170" s="9"/>
      <c r="E170" s="9"/>
      <c r="F170" s="9"/>
      <c r="G170" s="9"/>
      <c r="H170" s="9"/>
      <c r="I170" s="9"/>
      <c r="J170" s="9"/>
    </row>
  </sheetData>
  <sheetProtection algorithmName="SHA-512" hashValue="VbHnbZTFJ2AMC5qIbyAHWVNuU1jj7+DRW6ACxkL2T2dqPI59m5lUHr0Oz48uTBC+kyd5u/5rP9jT8texnwLRNQ==" saltValue="SsrBXtLa3/ASJ2RZdtMWZw==" spinCount="100000" sheet="1" objects="1" scenarios="1" selectLockedCells="1"/>
  <phoneticPr fontId="5" type="noConversion"/>
  <printOptions horizontalCentered="1"/>
  <pageMargins left="0.59055118110236227" right="0.59055118110236227" top="0.59055118110236227" bottom="0.59055118110236227" header="0.31496062992125984" footer="0.31496062992125984"/>
  <pageSetup paperSize="9" scale="55" orientation="portrait" r:id="rId1"/>
  <headerFooter>
    <oddFooter>&amp;C&amp;8&amp;K04-049Copyright ©2022 All Rights Reserved | design by Kary LIN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tample</vt:lpstr>
      <vt:lpstr>tample!Print_Area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HC-4</dc:creator>
  <cp:lastModifiedBy>KaryLIN</cp:lastModifiedBy>
  <cp:lastPrinted>2022-05-02T09:18:20Z</cp:lastPrinted>
  <dcterms:created xsi:type="dcterms:W3CDTF">2021-12-22T03:56:40Z</dcterms:created>
  <dcterms:modified xsi:type="dcterms:W3CDTF">2022-05-02T09:18:25Z</dcterms:modified>
</cp:coreProperties>
</file>