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0.MOI\Template\"/>
    </mc:Choice>
  </mc:AlternateContent>
  <xr:revisionPtr revIDLastSave="0" documentId="13_ncr:1_{CF7716A6-8F5A-4330-BEBD-04D25D4F2AAD}" xr6:coauthVersionLast="47" xr6:coauthVersionMax="47" xr10:uidLastSave="{00000000-0000-0000-0000-000000000000}"/>
  <workbookProtection workbookAlgorithmName="SHA-512" workbookHashValue="Vql9SqeMyrGtIVbnfDSd1B+rm4rVIpyE/Sm1j5z44uHb8mL0spNJ9cEP7CKGmtXFyz4iOCStnEVVUpZDjzJ+Wg==" workbookSaltValue="bf+tKb7b2+Q7nI63PzOXRg==" workbookSpinCount="100000" lockStructure="1"/>
  <bookViews>
    <workbookView xWindow="-120" yWindow="-120" windowWidth="20730" windowHeight="11160" tabRatio="703" xr2:uid="{B410AA62-3474-4E48-A402-34F6763B49E8}"/>
  </bookViews>
  <sheets>
    <sheet name="Retaining wall" sheetId="13" r:id="rId1"/>
    <sheet name="settings" sheetId="11" state="hidden" r:id="rId2"/>
    <sheet name="INFO" sheetId="14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S" hidden="1">'[1]單價分析表(1-11)'!#REF!</definedName>
    <definedName name="_2_0_S" hidden="1">'[1]單價分析表(1-11)'!#REF!</definedName>
    <definedName name="_Fill" hidden="1">#REF!</definedName>
    <definedName name="_Key1" hidden="1">'[2]單價分析表(1-11)'!#REF!</definedName>
    <definedName name="_key2" hidden="1">'[3]單價分析表(1-11)'!#REF!</definedName>
    <definedName name="_Order1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'[2]單價分析表(1-11)'!#REF!</definedName>
    <definedName name="_Table1_In1" hidden="1">#REF!</definedName>
    <definedName name="_Table1_Out" hidden="1">#REF!</definedName>
    <definedName name="a">settings!$C$49</definedName>
    <definedName name="a_U">settings!$C$50</definedName>
    <definedName name="ActualEnd">[4]Schedule日曆天!$G1</definedName>
    <definedName name="bearing_capacity">settings!$C$60</definedName>
    <definedName name="blank">settings!$C$58</definedName>
    <definedName name="Complete">[4]Schedule日曆天!$J1</definedName>
    <definedName name="d">settings!$C$43</definedName>
    <definedName name="d_U">settings!$C$44</definedName>
    <definedName name="display">[4]Schedule!$H$6</definedName>
    <definedName name="display_period">[4]Schedule!$G$7</definedName>
    <definedName name="e">settings!$C$42</definedName>
    <definedName name="eq">INDIRECT(#REF!)</definedName>
    <definedName name="eqs">INDIRECT(#REF!)</definedName>
    <definedName name="Fci">settings!$C$51</definedName>
    <definedName name="Fd">settings!$C$22</definedName>
    <definedName name="FdB">settings!$C$35</definedName>
    <definedName name="formula" localSheetId="0">INDIRECT('Retaining wall'!$AK$74)</definedName>
    <definedName name="formula">INDIRECT(#REF!)</definedName>
    <definedName name="formula_a">INDIRECT('Retaining wall'!#REF!)</definedName>
    <definedName name="formula_aw">INDIRECT('Retaining wall'!#REF!)</definedName>
    <definedName name="formula_d">INDIRECT('Retaining wall'!$AK$123)</definedName>
    <definedName name="formula_dw">INDIRECT('Retaining wall'!$AL$123)</definedName>
    <definedName name="formula_e">INDIRECT('Retaining wall'!$AK$124)</definedName>
    <definedName name="formula_e1">INDIRECT('Retaining wall'!$AL$124)</definedName>
    <definedName name="formula_Fci">INDIRECT('Retaining wall'!#REF!)</definedName>
    <definedName name="Formula_Fciw">INDIRECT('Retaining wall'!#REF!)</definedName>
    <definedName name="formula_Fd">INDIRECT('Retaining wall'!$AK$116)</definedName>
    <definedName name="formula_Fdw">INDIRECT('Retaining wall'!$AL$116)</definedName>
    <definedName name="formula_Fr">INDIRECT('Retaining wall'!$AK$117)</definedName>
    <definedName name="formula_Fri">INDIRECT('Retaining wall'!#REF!)</definedName>
    <definedName name="formula_Friw">INDIRECT('Retaining wall'!#REF!)</definedName>
    <definedName name="formula_Frw">INDIRECT('Retaining wall'!$AL$117)</definedName>
    <definedName name="formula_FSb">INDIRECT('Retaining wall'!$AK$127)</definedName>
    <definedName name="formula_FSb_m">INDIRECT('Retaining wall'!#REF!)</definedName>
    <definedName name="formula_FSbw">INDIRECT('Retaining wall'!$AL$127)</definedName>
    <definedName name="formula_FSbw_m">INDIRECT('Retaining wall'!#REF!)</definedName>
    <definedName name="formula_FSo">INDIRECT('Retaining wall'!$AK$112)</definedName>
    <definedName name="formula_FSow">INDIRECT('Retaining wall'!$AL$112)</definedName>
    <definedName name="formula_FSs">INDIRECT('Retaining wall'!$AK$118)</definedName>
    <definedName name="formula_FSsw">INDIRECT('Retaining wall'!$AL$118)</definedName>
    <definedName name="formula_Md">INDIRECT('Retaining wall'!$AK$110)</definedName>
    <definedName name="formula_Mdw">INDIRECT('Retaining wall'!$AL$110)</definedName>
    <definedName name="formula_Mr">INDIRECT('Retaining wall'!$AK$111)</definedName>
    <definedName name="formula_Mrw">INDIRECT('Retaining wall'!$AL$111)</definedName>
    <definedName name="formula_qmax">INDIRECT('Retaining wall'!$AK$125)</definedName>
    <definedName name="formula_qmaxw">INDIRECT('Retaining wall'!$AL$125)</definedName>
    <definedName name="formula_qmin">INDIRECT('Retaining wall'!$AK$126)</definedName>
    <definedName name="formula_qminw">INDIRECT('Retaining wall'!$AL$126)</definedName>
    <definedName name="formula_qult">INDIRECT('Retaining wall'!#REF!)</definedName>
    <definedName name="formula_qultw">INDIRECT('Retaining wall'!#REF!)</definedName>
    <definedName name="formula1" localSheetId="0">INDIRECT('Retaining wall'!$AK$76)</definedName>
    <definedName name="formula1">INDIRECT(#REF!)</definedName>
    <definedName name="Fr">settings!$C$24</definedName>
    <definedName name="Fr_Pp">settings!$C$27</definedName>
    <definedName name="Fr_U">settings!$C$30</definedName>
    <definedName name="Fr_U_Pp">settings!$C$33</definedName>
    <definedName name="FrB">settings!$C$37</definedName>
    <definedName name="FrB_Pp">settings!$C$40</definedName>
    <definedName name="FrBs">settings!$C$38</definedName>
    <definedName name="FrBs_Pp">settings!$C$41</definedName>
    <definedName name="FrBu">settings!$C$36</definedName>
    <definedName name="FrBu_Pp">settings!$C$39</definedName>
    <definedName name="Fri">settings!$C$52</definedName>
    <definedName name="Frs">settings!$C$25</definedName>
    <definedName name="Frs_Pp">settings!$C$28</definedName>
    <definedName name="Frs_U">settings!$C$31</definedName>
    <definedName name="Frs_U_Pp">settings!$C$34</definedName>
    <definedName name="Fru">settings!$C$23</definedName>
    <definedName name="Fru_Pp">settings!$C$26</definedName>
    <definedName name="Fru_U">settings!$C$29</definedName>
    <definedName name="Fru_U_Pp">settings!$C$32</definedName>
    <definedName name="FSb">settings!$C$57</definedName>
    <definedName name="FSo">settings!$C$55</definedName>
    <definedName name="FSs">settings!$C$56</definedName>
    <definedName name="HolidayDates">[4]settings!$I$6:$I$27</definedName>
    <definedName name="Ka">settings!$C$6</definedName>
    <definedName name="KaB">settings!$C$7</definedName>
    <definedName name="Kea">settings!$C$10</definedName>
    <definedName name="Kep">settings!$C$11</definedName>
    <definedName name="Kp">settings!$C$8</definedName>
    <definedName name="KpB">settings!$C$9</definedName>
    <definedName name="Md">settings!$C$14</definedName>
    <definedName name="Md_U">settings!$C$16</definedName>
    <definedName name="MdB">settings!$C$18</definedName>
    <definedName name="Mr">settings!$C$15</definedName>
    <definedName name="Mr_Pp">settings!$C$17</definedName>
    <definedName name="MrB">settings!$C$19</definedName>
    <definedName name="MrB_Pp">settings!$C$20</definedName>
    <definedName name="Pa">settings!$C$12</definedName>
    <definedName name="photo_bc">INDIRECT('Retaining wall'!$AK$128)</definedName>
    <definedName name="PIC_table">[4]settings!$E$6:$F$15</definedName>
    <definedName name="PJdisplay">[4]Schedule日曆天!$L$4</definedName>
    <definedName name="PJdisplayperiod">[4]Schedule日曆天!$L$5</definedName>
    <definedName name="PJstart">[4]Schedule日曆天!$L$3</definedName>
    <definedName name="PlanEnd">[4]Schedule日曆天!$F1</definedName>
    <definedName name="PlanStart">[4]Schedule日曆天!$E1</definedName>
    <definedName name="Pp">settings!$C$13</definedName>
    <definedName name="_xlnm.Print_Area" localSheetId="0">'Retaining wall'!$A$3:$Q$144</definedName>
    <definedName name="_xlnm.Print_Titles" localSheetId="0">'Retaining wall'!$3:$4</definedName>
    <definedName name="project_start">[4]Schedule!$H$5</definedName>
    <definedName name="qmax">settings!$C$45</definedName>
    <definedName name="qmax_U">settings!$C$47</definedName>
    <definedName name="qmin">settings!$C$46</definedName>
    <definedName name="qmin_U">settings!$C$48</definedName>
    <definedName name="qult">settings!$C$54</definedName>
    <definedName name="qult_U">settings!$C$53</definedName>
    <definedName name="show_overdue">[4]settings!$C$20</definedName>
    <definedName name="show_weekends">[4]settings!$C$18</definedName>
    <definedName name="sort1" hidden="1">'[5]單價分析表(1-11)'!#REF!</definedName>
    <definedName name="sort2" hidden="1">'[3]單價分析表(1-11)'!#REF!</definedName>
    <definedName name="WeekendOption">[4]settings!$C$5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3" l="1"/>
  <c r="D143" i="13" l="1"/>
  <c r="D142" i="13"/>
  <c r="D141" i="13"/>
  <c r="D126" i="13"/>
  <c r="D122" i="13"/>
  <c r="D125" i="13"/>
  <c r="D114" i="13"/>
  <c r="D108" i="13"/>
  <c r="D111" i="13"/>
  <c r="D110" i="13"/>
  <c r="K56" i="13" l="1"/>
  <c r="C56" i="13"/>
  <c r="D120" i="13"/>
  <c r="D115" i="13"/>
  <c r="D123" i="13"/>
  <c r="N35" i="13"/>
  <c r="D121" i="13"/>
  <c r="D109" i="13"/>
  <c r="H46" i="13"/>
  <c r="AB22" i="13"/>
  <c r="AB25" i="13"/>
  <c r="AB31" i="13"/>
  <c r="Z31" i="13"/>
  <c r="F46" i="13" s="1"/>
  <c r="C57" i="13"/>
  <c r="C55" i="13"/>
  <c r="C54" i="13"/>
  <c r="S17" i="13"/>
  <c r="S18" i="13"/>
  <c r="S19" i="13"/>
  <c r="S20" i="13"/>
  <c r="S21" i="13"/>
  <c r="S22" i="13"/>
  <c r="B3" i="13"/>
  <c r="F28" i="13"/>
  <c r="F32" i="13"/>
  <c r="F33" i="13"/>
  <c r="F34" i="13"/>
  <c r="K143" i="13" l="1"/>
  <c r="K109" i="13"/>
  <c r="K142" i="13"/>
  <c r="K110" i="13"/>
  <c r="K122" i="13"/>
  <c r="K141" i="13"/>
  <c r="K126" i="13"/>
  <c r="K125" i="13"/>
  <c r="K111" i="13"/>
  <c r="K123" i="13"/>
  <c r="K115" i="13"/>
  <c r="K140" i="13"/>
  <c r="M140" i="13"/>
  <c r="K121" i="13"/>
  <c r="O140" i="13"/>
  <c r="K139" i="13"/>
  <c r="AB17" i="13" l="1"/>
  <c r="AK128" i="13" l="1"/>
  <c r="D128" i="13"/>
  <c r="AK127" i="13"/>
  <c r="AK126" i="13"/>
  <c r="AK125" i="13"/>
  <c r="AK124" i="13"/>
  <c r="AK123" i="13"/>
  <c r="D118" i="13"/>
  <c r="AK118" i="13"/>
  <c r="D112" i="13"/>
  <c r="AK112" i="13" l="1"/>
  <c r="D72" i="13" l="1"/>
  <c r="D71" i="13"/>
  <c r="D70" i="13"/>
  <c r="K57" i="13" l="1"/>
  <c r="H122" i="13"/>
  <c r="H57" i="13"/>
  <c r="C120" i="13" l="1"/>
  <c r="H117" i="13"/>
  <c r="H116" i="13"/>
  <c r="C114" i="13"/>
  <c r="I56" i="13"/>
  <c r="G57" i="13"/>
  <c r="F57" i="13"/>
  <c r="G56" i="13"/>
  <c r="F56" i="13"/>
  <c r="H55" i="13"/>
  <c r="G55" i="13"/>
  <c r="F55" i="13"/>
  <c r="H54" i="13"/>
  <c r="F54" i="13"/>
  <c r="G54" i="13"/>
  <c r="H111" i="13"/>
  <c r="H110" i="13"/>
  <c r="C108" i="13"/>
  <c r="O35" i="13"/>
  <c r="G47" i="13"/>
  <c r="C48" i="13"/>
  <c r="F47" i="13"/>
  <c r="F45" i="13"/>
  <c r="F40" i="13"/>
  <c r="F44" i="13"/>
  <c r="F42" i="13"/>
  <c r="H105" i="13" s="1"/>
  <c r="F39" i="13"/>
  <c r="N40" i="13"/>
  <c r="I68" i="13" s="1"/>
  <c r="N41" i="13"/>
  <c r="I69" i="13" s="1"/>
  <c r="N39" i="13"/>
  <c r="I67" i="13" s="1"/>
  <c r="N36" i="13"/>
  <c r="N34" i="13"/>
  <c r="H69" i="13" s="1"/>
  <c r="N33" i="13"/>
  <c r="H68" i="13" s="1"/>
  <c r="N32" i="13"/>
  <c r="H67" i="13" s="1"/>
  <c r="N31" i="13"/>
  <c r="N30" i="13"/>
  <c r="G68" i="13" s="1"/>
  <c r="N29" i="13"/>
  <c r="G67" i="13" s="1"/>
  <c r="N28" i="13"/>
  <c r="N27" i="13"/>
  <c r="F35" i="13"/>
  <c r="F29" i="13"/>
  <c r="F27" i="13"/>
  <c r="AB10" i="13"/>
  <c r="AB9" i="13"/>
  <c r="AA9" i="13"/>
  <c r="S10" i="13"/>
  <c r="S9" i="13"/>
  <c r="I103" i="13" l="1"/>
  <c r="G103" i="13"/>
  <c r="H103" i="13"/>
  <c r="G105" i="13"/>
  <c r="I105" i="13" s="1"/>
  <c r="D117" i="13"/>
  <c r="K117" i="13"/>
  <c r="D116" i="13"/>
  <c r="K116" i="13"/>
  <c r="I71" i="13"/>
  <c r="I70" i="13"/>
  <c r="I72" i="13"/>
  <c r="F30" i="13"/>
  <c r="G84" i="13" s="1"/>
  <c r="AL126" i="13"/>
  <c r="K128" i="13"/>
  <c r="AL125" i="13"/>
  <c r="AL124" i="13"/>
  <c r="AL127" i="13"/>
  <c r="AL123" i="13"/>
  <c r="AL117" i="13"/>
  <c r="AL112" i="13"/>
  <c r="AL118" i="13"/>
  <c r="K118" i="13"/>
  <c r="AL116" i="13"/>
  <c r="AK116" i="13"/>
  <c r="AK117" i="13"/>
  <c r="K112" i="13"/>
  <c r="AL111" i="13"/>
  <c r="AK111" i="13"/>
  <c r="AK110" i="13"/>
  <c r="AL110" i="13"/>
  <c r="AK74" i="13"/>
  <c r="O110" i="13"/>
  <c r="O122" i="13"/>
  <c r="O117" i="13"/>
  <c r="O116" i="13"/>
  <c r="O111" i="13"/>
  <c r="H85" i="13"/>
  <c r="H101" i="13"/>
  <c r="H96" i="13"/>
  <c r="G88" i="13"/>
  <c r="D93" i="13" s="1"/>
  <c r="G85" i="13"/>
  <c r="F88" i="13"/>
  <c r="H98" i="13"/>
  <c r="AK76" i="13"/>
  <c r="H92" i="13"/>
  <c r="H100" i="13"/>
  <c r="G69" i="13"/>
  <c r="H93" i="13"/>
  <c r="G66" i="13"/>
  <c r="H66" i="13" s="1"/>
  <c r="H74" i="13" s="1"/>
  <c r="H84" i="13"/>
  <c r="I76" i="13"/>
  <c r="F31" i="13" l="1"/>
  <c r="D91" i="13"/>
  <c r="D92" i="13"/>
  <c r="I85" i="13"/>
  <c r="K98" i="13"/>
  <c r="L98" i="13" s="1"/>
  <c r="H95" i="13"/>
  <c r="G98" i="13"/>
  <c r="I98" i="13" s="1"/>
  <c r="I84" i="13"/>
  <c r="H91" i="13"/>
  <c r="G74" i="13"/>
  <c r="K91" i="13" s="1"/>
  <c r="L91" i="13" s="1"/>
  <c r="G83" i="13"/>
  <c r="H83" i="13"/>
  <c r="G93" i="13"/>
  <c r="I93" i="13" s="1"/>
  <c r="K93" i="13"/>
  <c r="K96" i="13"/>
  <c r="L96" i="13" s="1"/>
  <c r="K92" i="13"/>
  <c r="L92" i="13" s="1"/>
  <c r="G96" i="13"/>
  <c r="I96" i="13" s="1"/>
  <c r="G92" i="13"/>
  <c r="I92" i="13" s="1"/>
  <c r="G95" i="13" l="1"/>
  <c r="I95" i="13" s="1"/>
  <c r="K95" i="13"/>
  <c r="L95" i="13" s="1"/>
  <c r="G91" i="13"/>
  <c r="I91" i="13" s="1"/>
  <c r="G86" i="13"/>
  <c r="G117" i="13" s="1"/>
  <c r="I83" i="13"/>
  <c r="L93" i="13"/>
  <c r="G99" i="13" l="1"/>
  <c r="I99" i="13"/>
  <c r="I86" i="13"/>
  <c r="N111" i="13" s="1"/>
  <c r="G100" i="13" l="1"/>
  <c r="I100" i="13" s="1"/>
  <c r="N110" i="13" s="1"/>
  <c r="G101" i="13"/>
  <c r="N116" i="13" l="1"/>
  <c r="N117" i="13"/>
  <c r="G110" i="13"/>
  <c r="I101" i="13"/>
  <c r="G116" i="13"/>
  <c r="N118" i="13" l="1"/>
  <c r="O118" i="13" s="1"/>
  <c r="M142" i="13" s="1"/>
  <c r="G118" i="13"/>
  <c r="G111" i="13"/>
  <c r="G122" i="13" s="1"/>
  <c r="G123" i="13" s="1"/>
  <c r="P118" i="13" l="1"/>
  <c r="O142" i="13" s="1"/>
  <c r="G126" i="13"/>
  <c r="G125" i="13"/>
  <c r="N122" i="13"/>
  <c r="N123" i="13" s="1"/>
  <c r="N112" i="13"/>
  <c r="I118" i="13"/>
  <c r="H142" i="13" s="1"/>
  <c r="H118" i="13"/>
  <c r="F142" i="13" s="1"/>
  <c r="I123" i="13"/>
  <c r="H123" i="13"/>
  <c r="G112" i="13"/>
  <c r="G128" i="13" l="1"/>
  <c r="H125" i="13"/>
  <c r="F143" i="13" s="1"/>
  <c r="O112" i="13"/>
  <c r="M141" i="13" s="1"/>
  <c r="P112" i="13"/>
  <c r="O141" i="13" s="1"/>
  <c r="O123" i="13"/>
  <c r="P123" i="13"/>
  <c r="I125" i="13"/>
  <c r="H143" i="13" s="1"/>
  <c r="I112" i="13"/>
  <c r="H141" i="13" s="1"/>
  <c r="H112" i="13"/>
  <c r="F141" i="13" s="1"/>
  <c r="N126" i="13"/>
  <c r="N125" i="13"/>
  <c r="O125" i="13" s="1"/>
  <c r="H128" i="13" l="1"/>
  <c r="I128" i="13"/>
  <c r="P125" i="13"/>
  <c r="O143" i="13" s="1"/>
  <c r="M143" i="13"/>
  <c r="N128" i="13"/>
  <c r="O128" i="13" l="1"/>
  <c r="P128" i="13"/>
</calcChain>
</file>

<file path=xl/sharedStrings.xml><?xml version="1.0" encoding="utf-8"?>
<sst xmlns="http://schemas.openxmlformats.org/spreadsheetml/2006/main" count="390" uniqueCount="283">
  <si>
    <t>m</t>
    <phoneticPr fontId="1" type="noConversion"/>
  </si>
  <si>
    <t>m</t>
  </si>
  <si>
    <t>º</t>
  </si>
  <si>
    <t>t/m</t>
    <phoneticPr fontId="1" type="noConversion"/>
  </si>
  <si>
    <t>≧</t>
  </si>
  <si>
    <t>≦</t>
  </si>
  <si>
    <t>P</t>
    <phoneticPr fontId="1" type="noConversion"/>
  </si>
  <si>
    <t>Bearing Capacity Factors</t>
    <phoneticPr fontId="7" type="noConversion"/>
  </si>
  <si>
    <t>φ</t>
    <phoneticPr fontId="7" type="noConversion"/>
  </si>
  <si>
    <t>Nc</t>
    <phoneticPr fontId="7" type="noConversion"/>
  </si>
  <si>
    <t>Nq</t>
    <phoneticPr fontId="7" type="noConversion"/>
  </si>
  <si>
    <t>Nr</t>
    <phoneticPr fontId="7" type="noConversion"/>
  </si>
  <si>
    <t>-</t>
    <phoneticPr fontId="7" type="noConversion"/>
  </si>
  <si>
    <t>A.</t>
    <phoneticPr fontId="1" type="noConversion"/>
  </si>
  <si>
    <t>B.</t>
    <phoneticPr fontId="1" type="noConversion"/>
  </si>
  <si>
    <t>Terzaghi Bearing Capacity Equations</t>
    <phoneticPr fontId="1" type="noConversion"/>
  </si>
  <si>
    <t>Ka</t>
    <phoneticPr fontId="1" type="noConversion"/>
  </si>
  <si>
    <t>Kp</t>
    <phoneticPr fontId="1" type="noConversion"/>
  </si>
  <si>
    <t>(Mr) t-m/m</t>
    <phoneticPr fontId="1" type="noConversion"/>
  </si>
  <si>
    <t>(   ) m</t>
    <phoneticPr fontId="1" type="noConversion"/>
  </si>
  <si>
    <t>(y) m</t>
    <phoneticPr fontId="1" type="noConversion"/>
  </si>
  <si>
    <t>(Md) t-m/m</t>
    <phoneticPr fontId="1" type="noConversion"/>
  </si>
  <si>
    <t>formula</t>
    <phoneticPr fontId="1" type="noConversion"/>
  </si>
  <si>
    <t>KaB</t>
    <phoneticPr fontId="1" type="noConversion"/>
  </si>
  <si>
    <t>KpB</t>
    <phoneticPr fontId="1" type="noConversion"/>
  </si>
  <si>
    <t>Kea</t>
    <phoneticPr fontId="1" type="noConversion"/>
  </si>
  <si>
    <t>Kep</t>
    <phoneticPr fontId="1" type="noConversion"/>
  </si>
  <si>
    <t>z</t>
    <phoneticPr fontId="1" type="noConversion"/>
  </si>
  <si>
    <t>v</t>
    <phoneticPr fontId="1" type="noConversion"/>
  </si>
  <si>
    <t>(V) t/m</t>
    <phoneticPr fontId="1" type="noConversion"/>
  </si>
  <si>
    <t>qmin</t>
    <phoneticPr fontId="1" type="noConversion"/>
  </si>
  <si>
    <t>qmax</t>
    <phoneticPr fontId="1" type="noConversion"/>
  </si>
  <si>
    <t>Mr</t>
    <phoneticPr fontId="1" type="noConversion"/>
  </si>
  <si>
    <t>Md</t>
    <phoneticPr fontId="1" type="noConversion"/>
  </si>
  <si>
    <t>e</t>
    <phoneticPr fontId="1" type="noConversion"/>
  </si>
  <si>
    <t>d</t>
    <phoneticPr fontId="1" type="noConversion"/>
  </si>
  <si>
    <t>Mr_Pp</t>
    <phoneticPr fontId="1" type="noConversion"/>
  </si>
  <si>
    <t>地震時之主動土壓力係數</t>
    <phoneticPr fontId="1" type="noConversion"/>
  </si>
  <si>
    <t>地震時之被動土壓力係數</t>
    <phoneticPr fontId="1" type="noConversion"/>
  </si>
  <si>
    <t>qult</t>
    <phoneticPr fontId="1" type="noConversion"/>
  </si>
  <si>
    <t>Pa</t>
    <phoneticPr fontId="1" type="noConversion"/>
  </si>
  <si>
    <t>Pp</t>
    <phoneticPr fontId="1" type="noConversion"/>
  </si>
  <si>
    <t>Fr</t>
    <phoneticPr fontId="1" type="noConversion"/>
  </si>
  <si>
    <t>Fci</t>
    <phoneticPr fontId="1" type="noConversion"/>
  </si>
  <si>
    <t>Fri</t>
    <phoneticPr fontId="1" type="noConversion"/>
  </si>
  <si>
    <t>Md_U</t>
    <phoneticPr fontId="1" type="noConversion"/>
  </si>
  <si>
    <t>Fd</t>
    <phoneticPr fontId="1" type="noConversion"/>
  </si>
  <si>
    <t>主動土壓力係數 (β &gt; 0º)</t>
    <phoneticPr fontId="1" type="noConversion"/>
  </si>
  <si>
    <t>被動土壓力係數 (β &gt; 0º)</t>
    <phoneticPr fontId="1" type="noConversion"/>
  </si>
  <si>
    <t>轉動力矩 (無水, β = 0º)</t>
    <phoneticPr fontId="1" type="noConversion"/>
  </si>
  <si>
    <t>抵抗傾倒力矩 (無水, β = 0º)</t>
    <phoneticPr fontId="1" type="noConversion"/>
  </si>
  <si>
    <t>抵抗傾倒力矩 (無水, β = 0º, 被動土壓)</t>
    <phoneticPr fontId="1" type="noConversion"/>
  </si>
  <si>
    <t>轉動力矩 (有水, β = 0º)</t>
    <phoneticPr fontId="1" type="noConversion"/>
  </si>
  <si>
    <t>轉動力矩 (無水, β &gt; 0º)</t>
    <phoneticPr fontId="1" type="noConversion"/>
  </si>
  <si>
    <t>抵抗傾倒力矩 (無水, β &gt; 0º, 被動土壓)</t>
    <phoneticPr fontId="1" type="noConversion"/>
  </si>
  <si>
    <t>MrB_Pp</t>
    <phoneticPr fontId="1" type="noConversion"/>
  </si>
  <si>
    <t>MrB</t>
    <phoneticPr fontId="1" type="noConversion"/>
  </si>
  <si>
    <t>抵抗傾倒力矩 (無水, β &gt; 0º)</t>
    <phoneticPr fontId="1" type="noConversion"/>
  </si>
  <si>
    <t>滑動力 (無水, β &gt; 0º)</t>
    <phoneticPr fontId="1" type="noConversion"/>
  </si>
  <si>
    <t>滑動力 (無水, β = 0º)</t>
    <phoneticPr fontId="1" type="noConversion"/>
  </si>
  <si>
    <t>FdB</t>
    <phoneticPr fontId="1" type="noConversion"/>
  </si>
  <si>
    <t>MdB</t>
    <phoneticPr fontId="1" type="noConversion"/>
  </si>
  <si>
    <t>抵抗滑動力 (無水, β = 0º)</t>
    <phoneticPr fontId="1" type="noConversion"/>
  </si>
  <si>
    <t>Fr_Pp</t>
    <phoneticPr fontId="1" type="noConversion"/>
  </si>
  <si>
    <t>Fru</t>
    <phoneticPr fontId="1" type="noConversion"/>
  </si>
  <si>
    <t>Fru_Pp</t>
    <phoneticPr fontId="1" type="noConversion"/>
  </si>
  <si>
    <t>抵抗滑動力 (無水, β = 0º,無止滑榫)</t>
    <phoneticPr fontId="1" type="noConversion"/>
  </si>
  <si>
    <t>Frs</t>
    <phoneticPr fontId="1" type="noConversion"/>
  </si>
  <si>
    <t>抵抗滑動力 (有水, β = 0º)</t>
    <phoneticPr fontId="1" type="noConversion"/>
  </si>
  <si>
    <t>抵抗滑動力 (有水, β = 0º,無止滑榫)</t>
    <phoneticPr fontId="1" type="noConversion"/>
  </si>
  <si>
    <t>抵抗滑動力 (無水, β = 0º,摩擦係數)</t>
    <phoneticPr fontId="1" type="noConversion"/>
  </si>
  <si>
    <t>Fru_U</t>
    <phoneticPr fontId="1" type="noConversion"/>
  </si>
  <si>
    <t>Fr_U</t>
    <phoneticPr fontId="1" type="noConversion"/>
  </si>
  <si>
    <t>Frs_U</t>
    <phoneticPr fontId="1" type="noConversion"/>
  </si>
  <si>
    <t>抵抗滑動力 (有水, β = 0º,摩擦係數)</t>
    <phoneticPr fontId="1" type="noConversion"/>
  </si>
  <si>
    <t>Frs_Pp</t>
    <phoneticPr fontId="1" type="noConversion"/>
  </si>
  <si>
    <t>抵抗滑動力 (無水, β = 0º,無止滑榫,被動土壓)</t>
    <phoneticPr fontId="1" type="noConversion"/>
  </si>
  <si>
    <t>抵抗滑動力 (無水, β = 0º,摩擦係數,被動土壓)</t>
    <phoneticPr fontId="1" type="noConversion"/>
  </si>
  <si>
    <t>抵抗滑動力 (無水, β = 0º,被動土壓)</t>
    <phoneticPr fontId="1" type="noConversion"/>
  </si>
  <si>
    <t>抵抗滑動力 (有水, β = 0º,摩擦係數,被動土壓)</t>
    <phoneticPr fontId="1" type="noConversion"/>
  </si>
  <si>
    <t>抵抗滑動力 (有水, β = 0º,被動土壓)</t>
    <phoneticPr fontId="1" type="noConversion"/>
  </si>
  <si>
    <t>抵抗滑動力 (有水, β = 0º,無止滑榫,被動土壓)</t>
    <phoneticPr fontId="1" type="noConversion"/>
  </si>
  <si>
    <t>Fru_U_Pp</t>
    <phoneticPr fontId="1" type="noConversion"/>
  </si>
  <si>
    <t>Fr_U_Pp</t>
    <phoneticPr fontId="1" type="noConversion"/>
  </si>
  <si>
    <t>Frs_U_Pp</t>
    <phoneticPr fontId="1" type="noConversion"/>
  </si>
  <si>
    <t>抵抗滑動力 (無水, β &gt; 0º,摩擦係數)</t>
    <phoneticPr fontId="1" type="noConversion"/>
  </si>
  <si>
    <t>抵抗滑動力 (無水, β &gt; 0º)</t>
    <phoneticPr fontId="1" type="noConversion"/>
  </si>
  <si>
    <t>抵抗滑動力 (無水, β &gt; 0º,無止滑榫)</t>
    <phoneticPr fontId="1" type="noConversion"/>
  </si>
  <si>
    <t>FrB</t>
    <phoneticPr fontId="1" type="noConversion"/>
  </si>
  <si>
    <t>FrBu</t>
    <phoneticPr fontId="1" type="noConversion"/>
  </si>
  <si>
    <t>FrBs</t>
    <phoneticPr fontId="1" type="noConversion"/>
  </si>
  <si>
    <t>FrBu_Pp</t>
    <phoneticPr fontId="1" type="noConversion"/>
  </si>
  <si>
    <t>FrB_Pp</t>
    <phoneticPr fontId="1" type="noConversion"/>
  </si>
  <si>
    <t>FrBs_Pp</t>
    <phoneticPr fontId="1" type="noConversion"/>
  </si>
  <si>
    <t>抵抗滑動力 (無水, β &gt; 0º,摩擦係數,被動土壓)</t>
    <phoneticPr fontId="1" type="noConversion"/>
  </si>
  <si>
    <t>抵抗滑動力 (無水, β &gt; 0º,被動土壓)</t>
    <phoneticPr fontId="1" type="noConversion"/>
  </si>
  <si>
    <t>抵抗滑動力 (無水, β &gt; 0º,無止滑榫,被動土壓)</t>
    <phoneticPr fontId="1" type="noConversion"/>
  </si>
  <si>
    <t>偏心距</t>
    <phoneticPr fontId="1" type="noConversion"/>
  </si>
  <si>
    <t>垂直總合力距離O點距離 (無水, β = 0º)</t>
    <phoneticPr fontId="1" type="noConversion"/>
  </si>
  <si>
    <t>垂直總合力距離O點距離 (有水, β = 0º)</t>
    <phoneticPr fontId="1" type="noConversion"/>
  </si>
  <si>
    <t>d_U</t>
    <phoneticPr fontId="1" type="noConversion"/>
  </si>
  <si>
    <t>FSo</t>
    <phoneticPr fontId="1" type="noConversion"/>
  </si>
  <si>
    <t>FSs</t>
    <phoneticPr fontId="1" type="noConversion"/>
  </si>
  <si>
    <t>FSb</t>
    <phoneticPr fontId="1" type="noConversion"/>
  </si>
  <si>
    <t>a</t>
    <phoneticPr fontId="1" type="noConversion"/>
  </si>
  <si>
    <t>空白圖框</t>
    <phoneticPr fontId="1" type="noConversion"/>
  </si>
  <si>
    <t>blank</t>
    <phoneticPr fontId="1" type="noConversion"/>
  </si>
  <si>
    <t>formula</t>
  </si>
  <si>
    <t>formula1</t>
    <phoneticPr fontId="1" type="noConversion"/>
  </si>
  <si>
    <t>formula_Md</t>
    <phoneticPr fontId="1" type="noConversion"/>
  </si>
  <si>
    <t>formula_Mr</t>
    <phoneticPr fontId="1" type="noConversion"/>
  </si>
  <si>
    <t>轉動力矩 (有水, β &gt; 0º)</t>
    <phoneticPr fontId="1" type="noConversion"/>
  </si>
  <si>
    <t>MdB_U</t>
    <phoneticPr fontId="1" type="noConversion"/>
  </si>
  <si>
    <t>公式圖框</t>
    <phoneticPr fontId="1" type="noConversion"/>
  </si>
  <si>
    <t>formula_Mdw</t>
    <phoneticPr fontId="1" type="noConversion"/>
  </si>
  <si>
    <t>formula_FSs
formula_FSsw</t>
    <phoneticPr fontId="1" type="noConversion"/>
  </si>
  <si>
    <t>formula_FSo
formula_FSow</t>
    <phoneticPr fontId="1" type="noConversion"/>
  </si>
  <si>
    <t>formula_FSb
formula_FSbw</t>
    <phoneticPr fontId="1" type="noConversion"/>
  </si>
  <si>
    <t>formula_Fd
formula_Fdw</t>
    <phoneticPr fontId="1" type="noConversion"/>
  </si>
  <si>
    <t>formula_Fr</t>
    <phoneticPr fontId="1" type="noConversion"/>
  </si>
  <si>
    <t>formula_Frw</t>
    <phoneticPr fontId="1" type="noConversion"/>
  </si>
  <si>
    <t>formula_e
formula_ew</t>
    <phoneticPr fontId="1" type="noConversion"/>
  </si>
  <si>
    <t>formula_d</t>
    <phoneticPr fontId="1" type="noConversion"/>
  </si>
  <si>
    <t>formula_dw</t>
  </si>
  <si>
    <t>最大承載力 (無水, β = 0º)</t>
    <phoneticPr fontId="1" type="noConversion"/>
  </si>
  <si>
    <t>最小承載力 (無水, β = 0º)</t>
    <phoneticPr fontId="1" type="noConversion"/>
  </si>
  <si>
    <t>最大承載力 (有水, β = 0º)</t>
    <phoneticPr fontId="1" type="noConversion"/>
  </si>
  <si>
    <t>最小承載力 (有水, β = 0º)</t>
    <phoneticPr fontId="1" type="noConversion"/>
  </si>
  <si>
    <t>qmax_U</t>
    <phoneticPr fontId="1" type="noConversion"/>
  </si>
  <si>
    <t>qmin_U</t>
    <phoneticPr fontId="1" type="noConversion"/>
  </si>
  <si>
    <t>bearing_capacity</t>
    <phoneticPr fontId="1" type="noConversion"/>
  </si>
  <si>
    <t>a_U</t>
    <phoneticPr fontId="1" type="noConversion"/>
  </si>
  <si>
    <t>qult_U</t>
    <phoneticPr fontId="1" type="noConversion"/>
  </si>
  <si>
    <t>Meyerhof承載力公式 (有水, β = 0º)</t>
    <phoneticPr fontId="1" type="noConversion"/>
  </si>
  <si>
    <t>Meyerhof承載力公式 (無水, β = 0º)</t>
    <phoneticPr fontId="1" type="noConversion"/>
  </si>
  <si>
    <t>ABOUT</t>
    <phoneticPr fontId="1" type="noConversion"/>
  </si>
  <si>
    <t>© 2021 Kary LIN</t>
    <phoneticPr fontId="1" type="noConversion"/>
  </si>
  <si>
    <t xml:space="preserve">HOW TO USE </t>
    <phoneticPr fontId="1" type="noConversion"/>
  </si>
  <si>
    <t>Additional Help</t>
    <phoneticPr fontId="1" type="noConversion"/>
  </si>
  <si>
    <t>A.1</t>
    <phoneticPr fontId="1" type="noConversion"/>
  </si>
  <si>
    <t>A.2</t>
    <phoneticPr fontId="1" type="noConversion"/>
  </si>
  <si>
    <t>A.3</t>
    <phoneticPr fontId="1" type="noConversion"/>
  </si>
  <si>
    <t>A.4</t>
    <phoneticPr fontId="1" type="noConversion"/>
  </si>
  <si>
    <t>#E6B7B7</t>
  </si>
  <si>
    <t>description</t>
    <phoneticPr fontId="1" type="noConversion"/>
  </si>
  <si>
    <t>symbols</t>
    <phoneticPr fontId="1" type="noConversion"/>
  </si>
  <si>
    <t>pictures No.</t>
    <phoneticPr fontId="1" type="noConversion"/>
  </si>
  <si>
    <t>主動土壓力係數 (β = 0º)
coefficient of active earth pressure</t>
    <phoneticPr fontId="1" type="noConversion"/>
  </si>
  <si>
    <t>被動土壓力係數 (β = 0º)
coefficient of passive earth pressure</t>
    <phoneticPr fontId="1" type="noConversion"/>
  </si>
  <si>
    <t>主動土壓力active earth pressure</t>
    <phoneticPr fontId="1" type="noConversion"/>
  </si>
  <si>
    <t>被動土壓力passive earth pressure</t>
    <phoneticPr fontId="1" type="noConversion"/>
  </si>
  <si>
    <t>傾倒安全係數overturning</t>
    <phoneticPr fontId="1" type="noConversion"/>
  </si>
  <si>
    <t>滑動安全係數sliding</t>
    <phoneticPr fontId="1" type="noConversion"/>
  </si>
  <si>
    <t>基礎承載力安全係數bearing capacity</t>
    <phoneticPr fontId="1" type="noConversion"/>
  </si>
  <si>
    <t>OUTPUT AREA</t>
    <phoneticPr fontId="1" type="noConversion"/>
  </si>
  <si>
    <t>INPUT AREA</t>
    <phoneticPr fontId="15" type="noConversion"/>
  </si>
  <si>
    <t>check&amp;setting</t>
    <phoneticPr fontId="15" type="noConversion"/>
  </si>
  <si>
    <t>Please enter the project name here</t>
    <phoneticPr fontId="1" type="noConversion"/>
  </si>
  <si>
    <t>Items</t>
    <phoneticPr fontId="1" type="noConversion"/>
  </si>
  <si>
    <t>Valur</t>
    <phoneticPr fontId="1" type="noConversion"/>
  </si>
  <si>
    <t>Unit</t>
    <phoneticPr fontId="1" type="noConversion"/>
  </si>
  <si>
    <t>Remark</t>
    <phoneticPr fontId="1" type="noConversion"/>
  </si>
  <si>
    <t>Project name:</t>
    <phoneticPr fontId="1" type="noConversion"/>
  </si>
  <si>
    <t>The chosen performance criteria should reflect site conditions and agency or Internaction code requirements, like ISO, BS, AASHTO…, ect.</t>
    <phoneticPr fontId="1" type="noConversion"/>
  </si>
  <si>
    <t>Retaining Wall Stability Analysis Template by Kary LIN</t>
    <phoneticPr fontId="1" type="noConversion"/>
  </si>
  <si>
    <t>The informaction of  type of design</t>
    <phoneticPr fontId="1" type="noConversion"/>
  </si>
  <si>
    <t>static</t>
  </si>
  <si>
    <t>B. Whether to consider the influence of passive earth pressure in the calculation?</t>
    <phoneticPr fontId="1" type="noConversion"/>
  </si>
  <si>
    <t>A. Type of design</t>
    <phoneticPr fontId="1" type="noConversion"/>
  </si>
  <si>
    <t>C. Whether to consider the influence of groundwater in the calculation?</t>
    <phoneticPr fontId="1" type="noConversion"/>
  </si>
  <si>
    <t>No</t>
  </si>
  <si>
    <t>Yes</t>
  </si>
  <si>
    <t>Item</t>
    <phoneticPr fontId="1" type="noConversion"/>
  </si>
  <si>
    <t>Value</t>
    <phoneticPr fontId="1" type="noConversion"/>
  </si>
  <si>
    <t>Unit</t>
  </si>
  <si>
    <t>Remark</t>
  </si>
  <si>
    <t>Geometry of Retaining wall</t>
    <phoneticPr fontId="1" type="noConversion"/>
  </si>
  <si>
    <t>Engineering properties of Backfill</t>
    <phoneticPr fontId="1" type="noConversion"/>
  </si>
  <si>
    <t>Wall height (H)</t>
    <phoneticPr fontId="1" type="noConversion"/>
  </si>
  <si>
    <t>Width of top(a1)</t>
    <phoneticPr fontId="1" type="noConversion"/>
  </si>
  <si>
    <t>Slope of wall, 1 : S</t>
    <phoneticPr fontId="1" type="noConversion"/>
  </si>
  <si>
    <t>h1</t>
    <phoneticPr fontId="1" type="noConversion"/>
  </si>
  <si>
    <t>a2</t>
    <phoneticPr fontId="1" type="noConversion"/>
  </si>
  <si>
    <t>Width of bottom(B)</t>
    <phoneticPr fontId="1" type="noConversion"/>
  </si>
  <si>
    <t>Thickness of bottom(h2)</t>
    <phoneticPr fontId="1" type="noConversion"/>
  </si>
  <si>
    <t>Embedment depth (h4)</t>
    <phoneticPr fontId="1" type="noConversion"/>
  </si>
  <si>
    <t>Traffic surcharges (q)</t>
    <phoneticPr fontId="1" type="noConversion"/>
  </si>
  <si>
    <t>surcharge slope (β)</t>
    <phoneticPr fontId="1" type="noConversion"/>
  </si>
  <si>
    <t>Cohesion (c)</t>
    <phoneticPr fontId="1" type="noConversion"/>
  </si>
  <si>
    <t>Intermal angle of friction (φ)</t>
    <phoneticPr fontId="1" type="noConversion"/>
  </si>
  <si>
    <t>Effective cohesion (c')</t>
    <phoneticPr fontId="1" type="noConversion"/>
  </si>
  <si>
    <t>Effective intermal angle of friction (φ')</t>
    <phoneticPr fontId="1" type="noConversion"/>
  </si>
  <si>
    <t>Eepth of waterground from point O(h3)</t>
    <phoneticPr fontId="1" type="noConversion"/>
  </si>
  <si>
    <t>Engineering properties of Foundation Soil</t>
    <phoneticPr fontId="1" type="noConversion"/>
  </si>
  <si>
    <t>Others</t>
    <phoneticPr fontId="1" type="noConversion"/>
  </si>
  <si>
    <t>Unit weight(γ)</t>
    <phoneticPr fontId="1" type="noConversion"/>
  </si>
  <si>
    <t>Cohesion(c)</t>
    <phoneticPr fontId="1" type="noConversion"/>
  </si>
  <si>
    <t>Type of design</t>
    <phoneticPr fontId="1" type="noConversion"/>
  </si>
  <si>
    <t>Whether to consider the influence of passive earth pressure in the calculation?</t>
    <phoneticPr fontId="1" type="noConversion"/>
  </si>
  <si>
    <t>Angle of wall friction (δ)</t>
    <phoneticPr fontId="1" type="noConversion"/>
  </si>
  <si>
    <t>Whether the water pressure on both sides of the wall is the same or not?</t>
    <phoneticPr fontId="1" type="noConversion"/>
  </si>
  <si>
    <t>The Friction Coefficient with Foundation and soil(u)</t>
  </si>
  <si>
    <t>The Friction Coefficient with Foundation and soil(u)</t>
    <phoneticPr fontId="1" type="noConversion"/>
  </si>
  <si>
    <t>D. Select the Friction Coefficient with Foundation and soil</t>
    <phoneticPr fontId="1" type="noConversion"/>
  </si>
  <si>
    <t>F. Select performance criteria</t>
    <phoneticPr fontId="1" type="noConversion"/>
  </si>
  <si>
    <t>Overturning</t>
    <phoneticPr fontId="1" type="noConversion"/>
  </si>
  <si>
    <t>Sliding</t>
    <phoneticPr fontId="1" type="noConversion"/>
  </si>
  <si>
    <t>Allowable bearing capacity</t>
    <phoneticPr fontId="1" type="noConversion"/>
  </si>
  <si>
    <t>Bearing capcity</t>
    <phoneticPr fontId="1" type="noConversion"/>
  </si>
  <si>
    <t>for Static</t>
  </si>
  <si>
    <t>for Static</t>
    <phoneticPr fontId="1" type="noConversion"/>
  </si>
  <si>
    <t>for Seismic</t>
  </si>
  <si>
    <t>for Seismic</t>
    <phoneticPr fontId="1" type="noConversion"/>
  </si>
  <si>
    <t>The chosen performance criteria should reflect site conditions and agency or Internaction code requirements, like ISO, BS,</t>
    <phoneticPr fontId="1" type="noConversion"/>
  </si>
  <si>
    <t>Width of top (a1)</t>
    <phoneticPr fontId="1" type="noConversion"/>
  </si>
  <si>
    <t>Slope in front of wall, 1 : S</t>
    <phoneticPr fontId="1" type="noConversion"/>
  </si>
  <si>
    <t>Width of bottom (B)</t>
    <phoneticPr fontId="1" type="noConversion"/>
  </si>
  <si>
    <t>Traffic surcharges (q)</t>
    <phoneticPr fontId="1" type="noConversion"/>
  </si>
  <si>
    <t>surcharge slope (β)</t>
    <phoneticPr fontId="1" type="noConversion"/>
  </si>
  <si>
    <t>Cohesion (c)</t>
    <phoneticPr fontId="1" type="noConversion"/>
  </si>
  <si>
    <t>Intermal angle of friction (φ)</t>
    <phoneticPr fontId="1" type="noConversion"/>
  </si>
  <si>
    <t>Unit weight(γ)</t>
    <phoneticPr fontId="1" type="noConversion"/>
  </si>
  <si>
    <t>Cohesion(c)</t>
    <phoneticPr fontId="1" type="noConversion"/>
  </si>
  <si>
    <t>Choose the faulure mode you want to analyze and keyin "v"</t>
    <phoneticPr fontId="1" type="noConversion"/>
  </si>
  <si>
    <r>
      <t>t/m</t>
    </r>
    <r>
      <rPr>
        <vertAlign val="superscript"/>
        <sz val="10"/>
        <color theme="1" tint="0.249977111117893"/>
        <rFont val="微軟正黑體"/>
        <family val="2"/>
        <charset val="136"/>
      </rPr>
      <t>3</t>
    </r>
    <phoneticPr fontId="1" type="noConversion"/>
  </si>
  <si>
    <r>
      <t>t/m</t>
    </r>
    <r>
      <rPr>
        <vertAlign val="superscript"/>
        <sz val="10"/>
        <color theme="1" tint="0.249977111117893"/>
        <rFont val="微軟正黑體"/>
        <family val="2"/>
        <charset val="136"/>
      </rPr>
      <t>2</t>
    </r>
    <phoneticPr fontId="1" type="noConversion"/>
  </si>
  <si>
    <r>
      <t>Unit weight of Concrete (γ</t>
    </r>
    <r>
      <rPr>
        <vertAlign val="subscript"/>
        <sz val="10"/>
        <color theme="1" tint="0.249977111117893"/>
        <rFont val="微軟正黑體"/>
        <family val="2"/>
        <charset val="136"/>
      </rPr>
      <t>c</t>
    </r>
    <r>
      <rPr>
        <sz val="10"/>
        <color theme="1" tint="0.249977111117893"/>
        <rFont val="微軟正黑體"/>
        <family val="2"/>
        <charset val="136"/>
      </rPr>
      <t>)</t>
    </r>
    <phoneticPr fontId="1" type="noConversion"/>
  </si>
  <si>
    <r>
      <t>Gross unit weight (γ</t>
    </r>
    <r>
      <rPr>
        <vertAlign val="subscript"/>
        <sz val="10"/>
        <color theme="1" tint="0.249977111117893"/>
        <rFont val="微軟正黑體"/>
        <family val="2"/>
        <charset val="136"/>
      </rPr>
      <t>m</t>
    </r>
    <r>
      <rPr>
        <sz val="10"/>
        <color theme="1" tint="0.249977111117893"/>
        <rFont val="微軟正黑體"/>
        <family val="2"/>
        <charset val="136"/>
      </rPr>
      <t>)</t>
    </r>
    <phoneticPr fontId="1" type="noConversion"/>
  </si>
  <si>
    <t>MOTC</t>
  </si>
  <si>
    <t>Same, different</t>
  </si>
  <si>
    <t>different</t>
  </si>
  <si>
    <t>I. Design Parameters</t>
    <phoneticPr fontId="1" type="noConversion"/>
  </si>
  <si>
    <t>II. Safety Factor</t>
    <phoneticPr fontId="1" type="noConversion"/>
  </si>
  <si>
    <t>III. Stability Analysis</t>
    <phoneticPr fontId="1" type="noConversion"/>
  </si>
  <si>
    <t>Item (faulure mode)</t>
    <phoneticPr fontId="1" type="noConversion"/>
  </si>
  <si>
    <t>Soil Properties</t>
    <phoneticPr fontId="1" type="noConversion"/>
  </si>
  <si>
    <t>Base Soil</t>
    <phoneticPr fontId="1" type="noConversion"/>
  </si>
  <si>
    <t>Saturated soil</t>
    <phoneticPr fontId="1" type="noConversion"/>
  </si>
  <si>
    <t>Gross soil</t>
    <phoneticPr fontId="1" type="noConversion"/>
  </si>
  <si>
    <t>Surcharge slope (β)</t>
    <phoneticPr fontId="1" type="noConversion"/>
  </si>
  <si>
    <t>Unit weight (γ)</t>
    <phoneticPr fontId="1" type="noConversion"/>
  </si>
  <si>
    <t>Lading check</t>
    <phoneticPr fontId="1" type="noConversion"/>
  </si>
  <si>
    <t>Effective pressure</t>
    <phoneticPr fontId="1" type="noConversion"/>
  </si>
  <si>
    <t>IV.Result</t>
    <phoneticPr fontId="1" type="noConversion"/>
  </si>
  <si>
    <t>Don't consider the influence of uplift pressure:</t>
    <phoneticPr fontId="1" type="noConversion"/>
  </si>
  <si>
    <t>Lateral earth pressure caused by surcharges (P4)</t>
    <phoneticPr fontId="1" type="noConversion"/>
  </si>
  <si>
    <t>Lateral earth pressure caused by surcharges (P5)</t>
    <phoneticPr fontId="1" type="noConversion"/>
  </si>
  <si>
    <t>Lateral earth pressure caused by pore water (P6)</t>
    <phoneticPr fontId="1" type="noConversion"/>
  </si>
  <si>
    <r>
      <t>Total active earth pressure (P</t>
    </r>
    <r>
      <rPr>
        <b/>
        <vertAlign val="subscript"/>
        <sz val="10"/>
        <color theme="4"/>
        <rFont val="微軟正黑體"/>
        <family val="2"/>
        <charset val="136"/>
      </rPr>
      <t>a</t>
    </r>
    <r>
      <rPr>
        <b/>
        <sz val="10"/>
        <color theme="4"/>
        <rFont val="微軟正黑體"/>
        <family val="2"/>
        <charset val="136"/>
      </rPr>
      <t>)</t>
    </r>
    <phoneticPr fontId="1" type="noConversion"/>
  </si>
  <si>
    <t>The increment of horizontal stress (Ph)</t>
    <phoneticPr fontId="1" type="noConversion"/>
  </si>
  <si>
    <t>The increment of vertical stress (Pv)</t>
    <phoneticPr fontId="1" type="noConversion"/>
  </si>
  <si>
    <r>
      <t>Total passive earth pressure (P</t>
    </r>
    <r>
      <rPr>
        <b/>
        <vertAlign val="subscript"/>
        <sz val="10"/>
        <color theme="5"/>
        <rFont val="微軟正黑體"/>
        <family val="2"/>
        <charset val="136"/>
      </rPr>
      <t>p</t>
    </r>
    <r>
      <rPr>
        <b/>
        <sz val="10"/>
        <color theme="5"/>
        <rFont val="微軟正黑體"/>
        <family val="2"/>
        <charset val="136"/>
      </rPr>
      <t>)</t>
    </r>
    <phoneticPr fontId="1" type="noConversion"/>
  </si>
  <si>
    <t>Uplift pressure(U)</t>
    <phoneticPr fontId="1" type="noConversion"/>
  </si>
  <si>
    <t>Retaining Wall</t>
    <phoneticPr fontId="1" type="noConversion"/>
  </si>
  <si>
    <t>Wall weight(w1)</t>
    <phoneticPr fontId="1" type="noConversion"/>
  </si>
  <si>
    <t>Wall weight(w2)</t>
    <phoneticPr fontId="1" type="noConversion"/>
  </si>
  <si>
    <t>Wall weight(w3)</t>
    <phoneticPr fontId="1" type="noConversion"/>
  </si>
  <si>
    <t>Torque/Moment to point O</t>
    <phoneticPr fontId="1" type="noConversion"/>
  </si>
  <si>
    <t>Moment arm to point O</t>
    <phoneticPr fontId="1" type="noConversion"/>
  </si>
  <si>
    <t>Vertical force</t>
    <phoneticPr fontId="1" type="noConversion"/>
  </si>
  <si>
    <t>Total(ΣV)</t>
    <phoneticPr fontId="1" type="noConversion"/>
  </si>
  <si>
    <t>Force under different z</t>
    <phoneticPr fontId="1" type="noConversion"/>
  </si>
  <si>
    <t>Stress under different z, σ</t>
    <phoneticPr fontId="1" type="noConversion"/>
  </si>
  <si>
    <t>Check</t>
    <phoneticPr fontId="1" type="noConversion"/>
  </si>
  <si>
    <t>Result</t>
    <phoneticPr fontId="1" type="noConversion"/>
  </si>
  <si>
    <t>Whether to set the Shear Key?</t>
    <phoneticPr fontId="1" type="noConversion"/>
  </si>
  <si>
    <r>
      <t>Coefficient of active earth pressure (K</t>
    </r>
    <r>
      <rPr>
        <b/>
        <vertAlign val="subscript"/>
        <sz val="11"/>
        <color theme="1" tint="0.249977111117893"/>
        <rFont val="微軟正黑體"/>
        <family val="2"/>
        <charset val="136"/>
      </rPr>
      <t>a</t>
    </r>
    <r>
      <rPr>
        <b/>
        <sz val="11"/>
        <color theme="1" tint="0.249977111117893"/>
        <rFont val="微軟正黑體"/>
        <family val="2"/>
        <charset val="136"/>
      </rPr>
      <t>)</t>
    </r>
    <phoneticPr fontId="1" type="noConversion"/>
  </si>
  <si>
    <r>
      <t>Coefficient of passive earth pressure (K</t>
    </r>
    <r>
      <rPr>
        <b/>
        <vertAlign val="subscript"/>
        <sz val="11"/>
        <color theme="1" tint="0.249977111117893"/>
        <rFont val="微軟正黑體"/>
        <family val="2"/>
        <charset val="136"/>
      </rPr>
      <t>p</t>
    </r>
    <r>
      <rPr>
        <b/>
        <sz val="11"/>
        <color theme="1" tint="0.249977111117893"/>
        <rFont val="微軟正黑體"/>
        <family val="2"/>
        <charset val="136"/>
      </rPr>
      <t>)</t>
    </r>
    <phoneticPr fontId="1" type="noConversion"/>
  </si>
  <si>
    <r>
      <t>Saturated unit weight (γ</t>
    </r>
    <r>
      <rPr>
        <vertAlign val="subscript"/>
        <sz val="10"/>
        <color theme="1" tint="0.249977111117893"/>
        <rFont val="微軟正黑體"/>
        <family val="2"/>
        <charset val="136"/>
      </rPr>
      <t>sat</t>
    </r>
    <r>
      <rPr>
        <sz val="10"/>
        <color theme="1" tint="0.249977111117893"/>
        <rFont val="微軟正黑體"/>
        <family val="2"/>
        <charset val="136"/>
      </rPr>
      <t>)</t>
    </r>
    <phoneticPr fontId="1" type="noConversion"/>
  </si>
  <si>
    <r>
      <t>Unit weight of water(γ</t>
    </r>
    <r>
      <rPr>
        <vertAlign val="subscript"/>
        <sz val="10"/>
        <color theme="1" tint="0.249977111117893"/>
        <rFont val="微軟正黑體"/>
        <family val="2"/>
        <charset val="136"/>
      </rPr>
      <t>w</t>
    </r>
    <r>
      <rPr>
        <sz val="10"/>
        <color theme="1" tint="0.249977111117893"/>
        <rFont val="微軟正黑體"/>
        <family val="2"/>
        <charset val="136"/>
      </rPr>
      <t>)</t>
    </r>
    <phoneticPr fontId="1" type="noConversion"/>
  </si>
  <si>
    <r>
      <t>t/m</t>
    </r>
    <r>
      <rPr>
        <vertAlign val="superscript"/>
        <sz val="10"/>
        <color theme="1" tint="0.14999847407452621"/>
        <rFont val="微軟正黑體"/>
        <family val="2"/>
        <charset val="136"/>
      </rPr>
      <t>2</t>
    </r>
    <phoneticPr fontId="1" type="noConversion"/>
  </si>
  <si>
    <t>Be careful to set this value</t>
    <phoneticPr fontId="1" type="noConversion"/>
  </si>
  <si>
    <t>E. Whether to set the Shear Key?</t>
    <phoneticPr fontId="1" type="noConversion"/>
  </si>
  <si>
    <r>
      <t>1. Please fill in the information in the "</t>
    </r>
    <r>
      <rPr>
        <sz val="12"/>
        <color rgb="FF953535"/>
        <rFont val="微軟正黑體"/>
        <family val="2"/>
        <charset val="136"/>
      </rPr>
      <t>input area</t>
    </r>
    <r>
      <rPr>
        <sz val="12"/>
        <color theme="1" tint="0.249977111117893"/>
        <rFont val="微軟正黑體"/>
        <family val="2"/>
        <charset val="136"/>
      </rPr>
      <t>"</t>
    </r>
    <phoneticPr fontId="1" type="noConversion"/>
  </si>
  <si>
    <t xml:space="preserve">A.  INPUT AREA: </t>
    <phoneticPr fontId="1" type="noConversion"/>
  </si>
  <si>
    <t>B. OUTPUT AREA:</t>
    <phoneticPr fontId="1" type="noConversion"/>
  </si>
  <si>
    <t>1. Use the "Page Setup" to set up layout and print options of a page.</t>
    <phoneticPr fontId="1" type="noConversion"/>
  </si>
  <si>
    <t>2. On the "Page Layout" tab, click the "Dialog Box Launcher", then on the "Header/Footer" tab, click "Custom Header"</t>
    <phoneticPr fontId="1" type="noConversion"/>
  </si>
  <si>
    <r>
      <t>3. Click in the "Center section box", and then edit the</t>
    </r>
    <r>
      <rPr>
        <sz val="12"/>
        <color rgb="FFC00000"/>
        <rFont val="微軟正黑體"/>
        <family val="2"/>
        <charset val="136"/>
      </rPr>
      <t xml:space="preserve"> company name</t>
    </r>
    <r>
      <rPr>
        <sz val="12"/>
        <color theme="1" tint="0.249977111117893"/>
        <rFont val="微軟正黑體"/>
        <family val="2"/>
        <charset val="136"/>
      </rPr>
      <t xml:space="preserve">  in that section.</t>
    </r>
    <phoneticPr fontId="1" type="noConversion"/>
  </si>
  <si>
    <r>
      <t xml:space="preserve">Click the "Page Layout" --&gt; [Launcher]  --&gt; "Header/Footer" --&gt; "Custom Header" --&gt; "Center section box"  --&gt; edit the </t>
    </r>
    <r>
      <rPr>
        <b/>
        <sz val="12"/>
        <color rgb="FFC00000"/>
        <rFont val="微軟正黑體"/>
        <family val="2"/>
        <charset val="136"/>
      </rPr>
      <t>company name.</t>
    </r>
    <phoneticPr fontId="1" type="noConversion"/>
  </si>
  <si>
    <r>
      <t xml:space="preserve">If you have further questions or comments, please do not hesitate to contact e-mail: </t>
    </r>
    <r>
      <rPr>
        <b/>
        <sz val="12"/>
        <color theme="1" tint="0.249977111117893"/>
        <rFont val="微軟正黑體"/>
        <family val="2"/>
        <charset val="136"/>
      </rPr>
      <t>karycklin@gmail.com</t>
    </r>
    <phoneticPr fontId="1" type="noConversion"/>
  </si>
  <si>
    <r>
      <t>2. If the influence of groundwater is not considered, after selecting "No" in the cell "</t>
    </r>
    <r>
      <rPr>
        <sz val="12"/>
        <color rgb="FFC00000"/>
        <rFont val="微軟正黑體"/>
        <family val="2"/>
        <charset val="136"/>
      </rPr>
      <t>Z16</t>
    </r>
    <r>
      <rPr>
        <sz val="12"/>
        <color theme="1" tint="0.249977111117893"/>
        <rFont val="微軟正黑體"/>
        <family val="2"/>
        <charset val="136"/>
      </rPr>
      <t>", the value below can be ignored.</t>
    </r>
    <phoneticPr fontId="1" type="noConversion"/>
  </si>
  <si>
    <r>
      <t xml:space="preserve">3. If the soil properties of foundation are good, the friction coefficient could be </t>
    </r>
    <r>
      <rPr>
        <sz val="12"/>
        <color rgb="FFC00000"/>
        <rFont val="微軟正黑體"/>
        <family val="2"/>
        <charset val="136"/>
      </rPr>
      <t>tanδ</t>
    </r>
    <r>
      <rPr>
        <sz val="12"/>
        <color theme="1" tint="0.249977111117893"/>
        <rFont val="微軟正黑體"/>
        <family val="2"/>
        <charset val="136"/>
      </rPr>
      <t xml:space="preserve">; otherwise, use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</si>
</sst>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"/>
  </numFmts>
  <fonts count="6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9"/>
      <name val="新細明體"/>
      <family val="1"/>
      <charset val="136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sz val="10"/>
      <color theme="4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6"/>
      <color theme="3" tint="0.7999816888943144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3"/>
      <name val="微軟正黑體"/>
      <family val="2"/>
      <charset val="136"/>
    </font>
    <font>
      <b/>
      <sz val="10"/>
      <color theme="2"/>
      <name val="微軟正黑體"/>
      <family val="2"/>
      <charset val="136"/>
    </font>
    <font>
      <sz val="10"/>
      <color theme="2"/>
      <name val="微軟正黑體"/>
      <family val="2"/>
      <charset val="136"/>
    </font>
    <font>
      <b/>
      <sz val="12"/>
      <color theme="2"/>
      <name val="微軟正黑體"/>
      <family val="2"/>
      <charset val="136"/>
    </font>
    <font>
      <b/>
      <sz val="16"/>
      <color theme="2"/>
      <name val="微軟正黑體"/>
      <family val="2"/>
      <charset val="136"/>
    </font>
    <font>
      <b/>
      <sz val="13"/>
      <color theme="1"/>
      <name val="微軟正黑體"/>
      <family val="2"/>
      <charset val="136"/>
    </font>
    <font>
      <b/>
      <vertAlign val="subscript"/>
      <sz val="10"/>
      <color theme="4"/>
      <name val="微軟正黑體"/>
      <family val="2"/>
      <charset val="136"/>
    </font>
    <font>
      <sz val="12"/>
      <color theme="4"/>
      <name val="微軟正黑體"/>
      <family val="2"/>
      <charset val="136"/>
    </font>
    <font>
      <b/>
      <sz val="10"/>
      <color theme="5"/>
      <name val="微軟正黑體"/>
      <family val="2"/>
      <charset val="136"/>
    </font>
    <font>
      <b/>
      <vertAlign val="subscript"/>
      <sz val="10"/>
      <color theme="5"/>
      <name val="微軟正黑體"/>
      <family val="2"/>
      <charset val="136"/>
    </font>
    <font>
      <sz val="10"/>
      <color theme="5"/>
      <name val="微軟正黑體"/>
      <family val="2"/>
      <charset val="136"/>
    </font>
    <font>
      <sz val="10"/>
      <color theme="9"/>
      <name val="微軟正黑體"/>
      <family val="2"/>
      <charset val="136"/>
    </font>
    <font>
      <b/>
      <sz val="10"/>
      <color theme="8"/>
      <name val="微軟正黑體"/>
      <family val="2"/>
      <charset val="136"/>
    </font>
    <font>
      <sz val="10"/>
      <color theme="8"/>
      <name val="微軟正黑體"/>
      <family val="2"/>
      <charset val="136"/>
    </font>
    <font>
      <sz val="14"/>
      <color theme="4"/>
      <name val="微軟正黑體"/>
      <family val="2"/>
      <charset val="136"/>
    </font>
    <font>
      <b/>
      <sz val="12"/>
      <color rgb="FFD5E8D8"/>
      <name val="微軟正黑體"/>
      <family val="2"/>
      <charset val="136"/>
    </font>
    <font>
      <sz val="12"/>
      <color rgb="FFD5E8D8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b/>
      <sz val="11"/>
      <color rgb="FFF2DBDB"/>
      <name val="微軟正黑體"/>
      <family val="2"/>
      <charset val="136"/>
    </font>
    <font>
      <sz val="12"/>
      <color rgb="FFF2DBDB"/>
      <name val="微軟正黑體"/>
      <family val="2"/>
      <charset val="136"/>
    </font>
    <font>
      <sz val="12"/>
      <color theme="1" tint="0.249977111117893"/>
      <name val="微軟正黑體"/>
      <family val="2"/>
      <charset val="136"/>
    </font>
    <font>
      <sz val="12"/>
      <color theme="4" tint="-0.499984740745262"/>
      <name val="微軟正黑體"/>
      <family val="2"/>
      <charset val="136"/>
    </font>
    <font>
      <sz val="12"/>
      <color theme="1" tint="0.14999847407452621"/>
      <name val="微軟正黑體"/>
      <family val="2"/>
      <charset val="136"/>
    </font>
    <font>
      <b/>
      <sz val="12"/>
      <color theme="1" tint="0.14999847407452621"/>
      <name val="微軟正黑體"/>
      <family val="2"/>
      <charset val="136"/>
    </font>
    <font>
      <sz val="10"/>
      <color theme="1" tint="0.249977111117893"/>
      <name val="微軟正黑體"/>
      <family val="2"/>
      <charset val="136"/>
    </font>
    <font>
      <vertAlign val="superscript"/>
      <sz val="10"/>
      <color theme="1" tint="0.249977111117893"/>
      <name val="微軟正黑體"/>
      <family val="2"/>
      <charset val="136"/>
    </font>
    <font>
      <sz val="11"/>
      <color theme="1" tint="0.249977111117893"/>
      <name val="微軟正黑體"/>
      <family val="2"/>
      <charset val="136"/>
    </font>
    <font>
      <vertAlign val="subscript"/>
      <sz val="10"/>
      <color theme="1" tint="0.249977111117893"/>
      <name val="微軟正黑體"/>
      <family val="2"/>
      <charset val="136"/>
    </font>
    <font>
      <b/>
      <sz val="10"/>
      <color theme="1" tint="0.249977111117893"/>
      <name val="微軟正黑體"/>
      <family val="2"/>
      <charset val="136"/>
    </font>
    <font>
      <sz val="10"/>
      <color theme="1" tint="0.14999847407452621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10"/>
      <color theme="1" tint="4.9989318521683403E-2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9"/>
      <color theme="1" tint="0.249977111117893"/>
      <name val="微軟正黑體"/>
      <family val="2"/>
      <charset val="136"/>
    </font>
    <font>
      <b/>
      <sz val="11"/>
      <color theme="1" tint="0.249977111117893"/>
      <name val="微軟正黑體"/>
      <family val="2"/>
      <charset val="136"/>
    </font>
    <font>
      <b/>
      <vertAlign val="subscript"/>
      <sz val="11"/>
      <color theme="1" tint="0.249977111117893"/>
      <name val="微軟正黑體"/>
      <family val="2"/>
      <charset val="136"/>
    </font>
    <font>
      <sz val="14"/>
      <color theme="1" tint="0.14999847407452621"/>
      <name val="微軟正黑體"/>
      <family val="2"/>
      <charset val="136"/>
    </font>
    <font>
      <b/>
      <sz val="11"/>
      <color theme="1" tint="0.14999847407452621"/>
      <name val="微軟正黑體"/>
      <family val="2"/>
      <charset val="136"/>
    </font>
    <font>
      <sz val="11"/>
      <color theme="1" tint="0.14999847407452621"/>
      <name val="微軟正黑體"/>
      <family val="2"/>
      <charset val="136"/>
    </font>
    <font>
      <sz val="9"/>
      <color theme="1" tint="0.14999847407452621"/>
      <name val="微軟正黑體"/>
      <family val="2"/>
      <charset val="136"/>
    </font>
    <font>
      <vertAlign val="superscript"/>
      <sz val="10"/>
      <color theme="1" tint="0.14999847407452621"/>
      <name val="微軟正黑體"/>
      <family val="2"/>
      <charset val="136"/>
    </font>
    <font>
      <sz val="12"/>
      <color rgb="FF953535"/>
      <name val="微軟正黑體"/>
      <family val="2"/>
      <charset val="136"/>
    </font>
    <font>
      <sz val="12"/>
      <color theme="3" tint="-0.249977111117893"/>
      <name val="微軟正黑體"/>
      <family val="2"/>
      <charset val="136"/>
    </font>
    <font>
      <b/>
      <sz val="12"/>
      <color theme="1" tint="0.249977111117893"/>
      <name val="微軟正黑體"/>
      <family val="2"/>
      <charset val="136"/>
    </font>
    <font>
      <b/>
      <sz val="12"/>
      <color rgb="FFC00000"/>
      <name val="微軟正黑體"/>
      <family val="2"/>
      <charset val="136"/>
    </font>
  </fonts>
  <fills count="3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gradientFill degree="180">
        <stop position="0">
          <color theme="3" tint="0.59999389629810485"/>
        </stop>
        <stop position="1">
          <color theme="3" tint="-0.25098422193060094"/>
        </stop>
      </gradient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5" tint="0.59999389629810485"/>
        </stop>
        <stop position="1">
          <color theme="5" tint="-0.2509842219306009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F3A24"/>
        <bgColor indexed="64"/>
      </patternFill>
    </fill>
    <fill>
      <patternFill patternType="solid">
        <fgColor rgb="FF2F5736"/>
        <bgColor indexed="64"/>
      </patternFill>
    </fill>
    <fill>
      <patternFill patternType="solid">
        <fgColor rgb="FF3F7548"/>
        <bgColor indexed="64"/>
      </patternFill>
    </fill>
    <fill>
      <patternFill patternType="solid">
        <fgColor rgb="FF632323"/>
        <bgColor indexed="64"/>
      </patternFill>
    </fill>
    <fill>
      <patternFill patternType="solid">
        <fgColor rgb="FF953535"/>
        <bgColor indexed="64"/>
      </patternFill>
    </fill>
    <fill>
      <patternFill patternType="solid">
        <fgColor rgb="FFC04E4E"/>
        <bgColor indexed="64"/>
      </patternFill>
    </fill>
    <fill>
      <patternFill patternType="solid">
        <fgColor rgb="FFD99595"/>
        <bgColor indexed="64"/>
      </patternFill>
    </fill>
    <fill>
      <patternFill patternType="solid">
        <fgColor rgb="FFE6B7B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medium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theme="3" tint="0.59996337778862885"/>
      </bottom>
      <diagonal/>
    </border>
    <border>
      <left/>
      <right/>
      <top/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60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/>
    <xf numFmtId="2" fontId="5" fillId="0" borderId="0" xfId="0" applyNumberFormat="1" applyFont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12" fillId="0" borderId="0" xfId="1" applyFont="1" applyAlignment="1">
      <alignment horizontal="left"/>
    </xf>
    <xf numFmtId="176" fontId="12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176" fontId="13" fillId="0" borderId="1" xfId="1" applyNumberFormat="1" applyFont="1" applyBorder="1" applyAlignment="1">
      <alignment horizontal="center"/>
    </xf>
    <xf numFmtId="0" fontId="11" fillId="0" borderId="0" xfId="0" applyFont="1" applyFill="1" applyAlignment="1">
      <alignment horizontal="left" vertical="center"/>
    </xf>
    <xf numFmtId="176" fontId="9" fillId="0" borderId="0" xfId="1" applyNumberFormat="1" applyFont="1" applyBorder="1" applyAlignment="1">
      <alignment horizontal="left" vertical="center"/>
    </xf>
    <xf numFmtId="177" fontId="0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2" fillId="0" borderId="0" xfId="1" applyFont="1" applyAlignment="1">
      <alignment horizontal="left" vertical="center"/>
    </xf>
    <xf numFmtId="0" fontId="17" fillId="10" borderId="0" xfId="0" applyFont="1" applyFill="1">
      <alignment vertical="center"/>
    </xf>
    <xf numFmtId="0" fontId="18" fillId="1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0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Fill="1" applyAlignment="1">
      <alignment horizontal="left" vertical="center"/>
    </xf>
    <xf numFmtId="0" fontId="0" fillId="12" borderId="0" xfId="0" applyFont="1" applyFill="1">
      <alignment vertical="center"/>
    </xf>
    <xf numFmtId="0" fontId="20" fillId="12" borderId="0" xfId="0" applyFont="1" applyFill="1">
      <alignment vertical="center"/>
    </xf>
    <xf numFmtId="0" fontId="0" fillId="0" borderId="0" xfId="0" applyFont="1" applyAlignment="1">
      <alignment horizontal="left" vertical="center" indent="2"/>
    </xf>
    <xf numFmtId="0" fontId="19" fillId="10" borderId="0" xfId="0" applyFont="1" applyFill="1">
      <alignment vertical="center"/>
    </xf>
    <xf numFmtId="0" fontId="4" fillId="0" borderId="3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2" xfId="0" applyFont="1" applyBorder="1">
      <alignment vertical="center"/>
    </xf>
    <xf numFmtId="0" fontId="21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10" fillId="22" borderId="0" xfId="0" applyFont="1" applyFill="1">
      <alignment vertical="center"/>
    </xf>
    <xf numFmtId="0" fontId="4" fillId="22" borderId="0" xfId="0" applyFont="1" applyFill="1" applyAlignment="1">
      <alignment horizontal="left" vertical="center"/>
    </xf>
    <xf numFmtId="2" fontId="10" fillId="22" borderId="0" xfId="0" applyNumberFormat="1" applyFont="1" applyFill="1" applyAlignment="1">
      <alignment horizontal="center" vertical="center"/>
    </xf>
    <xf numFmtId="2" fontId="4" fillId="22" borderId="0" xfId="0" applyNumberFormat="1" applyFont="1" applyFill="1" applyAlignment="1">
      <alignment horizontal="center" vertical="center"/>
    </xf>
    <xf numFmtId="0" fontId="10" fillId="21" borderId="0" xfId="0" applyFont="1" applyFill="1">
      <alignment vertical="center"/>
    </xf>
    <xf numFmtId="0" fontId="11" fillId="21" borderId="0" xfId="0" applyFont="1" applyFill="1" applyAlignment="1">
      <alignment horizontal="left" vertical="center"/>
    </xf>
    <xf numFmtId="2" fontId="10" fillId="21" borderId="0" xfId="0" applyNumberFormat="1" applyFont="1" applyFill="1" applyAlignment="1">
      <alignment horizontal="center" vertical="center"/>
    </xf>
    <xf numFmtId="0" fontId="11" fillId="21" borderId="0" xfId="0" applyFont="1" applyFill="1">
      <alignment vertical="center"/>
    </xf>
    <xf numFmtId="0" fontId="23" fillId="21" borderId="0" xfId="0" applyFont="1" applyFill="1">
      <alignment vertical="center"/>
    </xf>
    <xf numFmtId="0" fontId="24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2" fontId="28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30" fillId="0" borderId="0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4" xfId="0" applyFont="1" applyBorder="1">
      <alignment vertical="center"/>
    </xf>
    <xf numFmtId="0" fontId="16" fillId="0" borderId="0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6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10" fillId="0" borderId="14" xfId="0" applyFont="1" applyFill="1" applyBorder="1" applyAlignment="1">
      <alignment horizontal="left" vertical="center"/>
    </xf>
    <xf numFmtId="0" fontId="9" fillId="0" borderId="14" xfId="0" applyFont="1" applyBorder="1" applyAlignment="1"/>
    <xf numFmtId="0" fontId="3" fillId="0" borderId="0" xfId="0" applyFont="1" applyAlignment="1">
      <alignment horizontal="left" vertical="center" indent="1"/>
    </xf>
    <xf numFmtId="0" fontId="31" fillId="23" borderId="0" xfId="0" applyFont="1" applyFill="1">
      <alignment vertical="center"/>
    </xf>
    <xf numFmtId="0" fontId="32" fillId="23" borderId="0" xfId="0" applyFont="1" applyFill="1">
      <alignment vertical="center"/>
    </xf>
    <xf numFmtId="0" fontId="0" fillId="0" borderId="0" xfId="0" applyAlignment="1">
      <alignment horizontal="left" vertical="center" indent="1"/>
    </xf>
    <xf numFmtId="0" fontId="31" fillId="24" borderId="0" xfId="0" applyFont="1" applyFill="1">
      <alignment vertical="center"/>
    </xf>
    <xf numFmtId="0" fontId="32" fillId="24" borderId="0" xfId="0" applyFont="1" applyFill="1">
      <alignment vertical="center"/>
    </xf>
    <xf numFmtId="0" fontId="31" fillId="25" borderId="0" xfId="0" applyFont="1" applyFill="1">
      <alignment vertical="center"/>
    </xf>
    <xf numFmtId="0" fontId="32" fillId="25" borderId="0" xfId="0" applyFont="1" applyFill="1">
      <alignment vertical="center"/>
    </xf>
    <xf numFmtId="0" fontId="35" fillId="29" borderId="0" xfId="0" applyFont="1" applyFill="1">
      <alignment vertical="center"/>
    </xf>
    <xf numFmtId="0" fontId="9" fillId="30" borderId="0" xfId="0" applyFont="1" applyFill="1" applyAlignment="1"/>
    <xf numFmtId="0" fontId="36" fillId="0" borderId="0" xfId="0" applyFont="1">
      <alignment vertical="center"/>
    </xf>
    <xf numFmtId="0" fontId="34" fillId="27" borderId="0" xfId="0" applyFont="1" applyFill="1" applyAlignment="1"/>
    <xf numFmtId="0" fontId="34" fillId="28" borderId="0" xfId="0" applyFont="1" applyFill="1" applyAlignment="1"/>
    <xf numFmtId="0" fontId="34" fillId="26" borderId="0" xfId="0" applyFont="1" applyFill="1" applyAlignment="1"/>
    <xf numFmtId="0" fontId="37" fillId="0" borderId="0" xfId="0" applyFont="1" applyAlignment="1">
      <alignment horizontal="left" vertical="center" indent="2"/>
    </xf>
    <xf numFmtId="0" fontId="39" fillId="0" borderId="0" xfId="0" applyFont="1" applyAlignment="1">
      <alignment horizontal="left" vertical="center" indent="1"/>
    </xf>
    <xf numFmtId="0" fontId="40" fillId="0" borderId="1" xfId="0" applyFont="1" applyBorder="1">
      <alignment vertical="center"/>
    </xf>
    <xf numFmtId="0" fontId="36" fillId="14" borderId="0" xfId="0" applyFont="1" applyFill="1">
      <alignment vertical="center"/>
    </xf>
    <xf numFmtId="0" fontId="40" fillId="0" borderId="0" xfId="0" applyFont="1">
      <alignment vertical="center"/>
    </xf>
    <xf numFmtId="0" fontId="36" fillId="0" borderId="0" xfId="0" applyFont="1" applyAlignment="1">
      <alignment horizontal="left" vertical="center" indent="2"/>
    </xf>
    <xf numFmtId="0" fontId="42" fillId="0" borderId="0" xfId="0" applyFont="1" applyAlignment="1">
      <alignment horizontal="left" vertical="center" indent="2"/>
    </xf>
    <xf numFmtId="0" fontId="36" fillId="0" borderId="1" xfId="0" applyFont="1" applyBorder="1" applyAlignment="1">
      <alignment horizontal="left" vertical="center" indent="1"/>
    </xf>
    <xf numFmtId="0" fontId="36" fillId="0" borderId="1" xfId="0" applyFont="1" applyBorder="1">
      <alignment vertical="center"/>
    </xf>
    <xf numFmtId="0" fontId="40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6" fillId="3" borderId="0" xfId="0" applyFont="1" applyFill="1">
      <alignment vertical="center"/>
    </xf>
    <xf numFmtId="0" fontId="47" fillId="3" borderId="0" xfId="0" applyFont="1" applyFill="1">
      <alignment vertical="center"/>
    </xf>
    <xf numFmtId="0" fontId="46" fillId="4" borderId="0" xfId="0" applyFont="1" applyFill="1">
      <alignment vertical="center"/>
    </xf>
    <xf numFmtId="0" fontId="47" fillId="4" borderId="0" xfId="0" applyFont="1" applyFill="1">
      <alignment vertical="center"/>
    </xf>
    <xf numFmtId="0" fontId="46" fillId="2" borderId="0" xfId="0" applyFont="1" applyFill="1">
      <alignment vertical="center"/>
    </xf>
    <xf numFmtId="0" fontId="47" fillId="2" borderId="0" xfId="0" applyFont="1" applyFill="1">
      <alignment vertical="center"/>
    </xf>
    <xf numFmtId="0" fontId="48" fillId="0" borderId="0" xfId="0" applyFont="1">
      <alignment vertical="center"/>
    </xf>
    <xf numFmtId="0" fontId="42" fillId="0" borderId="0" xfId="0" applyFont="1">
      <alignment vertical="center"/>
    </xf>
    <xf numFmtId="0" fontId="40" fillId="0" borderId="0" xfId="0" applyFont="1" applyAlignment="1">
      <alignment horizontal="left" vertical="center" indent="1"/>
    </xf>
    <xf numFmtId="176" fontId="40" fillId="0" borderId="0" xfId="0" applyNumberFormat="1" applyFont="1" applyAlignment="1">
      <alignment horizontal="left" vertical="center"/>
    </xf>
    <xf numFmtId="0" fontId="40" fillId="0" borderId="0" xfId="0" applyFont="1" applyBorder="1" applyAlignment="1">
      <alignment horizontal="left" vertical="center" indent="1"/>
    </xf>
    <xf numFmtId="0" fontId="40" fillId="0" borderId="0" xfId="0" applyFont="1" applyBorder="1">
      <alignment vertical="center"/>
    </xf>
    <xf numFmtId="176" fontId="40" fillId="0" borderId="0" xfId="0" applyNumberFormat="1" applyFont="1" applyBorder="1" applyAlignment="1">
      <alignment horizontal="left" vertical="center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40" fillId="0" borderId="0" xfId="0" applyFont="1" applyAlignment="1"/>
    <xf numFmtId="0" fontId="49" fillId="0" borderId="0" xfId="0" applyFont="1" applyAlignment="1">
      <alignment horizontal="left" vertical="center" indent="1"/>
    </xf>
    <xf numFmtId="2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4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Border="1" applyAlignment="1">
      <alignment horizontal="center" vertical="center"/>
    </xf>
    <xf numFmtId="176" fontId="40" fillId="0" borderId="0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2" fontId="40" fillId="0" borderId="0" xfId="0" applyNumberFormat="1" applyFont="1" applyBorder="1" applyAlignment="1">
      <alignment horizontal="center" vertical="center"/>
    </xf>
    <xf numFmtId="0" fontId="40" fillId="21" borderId="0" xfId="0" applyFont="1" applyFill="1" applyBorder="1" applyAlignment="1">
      <alignment horizontal="left" vertical="center" indent="1"/>
    </xf>
    <xf numFmtId="0" fontId="40" fillId="21" borderId="0" xfId="0" applyFont="1" applyFill="1" applyAlignment="1">
      <alignment horizontal="left" vertical="center"/>
    </xf>
    <xf numFmtId="2" fontId="44" fillId="21" borderId="0" xfId="0" applyNumberFormat="1" applyFont="1" applyFill="1" applyAlignment="1">
      <alignment horizontal="center" vertical="center"/>
    </xf>
    <xf numFmtId="2" fontId="40" fillId="21" borderId="0" xfId="0" applyNumberFormat="1" applyFont="1" applyFill="1" applyAlignment="1">
      <alignment horizontal="center" vertical="center"/>
    </xf>
    <xf numFmtId="0" fontId="40" fillId="21" borderId="0" xfId="0" applyFont="1" applyFill="1">
      <alignment vertical="center"/>
    </xf>
    <xf numFmtId="0" fontId="36" fillId="21" borderId="0" xfId="0" applyFont="1" applyFill="1">
      <alignment vertical="center"/>
    </xf>
    <xf numFmtId="0" fontId="40" fillId="21" borderId="0" xfId="0" applyFont="1" applyFill="1" applyAlignment="1">
      <alignment horizontal="center" vertical="center"/>
    </xf>
    <xf numFmtId="0" fontId="40" fillId="20" borderId="5" xfId="0" applyFont="1" applyFill="1" applyBorder="1" applyAlignment="1">
      <alignment horizontal="left" vertical="center" indent="1"/>
    </xf>
    <xf numFmtId="0" fontId="40" fillId="20" borderId="5" xfId="0" applyFont="1" applyFill="1" applyBorder="1">
      <alignment vertical="center"/>
    </xf>
    <xf numFmtId="2" fontId="40" fillId="20" borderId="5" xfId="0" applyNumberFormat="1" applyFont="1" applyFill="1" applyBorder="1" applyAlignment="1">
      <alignment horizontal="center" vertical="center"/>
    </xf>
    <xf numFmtId="0" fontId="36" fillId="20" borderId="5" xfId="0" applyFont="1" applyFill="1" applyBorder="1">
      <alignment vertical="center"/>
    </xf>
    <xf numFmtId="0" fontId="40" fillId="20" borderId="6" xfId="0" applyFont="1" applyFill="1" applyBorder="1" applyAlignment="1">
      <alignment horizontal="left" vertical="center" indent="1"/>
    </xf>
    <xf numFmtId="0" fontId="40" fillId="20" borderId="6" xfId="0" applyFont="1" applyFill="1" applyBorder="1">
      <alignment vertical="center"/>
    </xf>
    <xf numFmtId="2" fontId="40" fillId="20" borderId="6" xfId="0" applyNumberFormat="1" applyFont="1" applyFill="1" applyBorder="1" applyAlignment="1">
      <alignment horizontal="center" vertical="center"/>
    </xf>
    <xf numFmtId="0" fontId="36" fillId="20" borderId="6" xfId="0" applyFont="1" applyFill="1" applyBorder="1">
      <alignment vertical="center"/>
    </xf>
    <xf numFmtId="0" fontId="40" fillId="20" borderId="9" xfId="0" applyFont="1" applyFill="1" applyBorder="1" applyAlignment="1">
      <alignment horizontal="left" vertical="center" indent="1"/>
    </xf>
    <xf numFmtId="0" fontId="40" fillId="20" borderId="9" xfId="0" applyFont="1" applyFill="1" applyBorder="1">
      <alignment vertical="center"/>
    </xf>
    <xf numFmtId="2" fontId="40" fillId="20" borderId="9" xfId="0" applyNumberFormat="1" applyFont="1" applyFill="1" applyBorder="1" applyAlignment="1">
      <alignment horizontal="center" vertical="center"/>
    </xf>
    <xf numFmtId="0" fontId="36" fillId="20" borderId="9" xfId="0" applyFont="1" applyFill="1" applyBorder="1">
      <alignment vertical="center"/>
    </xf>
    <xf numFmtId="0" fontId="40" fillId="18" borderId="5" xfId="0" applyFont="1" applyFill="1" applyBorder="1" applyAlignment="1">
      <alignment horizontal="left" vertical="center" indent="1"/>
    </xf>
    <xf numFmtId="0" fontId="40" fillId="18" borderId="5" xfId="0" applyFont="1" applyFill="1" applyBorder="1">
      <alignment vertical="center"/>
    </xf>
    <xf numFmtId="2" fontId="40" fillId="18" borderId="5" xfId="0" applyNumberFormat="1" applyFont="1" applyFill="1" applyBorder="1" applyAlignment="1">
      <alignment horizontal="center" vertical="center"/>
    </xf>
    <xf numFmtId="0" fontId="40" fillId="18" borderId="6" xfId="0" applyFont="1" applyFill="1" applyBorder="1" applyAlignment="1">
      <alignment horizontal="left" vertical="center" indent="1"/>
    </xf>
    <xf numFmtId="0" fontId="40" fillId="18" borderId="6" xfId="0" applyFont="1" applyFill="1" applyBorder="1">
      <alignment vertical="center"/>
    </xf>
    <xf numFmtId="0" fontId="40" fillId="18" borderId="6" xfId="0" applyFont="1" applyFill="1" applyBorder="1" applyAlignment="1">
      <alignment horizontal="center" vertical="center"/>
    </xf>
    <xf numFmtId="2" fontId="40" fillId="18" borderId="6" xfId="0" applyNumberFormat="1" applyFont="1" applyFill="1" applyBorder="1" applyAlignment="1">
      <alignment horizontal="center" vertical="center"/>
    </xf>
    <xf numFmtId="0" fontId="40" fillId="18" borderId="9" xfId="0" applyFont="1" applyFill="1" applyBorder="1" applyAlignment="1">
      <alignment horizontal="left" vertical="center" indent="1"/>
    </xf>
    <xf numFmtId="0" fontId="40" fillId="18" borderId="9" xfId="0" applyFont="1" applyFill="1" applyBorder="1">
      <alignment vertical="center"/>
    </xf>
    <xf numFmtId="0" fontId="40" fillId="18" borderId="9" xfId="0" applyFont="1" applyFill="1" applyBorder="1" applyAlignment="1">
      <alignment horizontal="center" vertical="center"/>
    </xf>
    <xf numFmtId="2" fontId="40" fillId="18" borderId="9" xfId="0" applyNumberFormat="1" applyFont="1" applyFill="1" applyBorder="1" applyAlignment="1">
      <alignment horizontal="center" vertical="center"/>
    </xf>
    <xf numFmtId="0" fontId="50" fillId="0" borderId="7" xfId="0" applyFont="1" applyBorder="1">
      <alignment vertical="center"/>
    </xf>
    <xf numFmtId="0" fontId="36" fillId="0" borderId="3" xfId="0" applyFont="1" applyBorder="1">
      <alignment vertical="center"/>
    </xf>
    <xf numFmtId="0" fontId="40" fillId="0" borderId="3" xfId="0" applyFont="1" applyBorder="1">
      <alignment vertical="center"/>
    </xf>
    <xf numFmtId="177" fontId="40" fillId="0" borderId="3" xfId="0" applyNumberFormat="1" applyFont="1" applyBorder="1" applyAlignment="1">
      <alignment horizontal="center" vertical="center"/>
    </xf>
    <xf numFmtId="2" fontId="40" fillId="0" borderId="8" xfId="0" applyNumberFormat="1" applyFont="1" applyBorder="1" applyAlignment="1">
      <alignment horizontal="center" vertical="center"/>
    </xf>
    <xf numFmtId="0" fontId="50" fillId="0" borderId="0" xfId="0" applyFont="1">
      <alignment vertical="center"/>
    </xf>
    <xf numFmtId="177" fontId="40" fillId="0" borderId="0" xfId="0" applyNumberFormat="1" applyFont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16" borderId="6" xfId="0" applyFont="1" applyFill="1" applyBorder="1">
      <alignment vertical="center"/>
    </xf>
    <xf numFmtId="0" fontId="36" fillId="16" borderId="6" xfId="0" applyFont="1" applyFill="1" applyBorder="1">
      <alignment vertical="center"/>
    </xf>
    <xf numFmtId="0" fontId="40" fillId="16" borderId="6" xfId="0" applyFont="1" applyFill="1" applyBorder="1" applyAlignment="1">
      <alignment horizontal="center" vertical="center"/>
    </xf>
    <xf numFmtId="176" fontId="40" fillId="16" borderId="6" xfId="1" applyNumberFormat="1" applyFont="1" applyFill="1" applyBorder="1" applyAlignment="1">
      <alignment horizontal="left" vertical="center"/>
    </xf>
    <xf numFmtId="0" fontId="36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left" vertical="center" indent="1"/>
    </xf>
    <xf numFmtId="0" fontId="40" fillId="0" borderId="2" xfId="0" applyFont="1" applyBorder="1" applyAlignment="1">
      <alignment horizontal="left" vertical="center" indent="1"/>
    </xf>
    <xf numFmtId="0" fontId="36" fillId="0" borderId="2" xfId="0" applyFont="1" applyBorder="1">
      <alignment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2" xfId="0" applyFont="1" applyBorder="1">
      <alignment vertical="center"/>
    </xf>
    <xf numFmtId="0" fontId="36" fillId="0" borderId="3" xfId="0" applyFont="1" applyBorder="1" applyAlignment="1">
      <alignment horizontal="left" vertical="center"/>
    </xf>
    <xf numFmtId="0" fontId="52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53" fillId="2" borderId="0" xfId="0" applyFont="1" applyFill="1">
      <alignment vertical="center"/>
    </xf>
    <xf numFmtId="0" fontId="45" fillId="2" borderId="0" xfId="0" applyFont="1" applyFill="1">
      <alignment vertical="center"/>
    </xf>
    <xf numFmtId="0" fontId="53" fillId="4" borderId="0" xfId="0" applyFont="1" applyFill="1">
      <alignment vertical="center"/>
    </xf>
    <xf numFmtId="0" fontId="45" fillId="4" borderId="0" xfId="0" applyFont="1" applyFill="1">
      <alignment vertical="center"/>
    </xf>
    <xf numFmtId="0" fontId="53" fillId="3" borderId="0" xfId="0" applyFont="1" applyFill="1">
      <alignment vertical="center"/>
    </xf>
    <xf numFmtId="0" fontId="45" fillId="3" borderId="0" xfId="0" applyFont="1" applyFill="1">
      <alignment vertical="center"/>
    </xf>
    <xf numFmtId="0" fontId="53" fillId="10" borderId="0" xfId="0" applyFont="1" applyFill="1">
      <alignment vertical="center"/>
    </xf>
    <xf numFmtId="0" fontId="38" fillId="0" borderId="0" xfId="0" applyFont="1">
      <alignment vertical="center"/>
    </xf>
    <xf numFmtId="0" fontId="53" fillId="0" borderId="0" xfId="0" applyFont="1" applyBorder="1" applyAlignment="1">
      <alignment vertical="center"/>
    </xf>
    <xf numFmtId="0" fontId="54" fillId="17" borderId="0" xfId="0" applyFont="1" applyFill="1">
      <alignment vertical="center"/>
    </xf>
    <xf numFmtId="0" fontId="38" fillId="17" borderId="0" xfId="0" applyFont="1" applyFill="1">
      <alignment vertical="center"/>
    </xf>
    <xf numFmtId="0" fontId="45" fillId="17" borderId="0" xfId="0" applyFont="1" applyFill="1">
      <alignment vertical="center"/>
    </xf>
    <xf numFmtId="0" fontId="45" fillId="17" borderId="0" xfId="0" applyFont="1" applyFill="1" applyBorder="1" applyAlignment="1">
      <alignment horizontal="center" vertical="center" wrapText="1"/>
    </xf>
    <xf numFmtId="0" fontId="55" fillId="17" borderId="0" xfId="0" applyFont="1" applyFill="1" applyBorder="1" applyAlignment="1">
      <alignment horizontal="center" vertical="center" wrapText="1"/>
    </xf>
    <xf numFmtId="0" fontId="54" fillId="17" borderId="4" xfId="0" applyFont="1" applyFill="1" applyBorder="1">
      <alignment vertical="center"/>
    </xf>
    <xf numFmtId="0" fontId="45" fillId="17" borderId="4" xfId="0" applyFont="1" applyFill="1" applyBorder="1">
      <alignment vertical="center"/>
    </xf>
    <xf numFmtId="0" fontId="45" fillId="17" borderId="4" xfId="0" applyFont="1" applyFill="1" applyBorder="1" applyAlignment="1">
      <alignment horizontal="center" vertical="center"/>
    </xf>
    <xf numFmtId="0" fontId="45" fillId="17" borderId="4" xfId="0" applyFont="1" applyFill="1" applyBorder="1" applyAlignment="1">
      <alignment horizontal="center" vertical="center" shrinkToFit="1"/>
    </xf>
    <xf numFmtId="0" fontId="54" fillId="19" borderId="0" xfId="0" applyFont="1" applyFill="1" applyBorder="1">
      <alignment vertical="center"/>
    </xf>
    <xf numFmtId="0" fontId="45" fillId="19" borderId="0" xfId="0" applyFont="1" applyFill="1" applyBorder="1">
      <alignment vertical="center"/>
    </xf>
    <xf numFmtId="0" fontId="45" fillId="19" borderId="0" xfId="0" applyFont="1" applyFill="1" applyBorder="1" applyAlignment="1">
      <alignment horizontal="center" vertical="center" wrapText="1"/>
    </xf>
    <xf numFmtId="0" fontId="55" fillId="19" borderId="0" xfId="0" applyFont="1" applyFill="1" applyBorder="1" applyAlignment="1">
      <alignment horizontal="center" vertical="center" wrapText="1"/>
    </xf>
    <xf numFmtId="0" fontId="38" fillId="19" borderId="0" xfId="0" applyFont="1" applyFill="1" applyBorder="1" applyAlignment="1">
      <alignment vertical="center" wrapText="1"/>
    </xf>
    <xf numFmtId="0" fontId="45" fillId="19" borderId="0" xfId="0" applyFont="1" applyFill="1" applyAlignment="1">
      <alignment horizontal="center" vertical="center"/>
    </xf>
    <xf numFmtId="0" fontId="45" fillId="19" borderId="4" xfId="0" applyFont="1" applyFill="1" applyBorder="1">
      <alignment vertical="center"/>
    </xf>
    <xf numFmtId="0" fontId="45" fillId="19" borderId="4" xfId="0" applyFont="1" applyFill="1" applyBorder="1" applyAlignment="1">
      <alignment horizontal="center" vertical="center"/>
    </xf>
    <xf numFmtId="0" fontId="45" fillId="19" borderId="4" xfId="0" applyFont="1" applyFill="1" applyBorder="1" applyAlignment="1">
      <alignment horizontal="center" vertical="center" shrinkToFit="1"/>
    </xf>
    <xf numFmtId="0" fontId="38" fillId="19" borderId="4" xfId="0" applyFont="1" applyFill="1" applyBorder="1">
      <alignment vertical="center"/>
    </xf>
    <xf numFmtId="0" fontId="53" fillId="0" borderId="0" xfId="0" applyFont="1" applyAlignment="1">
      <alignment vertical="center"/>
    </xf>
    <xf numFmtId="0" fontId="45" fillId="0" borderId="0" xfId="0" applyFont="1">
      <alignment vertical="center"/>
    </xf>
    <xf numFmtId="0" fontId="53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/>
    <xf numFmtId="0" fontId="45" fillId="0" borderId="0" xfId="0" applyFont="1" applyFill="1" applyBorder="1" applyAlignment="1">
      <alignment horizontal="center"/>
    </xf>
    <xf numFmtId="0" fontId="45" fillId="0" borderId="0" xfId="0" applyFont="1" applyAlignment="1"/>
    <xf numFmtId="0" fontId="53" fillId="0" borderId="0" xfId="0" applyFont="1" applyFill="1" applyBorder="1" applyAlignment="1">
      <alignment vertical="center"/>
    </xf>
    <xf numFmtId="0" fontId="45" fillId="0" borderId="18" xfId="0" applyFont="1" applyBorder="1">
      <alignment vertical="center"/>
    </xf>
    <xf numFmtId="0" fontId="3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8" fillId="0" borderId="18" xfId="0" applyFont="1" applyBorder="1">
      <alignment vertical="center"/>
    </xf>
    <xf numFmtId="0" fontId="45" fillId="0" borderId="18" xfId="0" applyFont="1" applyBorder="1" applyAlignment="1">
      <alignment horizontal="center" vertical="center"/>
    </xf>
    <xf numFmtId="0" fontId="40" fillId="16" borderId="19" xfId="0" applyFont="1" applyFill="1" applyBorder="1">
      <alignment vertical="center"/>
    </xf>
    <xf numFmtId="0" fontId="36" fillId="16" borderId="19" xfId="0" applyFont="1" applyFill="1" applyBorder="1">
      <alignment vertical="center"/>
    </xf>
    <xf numFmtId="0" fontId="40" fillId="16" borderId="19" xfId="0" applyFont="1" applyFill="1" applyBorder="1" applyAlignment="1">
      <alignment horizontal="center" vertical="center"/>
    </xf>
    <xf numFmtId="0" fontId="53" fillId="3" borderId="18" xfId="0" applyFont="1" applyFill="1" applyBorder="1">
      <alignment vertical="center"/>
    </xf>
    <xf numFmtId="0" fontId="38" fillId="3" borderId="18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3" borderId="18" xfId="0" applyFont="1" applyFill="1" applyBorder="1" applyAlignment="1">
      <alignment horizontal="center" vertical="center" shrinkToFit="1"/>
    </xf>
    <xf numFmtId="0" fontId="40" fillId="0" borderId="18" xfId="0" applyFont="1" applyBorder="1" applyAlignment="1">
      <alignment horizontal="left" vertical="center" indent="1"/>
    </xf>
    <xf numFmtId="0" fontId="40" fillId="0" borderId="18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Font="1" applyBorder="1">
      <alignment vertical="center"/>
    </xf>
    <xf numFmtId="0" fontId="40" fillId="11" borderId="0" xfId="0" applyFont="1" applyFill="1" applyAlignment="1" applyProtection="1">
      <alignment horizontal="right" vertical="center"/>
      <protection locked="0"/>
    </xf>
    <xf numFmtId="0" fontId="40" fillId="11" borderId="0" xfId="0" applyFont="1" applyFill="1" applyProtection="1">
      <alignment vertical="center"/>
      <protection locked="0"/>
    </xf>
    <xf numFmtId="0" fontId="4" fillId="11" borderId="0" xfId="0" applyFont="1" applyFill="1" applyAlignment="1" applyProtection="1">
      <alignment horizontal="right" vertical="center"/>
      <protection locked="0"/>
    </xf>
    <xf numFmtId="0" fontId="40" fillId="11" borderId="0" xfId="0" applyFont="1" applyFill="1" applyAlignment="1" applyProtection="1">
      <alignment horizontal="center" vertical="center"/>
      <protection locked="0"/>
    </xf>
    <xf numFmtId="0" fontId="6" fillId="15" borderId="0" xfId="0" applyFont="1" applyFill="1" applyAlignment="1" applyProtection="1">
      <alignment horizontal="center" vertical="center"/>
      <protection locked="0"/>
    </xf>
    <xf numFmtId="0" fontId="40" fillId="7" borderId="0" xfId="0" applyFont="1" applyFill="1" applyProtection="1">
      <alignment vertical="center"/>
      <protection locked="0"/>
    </xf>
    <xf numFmtId="0" fontId="40" fillId="5" borderId="0" xfId="0" applyFont="1" applyFill="1" applyProtection="1">
      <alignment vertical="center"/>
      <protection locked="0"/>
    </xf>
    <xf numFmtId="0" fontId="40" fillId="6" borderId="0" xfId="0" applyFont="1" applyFill="1" applyProtection="1">
      <alignment vertical="center"/>
      <protection locked="0"/>
    </xf>
    <xf numFmtId="0" fontId="36" fillId="14" borderId="0" xfId="0" applyFont="1" applyFill="1" applyProtection="1">
      <alignment vertical="center"/>
      <protection locked="0"/>
    </xf>
    <xf numFmtId="0" fontId="36" fillId="0" borderId="0" xfId="0" applyFont="1" applyAlignment="1">
      <alignment horizontal="left" vertical="center" indent="1"/>
    </xf>
    <xf numFmtId="0" fontId="58" fillId="0" borderId="0" xfId="0" applyFont="1" applyAlignment="1">
      <alignment horizontal="left" vertical="center" indent="1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40" fillId="0" borderId="17" xfId="0" applyFont="1" applyBorder="1" applyAlignment="1">
      <alignment horizontal="left" vertical="center" wrapText="1" indent="1"/>
    </xf>
    <xf numFmtId="0" fontId="40" fillId="0" borderId="2" xfId="0" applyFont="1" applyBorder="1" applyAlignment="1">
      <alignment horizontal="left" vertical="center" wrapText="1" indent="1"/>
    </xf>
    <xf numFmtId="0" fontId="14" fillId="9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/>
    </xf>
  </cellXfs>
  <cellStyles count="2">
    <cellStyle name="一般" xfId="0" builtinId="0"/>
    <cellStyle name="一般 2" xfId="1" xr:uid="{C1755F06-8BEB-42D8-B00F-AC0368FDD042}"/>
  </cellStyles>
  <dxfs count="16">
    <dxf>
      <border>
        <left/>
        <right/>
        <top/>
        <bottom style="thin">
          <color theme="3" tint="0.59996337778862885"/>
        </bottom>
      </border>
    </dxf>
    <dxf>
      <border>
        <left/>
        <right/>
        <top/>
        <bottom style="thin">
          <color theme="3" tint="0.59996337778862885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FBBD5B-90AB-4B8B-8F18-F89BFEBD44ED}"/>
  </tableStyles>
  <colors>
    <mruColors>
      <color rgb="FF95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13" Type="http://schemas.openxmlformats.org/officeDocument/2006/relationships/image" Target="../media/image38.emf"/><Relationship Id="rId18" Type="http://schemas.openxmlformats.org/officeDocument/2006/relationships/image" Target="../media/image43.emf"/><Relationship Id="rId3" Type="http://schemas.openxmlformats.org/officeDocument/2006/relationships/image" Target="../media/image28.emf"/><Relationship Id="rId21" Type="http://schemas.openxmlformats.org/officeDocument/2006/relationships/image" Target="../media/image46.emf"/><Relationship Id="rId7" Type="http://schemas.openxmlformats.org/officeDocument/2006/relationships/image" Target="../media/image32.emf"/><Relationship Id="rId12" Type="http://schemas.openxmlformats.org/officeDocument/2006/relationships/image" Target="../media/image37.emf"/><Relationship Id="rId17" Type="http://schemas.openxmlformats.org/officeDocument/2006/relationships/image" Target="../media/image42.emf"/><Relationship Id="rId25" Type="http://schemas.openxmlformats.org/officeDocument/2006/relationships/image" Target="../media/image50.emf"/><Relationship Id="rId2" Type="http://schemas.openxmlformats.org/officeDocument/2006/relationships/image" Target="../media/image27.emf"/><Relationship Id="rId16" Type="http://schemas.openxmlformats.org/officeDocument/2006/relationships/image" Target="../media/image41.emf"/><Relationship Id="rId20" Type="http://schemas.openxmlformats.org/officeDocument/2006/relationships/image" Target="../media/image45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11" Type="http://schemas.openxmlformats.org/officeDocument/2006/relationships/image" Target="../media/image36.emf"/><Relationship Id="rId24" Type="http://schemas.openxmlformats.org/officeDocument/2006/relationships/image" Target="../media/image49.emf"/><Relationship Id="rId5" Type="http://schemas.openxmlformats.org/officeDocument/2006/relationships/image" Target="../media/image30.emf"/><Relationship Id="rId15" Type="http://schemas.openxmlformats.org/officeDocument/2006/relationships/image" Target="../media/image40.emf"/><Relationship Id="rId23" Type="http://schemas.openxmlformats.org/officeDocument/2006/relationships/image" Target="../media/image48.emf"/><Relationship Id="rId10" Type="http://schemas.openxmlformats.org/officeDocument/2006/relationships/image" Target="../media/image35.emf"/><Relationship Id="rId19" Type="http://schemas.openxmlformats.org/officeDocument/2006/relationships/image" Target="../media/image44.emf"/><Relationship Id="rId4" Type="http://schemas.openxmlformats.org/officeDocument/2006/relationships/image" Target="../media/image29.emf"/><Relationship Id="rId9" Type="http://schemas.openxmlformats.org/officeDocument/2006/relationships/image" Target="../media/image34.emf"/><Relationship Id="rId14" Type="http://schemas.openxmlformats.org/officeDocument/2006/relationships/image" Target="../media/image39.emf"/><Relationship Id="rId22" Type="http://schemas.openxmlformats.org/officeDocument/2006/relationships/image" Target="../media/image4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2.jpeg"/><Relationship Id="rId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261936</xdr:colOff>
      <xdr:row>80</xdr:row>
      <xdr:rowOff>496094</xdr:rowOff>
    </xdr:from>
    <xdr:ext cx="254000" cy="3530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274467" y="19939000"/>
              <a:ext cx="254000" cy="35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zh-TW" sz="10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ba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274467" y="19939000"/>
              <a:ext cx="254000" cy="35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TW" sz="1000" b="0" i="0">
                  <a:latin typeface="Cambria Math" panose="02040503050406030204" pitchFamily="18" charset="0"/>
                </a:rPr>
                <a:t>¯𝑦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107156</xdr:rowOff>
        </xdr:from>
        <xdr:to>
          <xdr:col>12</xdr:col>
          <xdr:colOff>345281</xdr:colOff>
          <xdr:row>74</xdr:row>
          <xdr:rowOff>23813</xdr:rowOff>
        </xdr:to>
        <xdr:pic>
          <xdr:nvPicPr>
            <xdr:cNvPr id="26" name="圖片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" spid="_x0000_s32226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1401" t="7935" r="2652" b="8731"/>
            <a:stretch>
              <a:fillRect/>
            </a:stretch>
          </xdr:blipFill>
          <xdr:spPr>
            <a:xfrm>
              <a:off x="5607844" y="17764125"/>
              <a:ext cx="2536031" cy="416719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12</xdr:col>
          <xdr:colOff>381000</xdr:colOff>
          <xdr:row>76</xdr:row>
          <xdr:rowOff>47625</xdr:rowOff>
        </xdr:to>
        <xdr:pic>
          <xdr:nvPicPr>
            <xdr:cNvPr id="27" name="圖片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1" spid="_x0000_s32227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1402" t="5557" r="1301" b="8729"/>
            <a:stretch>
              <a:fillRect/>
            </a:stretch>
          </xdr:blipFill>
          <xdr:spPr>
            <a:xfrm>
              <a:off x="5607844" y="18276094"/>
              <a:ext cx="2571750" cy="4286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10</xdr:col>
      <xdr:colOff>255864</xdr:colOff>
      <xdr:row>0</xdr:row>
      <xdr:rowOff>-1119984</xdr:rowOff>
    </xdr:from>
    <xdr:to>
      <xdr:col>10</xdr:col>
      <xdr:colOff>399182</xdr:colOff>
      <xdr:row>0</xdr:row>
      <xdr:rowOff>-1119984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rot="5400000">
          <a:off x="5935367" y="-1191643"/>
          <a:ext cx="0" cy="143318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108</xdr:row>
          <xdr:rowOff>273845</xdr:rowOff>
        </xdr:from>
        <xdr:to>
          <xdr:col>7</xdr:col>
          <xdr:colOff>444088</xdr:colOff>
          <xdr:row>110</xdr:row>
          <xdr:rowOff>14720</xdr:rowOff>
        </xdr:to>
        <xdr:pic>
          <xdr:nvPicPr>
            <xdr:cNvPr id="435" name="圖片 434">
              <a:extLst>
                <a:ext uri="{FF2B5EF4-FFF2-40B4-BE49-F238E27FC236}">
                  <a16:creationId xmlns:a16="http://schemas.microsoft.com/office/drawing/2014/main" id="{00000000-0008-0000-0000-0000B3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Md" spid="_x0000_s32228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1700" t="9524" r="2041" b="11905"/>
            <a:stretch>
              <a:fillRect/>
            </a:stretch>
          </xdr:blipFill>
          <xdr:spPr>
            <a:xfrm>
              <a:off x="2369344" y="26467595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511969</xdr:colOff>
          <xdr:row>108</xdr:row>
          <xdr:rowOff>261939</xdr:rowOff>
        </xdr:from>
        <xdr:to>
          <xdr:col>14</xdr:col>
          <xdr:colOff>479806</xdr:colOff>
          <xdr:row>110</xdr:row>
          <xdr:rowOff>2814</xdr:rowOff>
        </xdr:to>
        <xdr:pic>
          <xdr:nvPicPr>
            <xdr:cNvPr id="436" name="圖片 435">
              <a:extLst>
                <a:ext uri="{FF2B5EF4-FFF2-40B4-BE49-F238E27FC236}">
                  <a16:creationId xmlns:a16="http://schemas.microsoft.com/office/drawing/2014/main" id="{00000000-0008-0000-0000-0000B4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Mdw" spid="_x0000_s32229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l="1700" t="9524" r="2041" b="11905"/>
            <a:stretch>
              <a:fillRect/>
            </a:stretch>
          </xdr:blipFill>
          <xdr:spPr>
            <a:xfrm>
              <a:off x="8715375" y="26455689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109</xdr:row>
          <xdr:rowOff>273843</xdr:rowOff>
        </xdr:from>
        <xdr:to>
          <xdr:col>7</xdr:col>
          <xdr:colOff>444088</xdr:colOff>
          <xdr:row>111</xdr:row>
          <xdr:rowOff>14718</xdr:rowOff>
        </xdr:to>
        <xdr:pic>
          <xdr:nvPicPr>
            <xdr:cNvPr id="437" name="圖片 436">
              <a:extLst>
                <a:ext uri="{FF2B5EF4-FFF2-40B4-BE49-F238E27FC236}">
                  <a16:creationId xmlns:a16="http://schemas.microsoft.com/office/drawing/2014/main" id="{00000000-0008-0000-0000-0000B5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Mr" spid="_x0000_s32230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l="1700" t="9524" r="2041" b="11905"/>
            <a:stretch>
              <a:fillRect/>
            </a:stretch>
          </xdr:blipFill>
          <xdr:spPr>
            <a:xfrm>
              <a:off x="2369344" y="26777156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500063</xdr:colOff>
          <xdr:row>110</xdr:row>
          <xdr:rowOff>0</xdr:rowOff>
        </xdr:from>
        <xdr:to>
          <xdr:col>14</xdr:col>
          <xdr:colOff>467900</xdr:colOff>
          <xdr:row>111</xdr:row>
          <xdr:rowOff>50437</xdr:rowOff>
        </xdr:to>
        <xdr:pic>
          <xdr:nvPicPr>
            <xdr:cNvPr id="438" name="圖片 437">
              <a:extLst>
                <a:ext uri="{FF2B5EF4-FFF2-40B4-BE49-F238E27FC236}">
                  <a16:creationId xmlns:a16="http://schemas.microsoft.com/office/drawing/2014/main" id="{00000000-0008-0000-0000-0000B6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Mrw" spid="_x0000_s32231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l="1700" t="9524" r="2041" b="11905"/>
            <a:stretch>
              <a:fillRect/>
            </a:stretch>
          </xdr:blipFill>
          <xdr:spPr>
            <a:xfrm>
              <a:off x="8703469" y="26812875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297657</xdr:colOff>
          <xdr:row>110</xdr:row>
          <xdr:rowOff>273844</xdr:rowOff>
        </xdr:from>
        <xdr:to>
          <xdr:col>6</xdr:col>
          <xdr:colOff>98807</xdr:colOff>
          <xdr:row>112</xdr:row>
          <xdr:rowOff>14719</xdr:rowOff>
        </xdr:to>
        <xdr:pic>
          <xdr:nvPicPr>
            <xdr:cNvPr id="439" name="圖片 438">
              <a:extLst>
                <a:ext uri="{FF2B5EF4-FFF2-40B4-BE49-F238E27FC236}">
                  <a16:creationId xmlns:a16="http://schemas.microsoft.com/office/drawing/2014/main" id="{00000000-0008-0000-0000-0000B7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o" spid="_x0000_s32232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l="1700" t="9524" r="2041" b="11905"/>
            <a:stretch>
              <a:fillRect/>
            </a:stretch>
          </xdr:blipFill>
          <xdr:spPr>
            <a:xfrm>
              <a:off x="1095376" y="27051000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261938</xdr:colOff>
          <xdr:row>110</xdr:row>
          <xdr:rowOff>273844</xdr:rowOff>
        </xdr:from>
        <xdr:to>
          <xdr:col>13</xdr:col>
          <xdr:colOff>63088</xdr:colOff>
          <xdr:row>112</xdr:row>
          <xdr:rowOff>14719</xdr:rowOff>
        </xdr:to>
        <xdr:pic>
          <xdr:nvPicPr>
            <xdr:cNvPr id="440" name="圖片 439">
              <a:extLst>
                <a:ext uri="{FF2B5EF4-FFF2-40B4-BE49-F238E27FC236}">
                  <a16:creationId xmlns:a16="http://schemas.microsoft.com/office/drawing/2014/main" id="{00000000-0008-0000-0000-0000B8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ow" spid="_x0000_s32233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l="1700" t="9524" r="2041" b="11905"/>
            <a:stretch>
              <a:fillRect/>
            </a:stretch>
          </xdr:blipFill>
          <xdr:spPr>
            <a:xfrm>
              <a:off x="5869782" y="27051000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785813</xdr:colOff>
          <xdr:row>114</xdr:row>
          <xdr:rowOff>273844</xdr:rowOff>
        </xdr:from>
        <xdr:to>
          <xdr:col>7</xdr:col>
          <xdr:colOff>753651</xdr:colOff>
          <xdr:row>116</xdr:row>
          <xdr:rowOff>14719</xdr:rowOff>
        </xdr:to>
        <xdr:pic>
          <xdr:nvPicPr>
            <xdr:cNvPr id="441" name="圖片 440">
              <a:extLst>
                <a:ext uri="{FF2B5EF4-FFF2-40B4-BE49-F238E27FC236}">
                  <a16:creationId xmlns:a16="http://schemas.microsoft.com/office/drawing/2014/main" id="{00000000-0008-0000-0000-0000B9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d" spid="_x0000_s32234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l="1700" t="9524" r="2041" b="11905"/>
            <a:stretch>
              <a:fillRect/>
            </a:stretch>
          </xdr:blipFill>
          <xdr:spPr>
            <a:xfrm>
              <a:off x="2512219" y="29694188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762004</xdr:colOff>
          <xdr:row>114</xdr:row>
          <xdr:rowOff>273844</xdr:rowOff>
        </xdr:from>
        <xdr:to>
          <xdr:col>14</xdr:col>
          <xdr:colOff>729841</xdr:colOff>
          <xdr:row>116</xdr:row>
          <xdr:rowOff>14719</xdr:rowOff>
        </xdr:to>
        <xdr:pic>
          <xdr:nvPicPr>
            <xdr:cNvPr id="442" name="圖片 441">
              <a:extLst>
                <a:ext uri="{FF2B5EF4-FFF2-40B4-BE49-F238E27FC236}">
                  <a16:creationId xmlns:a16="http://schemas.microsoft.com/office/drawing/2014/main" id="{00000000-0008-0000-0000-0000BA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dw" spid="_x0000_s32235"/>
                </a:ext>
              </a:extLst>
            </xdr:cNvPicPr>
          </xdr:nvPicPr>
          <xdr:blipFill rotWithShape="1">
            <a:blip xmlns:r="http://schemas.openxmlformats.org/officeDocument/2006/relationships" r:embed="rId10"/>
            <a:srcRect l="1700" t="9524" r="2041" b="11905"/>
            <a:stretch>
              <a:fillRect/>
            </a:stretch>
          </xdr:blipFill>
          <xdr:spPr>
            <a:xfrm>
              <a:off x="8298660" y="29694188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285744</xdr:colOff>
          <xdr:row>116</xdr:row>
          <xdr:rowOff>297657</xdr:rowOff>
        </xdr:from>
        <xdr:to>
          <xdr:col>6</xdr:col>
          <xdr:colOff>86894</xdr:colOff>
          <xdr:row>118</xdr:row>
          <xdr:rowOff>38532</xdr:rowOff>
        </xdr:to>
        <xdr:pic>
          <xdr:nvPicPr>
            <xdr:cNvPr id="443" name="圖片 442">
              <a:extLst>
                <a:ext uri="{FF2B5EF4-FFF2-40B4-BE49-F238E27FC236}">
                  <a16:creationId xmlns:a16="http://schemas.microsoft.com/office/drawing/2014/main" id="{00000000-0008-0000-0000-0000BB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s" spid="_x0000_s32236"/>
                </a:ext>
              </a:extLst>
            </xdr:cNvPicPr>
          </xdr:nvPicPr>
          <xdr:blipFill rotWithShape="1">
            <a:blip xmlns:r="http://schemas.openxmlformats.org/officeDocument/2006/relationships" r:embed="rId11"/>
            <a:srcRect l="1700" t="9524" r="2041" b="11905"/>
            <a:stretch>
              <a:fillRect/>
            </a:stretch>
          </xdr:blipFill>
          <xdr:spPr>
            <a:xfrm>
              <a:off x="1083463" y="30301407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261932</xdr:colOff>
          <xdr:row>116</xdr:row>
          <xdr:rowOff>297657</xdr:rowOff>
        </xdr:from>
        <xdr:to>
          <xdr:col>13</xdr:col>
          <xdr:colOff>63082</xdr:colOff>
          <xdr:row>118</xdr:row>
          <xdr:rowOff>38532</xdr:rowOff>
        </xdr:to>
        <xdr:pic>
          <xdr:nvPicPr>
            <xdr:cNvPr id="444" name="圖片 443">
              <a:extLst>
                <a:ext uri="{FF2B5EF4-FFF2-40B4-BE49-F238E27FC236}">
                  <a16:creationId xmlns:a16="http://schemas.microsoft.com/office/drawing/2014/main" id="{00000000-0008-0000-0000-0000BC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sw" spid="_x0000_s32237"/>
                </a:ext>
              </a:extLst>
            </xdr:cNvPicPr>
          </xdr:nvPicPr>
          <xdr:blipFill rotWithShape="1">
            <a:blip xmlns:r="http://schemas.openxmlformats.org/officeDocument/2006/relationships" r:embed="rId12"/>
            <a:srcRect l="1700" t="9524" r="2041" b="11905"/>
            <a:stretch>
              <a:fillRect/>
            </a:stretch>
          </xdr:blipFill>
          <xdr:spPr>
            <a:xfrm>
              <a:off x="5869776" y="30301407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833438</xdr:colOff>
          <xdr:row>116</xdr:row>
          <xdr:rowOff>0</xdr:rowOff>
        </xdr:from>
        <xdr:to>
          <xdr:col>7</xdr:col>
          <xdr:colOff>601938</xdr:colOff>
          <xdr:row>117</xdr:row>
          <xdr:rowOff>26268</xdr:rowOff>
        </xdr:to>
        <xdr:pic>
          <xdr:nvPicPr>
            <xdr:cNvPr id="445" name="圖片 444">
              <a:extLst>
                <a:ext uri="{FF2B5EF4-FFF2-40B4-BE49-F238E27FC236}">
                  <a16:creationId xmlns:a16="http://schemas.microsoft.com/office/drawing/2014/main" id="{00000000-0008-0000-0000-0000BD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r" spid="_x0000_s32238"/>
                </a:ext>
              </a:extLst>
            </xdr:cNvPicPr>
          </xdr:nvPicPr>
          <xdr:blipFill rotWithShape="1">
            <a:blip xmlns:r="http://schemas.openxmlformats.org/officeDocument/2006/relationships" r:embed="rId13"/>
            <a:srcRect l="1700" t="9524" r="2041" b="11905"/>
            <a:stretch>
              <a:fillRect/>
            </a:stretch>
          </xdr:blipFill>
          <xdr:spPr>
            <a:xfrm>
              <a:off x="2559844" y="30039469"/>
              <a:ext cx="2880000" cy="33583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821532</xdr:colOff>
          <xdr:row>116</xdr:row>
          <xdr:rowOff>0</xdr:rowOff>
        </xdr:from>
        <xdr:to>
          <xdr:col>14</xdr:col>
          <xdr:colOff>474094</xdr:colOff>
          <xdr:row>117</xdr:row>
          <xdr:rowOff>13674</xdr:rowOff>
        </xdr:to>
        <xdr:pic>
          <xdr:nvPicPr>
            <xdr:cNvPr id="446" name="圖片 445">
              <a:extLst>
                <a:ext uri="{FF2B5EF4-FFF2-40B4-BE49-F238E27FC236}">
                  <a16:creationId xmlns:a16="http://schemas.microsoft.com/office/drawing/2014/main" id="{00000000-0008-0000-0000-0000BE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rw" spid="_x0000_s32239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l="1700" t="9524" r="2041" b="11905"/>
            <a:stretch>
              <a:fillRect/>
            </a:stretch>
          </xdr:blipFill>
          <xdr:spPr>
            <a:xfrm>
              <a:off x="8358188" y="30039469"/>
              <a:ext cx="2772000" cy="32323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488155</xdr:colOff>
          <xdr:row>120</xdr:row>
          <xdr:rowOff>226218</xdr:rowOff>
        </xdr:from>
        <xdr:to>
          <xdr:col>8</xdr:col>
          <xdr:colOff>622680</xdr:colOff>
          <xdr:row>122</xdr:row>
          <xdr:rowOff>26624</xdr:rowOff>
        </xdr:to>
        <xdr:pic>
          <xdr:nvPicPr>
            <xdr:cNvPr id="447" name="圖片 446">
              <a:extLst>
                <a:ext uri="{FF2B5EF4-FFF2-40B4-BE49-F238E27FC236}">
                  <a16:creationId xmlns:a16="http://schemas.microsoft.com/office/drawing/2014/main" id="{00000000-0008-0000-0000-0000BF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d" spid="_x0000_s32240"/>
                </a:ext>
              </a:extLst>
            </xdr:cNvPicPr>
          </xdr:nvPicPr>
          <xdr:blipFill rotWithShape="1">
            <a:blip xmlns:r="http://schemas.openxmlformats.org/officeDocument/2006/relationships" r:embed="rId15"/>
            <a:srcRect l="1700" t="9524" r="2041" b="11905"/>
            <a:stretch>
              <a:fillRect/>
            </a:stretch>
          </xdr:blipFill>
          <xdr:spPr>
            <a:xfrm>
              <a:off x="3476624" y="31634906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916788</xdr:colOff>
          <xdr:row>121</xdr:row>
          <xdr:rowOff>285751</xdr:rowOff>
        </xdr:from>
        <xdr:to>
          <xdr:col>6</xdr:col>
          <xdr:colOff>717938</xdr:colOff>
          <xdr:row>123</xdr:row>
          <xdr:rowOff>12074</xdr:rowOff>
        </xdr:to>
        <xdr:pic>
          <xdr:nvPicPr>
            <xdr:cNvPr id="451" name="圖片 450">
              <a:extLst>
                <a:ext uri="{FF2B5EF4-FFF2-40B4-BE49-F238E27FC236}">
                  <a16:creationId xmlns:a16="http://schemas.microsoft.com/office/drawing/2014/main" id="{00000000-0008-0000-0000-0000C3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e" spid="_x0000_s32241"/>
                </a:ext>
              </a:extLst>
            </xdr:cNvPicPr>
          </xdr:nvPicPr>
          <xdr:blipFill rotWithShape="1">
            <a:blip xmlns:r="http://schemas.openxmlformats.org/officeDocument/2006/relationships" r:embed="rId16"/>
            <a:srcRect l="1700" t="9524" r="2041" b="11905"/>
            <a:stretch>
              <a:fillRect/>
            </a:stretch>
          </xdr:blipFill>
          <xdr:spPr>
            <a:xfrm>
              <a:off x="1714507" y="31944470"/>
              <a:ext cx="3087275" cy="34544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867839</xdr:colOff>
          <xdr:row>121</xdr:row>
          <xdr:rowOff>285751</xdr:rowOff>
        </xdr:from>
        <xdr:to>
          <xdr:col>13</xdr:col>
          <xdr:colOff>668989</xdr:colOff>
          <xdr:row>123</xdr:row>
          <xdr:rowOff>12074</xdr:rowOff>
        </xdr:to>
        <xdr:pic>
          <xdr:nvPicPr>
            <xdr:cNvPr id="452" name="圖片 451">
              <a:extLst>
                <a:ext uri="{FF2B5EF4-FFF2-40B4-BE49-F238E27FC236}">
                  <a16:creationId xmlns:a16="http://schemas.microsoft.com/office/drawing/2014/main" id="{00000000-0008-0000-0000-0000C4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e1" spid="_x0000_s32242"/>
                </a:ext>
              </a:extLst>
            </xdr:cNvPicPr>
          </xdr:nvPicPr>
          <xdr:blipFill rotWithShape="1">
            <a:blip xmlns:r="http://schemas.openxmlformats.org/officeDocument/2006/relationships" r:embed="rId17"/>
            <a:srcRect l="1700" t="9524" r="2041" b="11905"/>
            <a:stretch>
              <a:fillRect/>
            </a:stretch>
          </xdr:blipFill>
          <xdr:spPr>
            <a:xfrm>
              <a:off x="7475808" y="31944470"/>
              <a:ext cx="3087275" cy="34544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698500</xdr:colOff>
          <xdr:row>123</xdr:row>
          <xdr:rowOff>264585</xdr:rowOff>
        </xdr:from>
        <xdr:to>
          <xdr:col>7</xdr:col>
          <xdr:colOff>666338</xdr:colOff>
          <xdr:row>124</xdr:row>
          <xdr:rowOff>308409</xdr:rowOff>
        </xdr:to>
        <xdr:pic>
          <xdr:nvPicPr>
            <xdr:cNvPr id="453" name="圖片 452">
              <a:extLst>
                <a:ext uri="{FF2B5EF4-FFF2-40B4-BE49-F238E27FC236}">
                  <a16:creationId xmlns:a16="http://schemas.microsoft.com/office/drawing/2014/main" id="{00000000-0008-0000-0000-0000C5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qmax" spid="_x0000_s32243"/>
                </a:ext>
              </a:extLst>
            </xdr:cNvPicPr>
          </xdr:nvPicPr>
          <xdr:blipFill rotWithShape="1">
            <a:blip xmlns:r="http://schemas.openxmlformats.org/officeDocument/2006/relationships" r:embed="rId18"/>
            <a:srcRect l="1700" t="9524" r="2041" b="11905"/>
            <a:stretch>
              <a:fillRect/>
            </a:stretch>
          </xdr:blipFill>
          <xdr:spPr>
            <a:xfrm>
              <a:off x="2591594" y="32542429"/>
              <a:ext cx="3087275" cy="35338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698500</xdr:colOff>
          <xdr:row>124</xdr:row>
          <xdr:rowOff>275166</xdr:rowOff>
        </xdr:from>
        <xdr:to>
          <xdr:col>7</xdr:col>
          <xdr:colOff>666338</xdr:colOff>
          <xdr:row>126</xdr:row>
          <xdr:rowOff>1489</xdr:rowOff>
        </xdr:to>
        <xdr:pic>
          <xdr:nvPicPr>
            <xdr:cNvPr id="454" name="圖片 453">
              <a:extLst>
                <a:ext uri="{FF2B5EF4-FFF2-40B4-BE49-F238E27FC236}">
                  <a16:creationId xmlns:a16="http://schemas.microsoft.com/office/drawing/2014/main" id="{00000000-0008-0000-0000-0000C6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qmin" spid="_x0000_s32244"/>
                </a:ext>
              </a:extLst>
            </xdr:cNvPicPr>
          </xdr:nvPicPr>
          <xdr:blipFill rotWithShape="1">
            <a:blip xmlns:r="http://schemas.openxmlformats.org/officeDocument/2006/relationships" r:embed="rId19"/>
            <a:srcRect l="1700" t="9524" r="2041" b="11905"/>
            <a:stretch>
              <a:fillRect/>
            </a:stretch>
          </xdr:blipFill>
          <xdr:spPr>
            <a:xfrm>
              <a:off x="2591594" y="32862572"/>
              <a:ext cx="3087275" cy="34544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677333</xdr:colOff>
          <xdr:row>123</xdr:row>
          <xdr:rowOff>254000</xdr:rowOff>
        </xdr:from>
        <xdr:to>
          <xdr:col>14</xdr:col>
          <xdr:colOff>645170</xdr:colOff>
          <xdr:row>124</xdr:row>
          <xdr:rowOff>297824</xdr:rowOff>
        </xdr:to>
        <xdr:pic>
          <xdr:nvPicPr>
            <xdr:cNvPr id="455" name="圖片 454">
              <a:extLst>
                <a:ext uri="{FF2B5EF4-FFF2-40B4-BE49-F238E27FC236}">
                  <a16:creationId xmlns:a16="http://schemas.microsoft.com/office/drawing/2014/main" id="{00000000-0008-0000-0000-0000C7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qmaxw" spid="_x0000_s32245"/>
                </a:ext>
              </a:extLst>
            </xdr:cNvPicPr>
          </xdr:nvPicPr>
          <xdr:blipFill rotWithShape="1">
            <a:blip xmlns:r="http://schemas.openxmlformats.org/officeDocument/2006/relationships" r:embed="rId20"/>
            <a:srcRect l="1700" t="9524" r="2041" b="11905"/>
            <a:stretch>
              <a:fillRect/>
            </a:stretch>
          </xdr:blipFill>
          <xdr:spPr>
            <a:xfrm>
              <a:off x="8880739" y="32531844"/>
              <a:ext cx="3087275" cy="35338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677333</xdr:colOff>
          <xdr:row>124</xdr:row>
          <xdr:rowOff>275164</xdr:rowOff>
        </xdr:from>
        <xdr:to>
          <xdr:col>14</xdr:col>
          <xdr:colOff>645170</xdr:colOff>
          <xdr:row>126</xdr:row>
          <xdr:rowOff>1487</xdr:rowOff>
        </xdr:to>
        <xdr:pic>
          <xdr:nvPicPr>
            <xdr:cNvPr id="456" name="圖片 455">
              <a:extLst>
                <a:ext uri="{FF2B5EF4-FFF2-40B4-BE49-F238E27FC236}">
                  <a16:creationId xmlns:a16="http://schemas.microsoft.com/office/drawing/2014/main" id="{00000000-0008-0000-0000-0000C8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qminw" spid="_x0000_s32246"/>
                </a:ext>
              </a:extLst>
            </xdr:cNvPicPr>
          </xdr:nvPicPr>
          <xdr:blipFill rotWithShape="1">
            <a:blip xmlns:r="http://schemas.openxmlformats.org/officeDocument/2006/relationships" r:embed="rId21"/>
            <a:srcRect l="1700" t="9524" r="2041" b="11905"/>
            <a:stretch>
              <a:fillRect/>
            </a:stretch>
          </xdr:blipFill>
          <xdr:spPr>
            <a:xfrm>
              <a:off x="8880739" y="32862570"/>
              <a:ext cx="3087275" cy="34544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465666</xdr:colOff>
          <xdr:row>120</xdr:row>
          <xdr:rowOff>223572</xdr:rowOff>
        </xdr:from>
        <xdr:to>
          <xdr:col>15</xdr:col>
          <xdr:colOff>600191</xdr:colOff>
          <xdr:row>122</xdr:row>
          <xdr:rowOff>23978</xdr:rowOff>
        </xdr:to>
        <xdr:pic>
          <xdr:nvPicPr>
            <xdr:cNvPr id="457" name="圖片 456">
              <a:extLst>
                <a:ext uri="{FF2B5EF4-FFF2-40B4-BE49-F238E27FC236}">
                  <a16:creationId xmlns:a16="http://schemas.microsoft.com/office/drawing/2014/main" id="{00000000-0008-0000-0000-0000C9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dw" spid="_x0000_s32247"/>
                </a:ext>
              </a:extLst>
            </xdr:cNvPicPr>
          </xdr:nvPicPr>
          <xdr:blipFill rotWithShape="1">
            <a:blip xmlns:r="http://schemas.openxmlformats.org/officeDocument/2006/relationships" r:embed="rId22"/>
            <a:srcRect l="1700" t="9524" r="2041" b="11905"/>
            <a:stretch>
              <a:fillRect/>
            </a:stretch>
          </xdr:blipFill>
          <xdr:spPr>
            <a:xfrm>
              <a:off x="9764447" y="31632260"/>
              <a:ext cx="3087275" cy="360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253999</xdr:colOff>
          <xdr:row>126</xdr:row>
          <xdr:rowOff>179916</xdr:rowOff>
        </xdr:from>
        <xdr:to>
          <xdr:col>6</xdr:col>
          <xdr:colOff>207874</xdr:colOff>
          <xdr:row>128</xdr:row>
          <xdr:rowOff>21733</xdr:rowOff>
        </xdr:to>
        <xdr:pic>
          <xdr:nvPicPr>
            <xdr:cNvPr id="458" name="圖片 457">
              <a:extLst>
                <a:ext uri="{FF2B5EF4-FFF2-40B4-BE49-F238E27FC236}">
                  <a16:creationId xmlns:a16="http://schemas.microsoft.com/office/drawing/2014/main" id="{00000000-0008-0000-0000-0000CA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b" spid="_x0000_s32248"/>
                </a:ext>
              </a:extLst>
            </xdr:cNvPicPr>
          </xdr:nvPicPr>
          <xdr:blipFill rotWithShape="1">
            <a:blip xmlns:r="http://schemas.openxmlformats.org/officeDocument/2006/relationships" r:embed="rId23"/>
            <a:srcRect l="1700" t="9524" r="2041" b="11905"/>
            <a:stretch>
              <a:fillRect/>
            </a:stretch>
          </xdr:blipFill>
          <xdr:spPr>
            <a:xfrm>
              <a:off x="1051718" y="33350729"/>
              <a:ext cx="3240000" cy="401411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275166</xdr:colOff>
          <xdr:row>126</xdr:row>
          <xdr:rowOff>179916</xdr:rowOff>
        </xdr:from>
        <xdr:to>
          <xdr:col>13</xdr:col>
          <xdr:colOff>229041</xdr:colOff>
          <xdr:row>128</xdr:row>
          <xdr:rowOff>21733</xdr:rowOff>
        </xdr:to>
        <xdr:pic>
          <xdr:nvPicPr>
            <xdr:cNvPr id="459" name="圖片 458">
              <a:extLst>
                <a:ext uri="{FF2B5EF4-FFF2-40B4-BE49-F238E27FC236}">
                  <a16:creationId xmlns:a16="http://schemas.microsoft.com/office/drawing/2014/main" id="{00000000-0008-0000-0000-0000CB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rmula_FSbw" spid="_x0000_s32249"/>
                </a:ext>
              </a:extLst>
            </xdr:cNvPicPr>
          </xdr:nvPicPr>
          <xdr:blipFill rotWithShape="1">
            <a:blip xmlns:r="http://schemas.openxmlformats.org/officeDocument/2006/relationships" r:embed="rId24"/>
            <a:srcRect l="1700" t="9524" r="2041" b="11905"/>
            <a:stretch>
              <a:fillRect/>
            </a:stretch>
          </xdr:blipFill>
          <xdr:spPr>
            <a:xfrm>
              <a:off x="5883010" y="33350729"/>
              <a:ext cx="3240000" cy="401411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309561</xdr:rowOff>
        </xdr:from>
        <xdr:to>
          <xdr:col>5</xdr:col>
          <xdr:colOff>689250</xdr:colOff>
          <xdr:row>135</xdr:row>
          <xdr:rowOff>171269</xdr:rowOff>
        </xdr:to>
        <xdr:pic>
          <xdr:nvPicPr>
            <xdr:cNvPr id="460" name="圖片 459">
              <a:extLst>
                <a:ext uri="{FF2B5EF4-FFF2-40B4-BE49-F238E27FC236}">
                  <a16:creationId xmlns:a16="http://schemas.microsoft.com/office/drawing/2014/main" id="{00000000-0008-0000-0000-0000CC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hoto_bc" spid="_x0000_s32250"/>
                </a:ext>
              </a:extLst>
            </xdr:cNvPicPr>
          </xdr:nvPicPr>
          <xdr:blipFill rotWithShape="1">
            <a:blip xmlns:r="http://schemas.openxmlformats.org/officeDocument/2006/relationships" r:embed="rId25"/>
            <a:srcRect l="1700" t="9524" r="2041" b="11905"/>
            <a:stretch>
              <a:fillRect/>
            </a:stretch>
          </xdr:blipFill>
          <xdr:spPr>
            <a:xfrm>
              <a:off x="797719" y="33730405"/>
              <a:ext cx="2880000" cy="192149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absolute">
    <xdr:from>
      <xdr:col>3</xdr:col>
      <xdr:colOff>714375</xdr:colOff>
      <xdr:row>4</xdr:row>
      <xdr:rowOff>0</xdr:rowOff>
    </xdr:from>
    <xdr:to>
      <xdr:col>13</xdr:col>
      <xdr:colOff>560918</xdr:colOff>
      <xdr:row>21</xdr:row>
      <xdr:rowOff>78469</xdr:rowOff>
    </xdr:to>
    <xdr:grpSp>
      <xdr:nvGrpSpPr>
        <xdr:cNvPr id="395" name="群組 394">
          <a:extLst>
            <a:ext uri="{FF2B5EF4-FFF2-40B4-BE49-F238E27FC236}">
              <a16:creationId xmlns:a16="http://schemas.microsoft.com/office/drawing/2014/main" id="{1CDF9339-56CA-4A03-BBAD-0F331D269628}"/>
            </a:ext>
          </a:extLst>
        </xdr:cNvPr>
        <xdr:cNvGrpSpPr/>
      </xdr:nvGrpSpPr>
      <xdr:grpSpPr>
        <a:xfrm>
          <a:off x="1512094" y="964406"/>
          <a:ext cx="9442980" cy="3567001"/>
          <a:chOff x="633674" y="915131"/>
          <a:chExt cx="9419168" cy="3586844"/>
        </a:xfrm>
      </xdr:grpSpPr>
      <xdr:grpSp>
        <xdr:nvGrpSpPr>
          <xdr:cNvPr id="396" name="群組 395">
            <a:extLst>
              <a:ext uri="{FF2B5EF4-FFF2-40B4-BE49-F238E27FC236}">
                <a16:creationId xmlns:a16="http://schemas.microsoft.com/office/drawing/2014/main" id="{473B1E60-1589-498E-BB7E-AA9291659237}"/>
              </a:ext>
            </a:extLst>
          </xdr:cNvPr>
          <xdr:cNvGrpSpPr/>
        </xdr:nvGrpSpPr>
        <xdr:grpSpPr>
          <a:xfrm>
            <a:off x="633674" y="915131"/>
            <a:ext cx="5256723" cy="3155150"/>
            <a:chOff x="633674" y="915131"/>
            <a:chExt cx="5256723" cy="3155150"/>
          </a:xfrm>
        </xdr:grpSpPr>
        <xdr:grpSp>
          <xdr:nvGrpSpPr>
            <xdr:cNvPr id="474" name="群組 473">
              <a:extLst>
                <a:ext uri="{FF2B5EF4-FFF2-40B4-BE49-F238E27FC236}">
                  <a16:creationId xmlns:a16="http://schemas.microsoft.com/office/drawing/2014/main" id="{9BF8D2B0-F830-4E1F-A630-D4961D5CB1A4}"/>
                </a:ext>
              </a:extLst>
            </xdr:cNvPr>
            <xdr:cNvGrpSpPr/>
          </xdr:nvGrpSpPr>
          <xdr:grpSpPr>
            <a:xfrm>
              <a:off x="633674" y="915131"/>
              <a:ext cx="5256723" cy="3155150"/>
              <a:chOff x="633674" y="760352"/>
              <a:chExt cx="5256723" cy="3144677"/>
            </a:xfrm>
          </xdr:grpSpPr>
          <xdr:grpSp>
            <xdr:nvGrpSpPr>
              <xdr:cNvPr id="479" name="群組 478">
                <a:extLst>
                  <a:ext uri="{FF2B5EF4-FFF2-40B4-BE49-F238E27FC236}">
                    <a16:creationId xmlns:a16="http://schemas.microsoft.com/office/drawing/2014/main" id="{C927502E-56BD-4AEE-8980-109761C82BE2}"/>
                  </a:ext>
                </a:extLst>
              </xdr:cNvPr>
              <xdr:cNvGrpSpPr/>
            </xdr:nvGrpSpPr>
            <xdr:grpSpPr>
              <a:xfrm>
                <a:off x="1724276" y="2853256"/>
                <a:ext cx="1079915" cy="730112"/>
                <a:chOff x="6663976" y="2045106"/>
                <a:chExt cx="1081305" cy="717007"/>
              </a:xfrm>
            </xdr:grpSpPr>
            <xdr:sp macro="" textlink="">
              <xdr:nvSpPr>
                <xdr:cNvPr id="574" name="矩形 573">
                  <a:extLst>
                    <a:ext uri="{FF2B5EF4-FFF2-40B4-BE49-F238E27FC236}">
                      <a16:creationId xmlns:a16="http://schemas.microsoft.com/office/drawing/2014/main" id="{1A1EC2DC-21DA-4017-A7D5-0C2213830412}"/>
                    </a:ext>
                  </a:extLst>
                </xdr:cNvPr>
                <xdr:cNvSpPr/>
              </xdr:nvSpPr>
              <xdr:spPr>
                <a:xfrm>
                  <a:off x="6663976" y="2045106"/>
                  <a:ext cx="1081305" cy="717007"/>
                </a:xfrm>
                <a:prstGeom prst="rect">
                  <a:avLst/>
                </a:prstGeom>
                <a:gradFill flip="none" rotWithShape="1">
                  <a:gsLst>
                    <a:gs pos="0">
                      <a:schemeClr val="accent4">
                        <a:lumMod val="75000"/>
                        <a:tint val="66000"/>
                        <a:satMod val="160000"/>
                      </a:schemeClr>
                    </a:gs>
                    <a:gs pos="50000">
                      <a:schemeClr val="accent4">
                        <a:lumMod val="75000"/>
                        <a:tint val="44500"/>
                        <a:satMod val="160000"/>
                      </a:schemeClr>
                    </a:gs>
                    <a:gs pos="100000">
                      <a:schemeClr val="accent4">
                        <a:lumMod val="75000"/>
                        <a:tint val="23500"/>
                        <a:satMod val="160000"/>
                      </a:scheme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  <xdr:grpSp>
              <xdr:nvGrpSpPr>
                <xdr:cNvPr id="575" name="群組 574">
                  <a:extLst>
                    <a:ext uri="{FF2B5EF4-FFF2-40B4-BE49-F238E27FC236}">
                      <a16:creationId xmlns:a16="http://schemas.microsoft.com/office/drawing/2014/main" id="{8A018CBC-5B3D-4D31-8AF9-9261B6E15C55}"/>
                    </a:ext>
                  </a:extLst>
                </xdr:cNvPr>
                <xdr:cNvGrpSpPr/>
              </xdr:nvGrpSpPr>
              <xdr:grpSpPr>
                <a:xfrm>
                  <a:off x="7357765" y="2045106"/>
                  <a:ext cx="260532" cy="72000"/>
                  <a:chOff x="7100067" y="2045181"/>
                  <a:chExt cx="260532" cy="72000"/>
                </a:xfrm>
              </xdr:grpSpPr>
              <xdr:cxnSp macro="">
                <xdr:nvCxnSpPr>
                  <xdr:cNvPr id="576" name="直線接點 575">
                    <a:extLst>
                      <a:ext uri="{FF2B5EF4-FFF2-40B4-BE49-F238E27FC236}">
                        <a16:creationId xmlns:a16="http://schemas.microsoft.com/office/drawing/2014/main" id="{357D2622-437D-421E-B332-B177ACC69F02}"/>
                      </a:ext>
                    </a:extLst>
                  </xdr:cNvPr>
                  <xdr:cNvCxnSpPr/>
                </xdr:nvCxnSpPr>
                <xdr:spPr>
                  <a:xfrm flipH="1">
                    <a:off x="7100067" y="2045181"/>
                    <a:ext cx="72000" cy="72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7" name="直線接點 576">
                    <a:extLst>
                      <a:ext uri="{FF2B5EF4-FFF2-40B4-BE49-F238E27FC236}">
                        <a16:creationId xmlns:a16="http://schemas.microsoft.com/office/drawing/2014/main" id="{38F2F511-EECF-40B5-9220-4CE02F13A396}"/>
                      </a:ext>
                    </a:extLst>
                  </xdr:cNvPr>
                  <xdr:cNvCxnSpPr/>
                </xdr:nvCxnSpPr>
                <xdr:spPr>
                  <a:xfrm flipH="1">
                    <a:off x="7139899" y="2045181"/>
                    <a:ext cx="73305" cy="72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8" name="直線接點 577">
                    <a:extLst>
                      <a:ext uri="{FF2B5EF4-FFF2-40B4-BE49-F238E27FC236}">
                        <a16:creationId xmlns:a16="http://schemas.microsoft.com/office/drawing/2014/main" id="{5FACFC69-EE1B-4883-9FE1-8E80568F2BDF}"/>
                      </a:ext>
                    </a:extLst>
                  </xdr:cNvPr>
                  <xdr:cNvCxnSpPr/>
                </xdr:nvCxnSpPr>
                <xdr:spPr>
                  <a:xfrm>
                    <a:off x="7211343" y="2045181"/>
                    <a:ext cx="36000" cy="36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9" name="直線接點 578">
                    <a:extLst>
                      <a:ext uri="{FF2B5EF4-FFF2-40B4-BE49-F238E27FC236}">
                        <a16:creationId xmlns:a16="http://schemas.microsoft.com/office/drawing/2014/main" id="{4CE4F77A-A560-4BA9-8A6B-B3F4E78B2BD8}"/>
                      </a:ext>
                    </a:extLst>
                  </xdr:cNvPr>
                  <xdr:cNvCxnSpPr/>
                </xdr:nvCxnSpPr>
                <xdr:spPr>
                  <a:xfrm>
                    <a:off x="7188188" y="2067079"/>
                    <a:ext cx="37305" cy="36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0" name="直線接點 579">
                    <a:extLst>
                      <a:ext uri="{FF2B5EF4-FFF2-40B4-BE49-F238E27FC236}">
                        <a16:creationId xmlns:a16="http://schemas.microsoft.com/office/drawing/2014/main" id="{6D42AB75-94B0-49D2-AEA4-10D825DB98F9}"/>
                      </a:ext>
                    </a:extLst>
                  </xdr:cNvPr>
                  <xdr:cNvCxnSpPr/>
                </xdr:nvCxnSpPr>
                <xdr:spPr>
                  <a:xfrm flipH="1">
                    <a:off x="7213323" y="2045181"/>
                    <a:ext cx="72000" cy="72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1" name="直線接點 580">
                    <a:extLst>
                      <a:ext uri="{FF2B5EF4-FFF2-40B4-BE49-F238E27FC236}">
                        <a16:creationId xmlns:a16="http://schemas.microsoft.com/office/drawing/2014/main" id="{C493FE8A-43B9-46B4-B142-2F633FA73002}"/>
                      </a:ext>
                    </a:extLst>
                  </xdr:cNvPr>
                  <xdr:cNvCxnSpPr/>
                </xdr:nvCxnSpPr>
                <xdr:spPr>
                  <a:xfrm flipH="1">
                    <a:off x="7253155" y="2045181"/>
                    <a:ext cx="73305" cy="72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2" name="直線接點 581">
                    <a:extLst>
                      <a:ext uri="{FF2B5EF4-FFF2-40B4-BE49-F238E27FC236}">
                        <a16:creationId xmlns:a16="http://schemas.microsoft.com/office/drawing/2014/main" id="{8EF07EFA-1429-4F29-819D-35F596C63FE9}"/>
                      </a:ext>
                    </a:extLst>
                  </xdr:cNvPr>
                  <xdr:cNvCxnSpPr/>
                </xdr:nvCxnSpPr>
                <xdr:spPr>
                  <a:xfrm>
                    <a:off x="7324599" y="2045181"/>
                    <a:ext cx="36000" cy="36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3" name="直線接點 582">
                    <a:extLst>
                      <a:ext uri="{FF2B5EF4-FFF2-40B4-BE49-F238E27FC236}">
                        <a16:creationId xmlns:a16="http://schemas.microsoft.com/office/drawing/2014/main" id="{8CC8B93A-2E22-4710-899E-D90773D8787C}"/>
                      </a:ext>
                    </a:extLst>
                  </xdr:cNvPr>
                  <xdr:cNvCxnSpPr/>
                </xdr:nvCxnSpPr>
                <xdr:spPr>
                  <a:xfrm>
                    <a:off x="7304706" y="2069427"/>
                    <a:ext cx="37305" cy="36000"/>
                  </a:xfrm>
                  <a:prstGeom prst="line">
                    <a:avLst/>
                  </a:prstGeom>
                  <a:ln w="3175">
                    <a:solidFill>
                      <a:schemeClr val="accent4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480" name="矩形 479">
                <a:extLst>
                  <a:ext uri="{FF2B5EF4-FFF2-40B4-BE49-F238E27FC236}">
                    <a16:creationId xmlns:a16="http://schemas.microsoft.com/office/drawing/2014/main" id="{1AD770EB-EA7E-45B3-A493-3D0018C348EE}"/>
                  </a:ext>
                </a:extLst>
              </xdr:cNvPr>
              <xdr:cNvSpPr/>
            </xdr:nvSpPr>
            <xdr:spPr>
              <a:xfrm>
                <a:off x="3628759" y="1396663"/>
                <a:ext cx="431515" cy="1449656"/>
              </a:xfrm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accent3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481" name="直角三角形 480">
                <a:extLst>
                  <a:ext uri="{FF2B5EF4-FFF2-40B4-BE49-F238E27FC236}">
                    <a16:creationId xmlns:a16="http://schemas.microsoft.com/office/drawing/2014/main" id="{0CCEA4D2-2E11-4975-BBF4-9B541CF3A6D7}"/>
                  </a:ext>
                </a:extLst>
              </xdr:cNvPr>
              <xdr:cNvSpPr/>
            </xdr:nvSpPr>
            <xdr:spPr>
              <a:xfrm flipH="1">
                <a:off x="3194044" y="1396663"/>
                <a:ext cx="431515" cy="1449656"/>
              </a:xfrm>
              <a:prstGeom prst="rtTriangle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accent3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grpSp>
            <xdr:nvGrpSpPr>
              <xdr:cNvPr id="482" name="群組 481">
                <a:extLst>
                  <a:ext uri="{FF2B5EF4-FFF2-40B4-BE49-F238E27FC236}">
                    <a16:creationId xmlns:a16="http://schemas.microsoft.com/office/drawing/2014/main" id="{CAA8A090-E739-4DD1-9FF8-55AC6EB6B19F}"/>
                  </a:ext>
                </a:extLst>
              </xdr:cNvPr>
              <xdr:cNvGrpSpPr/>
            </xdr:nvGrpSpPr>
            <xdr:grpSpPr>
              <a:xfrm>
                <a:off x="4065144" y="1106899"/>
                <a:ext cx="1727863" cy="291414"/>
                <a:chOff x="9471252" y="323850"/>
                <a:chExt cx="1728000" cy="287378"/>
              </a:xfrm>
            </xdr:grpSpPr>
            <xdr:grpSp>
              <xdr:nvGrpSpPr>
                <xdr:cNvPr id="563" name="群組 562">
                  <a:extLst>
                    <a:ext uri="{FF2B5EF4-FFF2-40B4-BE49-F238E27FC236}">
                      <a16:creationId xmlns:a16="http://schemas.microsoft.com/office/drawing/2014/main" id="{96F06099-5162-4E5C-8564-D0956F81D410}"/>
                    </a:ext>
                  </a:extLst>
                </xdr:cNvPr>
                <xdr:cNvGrpSpPr/>
              </xdr:nvGrpSpPr>
              <xdr:grpSpPr>
                <a:xfrm>
                  <a:off x="9471252" y="359228"/>
                  <a:ext cx="1728000" cy="252000"/>
                  <a:chOff x="9467170" y="353104"/>
                  <a:chExt cx="1728000" cy="253361"/>
                </a:xfrm>
              </xdr:grpSpPr>
              <xdr:sp macro="" textlink="">
                <xdr:nvSpPr>
                  <xdr:cNvPr id="565" name="矩形 564">
                    <a:extLst>
                      <a:ext uri="{FF2B5EF4-FFF2-40B4-BE49-F238E27FC236}">
                        <a16:creationId xmlns:a16="http://schemas.microsoft.com/office/drawing/2014/main" id="{CCDA51ED-6AAD-4F22-8709-D3C0F0EF6EA8}"/>
                      </a:ext>
                    </a:extLst>
                  </xdr:cNvPr>
                  <xdr:cNvSpPr/>
                </xdr:nvSpPr>
                <xdr:spPr>
                  <a:xfrm>
                    <a:off x="9467170" y="353104"/>
                    <a:ext cx="1728000" cy="253361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chemeClr val="accent6">
                          <a:lumMod val="75000"/>
                          <a:tint val="66000"/>
                          <a:satMod val="160000"/>
                        </a:schemeClr>
                      </a:gs>
                      <a:gs pos="50000">
                        <a:schemeClr val="accent6">
                          <a:lumMod val="75000"/>
                          <a:tint val="44500"/>
                          <a:satMod val="160000"/>
                        </a:schemeClr>
                      </a:gs>
                      <a:gs pos="100000">
                        <a:schemeClr val="accent6">
                          <a:lumMod val="75000"/>
                          <a:tint val="23500"/>
                          <a:satMod val="160000"/>
                        </a:scheme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TW" altLang="en-US" sz="1100"/>
                  </a:p>
                </xdr:txBody>
              </xdr:sp>
              <xdr:cxnSp macro="">
                <xdr:nvCxnSpPr>
                  <xdr:cNvPr id="566" name="直線單箭頭接點 565">
                    <a:extLst>
                      <a:ext uri="{FF2B5EF4-FFF2-40B4-BE49-F238E27FC236}">
                        <a16:creationId xmlns:a16="http://schemas.microsoft.com/office/drawing/2014/main" id="{5704042C-074F-48F9-B71F-8C9B59F2669A}"/>
                      </a:ext>
                    </a:extLst>
                  </xdr:cNvPr>
                  <xdr:cNvCxnSpPr/>
                </xdr:nvCxnSpPr>
                <xdr:spPr>
                  <a:xfrm>
                    <a:off x="10206037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7" name="直線單箭頭接點 566">
                    <a:extLst>
                      <a:ext uri="{FF2B5EF4-FFF2-40B4-BE49-F238E27FC236}">
                        <a16:creationId xmlns:a16="http://schemas.microsoft.com/office/drawing/2014/main" id="{AFED294A-E6C6-4484-B2FF-B6E5780D652C}"/>
                      </a:ext>
                    </a:extLst>
                  </xdr:cNvPr>
                  <xdr:cNvCxnSpPr/>
                </xdr:nvCxnSpPr>
                <xdr:spPr>
                  <a:xfrm>
                    <a:off x="10452326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8" name="直線單箭頭接點 567">
                    <a:extLst>
                      <a:ext uri="{FF2B5EF4-FFF2-40B4-BE49-F238E27FC236}">
                        <a16:creationId xmlns:a16="http://schemas.microsoft.com/office/drawing/2014/main" id="{1DCA869D-0D3B-48BA-B936-A9E22C86315B}"/>
                      </a:ext>
                    </a:extLst>
                  </xdr:cNvPr>
                  <xdr:cNvCxnSpPr/>
                </xdr:nvCxnSpPr>
                <xdr:spPr>
                  <a:xfrm>
                    <a:off x="9467170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9" name="直線單箭頭接點 568">
                    <a:extLst>
                      <a:ext uri="{FF2B5EF4-FFF2-40B4-BE49-F238E27FC236}">
                        <a16:creationId xmlns:a16="http://schemas.microsoft.com/office/drawing/2014/main" id="{0CFD75E1-780E-49D7-B3EA-F652280FA147}"/>
                      </a:ext>
                    </a:extLst>
                  </xdr:cNvPr>
                  <xdr:cNvCxnSpPr/>
                </xdr:nvCxnSpPr>
                <xdr:spPr>
                  <a:xfrm>
                    <a:off x="9713459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0" name="直線單箭頭接點 569">
                    <a:extLst>
                      <a:ext uri="{FF2B5EF4-FFF2-40B4-BE49-F238E27FC236}">
                        <a16:creationId xmlns:a16="http://schemas.microsoft.com/office/drawing/2014/main" id="{8D9167CE-80EE-45D3-BC41-B000606109AA}"/>
                      </a:ext>
                    </a:extLst>
                  </xdr:cNvPr>
                  <xdr:cNvCxnSpPr/>
                </xdr:nvCxnSpPr>
                <xdr:spPr>
                  <a:xfrm>
                    <a:off x="11191195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1" name="直線單箭頭接點 570">
                    <a:extLst>
                      <a:ext uri="{FF2B5EF4-FFF2-40B4-BE49-F238E27FC236}">
                        <a16:creationId xmlns:a16="http://schemas.microsoft.com/office/drawing/2014/main" id="{2359D344-748D-4AA0-B6FD-E71A2A941774}"/>
                      </a:ext>
                    </a:extLst>
                  </xdr:cNvPr>
                  <xdr:cNvCxnSpPr/>
                </xdr:nvCxnSpPr>
                <xdr:spPr>
                  <a:xfrm>
                    <a:off x="10944904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2" name="直線單箭頭接點 571">
                    <a:extLst>
                      <a:ext uri="{FF2B5EF4-FFF2-40B4-BE49-F238E27FC236}">
                        <a16:creationId xmlns:a16="http://schemas.microsoft.com/office/drawing/2014/main" id="{A178F84B-AFBC-4597-AFFD-DE5E68AFA79D}"/>
                      </a:ext>
                    </a:extLst>
                  </xdr:cNvPr>
                  <xdr:cNvCxnSpPr/>
                </xdr:nvCxnSpPr>
                <xdr:spPr>
                  <a:xfrm>
                    <a:off x="10698615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3" name="直線單箭頭接點 572">
                    <a:extLst>
                      <a:ext uri="{FF2B5EF4-FFF2-40B4-BE49-F238E27FC236}">
                        <a16:creationId xmlns:a16="http://schemas.microsoft.com/office/drawing/2014/main" id="{AD178D4C-3C9B-4D5D-875B-32B35A85B178}"/>
                      </a:ext>
                    </a:extLst>
                  </xdr:cNvPr>
                  <xdr:cNvCxnSpPr/>
                </xdr:nvCxnSpPr>
                <xdr:spPr>
                  <a:xfrm>
                    <a:off x="9959748" y="353104"/>
                    <a:ext cx="0" cy="253361"/>
                  </a:xfrm>
                  <a:prstGeom prst="straightConnector1">
                    <a:avLst/>
                  </a:prstGeom>
                  <a:ln w="3175">
                    <a:solidFill>
                      <a:schemeClr val="accent6">
                        <a:lumMod val="75000"/>
                      </a:schemeClr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64" name="文字方塊 563">
                  <a:extLst>
                    <a:ext uri="{FF2B5EF4-FFF2-40B4-BE49-F238E27FC236}">
                      <a16:creationId xmlns:a16="http://schemas.microsoft.com/office/drawing/2014/main" id="{8CC8A48A-AF4A-4D0B-A4A9-1BCF2D90FAE6}"/>
                    </a:ext>
                  </a:extLst>
                </xdr:cNvPr>
                <xdr:cNvSpPr txBox="1"/>
              </xdr:nvSpPr>
              <xdr:spPr>
                <a:xfrm>
                  <a:off x="10134600" y="323850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accent6">
                          <a:lumMod val="75000"/>
                        </a:schemeClr>
                      </a:solidFill>
                    </a:rPr>
                    <a:t>q</a:t>
                  </a:r>
                  <a:endParaRPr lang="zh-TW" altLang="en-US" sz="1100">
                    <a:solidFill>
                      <a:schemeClr val="accent6">
                        <a:lumMod val="75000"/>
                      </a:schemeClr>
                    </a:solidFill>
                  </a:endParaRPr>
                </a:p>
              </xdr:txBody>
            </xdr:sp>
          </xdr:grpSp>
          <xdr:grpSp>
            <xdr:nvGrpSpPr>
              <xdr:cNvPr id="483" name="群組 482">
                <a:extLst>
                  <a:ext uri="{FF2B5EF4-FFF2-40B4-BE49-F238E27FC236}">
                    <a16:creationId xmlns:a16="http://schemas.microsoft.com/office/drawing/2014/main" id="{CE3E6AC7-7585-4E5A-8D67-E1F5C86FBAF2}"/>
                  </a:ext>
                </a:extLst>
              </xdr:cNvPr>
              <xdr:cNvGrpSpPr/>
            </xdr:nvGrpSpPr>
            <xdr:grpSpPr>
              <a:xfrm>
                <a:off x="3629633" y="957627"/>
                <a:ext cx="444419" cy="144882"/>
                <a:chOff x="8892886" y="133350"/>
                <a:chExt cx="444454" cy="142009"/>
              </a:xfrm>
            </xdr:grpSpPr>
            <xdr:cxnSp macro="">
              <xdr:nvCxnSpPr>
                <xdr:cNvPr id="560" name="直線單箭頭接點 559">
                  <a:extLst>
                    <a:ext uri="{FF2B5EF4-FFF2-40B4-BE49-F238E27FC236}">
                      <a16:creationId xmlns:a16="http://schemas.microsoft.com/office/drawing/2014/main" id="{98144C78-B83A-48FC-97B6-E5C521693D11}"/>
                    </a:ext>
                  </a:extLst>
                </xdr:cNvPr>
                <xdr:cNvCxnSpPr/>
              </xdr:nvCxnSpPr>
              <xdr:spPr>
                <a:xfrm>
                  <a:off x="8904323" y="199159"/>
                  <a:ext cx="431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1" name="直線接點 560">
                  <a:extLst>
                    <a:ext uri="{FF2B5EF4-FFF2-40B4-BE49-F238E27FC236}">
                      <a16:creationId xmlns:a16="http://schemas.microsoft.com/office/drawing/2014/main" id="{0D8FB977-C313-4BE4-8A65-B85392607C75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2" name="直線接點 561">
                  <a:extLst>
                    <a:ext uri="{FF2B5EF4-FFF2-40B4-BE49-F238E27FC236}">
                      <a16:creationId xmlns:a16="http://schemas.microsoft.com/office/drawing/2014/main" id="{D0A845D9-95E9-4A57-BF29-66D5EFE59261}"/>
                    </a:ext>
                  </a:extLst>
                </xdr:cNvPr>
                <xdr:cNvCxnSpPr/>
              </xdr:nvCxnSpPr>
              <xdr:spPr>
                <a:xfrm>
                  <a:off x="9337340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84" name="群組 483">
                <a:extLst>
                  <a:ext uri="{FF2B5EF4-FFF2-40B4-BE49-F238E27FC236}">
                    <a16:creationId xmlns:a16="http://schemas.microsoft.com/office/drawing/2014/main" id="{56AA6D9F-8538-4B9B-8972-3B6CC9059668}"/>
                  </a:ext>
                </a:extLst>
              </xdr:cNvPr>
              <xdr:cNvGrpSpPr/>
            </xdr:nvGrpSpPr>
            <xdr:grpSpPr>
              <a:xfrm>
                <a:off x="2805787" y="3760147"/>
                <a:ext cx="1268271" cy="144882"/>
                <a:chOff x="8892886" y="133350"/>
                <a:chExt cx="1268369" cy="142009"/>
              </a:xfrm>
            </xdr:grpSpPr>
            <xdr:cxnSp macro="">
              <xdr:nvCxnSpPr>
                <xdr:cNvPr id="557" name="直線單箭頭接點 556">
                  <a:extLst>
                    <a:ext uri="{FF2B5EF4-FFF2-40B4-BE49-F238E27FC236}">
                      <a16:creationId xmlns:a16="http://schemas.microsoft.com/office/drawing/2014/main" id="{D6FDD05A-5551-44E2-A317-FED06792A60D}"/>
                    </a:ext>
                  </a:extLst>
                </xdr:cNvPr>
                <xdr:cNvCxnSpPr/>
              </xdr:nvCxnSpPr>
              <xdr:spPr>
                <a:xfrm>
                  <a:off x="8893750" y="199159"/>
                  <a:ext cx="1258683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8" name="直線接點 557">
                  <a:extLst>
                    <a:ext uri="{FF2B5EF4-FFF2-40B4-BE49-F238E27FC236}">
                      <a16:creationId xmlns:a16="http://schemas.microsoft.com/office/drawing/2014/main" id="{48447695-54B4-4EDB-94DE-6F34CF722F83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9" name="直線接點 558">
                  <a:extLst>
                    <a:ext uri="{FF2B5EF4-FFF2-40B4-BE49-F238E27FC236}">
                      <a16:creationId xmlns:a16="http://schemas.microsoft.com/office/drawing/2014/main" id="{5EE9F06E-E0F9-4756-B838-4DEC5FD2467B}"/>
                    </a:ext>
                  </a:extLst>
                </xdr:cNvPr>
                <xdr:cNvCxnSpPr/>
              </xdr:nvCxnSpPr>
              <xdr:spPr>
                <a:xfrm>
                  <a:off x="10161255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85" name="文字方塊 484">
                <a:extLst>
                  <a:ext uri="{FF2B5EF4-FFF2-40B4-BE49-F238E27FC236}">
                    <a16:creationId xmlns:a16="http://schemas.microsoft.com/office/drawing/2014/main" id="{57E3E6E7-20B0-403B-B54D-92B3C7B6E896}"/>
                  </a:ext>
                </a:extLst>
              </xdr:cNvPr>
              <xdr:cNvSpPr txBox="1"/>
            </xdr:nvSpPr>
            <xdr:spPr>
              <a:xfrm>
                <a:off x="3644127" y="775399"/>
                <a:ext cx="428590" cy="2704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a1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sp macro="" textlink="">
            <xdr:nvSpPr>
              <xdr:cNvPr id="486" name="文字方塊 485">
                <a:extLst>
                  <a:ext uri="{FF2B5EF4-FFF2-40B4-BE49-F238E27FC236}">
                    <a16:creationId xmlns:a16="http://schemas.microsoft.com/office/drawing/2014/main" id="{FC6D2439-C5C4-4F56-B312-C18D0172C988}"/>
                  </a:ext>
                </a:extLst>
              </xdr:cNvPr>
              <xdr:cNvSpPr txBox="1"/>
            </xdr:nvSpPr>
            <xdr:spPr>
              <a:xfrm>
                <a:off x="3263458" y="3603728"/>
                <a:ext cx="428590" cy="2720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B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87" name="群組 486">
                <a:extLst>
                  <a:ext uri="{FF2B5EF4-FFF2-40B4-BE49-F238E27FC236}">
                    <a16:creationId xmlns:a16="http://schemas.microsoft.com/office/drawing/2014/main" id="{139A6327-884A-426F-8C69-EE8DEDE449AE}"/>
                  </a:ext>
                </a:extLst>
              </xdr:cNvPr>
              <xdr:cNvGrpSpPr/>
            </xdr:nvGrpSpPr>
            <xdr:grpSpPr>
              <a:xfrm>
                <a:off x="3187021" y="957627"/>
                <a:ext cx="444351" cy="144882"/>
                <a:chOff x="8883171" y="133350"/>
                <a:chExt cx="444385" cy="142009"/>
              </a:xfrm>
            </xdr:grpSpPr>
            <xdr:cxnSp macro="">
              <xdr:nvCxnSpPr>
                <xdr:cNvPr id="554" name="直線單箭頭接點 553">
                  <a:extLst>
                    <a:ext uri="{FF2B5EF4-FFF2-40B4-BE49-F238E27FC236}">
                      <a16:creationId xmlns:a16="http://schemas.microsoft.com/office/drawing/2014/main" id="{376F504F-698D-4605-B421-C400EA05406C}"/>
                    </a:ext>
                  </a:extLst>
                </xdr:cNvPr>
                <xdr:cNvCxnSpPr/>
              </xdr:nvCxnSpPr>
              <xdr:spPr>
                <a:xfrm>
                  <a:off x="8883171" y="199159"/>
                  <a:ext cx="431549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5" name="直線接點 554">
                  <a:extLst>
                    <a:ext uri="{FF2B5EF4-FFF2-40B4-BE49-F238E27FC236}">
                      <a16:creationId xmlns:a16="http://schemas.microsoft.com/office/drawing/2014/main" id="{35C4F263-B890-4140-8B53-B32129E07955}"/>
                    </a:ext>
                  </a:extLst>
                </xdr:cNvPr>
                <xdr:cNvCxnSpPr/>
              </xdr:nvCxnSpPr>
              <xdr:spPr>
                <a:xfrm>
                  <a:off x="8892887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6" name="直線接點 555">
                  <a:extLst>
                    <a:ext uri="{FF2B5EF4-FFF2-40B4-BE49-F238E27FC236}">
                      <a16:creationId xmlns:a16="http://schemas.microsoft.com/office/drawing/2014/main" id="{E8EE9375-B4E3-43A4-9EF2-688175ADE3E8}"/>
                    </a:ext>
                  </a:extLst>
                </xdr:cNvPr>
                <xdr:cNvCxnSpPr/>
              </xdr:nvCxnSpPr>
              <xdr:spPr>
                <a:xfrm>
                  <a:off x="932755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88" name="文字方塊 487">
                <a:extLst>
                  <a:ext uri="{FF2B5EF4-FFF2-40B4-BE49-F238E27FC236}">
                    <a16:creationId xmlns:a16="http://schemas.microsoft.com/office/drawing/2014/main" id="{5EBF4850-43B0-4C10-8B2F-930B31B5065D}"/>
                  </a:ext>
                </a:extLst>
              </xdr:cNvPr>
              <xdr:cNvSpPr txBox="1"/>
            </xdr:nvSpPr>
            <xdr:spPr>
              <a:xfrm>
                <a:off x="3207288" y="760352"/>
                <a:ext cx="428590" cy="2704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a2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89" name="群組 488">
                <a:extLst>
                  <a:ext uri="{FF2B5EF4-FFF2-40B4-BE49-F238E27FC236}">
                    <a16:creationId xmlns:a16="http://schemas.microsoft.com/office/drawing/2014/main" id="{58BC1200-82B1-45F5-9D22-C6A7EE57EA1D}"/>
                  </a:ext>
                </a:extLst>
              </xdr:cNvPr>
              <xdr:cNvGrpSpPr/>
            </xdr:nvGrpSpPr>
            <xdr:grpSpPr>
              <a:xfrm rot="5400000">
                <a:off x="744532" y="2026603"/>
                <a:ext cx="1466905" cy="155864"/>
                <a:chOff x="8892886" y="123018"/>
                <a:chExt cx="1734414" cy="152341"/>
              </a:xfrm>
            </xdr:grpSpPr>
            <xdr:cxnSp macro="">
              <xdr:nvCxnSpPr>
                <xdr:cNvPr id="551" name="直線單箭頭接點 550">
                  <a:extLst>
                    <a:ext uri="{FF2B5EF4-FFF2-40B4-BE49-F238E27FC236}">
                      <a16:creationId xmlns:a16="http://schemas.microsoft.com/office/drawing/2014/main" id="{26D3A593-89DE-4C3F-A7C3-575455FCEE84}"/>
                    </a:ext>
                  </a:extLst>
                </xdr:cNvPr>
                <xdr:cNvCxnSpPr/>
              </xdr:nvCxnSpPr>
              <xdr:spPr>
                <a:xfrm>
                  <a:off x="8893750" y="199159"/>
                  <a:ext cx="1733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2" name="直線接點 551">
                  <a:extLst>
                    <a:ext uri="{FF2B5EF4-FFF2-40B4-BE49-F238E27FC236}">
                      <a16:creationId xmlns:a16="http://schemas.microsoft.com/office/drawing/2014/main" id="{46B36B17-7ECF-4DCA-87E0-C5E289CF19E1}"/>
                    </a:ext>
                  </a:extLst>
                </xdr:cNvPr>
                <xdr:cNvCxnSpPr/>
              </xdr:nvCxnSpPr>
              <xdr:spPr>
                <a:xfrm>
                  <a:off x="8892886" y="123018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3" name="直線接點 552">
                  <a:extLst>
                    <a:ext uri="{FF2B5EF4-FFF2-40B4-BE49-F238E27FC236}">
                      <a16:creationId xmlns:a16="http://schemas.microsoft.com/office/drawing/2014/main" id="{721607F2-33CB-47F8-BF96-8E1311847996}"/>
                    </a:ext>
                  </a:extLst>
                </xdr:cNvPr>
                <xdr:cNvCxnSpPr/>
              </xdr:nvCxnSpPr>
              <xdr:spPr>
                <a:xfrm>
                  <a:off x="1062643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90" name="文字方塊 489">
                <a:extLst>
                  <a:ext uri="{FF2B5EF4-FFF2-40B4-BE49-F238E27FC236}">
                    <a16:creationId xmlns:a16="http://schemas.microsoft.com/office/drawing/2014/main" id="{2854BDD6-F47C-456F-B635-21D18E2B28D3}"/>
                  </a:ext>
                </a:extLst>
              </xdr:cNvPr>
              <xdr:cNvSpPr txBox="1"/>
            </xdr:nvSpPr>
            <xdr:spPr>
              <a:xfrm>
                <a:off x="1127090" y="1969064"/>
                <a:ext cx="428570" cy="26939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h1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91" name="群組 490">
                <a:extLst>
                  <a:ext uri="{FF2B5EF4-FFF2-40B4-BE49-F238E27FC236}">
                    <a16:creationId xmlns:a16="http://schemas.microsoft.com/office/drawing/2014/main" id="{6B5437BA-1C76-4321-B211-C8BFE5015204}"/>
                  </a:ext>
                </a:extLst>
              </xdr:cNvPr>
              <xdr:cNvGrpSpPr/>
            </xdr:nvGrpSpPr>
            <xdr:grpSpPr>
              <a:xfrm rot="5400000">
                <a:off x="1107381" y="3137314"/>
                <a:ext cx="731168" cy="145293"/>
                <a:chOff x="8892886" y="133350"/>
                <a:chExt cx="1734413" cy="142009"/>
              </a:xfrm>
            </xdr:grpSpPr>
            <xdr:cxnSp macro="">
              <xdr:nvCxnSpPr>
                <xdr:cNvPr id="548" name="直線單箭頭接點 547">
                  <a:extLst>
                    <a:ext uri="{FF2B5EF4-FFF2-40B4-BE49-F238E27FC236}">
                      <a16:creationId xmlns:a16="http://schemas.microsoft.com/office/drawing/2014/main" id="{3D795715-7F02-4512-B6BB-43F79EAB5161}"/>
                    </a:ext>
                  </a:extLst>
                </xdr:cNvPr>
                <xdr:cNvCxnSpPr/>
              </xdr:nvCxnSpPr>
              <xdr:spPr>
                <a:xfrm>
                  <a:off x="8893749" y="199159"/>
                  <a:ext cx="1733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9" name="直線接點 548">
                  <a:extLst>
                    <a:ext uri="{FF2B5EF4-FFF2-40B4-BE49-F238E27FC236}">
                      <a16:creationId xmlns:a16="http://schemas.microsoft.com/office/drawing/2014/main" id="{78232ACD-2FF7-444E-9255-D6FE5F906B3A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0" name="直線接點 549">
                  <a:extLst>
                    <a:ext uri="{FF2B5EF4-FFF2-40B4-BE49-F238E27FC236}">
                      <a16:creationId xmlns:a16="http://schemas.microsoft.com/office/drawing/2014/main" id="{5684B744-6617-4ABD-B49C-B758A46DDE2F}"/>
                    </a:ext>
                  </a:extLst>
                </xdr:cNvPr>
                <xdr:cNvCxnSpPr/>
              </xdr:nvCxnSpPr>
              <xdr:spPr>
                <a:xfrm>
                  <a:off x="1062643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92" name="文字方塊 491">
                <a:extLst>
                  <a:ext uri="{FF2B5EF4-FFF2-40B4-BE49-F238E27FC236}">
                    <a16:creationId xmlns:a16="http://schemas.microsoft.com/office/drawing/2014/main" id="{59E32CBA-B9BD-4338-BCB1-F510FE227418}"/>
                  </a:ext>
                </a:extLst>
              </xdr:cNvPr>
              <xdr:cNvSpPr txBox="1"/>
            </xdr:nvSpPr>
            <xdr:spPr>
              <a:xfrm>
                <a:off x="1127090" y="3066704"/>
                <a:ext cx="428570" cy="2710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h2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93" name="群組 492">
                <a:extLst>
                  <a:ext uri="{FF2B5EF4-FFF2-40B4-BE49-F238E27FC236}">
                    <a16:creationId xmlns:a16="http://schemas.microsoft.com/office/drawing/2014/main" id="{AF9B615E-B99E-4084-A046-6FF55C77EB47}"/>
                  </a:ext>
                </a:extLst>
              </xdr:cNvPr>
              <xdr:cNvGrpSpPr/>
            </xdr:nvGrpSpPr>
            <xdr:grpSpPr>
              <a:xfrm rot="5400000">
                <a:off x="-22385" y="2403479"/>
                <a:ext cx="2191880" cy="143318"/>
                <a:chOff x="8892886" y="133350"/>
                <a:chExt cx="1734414" cy="142009"/>
              </a:xfrm>
            </xdr:grpSpPr>
            <xdr:cxnSp macro="">
              <xdr:nvCxnSpPr>
                <xdr:cNvPr id="545" name="直線單箭頭接點 544">
                  <a:extLst>
                    <a:ext uri="{FF2B5EF4-FFF2-40B4-BE49-F238E27FC236}">
                      <a16:creationId xmlns:a16="http://schemas.microsoft.com/office/drawing/2014/main" id="{E1E89702-1538-4747-B468-9008B87F4F1E}"/>
                    </a:ext>
                  </a:extLst>
                </xdr:cNvPr>
                <xdr:cNvCxnSpPr/>
              </xdr:nvCxnSpPr>
              <xdr:spPr>
                <a:xfrm>
                  <a:off x="8893750" y="199159"/>
                  <a:ext cx="1733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6" name="直線接點 545">
                  <a:extLst>
                    <a:ext uri="{FF2B5EF4-FFF2-40B4-BE49-F238E27FC236}">
                      <a16:creationId xmlns:a16="http://schemas.microsoft.com/office/drawing/2014/main" id="{0247F10E-1666-4803-B121-60E75D09A5A1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7" name="直線接點 546">
                  <a:extLst>
                    <a:ext uri="{FF2B5EF4-FFF2-40B4-BE49-F238E27FC236}">
                      <a16:creationId xmlns:a16="http://schemas.microsoft.com/office/drawing/2014/main" id="{5E7F16D0-8932-4EF3-B42C-63A6EFD4B461}"/>
                    </a:ext>
                  </a:extLst>
                </xdr:cNvPr>
                <xdr:cNvCxnSpPr/>
              </xdr:nvCxnSpPr>
              <xdr:spPr>
                <a:xfrm>
                  <a:off x="1062643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94" name="文字方塊 493">
                <a:extLst>
                  <a:ext uri="{FF2B5EF4-FFF2-40B4-BE49-F238E27FC236}">
                    <a16:creationId xmlns:a16="http://schemas.microsoft.com/office/drawing/2014/main" id="{2DF66749-8F89-422B-922F-355E38258B2E}"/>
                  </a:ext>
                </a:extLst>
              </xdr:cNvPr>
              <xdr:cNvSpPr txBox="1"/>
            </xdr:nvSpPr>
            <xdr:spPr>
              <a:xfrm>
                <a:off x="707401" y="2333173"/>
                <a:ext cx="428570" cy="2710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H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95" name="群組 494">
                <a:extLst>
                  <a:ext uri="{FF2B5EF4-FFF2-40B4-BE49-F238E27FC236}">
                    <a16:creationId xmlns:a16="http://schemas.microsoft.com/office/drawing/2014/main" id="{39430E27-277C-4A1A-A0EC-0F1BAC1C1FC6}"/>
                  </a:ext>
                </a:extLst>
              </xdr:cNvPr>
              <xdr:cNvGrpSpPr/>
            </xdr:nvGrpSpPr>
            <xdr:grpSpPr>
              <a:xfrm rot="5400000">
                <a:off x="4462400" y="2783533"/>
                <a:ext cx="1456666" cy="143988"/>
                <a:chOff x="8892886" y="133350"/>
                <a:chExt cx="1734414" cy="142009"/>
              </a:xfrm>
            </xdr:grpSpPr>
            <xdr:cxnSp macro="">
              <xdr:nvCxnSpPr>
                <xdr:cNvPr id="542" name="直線單箭頭接點 541">
                  <a:extLst>
                    <a:ext uri="{FF2B5EF4-FFF2-40B4-BE49-F238E27FC236}">
                      <a16:creationId xmlns:a16="http://schemas.microsoft.com/office/drawing/2014/main" id="{4ED206C2-454E-4A59-A543-A7AA5D8702C1}"/>
                    </a:ext>
                  </a:extLst>
                </xdr:cNvPr>
                <xdr:cNvCxnSpPr/>
              </xdr:nvCxnSpPr>
              <xdr:spPr>
                <a:xfrm>
                  <a:off x="8893750" y="199159"/>
                  <a:ext cx="1733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3" name="直線接點 542">
                  <a:extLst>
                    <a:ext uri="{FF2B5EF4-FFF2-40B4-BE49-F238E27FC236}">
                      <a16:creationId xmlns:a16="http://schemas.microsoft.com/office/drawing/2014/main" id="{C700595E-9DB0-4B5F-87D0-2065B6C66640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4" name="直線接點 543">
                  <a:extLst>
                    <a:ext uri="{FF2B5EF4-FFF2-40B4-BE49-F238E27FC236}">
                      <a16:creationId xmlns:a16="http://schemas.microsoft.com/office/drawing/2014/main" id="{26CD7245-F04E-47E1-B49F-CB3AD27C7D50}"/>
                    </a:ext>
                  </a:extLst>
                </xdr:cNvPr>
                <xdr:cNvCxnSpPr/>
              </xdr:nvCxnSpPr>
              <xdr:spPr>
                <a:xfrm>
                  <a:off x="1062643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96" name="文字方塊 495">
                <a:extLst>
                  <a:ext uri="{FF2B5EF4-FFF2-40B4-BE49-F238E27FC236}">
                    <a16:creationId xmlns:a16="http://schemas.microsoft.com/office/drawing/2014/main" id="{499D4256-47CD-4FDB-B569-259F8BCC2086}"/>
                  </a:ext>
                </a:extLst>
              </xdr:cNvPr>
              <xdr:cNvSpPr txBox="1"/>
            </xdr:nvSpPr>
            <xdr:spPr>
              <a:xfrm>
                <a:off x="4874912" y="2791288"/>
                <a:ext cx="428590" cy="1351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h3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97" name="群組 496">
                <a:extLst>
                  <a:ext uri="{FF2B5EF4-FFF2-40B4-BE49-F238E27FC236}">
                    <a16:creationId xmlns:a16="http://schemas.microsoft.com/office/drawing/2014/main" id="{856FB7F8-92AA-4B3F-90D3-A20F4743834C}"/>
                  </a:ext>
                </a:extLst>
              </xdr:cNvPr>
              <xdr:cNvGrpSpPr/>
            </xdr:nvGrpSpPr>
            <xdr:grpSpPr>
              <a:xfrm>
                <a:off x="2910256" y="1667108"/>
                <a:ext cx="571455" cy="645160"/>
                <a:chOff x="9448800" y="1562100"/>
                <a:chExt cx="571500" cy="636225"/>
              </a:xfrm>
            </xdr:grpSpPr>
            <xdr:sp macro="" textlink="">
              <xdr:nvSpPr>
                <xdr:cNvPr id="539" name="直角三角形 538">
                  <a:extLst>
                    <a:ext uri="{FF2B5EF4-FFF2-40B4-BE49-F238E27FC236}">
                      <a16:creationId xmlns:a16="http://schemas.microsoft.com/office/drawing/2014/main" id="{9E5D704E-AE1D-41ED-82AD-9A44C938F421}"/>
                    </a:ext>
                  </a:extLst>
                </xdr:cNvPr>
                <xdr:cNvSpPr/>
              </xdr:nvSpPr>
              <xdr:spPr>
                <a:xfrm flipV="1">
                  <a:off x="9763125" y="1838325"/>
                  <a:ext cx="108000" cy="360000"/>
                </a:xfrm>
                <a:prstGeom prst="rtTriangle">
                  <a:avLst/>
                </a:prstGeom>
                <a:noFill/>
                <a:ln w="3175"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  <xdr:sp macro="" textlink="">
              <xdr:nvSpPr>
                <xdr:cNvPr id="540" name="文字方塊 539">
                  <a:extLst>
                    <a:ext uri="{FF2B5EF4-FFF2-40B4-BE49-F238E27FC236}">
                      <a16:creationId xmlns:a16="http://schemas.microsoft.com/office/drawing/2014/main" id="{72687621-D4A6-447F-AAD8-3770E4FAFB36}"/>
                    </a:ext>
                  </a:extLst>
                </xdr:cNvPr>
                <xdr:cNvSpPr txBox="1"/>
              </xdr:nvSpPr>
              <xdr:spPr>
                <a:xfrm>
                  <a:off x="9591675" y="1562100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tx2">
                          <a:lumMod val="75000"/>
                        </a:schemeClr>
                      </a:solidFill>
                    </a:rPr>
                    <a:t>S</a:t>
                  </a:r>
                  <a:endParaRPr lang="zh-TW" altLang="en-US" sz="1100">
                    <a:solidFill>
                      <a:schemeClr val="tx2">
                        <a:lumMod val="75000"/>
                      </a:schemeClr>
                    </a:solidFill>
                  </a:endParaRPr>
                </a:p>
              </xdr:txBody>
            </xdr:sp>
            <xdr:sp macro="" textlink="">
              <xdr:nvSpPr>
                <xdr:cNvPr id="541" name="文字方塊 540">
                  <a:extLst>
                    <a:ext uri="{FF2B5EF4-FFF2-40B4-BE49-F238E27FC236}">
                      <a16:creationId xmlns:a16="http://schemas.microsoft.com/office/drawing/2014/main" id="{221BBD10-6A98-4D92-9BEA-9C19BF9F1517}"/>
                    </a:ext>
                  </a:extLst>
                </xdr:cNvPr>
                <xdr:cNvSpPr txBox="1"/>
              </xdr:nvSpPr>
              <xdr:spPr>
                <a:xfrm>
                  <a:off x="9448800" y="1847850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tx2">
                          <a:lumMod val="75000"/>
                        </a:schemeClr>
                      </a:solidFill>
                    </a:rPr>
                    <a:t>1</a:t>
                  </a:r>
                  <a:endParaRPr lang="zh-TW" altLang="en-US" sz="1100">
                    <a:solidFill>
                      <a:schemeClr val="tx2">
                        <a:lumMod val="75000"/>
                      </a:schemeClr>
                    </a:solidFill>
                  </a:endParaRPr>
                </a:p>
              </xdr:txBody>
            </xdr:sp>
          </xdr:grpSp>
          <xdr:sp macro="" textlink="">
            <xdr:nvSpPr>
              <xdr:cNvPr id="498" name="文字方塊 497">
                <a:extLst>
                  <a:ext uri="{FF2B5EF4-FFF2-40B4-BE49-F238E27FC236}">
                    <a16:creationId xmlns:a16="http://schemas.microsoft.com/office/drawing/2014/main" id="{51E86137-40B2-4DD7-862F-7BF6590F8CC0}"/>
                  </a:ext>
                </a:extLst>
              </xdr:cNvPr>
              <xdr:cNvSpPr txBox="1"/>
            </xdr:nvSpPr>
            <xdr:spPr>
              <a:xfrm>
                <a:off x="2409661" y="2612672"/>
                <a:ext cx="428590" cy="2704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G.L.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499" name="群組 498">
                <a:extLst>
                  <a:ext uri="{FF2B5EF4-FFF2-40B4-BE49-F238E27FC236}">
                    <a16:creationId xmlns:a16="http://schemas.microsoft.com/office/drawing/2014/main" id="{54E0BB11-5ED6-4B5F-B44D-FB9C47FD3F31}"/>
                  </a:ext>
                </a:extLst>
              </xdr:cNvPr>
              <xdr:cNvGrpSpPr/>
            </xdr:nvGrpSpPr>
            <xdr:grpSpPr>
              <a:xfrm>
                <a:off x="5461807" y="1396663"/>
                <a:ext cx="428590" cy="782361"/>
                <a:chOff x="11134725" y="7153275"/>
                <a:chExt cx="428625" cy="771525"/>
              </a:xfrm>
            </xdr:grpSpPr>
            <xdr:cxnSp macro="">
              <xdr:nvCxnSpPr>
                <xdr:cNvPr id="537" name="直線單箭頭接點 536">
                  <a:extLst>
                    <a:ext uri="{FF2B5EF4-FFF2-40B4-BE49-F238E27FC236}">
                      <a16:creationId xmlns:a16="http://schemas.microsoft.com/office/drawing/2014/main" id="{29AEADA5-F56A-4731-8C7C-B9607DA241BF}"/>
                    </a:ext>
                  </a:extLst>
                </xdr:cNvPr>
                <xdr:cNvCxnSpPr/>
              </xdr:nvCxnSpPr>
              <xdr:spPr>
                <a:xfrm>
                  <a:off x="11344275" y="7153275"/>
                  <a:ext cx="0" cy="540000"/>
                </a:xfrm>
                <a:prstGeom prst="straightConnector1">
                  <a:avLst/>
                </a:prstGeom>
                <a:ln w="3175">
                  <a:solidFill>
                    <a:srgbClr val="C00000"/>
                  </a:solidFill>
                  <a:headEnd type="none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8" name="文字方塊 537">
                  <a:extLst>
                    <a:ext uri="{FF2B5EF4-FFF2-40B4-BE49-F238E27FC236}">
                      <a16:creationId xmlns:a16="http://schemas.microsoft.com/office/drawing/2014/main" id="{D0EEDB11-639E-4BBF-B3B9-7715E6633364}"/>
                    </a:ext>
                  </a:extLst>
                </xdr:cNvPr>
                <xdr:cNvSpPr txBox="1"/>
              </xdr:nvSpPr>
              <xdr:spPr>
                <a:xfrm>
                  <a:off x="11134725" y="7658100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rgbClr val="C00000"/>
                      </a:solidFill>
                    </a:rPr>
                    <a:t>Z</a:t>
                  </a:r>
                  <a:endParaRPr lang="zh-TW" altLang="en-US" sz="1100">
                    <a:solidFill>
                      <a:srgbClr val="C00000"/>
                    </a:solidFill>
                  </a:endParaRPr>
                </a:p>
              </xdr:txBody>
            </xdr:sp>
          </xdr:grpSp>
          <xdr:grpSp>
            <xdr:nvGrpSpPr>
              <xdr:cNvPr id="500" name="群組 499">
                <a:extLst>
                  <a:ext uri="{FF2B5EF4-FFF2-40B4-BE49-F238E27FC236}">
                    <a16:creationId xmlns:a16="http://schemas.microsoft.com/office/drawing/2014/main" id="{564FA8D3-7569-48E7-A9E9-C4430E389324}"/>
                  </a:ext>
                </a:extLst>
              </xdr:cNvPr>
              <xdr:cNvGrpSpPr/>
            </xdr:nvGrpSpPr>
            <xdr:grpSpPr>
              <a:xfrm>
                <a:off x="3659531" y="1989337"/>
                <a:ext cx="428590" cy="608520"/>
                <a:chOff x="18692588" y="1684818"/>
                <a:chExt cx="429072" cy="604467"/>
              </a:xfrm>
            </xdr:grpSpPr>
            <xdr:sp macro="" textlink="">
              <xdr:nvSpPr>
                <xdr:cNvPr id="535" name="文字方塊 534">
                  <a:extLst>
                    <a:ext uri="{FF2B5EF4-FFF2-40B4-BE49-F238E27FC236}">
                      <a16:creationId xmlns:a16="http://schemas.microsoft.com/office/drawing/2014/main" id="{F87F50B1-D506-451E-916C-DE79A37DD9D8}"/>
                    </a:ext>
                  </a:extLst>
                </xdr:cNvPr>
                <xdr:cNvSpPr txBox="1"/>
              </xdr:nvSpPr>
              <xdr:spPr>
                <a:xfrm>
                  <a:off x="18692588" y="1684818"/>
                  <a:ext cx="429072" cy="2686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/>
                    <a:t>w2</a:t>
                  </a:r>
                  <a:endParaRPr lang="zh-TW" altLang="en-US" sz="1100"/>
                </a:p>
              </xdr:txBody>
            </xdr:sp>
            <xdr:cxnSp macro="">
              <xdr:nvCxnSpPr>
                <xdr:cNvPr id="536" name="直線單箭頭接點 535">
                  <a:extLst>
                    <a:ext uri="{FF2B5EF4-FFF2-40B4-BE49-F238E27FC236}">
                      <a16:creationId xmlns:a16="http://schemas.microsoft.com/office/drawing/2014/main" id="{53EE1094-F3AC-476D-952A-0E30AFF8983A}"/>
                    </a:ext>
                  </a:extLst>
                </xdr:cNvPr>
                <xdr:cNvCxnSpPr/>
              </xdr:nvCxnSpPr>
              <xdr:spPr>
                <a:xfrm>
                  <a:off x="18874541" y="1927414"/>
                  <a:ext cx="0" cy="361871"/>
                </a:xfrm>
                <a:prstGeom prst="straightConnector1">
                  <a:avLst/>
                </a:prstGeom>
                <a:ln w="3175">
                  <a:solidFill>
                    <a:schemeClr val="tx2">
                      <a:lumMod val="75000"/>
                    </a:schemeClr>
                  </a:solidFill>
                  <a:headEnd type="none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1" name="矩形 500">
                <a:extLst>
                  <a:ext uri="{FF2B5EF4-FFF2-40B4-BE49-F238E27FC236}">
                    <a16:creationId xmlns:a16="http://schemas.microsoft.com/office/drawing/2014/main" id="{CF230130-B192-4D2A-A877-9C882DCA8F88}"/>
                  </a:ext>
                </a:extLst>
              </xdr:cNvPr>
              <xdr:cNvSpPr/>
            </xdr:nvSpPr>
            <xdr:spPr>
              <a:xfrm>
                <a:off x="2800828" y="2850254"/>
                <a:ext cx="1258586" cy="730112"/>
              </a:xfrm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accent3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grpSp>
            <xdr:nvGrpSpPr>
              <xdr:cNvPr id="502" name="群組 501">
                <a:extLst>
                  <a:ext uri="{FF2B5EF4-FFF2-40B4-BE49-F238E27FC236}">
                    <a16:creationId xmlns:a16="http://schemas.microsoft.com/office/drawing/2014/main" id="{C10B4B0C-050F-491F-AB11-E7CB3BC44B9F}"/>
                  </a:ext>
                </a:extLst>
              </xdr:cNvPr>
              <xdr:cNvGrpSpPr/>
            </xdr:nvGrpSpPr>
            <xdr:grpSpPr>
              <a:xfrm>
                <a:off x="2540510" y="3552561"/>
                <a:ext cx="359596" cy="181207"/>
                <a:chOff x="8677275" y="3400425"/>
                <a:chExt cx="428625" cy="266700"/>
              </a:xfrm>
            </xdr:grpSpPr>
            <xdr:sp macro="" textlink="">
              <xdr:nvSpPr>
                <xdr:cNvPr id="533" name="橢圓 532">
                  <a:extLst>
                    <a:ext uri="{FF2B5EF4-FFF2-40B4-BE49-F238E27FC236}">
                      <a16:creationId xmlns:a16="http://schemas.microsoft.com/office/drawing/2014/main" id="{45AF6783-0464-4F05-8A59-52004B38E7D7}"/>
                    </a:ext>
                  </a:extLst>
                </xdr:cNvPr>
                <xdr:cNvSpPr/>
              </xdr:nvSpPr>
              <xdr:spPr>
                <a:xfrm>
                  <a:off x="8943975" y="3400425"/>
                  <a:ext cx="72000" cy="72000"/>
                </a:xfrm>
                <a:prstGeom prst="ellips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  <xdr:sp macro="" textlink="">
              <xdr:nvSpPr>
                <xdr:cNvPr id="534" name="文字方塊 533">
                  <a:extLst>
                    <a:ext uri="{FF2B5EF4-FFF2-40B4-BE49-F238E27FC236}">
                      <a16:creationId xmlns:a16="http://schemas.microsoft.com/office/drawing/2014/main" id="{87EBDA35-9245-45F1-82C2-3D12D9C4B0E5}"/>
                    </a:ext>
                  </a:extLst>
                </xdr:cNvPr>
                <xdr:cNvSpPr txBox="1"/>
              </xdr:nvSpPr>
              <xdr:spPr>
                <a:xfrm>
                  <a:off x="8677275" y="3400425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rgbClr val="C00000"/>
                      </a:solidFill>
                    </a:rPr>
                    <a:t>O</a:t>
                  </a:r>
                  <a:endParaRPr lang="zh-TW" altLang="en-US" sz="1100">
                    <a:solidFill>
                      <a:srgbClr val="C00000"/>
                    </a:solidFill>
                  </a:endParaRPr>
                </a:p>
              </xdr:txBody>
            </xdr:sp>
          </xdr:grpSp>
          <xdr:grpSp>
            <xdr:nvGrpSpPr>
              <xdr:cNvPr id="503" name="群組 502">
                <a:extLst>
                  <a:ext uri="{FF2B5EF4-FFF2-40B4-BE49-F238E27FC236}">
                    <a16:creationId xmlns:a16="http://schemas.microsoft.com/office/drawing/2014/main" id="{4536354D-9FDF-4D06-8DBC-5F4B56783B64}"/>
                  </a:ext>
                </a:extLst>
              </xdr:cNvPr>
              <xdr:cNvGrpSpPr/>
            </xdr:nvGrpSpPr>
            <xdr:grpSpPr>
              <a:xfrm>
                <a:off x="3244825" y="2999414"/>
                <a:ext cx="428590" cy="607505"/>
                <a:chOff x="18225375" y="2116679"/>
                <a:chExt cx="429072" cy="603458"/>
              </a:xfrm>
            </xdr:grpSpPr>
            <xdr:sp macro="" textlink="">
              <xdr:nvSpPr>
                <xdr:cNvPr id="531" name="文字方塊 530">
                  <a:extLst>
                    <a:ext uri="{FF2B5EF4-FFF2-40B4-BE49-F238E27FC236}">
                      <a16:creationId xmlns:a16="http://schemas.microsoft.com/office/drawing/2014/main" id="{64C35164-6809-439E-AB19-D524562D047F}"/>
                    </a:ext>
                  </a:extLst>
                </xdr:cNvPr>
                <xdr:cNvSpPr txBox="1"/>
              </xdr:nvSpPr>
              <xdr:spPr>
                <a:xfrm>
                  <a:off x="18225375" y="2116679"/>
                  <a:ext cx="429072" cy="2686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/>
                    <a:t>w3</a:t>
                  </a:r>
                  <a:endParaRPr lang="zh-TW" altLang="en-US" sz="1100"/>
                </a:p>
              </xdr:txBody>
            </xdr:sp>
            <xdr:cxnSp macro="">
              <xdr:nvCxnSpPr>
                <xdr:cNvPr id="532" name="直線單箭頭接點 531">
                  <a:extLst>
                    <a:ext uri="{FF2B5EF4-FFF2-40B4-BE49-F238E27FC236}">
                      <a16:creationId xmlns:a16="http://schemas.microsoft.com/office/drawing/2014/main" id="{0731D268-C06D-4D95-934E-8AB332001163}"/>
                    </a:ext>
                  </a:extLst>
                </xdr:cNvPr>
                <xdr:cNvCxnSpPr/>
              </xdr:nvCxnSpPr>
              <xdr:spPr>
                <a:xfrm>
                  <a:off x="18445469" y="2358266"/>
                  <a:ext cx="0" cy="361871"/>
                </a:xfrm>
                <a:prstGeom prst="straightConnector1">
                  <a:avLst/>
                </a:prstGeom>
                <a:ln w="3175">
                  <a:solidFill>
                    <a:schemeClr val="tx2">
                      <a:lumMod val="75000"/>
                    </a:schemeClr>
                  </a:solidFill>
                  <a:headEnd type="none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04" name="群組 503">
                <a:extLst>
                  <a:ext uri="{FF2B5EF4-FFF2-40B4-BE49-F238E27FC236}">
                    <a16:creationId xmlns:a16="http://schemas.microsoft.com/office/drawing/2014/main" id="{AE9F5E2F-B51F-4F3E-91A7-A8FA46E753AC}"/>
                  </a:ext>
                </a:extLst>
              </xdr:cNvPr>
              <xdr:cNvGrpSpPr/>
            </xdr:nvGrpSpPr>
            <xdr:grpSpPr>
              <a:xfrm>
                <a:off x="3266841" y="2360166"/>
                <a:ext cx="428590" cy="607505"/>
                <a:chOff x="18225375" y="2116679"/>
                <a:chExt cx="429072" cy="603458"/>
              </a:xfrm>
            </xdr:grpSpPr>
            <xdr:sp macro="" textlink="">
              <xdr:nvSpPr>
                <xdr:cNvPr id="529" name="文字方塊 528">
                  <a:extLst>
                    <a:ext uri="{FF2B5EF4-FFF2-40B4-BE49-F238E27FC236}">
                      <a16:creationId xmlns:a16="http://schemas.microsoft.com/office/drawing/2014/main" id="{087170D8-37FB-4BEC-9E27-3ACC96525C1D}"/>
                    </a:ext>
                  </a:extLst>
                </xdr:cNvPr>
                <xdr:cNvSpPr txBox="1"/>
              </xdr:nvSpPr>
              <xdr:spPr>
                <a:xfrm>
                  <a:off x="18225375" y="2116679"/>
                  <a:ext cx="429072" cy="2686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/>
                    <a:t>w1</a:t>
                  </a:r>
                  <a:endParaRPr lang="zh-TW" altLang="en-US" sz="1100"/>
                </a:p>
              </xdr:txBody>
            </xdr:sp>
            <xdr:cxnSp macro="">
              <xdr:nvCxnSpPr>
                <xdr:cNvPr id="530" name="直線單箭頭接點 529">
                  <a:extLst>
                    <a:ext uri="{FF2B5EF4-FFF2-40B4-BE49-F238E27FC236}">
                      <a16:creationId xmlns:a16="http://schemas.microsoft.com/office/drawing/2014/main" id="{82DC4710-1A3F-4D9D-AC7F-6C8D3B196EC3}"/>
                    </a:ext>
                  </a:extLst>
                </xdr:cNvPr>
                <xdr:cNvCxnSpPr/>
              </xdr:nvCxnSpPr>
              <xdr:spPr>
                <a:xfrm>
                  <a:off x="18445469" y="2358266"/>
                  <a:ext cx="0" cy="361871"/>
                </a:xfrm>
                <a:prstGeom prst="straightConnector1">
                  <a:avLst/>
                </a:prstGeom>
                <a:ln w="3175">
                  <a:solidFill>
                    <a:schemeClr val="tx2">
                      <a:lumMod val="75000"/>
                    </a:schemeClr>
                  </a:solidFill>
                  <a:headEnd type="none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05" name="群組 504">
                <a:extLst>
                  <a:ext uri="{FF2B5EF4-FFF2-40B4-BE49-F238E27FC236}">
                    <a16:creationId xmlns:a16="http://schemas.microsoft.com/office/drawing/2014/main" id="{04CEF03F-65CF-40FB-B9FA-177744495974}"/>
                  </a:ext>
                </a:extLst>
              </xdr:cNvPr>
              <xdr:cNvGrpSpPr/>
            </xdr:nvGrpSpPr>
            <xdr:grpSpPr>
              <a:xfrm rot="5400000">
                <a:off x="1534469" y="3141575"/>
                <a:ext cx="731168" cy="145293"/>
                <a:chOff x="8892886" y="133350"/>
                <a:chExt cx="1734413" cy="142009"/>
              </a:xfrm>
            </xdr:grpSpPr>
            <xdr:cxnSp macro="">
              <xdr:nvCxnSpPr>
                <xdr:cNvPr id="526" name="直線單箭頭接點 525">
                  <a:extLst>
                    <a:ext uri="{FF2B5EF4-FFF2-40B4-BE49-F238E27FC236}">
                      <a16:creationId xmlns:a16="http://schemas.microsoft.com/office/drawing/2014/main" id="{816C6B4C-3984-41EE-B724-9ACA5D6E803F}"/>
                    </a:ext>
                  </a:extLst>
                </xdr:cNvPr>
                <xdr:cNvCxnSpPr/>
              </xdr:nvCxnSpPr>
              <xdr:spPr>
                <a:xfrm>
                  <a:off x="8893749" y="199159"/>
                  <a:ext cx="1733550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7" name="直線接點 526">
                  <a:extLst>
                    <a:ext uri="{FF2B5EF4-FFF2-40B4-BE49-F238E27FC236}">
                      <a16:creationId xmlns:a16="http://schemas.microsoft.com/office/drawing/2014/main" id="{93D2C2E5-108E-4AD9-BF54-CF44774824F5}"/>
                    </a:ext>
                  </a:extLst>
                </xdr:cNvPr>
                <xdr:cNvCxnSpPr/>
              </xdr:nvCxnSpPr>
              <xdr:spPr>
                <a:xfrm>
                  <a:off x="889288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8" name="直線接點 527">
                  <a:extLst>
                    <a:ext uri="{FF2B5EF4-FFF2-40B4-BE49-F238E27FC236}">
                      <a16:creationId xmlns:a16="http://schemas.microsoft.com/office/drawing/2014/main" id="{34EBD38E-93DB-4E20-A3DB-0A9AA7335785}"/>
                    </a:ext>
                  </a:extLst>
                </xdr:cNvPr>
                <xdr:cNvCxnSpPr/>
              </xdr:nvCxnSpPr>
              <xdr:spPr>
                <a:xfrm>
                  <a:off x="10626436" y="13335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6" name="文字方塊 505">
                <a:extLst>
                  <a:ext uri="{FF2B5EF4-FFF2-40B4-BE49-F238E27FC236}">
                    <a16:creationId xmlns:a16="http://schemas.microsoft.com/office/drawing/2014/main" id="{22FBD1DE-0A42-4331-8B22-B25C636CC076}"/>
                  </a:ext>
                </a:extLst>
              </xdr:cNvPr>
              <xdr:cNvSpPr txBox="1"/>
            </xdr:nvSpPr>
            <xdr:spPr>
              <a:xfrm>
                <a:off x="1817679" y="3073994"/>
                <a:ext cx="428570" cy="2710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tx2">
                        <a:lumMod val="75000"/>
                      </a:schemeClr>
                    </a:solidFill>
                  </a:rPr>
                  <a:t>h4</a:t>
                </a:r>
                <a:endParaRPr lang="zh-TW" altLang="en-US" sz="1100">
                  <a:solidFill>
                    <a:schemeClr val="tx2">
                      <a:lumMod val="75000"/>
                    </a:schemeClr>
                  </a:solidFill>
                </a:endParaRPr>
              </a:p>
            </xdr:txBody>
          </xdr:sp>
          <xdr:grpSp>
            <xdr:nvGrpSpPr>
              <xdr:cNvPr id="507" name="群組 506">
                <a:extLst>
                  <a:ext uri="{FF2B5EF4-FFF2-40B4-BE49-F238E27FC236}">
                    <a16:creationId xmlns:a16="http://schemas.microsoft.com/office/drawing/2014/main" id="{17035FC7-16BB-4A95-BD77-6BF37E2E98A0}"/>
                  </a:ext>
                </a:extLst>
              </xdr:cNvPr>
              <xdr:cNvGrpSpPr/>
            </xdr:nvGrpSpPr>
            <xdr:grpSpPr>
              <a:xfrm>
                <a:off x="633674" y="3457549"/>
                <a:ext cx="1078788" cy="226292"/>
                <a:chOff x="9457645" y="1209674"/>
                <a:chExt cx="1078874" cy="223839"/>
              </a:xfrm>
            </xdr:grpSpPr>
            <xdr:cxnSp macro="">
              <xdr:nvCxnSpPr>
                <xdr:cNvPr id="521" name="直線接點 520">
                  <a:extLst>
                    <a:ext uri="{FF2B5EF4-FFF2-40B4-BE49-F238E27FC236}">
                      <a16:creationId xmlns:a16="http://schemas.microsoft.com/office/drawing/2014/main" id="{D510CFA7-F3D5-4572-B8F6-0C33345CDC44}"/>
                    </a:ext>
                  </a:extLst>
                </xdr:cNvPr>
                <xdr:cNvCxnSpPr/>
              </xdr:nvCxnSpPr>
              <xdr:spPr>
                <a:xfrm>
                  <a:off x="9457645" y="1328057"/>
                  <a:ext cx="1078874" cy="0"/>
                </a:xfrm>
                <a:prstGeom prst="line">
                  <a:avLst/>
                </a:prstGeom>
                <a:ln>
                  <a:solidFill>
                    <a:schemeClr val="accent5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22" name="群組 521">
                  <a:extLst>
                    <a:ext uri="{FF2B5EF4-FFF2-40B4-BE49-F238E27FC236}">
                      <a16:creationId xmlns:a16="http://schemas.microsoft.com/office/drawing/2014/main" id="{BB09B8A1-F980-47D1-95C1-050D7C49F549}"/>
                    </a:ext>
                  </a:extLst>
                </xdr:cNvPr>
                <xdr:cNvGrpSpPr/>
              </xdr:nvGrpSpPr>
              <xdr:grpSpPr>
                <a:xfrm>
                  <a:off x="9654528" y="1209674"/>
                  <a:ext cx="108000" cy="223839"/>
                  <a:chOff x="9654528" y="1209674"/>
                  <a:chExt cx="108000" cy="223839"/>
                </a:xfrm>
              </xdr:grpSpPr>
              <xdr:sp macro="" textlink="">
                <xdr:nvSpPr>
                  <xdr:cNvPr id="523" name="流程圖: 合併 522">
                    <a:extLst>
                      <a:ext uri="{FF2B5EF4-FFF2-40B4-BE49-F238E27FC236}">
                        <a16:creationId xmlns:a16="http://schemas.microsoft.com/office/drawing/2014/main" id="{9C4FA05E-77CD-41B5-88E1-CA7C484177F6}"/>
                      </a:ext>
                    </a:extLst>
                  </xdr:cNvPr>
                  <xdr:cNvSpPr/>
                </xdr:nvSpPr>
                <xdr:spPr>
                  <a:xfrm>
                    <a:off x="9654528" y="1209674"/>
                    <a:ext cx="108000" cy="108000"/>
                  </a:xfrm>
                  <a:prstGeom prst="flowChartMerge">
                    <a:avLst/>
                  </a:prstGeom>
                  <a:noFill/>
                  <a:ln w="3175">
                    <a:solidFill>
                      <a:schemeClr val="accent5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TW" altLang="en-US" sz="1100"/>
                  </a:p>
                </xdr:txBody>
              </xdr:sp>
              <xdr:cxnSp macro="">
                <xdr:nvCxnSpPr>
                  <xdr:cNvPr id="524" name="直線接點 523">
                    <a:extLst>
                      <a:ext uri="{FF2B5EF4-FFF2-40B4-BE49-F238E27FC236}">
                        <a16:creationId xmlns:a16="http://schemas.microsoft.com/office/drawing/2014/main" id="{2EE65B35-ADD0-4882-A98C-D6E7C9176D7D}"/>
                      </a:ext>
                    </a:extLst>
                  </xdr:cNvPr>
                  <xdr:cNvCxnSpPr/>
                </xdr:nvCxnSpPr>
                <xdr:spPr>
                  <a:xfrm>
                    <a:off x="9654528" y="1375682"/>
                    <a:ext cx="108000" cy="0"/>
                  </a:xfrm>
                  <a:prstGeom prst="line">
                    <a:avLst/>
                  </a:prstGeom>
                  <a:ln w="3175">
                    <a:solidFill>
                      <a:schemeClr val="accent5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5" name="直線接點 524">
                    <a:extLst>
                      <a:ext uri="{FF2B5EF4-FFF2-40B4-BE49-F238E27FC236}">
                        <a16:creationId xmlns:a16="http://schemas.microsoft.com/office/drawing/2014/main" id="{B62F8C26-DD8E-4847-A322-45425180E998}"/>
                      </a:ext>
                    </a:extLst>
                  </xdr:cNvPr>
                  <xdr:cNvCxnSpPr/>
                </xdr:nvCxnSpPr>
                <xdr:spPr>
                  <a:xfrm>
                    <a:off x="9654528" y="1433513"/>
                    <a:ext cx="108000" cy="0"/>
                  </a:xfrm>
                  <a:prstGeom prst="line">
                    <a:avLst/>
                  </a:prstGeom>
                  <a:ln w="3175">
                    <a:solidFill>
                      <a:schemeClr val="accent5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508" name="群組 507">
                <a:extLst>
                  <a:ext uri="{FF2B5EF4-FFF2-40B4-BE49-F238E27FC236}">
                    <a16:creationId xmlns:a16="http://schemas.microsoft.com/office/drawing/2014/main" id="{5DA127B9-0DB9-4476-924E-03C43CC3BCDA}"/>
                  </a:ext>
                </a:extLst>
              </xdr:cNvPr>
              <xdr:cNvGrpSpPr/>
            </xdr:nvGrpSpPr>
            <xdr:grpSpPr>
              <a:xfrm>
                <a:off x="4049579" y="1152396"/>
                <a:ext cx="1531403" cy="428837"/>
                <a:chOff x="5012533" y="4941092"/>
                <a:chExt cx="1533124" cy="428627"/>
              </a:xfrm>
            </xdr:grpSpPr>
            <xdr:grpSp>
              <xdr:nvGrpSpPr>
                <xdr:cNvPr id="516" name="群組 515">
                  <a:extLst>
                    <a:ext uri="{FF2B5EF4-FFF2-40B4-BE49-F238E27FC236}">
                      <a16:creationId xmlns:a16="http://schemas.microsoft.com/office/drawing/2014/main" id="{55B72F17-0C82-466B-B194-1462F1A4CCF6}"/>
                    </a:ext>
                  </a:extLst>
                </xdr:cNvPr>
                <xdr:cNvGrpSpPr/>
              </xdr:nvGrpSpPr>
              <xdr:grpSpPr>
                <a:xfrm>
                  <a:off x="5012533" y="5060154"/>
                  <a:ext cx="1451905" cy="119065"/>
                  <a:chOff x="5012533" y="5060154"/>
                  <a:chExt cx="1451905" cy="119065"/>
                </a:xfrm>
              </xdr:grpSpPr>
              <xdr:cxnSp macro="">
                <xdr:nvCxnSpPr>
                  <xdr:cNvPr id="519" name="直線接點 518">
                    <a:extLst>
                      <a:ext uri="{FF2B5EF4-FFF2-40B4-BE49-F238E27FC236}">
                        <a16:creationId xmlns:a16="http://schemas.microsoft.com/office/drawing/2014/main" id="{4A0F8A11-0C88-4FA3-B7E6-AC3370587AC3}"/>
                      </a:ext>
                    </a:extLst>
                  </xdr:cNvPr>
                  <xdr:cNvCxnSpPr/>
                </xdr:nvCxnSpPr>
                <xdr:spPr>
                  <a:xfrm>
                    <a:off x="5024438" y="5179219"/>
                    <a:ext cx="1440000" cy="0"/>
                  </a:xfrm>
                  <a:prstGeom prst="line">
                    <a:avLst/>
                  </a:prstGeom>
                  <a:ln>
                    <a:solidFill>
                      <a:schemeClr val="tx2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0" name="直線接點 519">
                    <a:extLst>
                      <a:ext uri="{FF2B5EF4-FFF2-40B4-BE49-F238E27FC236}">
                        <a16:creationId xmlns:a16="http://schemas.microsoft.com/office/drawing/2014/main" id="{9C2BE4EA-8A6C-49D6-BA8D-4E93E66D5718}"/>
                      </a:ext>
                    </a:extLst>
                  </xdr:cNvPr>
                  <xdr:cNvCxnSpPr/>
                </xdr:nvCxnSpPr>
                <xdr:spPr>
                  <a:xfrm rot="-600000">
                    <a:off x="5012533" y="5060154"/>
                    <a:ext cx="1440000" cy="0"/>
                  </a:xfrm>
                  <a:prstGeom prst="line">
                    <a:avLst/>
                  </a:prstGeom>
                  <a:ln>
                    <a:solidFill>
                      <a:schemeClr val="tx2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17" name="文字方塊 516">
                  <a:extLst>
                    <a:ext uri="{FF2B5EF4-FFF2-40B4-BE49-F238E27FC236}">
                      <a16:creationId xmlns:a16="http://schemas.microsoft.com/office/drawing/2014/main" id="{384F5CAC-A2AB-43F2-8435-84D0A2E977C1}"/>
                    </a:ext>
                  </a:extLst>
                </xdr:cNvPr>
                <xdr:cNvSpPr txBox="1"/>
              </xdr:nvSpPr>
              <xdr:spPr>
                <a:xfrm>
                  <a:off x="6119814" y="4941092"/>
                  <a:ext cx="425843" cy="27104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l-GR" altLang="zh-TW" sz="1100">
                      <a:solidFill>
                        <a:schemeClr val="tx2">
                          <a:lumMod val="75000"/>
                        </a:schemeClr>
                      </a:solidFill>
                    </a:rPr>
                    <a:t>β</a:t>
                  </a:r>
                  <a:endParaRPr lang="zh-TW" altLang="en-US" sz="1100">
                    <a:solidFill>
                      <a:schemeClr val="tx2">
                        <a:lumMod val="75000"/>
                      </a:schemeClr>
                    </a:solidFill>
                  </a:endParaRPr>
                </a:p>
              </xdr:txBody>
            </xdr:sp>
            <xdr:sp macro="" textlink="">
              <xdr:nvSpPr>
                <xdr:cNvPr id="518" name="弧形 517">
                  <a:extLst>
                    <a:ext uri="{FF2B5EF4-FFF2-40B4-BE49-F238E27FC236}">
                      <a16:creationId xmlns:a16="http://schemas.microsoft.com/office/drawing/2014/main" id="{01224102-B279-417E-B353-7A89359346C1}"/>
                    </a:ext>
                  </a:extLst>
                </xdr:cNvPr>
                <xdr:cNvSpPr/>
              </xdr:nvSpPr>
              <xdr:spPr>
                <a:xfrm>
                  <a:off x="6036468" y="5000625"/>
                  <a:ext cx="142876" cy="369094"/>
                </a:xfrm>
                <a:prstGeom prst="arc">
                  <a:avLst/>
                </a:prstGeom>
                <a:ln>
                  <a:solidFill>
                    <a:schemeClr val="tx2"/>
                  </a:solidFill>
                  <a:headEnd type="none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</xdr:grpSp>
          <xdr:sp macro="" textlink="">
            <xdr:nvSpPr>
              <xdr:cNvPr id="509" name="矩形 167">
                <a:extLst>
                  <a:ext uri="{FF2B5EF4-FFF2-40B4-BE49-F238E27FC236}">
                    <a16:creationId xmlns:a16="http://schemas.microsoft.com/office/drawing/2014/main" id="{73709CC8-4D86-4C06-913A-48A9F66113B6}"/>
                  </a:ext>
                </a:extLst>
              </xdr:cNvPr>
              <xdr:cNvSpPr/>
            </xdr:nvSpPr>
            <xdr:spPr>
              <a:xfrm>
                <a:off x="4063946" y="1244462"/>
                <a:ext cx="916970" cy="2353595"/>
              </a:xfrm>
              <a:custGeom>
                <a:avLst/>
                <a:gdLst>
                  <a:gd name="connsiteX0" fmla="*/ 0 w 918000"/>
                  <a:gd name="connsiteY0" fmla="*/ 0 h 2052000"/>
                  <a:gd name="connsiteX1" fmla="*/ 918000 w 918000"/>
                  <a:gd name="connsiteY1" fmla="*/ 0 h 2052000"/>
                  <a:gd name="connsiteX2" fmla="*/ 918000 w 918000"/>
                  <a:gd name="connsiteY2" fmla="*/ 2052000 h 2052000"/>
                  <a:gd name="connsiteX3" fmla="*/ 0 w 918000"/>
                  <a:gd name="connsiteY3" fmla="*/ 2052000 h 2052000"/>
                  <a:gd name="connsiteX4" fmla="*/ 0 w 918000"/>
                  <a:gd name="connsiteY4" fmla="*/ 0 h 2052000"/>
                  <a:gd name="connsiteX0" fmla="*/ 0 w 918000"/>
                  <a:gd name="connsiteY0" fmla="*/ 202407 h 2052000"/>
                  <a:gd name="connsiteX1" fmla="*/ 918000 w 918000"/>
                  <a:gd name="connsiteY1" fmla="*/ 0 h 2052000"/>
                  <a:gd name="connsiteX2" fmla="*/ 918000 w 918000"/>
                  <a:gd name="connsiteY2" fmla="*/ 2052000 h 2052000"/>
                  <a:gd name="connsiteX3" fmla="*/ 0 w 918000"/>
                  <a:gd name="connsiteY3" fmla="*/ 2052000 h 2052000"/>
                  <a:gd name="connsiteX4" fmla="*/ 0 w 918000"/>
                  <a:gd name="connsiteY4" fmla="*/ 202407 h 2052000"/>
                  <a:gd name="connsiteX0" fmla="*/ 0 w 918000"/>
                  <a:gd name="connsiteY0" fmla="*/ 178595 h 2028188"/>
                  <a:gd name="connsiteX1" fmla="*/ 906093 w 918000"/>
                  <a:gd name="connsiteY1" fmla="*/ 0 h 2028188"/>
                  <a:gd name="connsiteX2" fmla="*/ 918000 w 918000"/>
                  <a:gd name="connsiteY2" fmla="*/ 2028188 h 2028188"/>
                  <a:gd name="connsiteX3" fmla="*/ 0 w 918000"/>
                  <a:gd name="connsiteY3" fmla="*/ 2028188 h 2028188"/>
                  <a:gd name="connsiteX4" fmla="*/ 0 w 918000"/>
                  <a:gd name="connsiteY4" fmla="*/ 178595 h 2028188"/>
                  <a:gd name="connsiteX0" fmla="*/ 0 w 918000"/>
                  <a:gd name="connsiteY0" fmla="*/ 178595 h 2028188"/>
                  <a:gd name="connsiteX1" fmla="*/ 915044 w 918000"/>
                  <a:gd name="connsiteY1" fmla="*/ 0 h 2028188"/>
                  <a:gd name="connsiteX2" fmla="*/ 918000 w 918000"/>
                  <a:gd name="connsiteY2" fmla="*/ 2028188 h 2028188"/>
                  <a:gd name="connsiteX3" fmla="*/ 0 w 918000"/>
                  <a:gd name="connsiteY3" fmla="*/ 2028188 h 2028188"/>
                  <a:gd name="connsiteX4" fmla="*/ 0 w 918000"/>
                  <a:gd name="connsiteY4" fmla="*/ 178595 h 2028188"/>
                  <a:gd name="connsiteX0" fmla="*/ 0 w 918000"/>
                  <a:gd name="connsiteY0" fmla="*/ 149918 h 1999511"/>
                  <a:gd name="connsiteX1" fmla="*/ 910339 w 918000"/>
                  <a:gd name="connsiteY1" fmla="*/ 0 h 1999511"/>
                  <a:gd name="connsiteX2" fmla="*/ 918000 w 918000"/>
                  <a:gd name="connsiteY2" fmla="*/ 1999511 h 1999511"/>
                  <a:gd name="connsiteX3" fmla="*/ 0 w 918000"/>
                  <a:gd name="connsiteY3" fmla="*/ 1999511 h 1999511"/>
                  <a:gd name="connsiteX4" fmla="*/ 0 w 918000"/>
                  <a:gd name="connsiteY4" fmla="*/ 149918 h 1999511"/>
                  <a:gd name="connsiteX0" fmla="*/ 4706 w 918000"/>
                  <a:gd name="connsiteY0" fmla="*/ 145821 h 1999511"/>
                  <a:gd name="connsiteX1" fmla="*/ 910339 w 918000"/>
                  <a:gd name="connsiteY1" fmla="*/ 0 h 1999511"/>
                  <a:gd name="connsiteX2" fmla="*/ 918000 w 918000"/>
                  <a:gd name="connsiteY2" fmla="*/ 1999511 h 1999511"/>
                  <a:gd name="connsiteX3" fmla="*/ 0 w 918000"/>
                  <a:gd name="connsiteY3" fmla="*/ 1999511 h 1999511"/>
                  <a:gd name="connsiteX4" fmla="*/ 4706 w 918000"/>
                  <a:gd name="connsiteY4" fmla="*/ 145821 h 199951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18000" h="1999511">
                    <a:moveTo>
                      <a:pt x="4706" y="145821"/>
                    </a:moveTo>
                    <a:lnTo>
                      <a:pt x="910339" y="0"/>
                    </a:lnTo>
                    <a:cubicBezTo>
                      <a:pt x="911324" y="676063"/>
                      <a:pt x="917015" y="1323448"/>
                      <a:pt x="918000" y="1999511"/>
                    </a:cubicBezTo>
                    <a:lnTo>
                      <a:pt x="0" y="1999511"/>
                    </a:lnTo>
                    <a:cubicBezTo>
                      <a:pt x="1569" y="1381614"/>
                      <a:pt x="3137" y="763718"/>
                      <a:pt x="4706" y="145821"/>
                    </a:cubicBezTo>
                    <a:close/>
                  </a:path>
                </a:pathLst>
              </a:custGeom>
              <a:solidFill>
                <a:schemeClr val="accent4">
                  <a:lumMod val="75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grpSp>
            <xdr:nvGrpSpPr>
              <xdr:cNvPr id="510" name="群組 509">
                <a:extLst>
                  <a:ext uri="{FF2B5EF4-FFF2-40B4-BE49-F238E27FC236}">
                    <a16:creationId xmlns:a16="http://schemas.microsoft.com/office/drawing/2014/main" id="{5CF920C9-EDF7-4645-8825-F70EA47B587A}"/>
                  </a:ext>
                </a:extLst>
              </xdr:cNvPr>
              <xdr:cNvGrpSpPr/>
            </xdr:nvGrpSpPr>
            <xdr:grpSpPr>
              <a:xfrm>
                <a:off x="4065825" y="2007925"/>
                <a:ext cx="1439885" cy="226292"/>
                <a:chOff x="9457645" y="1209674"/>
                <a:chExt cx="1440000" cy="223839"/>
              </a:xfrm>
            </xdr:grpSpPr>
            <xdr:cxnSp macro="">
              <xdr:nvCxnSpPr>
                <xdr:cNvPr id="511" name="直線接點 510">
                  <a:extLst>
                    <a:ext uri="{FF2B5EF4-FFF2-40B4-BE49-F238E27FC236}">
                      <a16:creationId xmlns:a16="http://schemas.microsoft.com/office/drawing/2014/main" id="{67620889-8402-4610-A206-D89C6828285F}"/>
                    </a:ext>
                  </a:extLst>
                </xdr:cNvPr>
                <xdr:cNvCxnSpPr/>
              </xdr:nvCxnSpPr>
              <xdr:spPr>
                <a:xfrm>
                  <a:off x="9457645" y="1328057"/>
                  <a:ext cx="1440000" cy="0"/>
                </a:xfrm>
                <a:prstGeom prst="line">
                  <a:avLst/>
                </a:prstGeom>
                <a:ln>
                  <a:solidFill>
                    <a:schemeClr val="accent5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12" name="群組 511">
                  <a:extLst>
                    <a:ext uri="{FF2B5EF4-FFF2-40B4-BE49-F238E27FC236}">
                      <a16:creationId xmlns:a16="http://schemas.microsoft.com/office/drawing/2014/main" id="{27BB6E86-E6F2-4BBA-9608-5AA187CCDC49}"/>
                    </a:ext>
                  </a:extLst>
                </xdr:cNvPr>
                <xdr:cNvGrpSpPr/>
              </xdr:nvGrpSpPr>
              <xdr:grpSpPr>
                <a:xfrm>
                  <a:off x="9686244" y="1209674"/>
                  <a:ext cx="108000" cy="223839"/>
                  <a:chOff x="9686244" y="1209674"/>
                  <a:chExt cx="108000" cy="223839"/>
                </a:xfrm>
              </xdr:grpSpPr>
              <xdr:sp macro="" textlink="">
                <xdr:nvSpPr>
                  <xdr:cNvPr id="513" name="流程圖: 合併 512">
                    <a:extLst>
                      <a:ext uri="{FF2B5EF4-FFF2-40B4-BE49-F238E27FC236}">
                        <a16:creationId xmlns:a16="http://schemas.microsoft.com/office/drawing/2014/main" id="{3ECC7BB7-628E-4B99-9806-C4118AA4616E}"/>
                      </a:ext>
                    </a:extLst>
                  </xdr:cNvPr>
                  <xdr:cNvSpPr/>
                </xdr:nvSpPr>
                <xdr:spPr>
                  <a:xfrm>
                    <a:off x="9686244" y="1209674"/>
                    <a:ext cx="108000" cy="108000"/>
                  </a:xfrm>
                  <a:prstGeom prst="flowChartMerge">
                    <a:avLst/>
                  </a:prstGeom>
                  <a:noFill/>
                  <a:ln w="3175">
                    <a:solidFill>
                      <a:schemeClr val="accent5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TW" altLang="en-US" sz="1100"/>
                  </a:p>
                </xdr:txBody>
              </xdr:sp>
              <xdr:cxnSp macro="">
                <xdr:nvCxnSpPr>
                  <xdr:cNvPr id="514" name="直線接點 513">
                    <a:extLst>
                      <a:ext uri="{FF2B5EF4-FFF2-40B4-BE49-F238E27FC236}">
                        <a16:creationId xmlns:a16="http://schemas.microsoft.com/office/drawing/2014/main" id="{CE60585A-68B9-4FB5-ADE0-2F2EDA20651A}"/>
                      </a:ext>
                    </a:extLst>
                  </xdr:cNvPr>
                  <xdr:cNvCxnSpPr/>
                </xdr:nvCxnSpPr>
                <xdr:spPr>
                  <a:xfrm>
                    <a:off x="9686244" y="1375682"/>
                    <a:ext cx="108000" cy="0"/>
                  </a:xfrm>
                  <a:prstGeom prst="line">
                    <a:avLst/>
                  </a:prstGeom>
                  <a:ln w="3175">
                    <a:solidFill>
                      <a:schemeClr val="accent5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5" name="直線接點 514">
                    <a:extLst>
                      <a:ext uri="{FF2B5EF4-FFF2-40B4-BE49-F238E27FC236}">
                        <a16:creationId xmlns:a16="http://schemas.microsoft.com/office/drawing/2014/main" id="{ACFC6014-B029-401B-89EC-3FE774730E31}"/>
                      </a:ext>
                    </a:extLst>
                  </xdr:cNvPr>
                  <xdr:cNvCxnSpPr/>
                </xdr:nvCxnSpPr>
                <xdr:spPr>
                  <a:xfrm>
                    <a:off x="9686244" y="1433513"/>
                    <a:ext cx="108000" cy="0"/>
                  </a:xfrm>
                  <a:prstGeom prst="line">
                    <a:avLst/>
                  </a:prstGeom>
                  <a:ln w="3175">
                    <a:solidFill>
                      <a:schemeClr val="accent5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475" name="群組 474">
              <a:extLst>
                <a:ext uri="{FF2B5EF4-FFF2-40B4-BE49-F238E27FC236}">
                  <a16:creationId xmlns:a16="http://schemas.microsoft.com/office/drawing/2014/main" id="{66E1B607-714A-45AD-BD09-B49F7C2A6DDF}"/>
                </a:ext>
              </a:extLst>
            </xdr:cNvPr>
            <xdr:cNvGrpSpPr/>
          </xdr:nvGrpSpPr>
          <xdr:grpSpPr>
            <a:xfrm>
              <a:off x="2026418" y="3036094"/>
              <a:ext cx="667175" cy="720000"/>
              <a:chOff x="2026418" y="3036094"/>
              <a:chExt cx="667175" cy="720000"/>
            </a:xfrm>
          </xdr:grpSpPr>
          <xdr:sp macro="" textlink="">
            <xdr:nvSpPr>
              <xdr:cNvPr id="476" name="AutoShape 83">
                <a:extLst>
                  <a:ext uri="{FF2B5EF4-FFF2-40B4-BE49-F238E27FC236}">
                    <a16:creationId xmlns:a16="http://schemas.microsoft.com/office/drawing/2014/main" id="{C94376A9-107A-4689-9DF8-55AF50F6BE4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2476495" y="3036094"/>
                <a:ext cx="215983" cy="720000"/>
              </a:xfrm>
              <a:prstGeom prst="rtTriangle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77" name="Line 80">
                <a:extLst>
                  <a:ext uri="{FF2B5EF4-FFF2-40B4-BE49-F238E27FC236}">
                    <a16:creationId xmlns:a16="http://schemas.microsoft.com/office/drawing/2014/main" id="{5A3E38AE-DC9F-4269-81F6-C5779FAE020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333622" y="3526739"/>
                <a:ext cx="359971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" name="文字方塊 477">
                <a:extLst>
                  <a:ext uri="{FF2B5EF4-FFF2-40B4-BE49-F238E27FC236}">
                    <a16:creationId xmlns:a16="http://schemas.microsoft.com/office/drawing/2014/main" id="{3AD8AA27-7163-4E47-B190-09E5B2C416D2}"/>
                  </a:ext>
                </a:extLst>
              </xdr:cNvPr>
              <xdr:cNvSpPr txBox="1"/>
            </xdr:nvSpPr>
            <xdr:spPr>
              <a:xfrm flipH="1">
                <a:off x="2026418" y="3381375"/>
                <a:ext cx="428591" cy="27134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Pp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</xdr:grpSp>
      <xdr:grpSp>
        <xdr:nvGrpSpPr>
          <xdr:cNvPr id="397" name="群組 396">
            <a:extLst>
              <a:ext uri="{FF2B5EF4-FFF2-40B4-BE49-F238E27FC236}">
                <a16:creationId xmlns:a16="http://schemas.microsoft.com/office/drawing/2014/main" id="{E7811C4A-0BDD-4D6F-983B-20A7DFCF32C8}"/>
              </a:ext>
            </a:extLst>
          </xdr:cNvPr>
          <xdr:cNvGrpSpPr/>
        </xdr:nvGrpSpPr>
        <xdr:grpSpPr>
          <a:xfrm>
            <a:off x="6167713" y="1141818"/>
            <a:ext cx="3885129" cy="3360157"/>
            <a:chOff x="6167713" y="1141818"/>
            <a:chExt cx="3885129" cy="3360157"/>
          </a:xfrm>
        </xdr:grpSpPr>
        <xdr:cxnSp macro="">
          <xdr:nvCxnSpPr>
            <xdr:cNvPr id="398" name="直線接點 397">
              <a:extLst>
                <a:ext uri="{FF2B5EF4-FFF2-40B4-BE49-F238E27FC236}">
                  <a16:creationId xmlns:a16="http://schemas.microsoft.com/office/drawing/2014/main" id="{D823876D-15CE-40FB-91BB-E0E13A8DAE99}"/>
                </a:ext>
              </a:extLst>
            </xdr:cNvPr>
            <xdr:cNvCxnSpPr/>
          </xdr:nvCxnSpPr>
          <xdr:spPr>
            <a:xfrm>
              <a:off x="6167713" y="1560725"/>
              <a:ext cx="3600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9" name="AutoShape 83">
              <a:extLst>
                <a:ext uri="{FF2B5EF4-FFF2-40B4-BE49-F238E27FC236}">
                  <a16:creationId xmlns:a16="http://schemas.microsoft.com/office/drawing/2014/main" id="{9D76C25F-0EC5-4EC3-BC34-DC8986CAA27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1333" y="1553559"/>
              <a:ext cx="215983" cy="727242"/>
            </a:xfrm>
            <a:prstGeom prst="rtTriangle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00" name="Rectangle 82">
              <a:extLst>
                <a:ext uri="{FF2B5EF4-FFF2-40B4-BE49-F238E27FC236}">
                  <a16:creationId xmlns:a16="http://schemas.microsoft.com/office/drawing/2014/main" id="{DAD1A8A7-3116-4878-A806-1E02731806E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1334" y="2290070"/>
              <a:ext cx="287977" cy="145448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01" name="AutoShape 83">
              <a:extLst>
                <a:ext uri="{FF2B5EF4-FFF2-40B4-BE49-F238E27FC236}">
                  <a16:creationId xmlns:a16="http://schemas.microsoft.com/office/drawing/2014/main" id="{7F3065B9-E944-4723-9B73-8580CE0652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97062" y="2290070"/>
              <a:ext cx="359971" cy="1454485"/>
            </a:xfrm>
            <a:prstGeom prst="rtTriangle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02" name="AutoShape 83">
              <a:extLst>
                <a:ext uri="{FF2B5EF4-FFF2-40B4-BE49-F238E27FC236}">
                  <a16:creationId xmlns:a16="http://schemas.microsoft.com/office/drawing/2014/main" id="{DAACB716-A36E-49AF-BCAB-6F3C99C1C7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48029" y="2290069"/>
              <a:ext cx="719943" cy="1465087"/>
            </a:xfrm>
            <a:prstGeom prst="rtTriangle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403" name="群組 402">
              <a:extLst>
                <a:ext uri="{FF2B5EF4-FFF2-40B4-BE49-F238E27FC236}">
                  <a16:creationId xmlns:a16="http://schemas.microsoft.com/office/drawing/2014/main" id="{97BE8E8D-974B-4A17-B7C5-96D504F13C20}"/>
                </a:ext>
              </a:extLst>
            </xdr:cNvPr>
            <xdr:cNvGrpSpPr/>
          </xdr:nvGrpSpPr>
          <xdr:grpSpPr>
            <a:xfrm>
              <a:off x="6358958" y="1989650"/>
              <a:ext cx="704794" cy="271346"/>
              <a:chOff x="11400603" y="7591425"/>
              <a:chExt cx="704850" cy="266700"/>
            </a:xfrm>
          </xdr:grpSpPr>
          <xdr:sp macro="" textlink="">
            <xdr:nvSpPr>
              <xdr:cNvPr id="472" name="Line 80">
                <a:extLst>
                  <a:ext uri="{FF2B5EF4-FFF2-40B4-BE49-F238E27FC236}">
                    <a16:creationId xmlns:a16="http://schemas.microsoft.com/office/drawing/2014/main" id="{A48839E8-DED5-4D66-B587-70301AE3F3D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400603" y="7734300"/>
                <a:ext cx="36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3" name="文字方塊 472">
                <a:extLst>
                  <a:ext uri="{FF2B5EF4-FFF2-40B4-BE49-F238E27FC236}">
                    <a16:creationId xmlns:a16="http://schemas.microsoft.com/office/drawing/2014/main" id="{2B20F796-BC6D-43B4-8C65-E3BE0DA383A6}"/>
                  </a:ext>
                </a:extLst>
              </xdr:cNvPr>
              <xdr:cNvSpPr txBox="1"/>
            </xdr:nvSpPr>
            <xdr:spPr>
              <a:xfrm>
                <a:off x="11676828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P1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  <xdr:grpSp>
          <xdr:nvGrpSpPr>
            <xdr:cNvPr id="404" name="群組 403">
              <a:extLst>
                <a:ext uri="{FF2B5EF4-FFF2-40B4-BE49-F238E27FC236}">
                  <a16:creationId xmlns:a16="http://schemas.microsoft.com/office/drawing/2014/main" id="{2F6678D1-6207-4DE2-B8D9-5220D1EFBBB7}"/>
                </a:ext>
              </a:extLst>
            </xdr:cNvPr>
            <xdr:cNvGrpSpPr/>
          </xdr:nvGrpSpPr>
          <xdr:grpSpPr>
            <a:xfrm>
              <a:off x="6435151" y="2881216"/>
              <a:ext cx="704794" cy="271346"/>
              <a:chOff x="11400603" y="7591425"/>
              <a:chExt cx="704850" cy="266700"/>
            </a:xfrm>
          </xdr:grpSpPr>
          <xdr:sp macro="" textlink="">
            <xdr:nvSpPr>
              <xdr:cNvPr id="450" name="Line 80">
                <a:extLst>
                  <a:ext uri="{FF2B5EF4-FFF2-40B4-BE49-F238E27FC236}">
                    <a16:creationId xmlns:a16="http://schemas.microsoft.com/office/drawing/2014/main" id="{C27EE07A-7D6E-4423-AA81-7E2D36A3C56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400603" y="7734300"/>
                <a:ext cx="36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" name="文字方塊 460">
                <a:extLst>
                  <a:ext uri="{FF2B5EF4-FFF2-40B4-BE49-F238E27FC236}">
                    <a16:creationId xmlns:a16="http://schemas.microsoft.com/office/drawing/2014/main" id="{D1AABF08-C270-45A8-96C2-5B4C831AF5F5}"/>
                  </a:ext>
                </a:extLst>
              </xdr:cNvPr>
              <xdr:cNvSpPr txBox="1"/>
            </xdr:nvSpPr>
            <xdr:spPr>
              <a:xfrm>
                <a:off x="11676828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P2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  <xdr:grpSp>
          <xdr:nvGrpSpPr>
            <xdr:cNvPr id="405" name="群組 404">
              <a:extLst>
                <a:ext uri="{FF2B5EF4-FFF2-40B4-BE49-F238E27FC236}">
                  <a16:creationId xmlns:a16="http://schemas.microsoft.com/office/drawing/2014/main" id="{C4889C85-DD57-44E4-BABA-5F2171265939}"/>
                </a:ext>
              </a:extLst>
            </xdr:cNvPr>
            <xdr:cNvGrpSpPr/>
          </xdr:nvGrpSpPr>
          <xdr:grpSpPr>
            <a:xfrm>
              <a:off x="6714554" y="3191326"/>
              <a:ext cx="704794" cy="271346"/>
              <a:chOff x="11400603" y="7591425"/>
              <a:chExt cx="704850" cy="266700"/>
            </a:xfrm>
          </xdr:grpSpPr>
          <xdr:sp macro="" textlink="">
            <xdr:nvSpPr>
              <xdr:cNvPr id="448" name="Line 80">
                <a:extLst>
                  <a:ext uri="{FF2B5EF4-FFF2-40B4-BE49-F238E27FC236}">
                    <a16:creationId xmlns:a16="http://schemas.microsoft.com/office/drawing/2014/main" id="{74DE5D5E-0FC3-4E52-96DA-FE18B04C176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400603" y="7734300"/>
                <a:ext cx="36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" name="文字方塊 448">
                <a:extLst>
                  <a:ext uri="{FF2B5EF4-FFF2-40B4-BE49-F238E27FC236}">
                    <a16:creationId xmlns:a16="http://schemas.microsoft.com/office/drawing/2014/main" id="{61C1F598-76F7-4E5E-B219-F0E4196BCC10}"/>
                  </a:ext>
                </a:extLst>
              </xdr:cNvPr>
              <xdr:cNvSpPr txBox="1"/>
            </xdr:nvSpPr>
            <xdr:spPr>
              <a:xfrm>
                <a:off x="11676828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P3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  <xdr:grpSp>
          <xdr:nvGrpSpPr>
            <xdr:cNvPr id="406" name="群組 405">
              <a:extLst>
                <a:ext uri="{FF2B5EF4-FFF2-40B4-BE49-F238E27FC236}">
                  <a16:creationId xmlns:a16="http://schemas.microsoft.com/office/drawing/2014/main" id="{DC2622E5-9FCC-4BCD-8E4F-6A2B1A22BE27}"/>
                </a:ext>
              </a:extLst>
            </xdr:cNvPr>
            <xdr:cNvGrpSpPr/>
          </xdr:nvGrpSpPr>
          <xdr:grpSpPr>
            <a:xfrm>
              <a:off x="8131333" y="1565466"/>
              <a:ext cx="829761" cy="2201597"/>
              <a:chOff x="7976555" y="1565466"/>
              <a:chExt cx="829761" cy="2201597"/>
            </a:xfrm>
          </xdr:grpSpPr>
          <xdr:sp macro="" textlink="">
            <xdr:nvSpPr>
              <xdr:cNvPr id="427" name="Rectangle 82">
                <a:extLst>
                  <a:ext uri="{FF2B5EF4-FFF2-40B4-BE49-F238E27FC236}">
                    <a16:creationId xmlns:a16="http://schemas.microsoft.com/office/drawing/2014/main" id="{2C0AAFB1-5B9F-4BD2-81DC-99800708948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76555" y="1565466"/>
                <a:ext cx="215527" cy="732544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28" name="Rectangle 82">
                <a:extLst>
                  <a:ext uri="{FF2B5EF4-FFF2-40B4-BE49-F238E27FC236}">
                    <a16:creationId xmlns:a16="http://schemas.microsoft.com/office/drawing/2014/main" id="{B7B31BE3-AEF9-4AF1-8D26-60886BA91BA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76556" y="2301976"/>
                <a:ext cx="287977" cy="1465087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grpSp>
            <xdr:nvGrpSpPr>
              <xdr:cNvPr id="429" name="群組 428">
                <a:extLst>
                  <a:ext uri="{FF2B5EF4-FFF2-40B4-BE49-F238E27FC236}">
                    <a16:creationId xmlns:a16="http://schemas.microsoft.com/office/drawing/2014/main" id="{76FF3F35-2DDE-4911-9DDB-35DD216E8CA5}"/>
                  </a:ext>
                </a:extLst>
              </xdr:cNvPr>
              <xdr:cNvGrpSpPr/>
            </xdr:nvGrpSpPr>
            <xdr:grpSpPr>
              <a:xfrm>
                <a:off x="8087811" y="1766761"/>
                <a:ext cx="665650" cy="271346"/>
                <a:chOff x="11273739" y="7591425"/>
                <a:chExt cx="665703" cy="266700"/>
              </a:xfrm>
            </xdr:grpSpPr>
            <xdr:sp macro="" textlink="">
              <xdr:nvSpPr>
                <xdr:cNvPr id="433" name="Line 80">
                  <a:extLst>
                    <a:ext uri="{FF2B5EF4-FFF2-40B4-BE49-F238E27FC236}">
                      <a16:creationId xmlns:a16="http://schemas.microsoft.com/office/drawing/2014/main" id="{1B493621-C2BA-42D7-8C7E-B857AFF705C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11273739" y="7734300"/>
                  <a:ext cx="360000" cy="0"/>
                </a:xfrm>
                <a:prstGeom prst="line">
                  <a:avLst/>
                </a:prstGeom>
                <a:noFill/>
                <a:ln w="9525">
                  <a:solidFill>
                    <a:schemeClr val="accent2"/>
                  </a:solidFill>
                  <a:round/>
                  <a:headEnd type="none" w="med" len="med"/>
                  <a:tailEnd type="arrow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4" name="文字方塊 433">
                  <a:extLst>
                    <a:ext uri="{FF2B5EF4-FFF2-40B4-BE49-F238E27FC236}">
                      <a16:creationId xmlns:a16="http://schemas.microsoft.com/office/drawing/2014/main" id="{BEDBA081-4FA7-4EDF-8C60-F22BF0A429E7}"/>
                    </a:ext>
                  </a:extLst>
                </xdr:cNvPr>
                <xdr:cNvSpPr txBox="1"/>
              </xdr:nvSpPr>
              <xdr:spPr>
                <a:xfrm>
                  <a:off x="11510817" y="7591425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accent2"/>
                      </a:solidFill>
                    </a:rPr>
                    <a:t>P4</a:t>
                  </a:r>
                  <a:endParaRPr lang="zh-TW" altLang="en-US" sz="1100">
                    <a:solidFill>
                      <a:schemeClr val="accent2"/>
                    </a:solidFill>
                  </a:endParaRPr>
                </a:p>
              </xdr:txBody>
            </xdr:sp>
          </xdr:grpSp>
          <xdr:grpSp>
            <xdr:nvGrpSpPr>
              <xdr:cNvPr id="430" name="群組 429">
                <a:extLst>
                  <a:ext uri="{FF2B5EF4-FFF2-40B4-BE49-F238E27FC236}">
                    <a16:creationId xmlns:a16="http://schemas.microsoft.com/office/drawing/2014/main" id="{64B9E215-D301-42A2-AF7D-944A88CA3895}"/>
                  </a:ext>
                </a:extLst>
              </xdr:cNvPr>
              <xdr:cNvGrpSpPr/>
            </xdr:nvGrpSpPr>
            <xdr:grpSpPr>
              <a:xfrm>
                <a:off x="8130092" y="2881220"/>
                <a:ext cx="676224" cy="271346"/>
                <a:chOff x="11316026" y="7591425"/>
                <a:chExt cx="676278" cy="266700"/>
              </a:xfrm>
            </xdr:grpSpPr>
            <xdr:sp macro="" textlink="">
              <xdr:nvSpPr>
                <xdr:cNvPr id="431" name="Line 80">
                  <a:extLst>
                    <a:ext uri="{FF2B5EF4-FFF2-40B4-BE49-F238E27FC236}">
                      <a16:creationId xmlns:a16="http://schemas.microsoft.com/office/drawing/2014/main" id="{045BB920-170D-41DF-AD8D-299CE47C8C2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11316026" y="7734300"/>
                  <a:ext cx="360000" cy="0"/>
                </a:xfrm>
                <a:prstGeom prst="line">
                  <a:avLst/>
                </a:prstGeom>
                <a:noFill/>
                <a:ln w="9525">
                  <a:solidFill>
                    <a:schemeClr val="accent2"/>
                  </a:solidFill>
                  <a:round/>
                  <a:headEnd type="none" w="med" len="med"/>
                  <a:tailEnd type="arrow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2" name="文字方塊 431">
                  <a:extLst>
                    <a:ext uri="{FF2B5EF4-FFF2-40B4-BE49-F238E27FC236}">
                      <a16:creationId xmlns:a16="http://schemas.microsoft.com/office/drawing/2014/main" id="{C572E1EB-4B53-4456-83C5-DDFEBB58E65F}"/>
                    </a:ext>
                  </a:extLst>
                </xdr:cNvPr>
                <xdr:cNvSpPr txBox="1"/>
              </xdr:nvSpPr>
              <xdr:spPr>
                <a:xfrm>
                  <a:off x="11563679" y="7591425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accent2"/>
                      </a:solidFill>
                    </a:rPr>
                    <a:t>P5</a:t>
                  </a:r>
                  <a:endParaRPr lang="zh-TW" altLang="en-US" sz="1100">
                    <a:solidFill>
                      <a:schemeClr val="accent2"/>
                    </a:solidFill>
                  </a:endParaRPr>
                </a:p>
              </xdr:txBody>
            </xdr:sp>
          </xdr:grpSp>
        </xdr:grpSp>
        <xdr:grpSp>
          <xdr:nvGrpSpPr>
            <xdr:cNvPr id="407" name="群組 406">
              <a:extLst>
                <a:ext uri="{FF2B5EF4-FFF2-40B4-BE49-F238E27FC236}">
                  <a16:creationId xmlns:a16="http://schemas.microsoft.com/office/drawing/2014/main" id="{D7191E25-09D7-4AB5-A639-F0F602F404D0}"/>
                </a:ext>
              </a:extLst>
            </xdr:cNvPr>
            <xdr:cNvGrpSpPr/>
          </xdr:nvGrpSpPr>
          <xdr:grpSpPr>
            <a:xfrm>
              <a:off x="9186136" y="3375450"/>
              <a:ext cx="866706" cy="271346"/>
              <a:chOff x="11019603" y="7591425"/>
              <a:chExt cx="866775" cy="266700"/>
            </a:xfrm>
          </xdr:grpSpPr>
          <xdr:sp macro="" textlink="">
            <xdr:nvSpPr>
              <xdr:cNvPr id="425" name="Line 80">
                <a:extLst>
                  <a:ext uri="{FF2B5EF4-FFF2-40B4-BE49-F238E27FC236}">
                    <a16:creationId xmlns:a16="http://schemas.microsoft.com/office/drawing/2014/main" id="{93283C8B-75EF-4AFB-9B32-22929A09755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019603" y="7734300"/>
                <a:ext cx="54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文字方塊 425">
                <a:extLst>
                  <a:ext uri="{FF2B5EF4-FFF2-40B4-BE49-F238E27FC236}">
                    <a16:creationId xmlns:a16="http://schemas.microsoft.com/office/drawing/2014/main" id="{8F12C2A2-C71E-4A2E-871F-5EC961613C5F}"/>
                  </a:ext>
                </a:extLst>
              </xdr:cNvPr>
              <xdr:cNvSpPr txBox="1"/>
            </xdr:nvSpPr>
            <xdr:spPr>
              <a:xfrm>
                <a:off x="11457753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P6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  <xdr:grpSp>
          <xdr:nvGrpSpPr>
            <xdr:cNvPr id="408" name="群組 407">
              <a:extLst>
                <a:ext uri="{FF2B5EF4-FFF2-40B4-BE49-F238E27FC236}">
                  <a16:creationId xmlns:a16="http://schemas.microsoft.com/office/drawing/2014/main" id="{01F2044B-EC08-4F4B-91FA-146822516AEF}"/>
                </a:ext>
              </a:extLst>
            </xdr:cNvPr>
            <xdr:cNvGrpSpPr/>
          </xdr:nvGrpSpPr>
          <xdr:grpSpPr>
            <a:xfrm>
              <a:off x="6316483" y="3835110"/>
              <a:ext cx="692876" cy="666865"/>
              <a:chOff x="21357167" y="3386671"/>
              <a:chExt cx="693655" cy="660224"/>
            </a:xfrm>
          </xdr:grpSpPr>
          <xdr:sp macro="" textlink="">
            <xdr:nvSpPr>
              <xdr:cNvPr id="422" name="AutoShape 83">
                <a:extLst>
                  <a:ext uri="{FF2B5EF4-FFF2-40B4-BE49-F238E27FC236}">
                    <a16:creationId xmlns:a16="http://schemas.microsoft.com/office/drawing/2014/main" id="{DF6BDE25-CFA2-4C72-9E5B-B0DA32B3AFE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21357167" y="3386671"/>
                <a:ext cx="648000" cy="360000"/>
              </a:xfrm>
              <a:prstGeom prst="rtTriangle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23" name="文字方塊 422">
                <a:extLst>
                  <a:ext uri="{FF2B5EF4-FFF2-40B4-BE49-F238E27FC236}">
                    <a16:creationId xmlns:a16="http://schemas.microsoft.com/office/drawing/2014/main" id="{BB418130-CDE7-467E-80C4-F78E0B0340E1}"/>
                  </a:ext>
                </a:extLst>
              </xdr:cNvPr>
              <xdr:cNvSpPr txBox="1"/>
            </xdr:nvSpPr>
            <xdr:spPr>
              <a:xfrm>
                <a:off x="21621750" y="3778251"/>
                <a:ext cx="429072" cy="2686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5"/>
                    </a:solidFill>
                  </a:rPr>
                  <a:t>U</a:t>
                </a:r>
                <a:endParaRPr lang="zh-TW" altLang="en-US" sz="1100">
                  <a:solidFill>
                    <a:schemeClr val="accent5"/>
                  </a:solidFill>
                </a:endParaRPr>
              </a:p>
            </xdr:txBody>
          </xdr:sp>
          <xdr:cxnSp macro="">
            <xdr:nvCxnSpPr>
              <xdr:cNvPr id="424" name="直線單箭頭接點 423">
                <a:extLst>
                  <a:ext uri="{FF2B5EF4-FFF2-40B4-BE49-F238E27FC236}">
                    <a16:creationId xmlns:a16="http://schemas.microsoft.com/office/drawing/2014/main" id="{7F4625B3-E8CF-45CD-B78E-92E89A4BD0AC}"/>
                  </a:ext>
                </a:extLst>
              </xdr:cNvPr>
              <xdr:cNvCxnSpPr/>
            </xdr:nvCxnSpPr>
            <xdr:spPr>
              <a:xfrm>
                <a:off x="21833417" y="3481916"/>
                <a:ext cx="0" cy="361871"/>
              </a:xfrm>
              <a:prstGeom prst="straightConnector1">
                <a:avLst/>
              </a:prstGeom>
              <a:ln w="3175">
                <a:solidFill>
                  <a:schemeClr val="accent5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09" name="群組 408">
              <a:extLst>
                <a:ext uri="{FF2B5EF4-FFF2-40B4-BE49-F238E27FC236}">
                  <a16:creationId xmlns:a16="http://schemas.microsoft.com/office/drawing/2014/main" id="{13078DEC-062F-4E65-A77B-84229BFF3BD1}"/>
                </a:ext>
              </a:extLst>
            </xdr:cNvPr>
            <xdr:cNvGrpSpPr/>
          </xdr:nvGrpSpPr>
          <xdr:grpSpPr>
            <a:xfrm flipH="1">
              <a:off x="7072315" y="1559719"/>
              <a:ext cx="829761" cy="2201597"/>
              <a:chOff x="7976555" y="1565466"/>
              <a:chExt cx="829761" cy="2201597"/>
            </a:xfrm>
          </xdr:grpSpPr>
          <xdr:sp macro="" textlink="">
            <xdr:nvSpPr>
              <xdr:cNvPr id="414" name="Rectangle 82">
                <a:extLst>
                  <a:ext uri="{FF2B5EF4-FFF2-40B4-BE49-F238E27FC236}">
                    <a16:creationId xmlns:a16="http://schemas.microsoft.com/office/drawing/2014/main" id="{7DD064AF-9C71-4C60-A995-563ECABD786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76555" y="1565466"/>
                <a:ext cx="215527" cy="732544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15" name="Rectangle 82">
                <a:extLst>
                  <a:ext uri="{FF2B5EF4-FFF2-40B4-BE49-F238E27FC236}">
                    <a16:creationId xmlns:a16="http://schemas.microsoft.com/office/drawing/2014/main" id="{D98D24B6-2805-4FE0-AEBE-8F9E10C8B39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76556" y="2301976"/>
                <a:ext cx="287977" cy="1465087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prstDash val="sysDot"/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grpSp>
            <xdr:nvGrpSpPr>
              <xdr:cNvPr id="416" name="群組 415">
                <a:extLst>
                  <a:ext uri="{FF2B5EF4-FFF2-40B4-BE49-F238E27FC236}">
                    <a16:creationId xmlns:a16="http://schemas.microsoft.com/office/drawing/2014/main" id="{F0655671-22AE-491E-B57C-9278BD0B1C57}"/>
                  </a:ext>
                </a:extLst>
              </xdr:cNvPr>
              <xdr:cNvGrpSpPr/>
            </xdr:nvGrpSpPr>
            <xdr:grpSpPr>
              <a:xfrm>
                <a:off x="8087811" y="1766761"/>
                <a:ext cx="665650" cy="271346"/>
                <a:chOff x="11273739" y="7591425"/>
                <a:chExt cx="665703" cy="266700"/>
              </a:xfrm>
            </xdr:grpSpPr>
            <xdr:sp macro="" textlink="">
              <xdr:nvSpPr>
                <xdr:cNvPr id="420" name="Line 80">
                  <a:extLst>
                    <a:ext uri="{FF2B5EF4-FFF2-40B4-BE49-F238E27FC236}">
                      <a16:creationId xmlns:a16="http://schemas.microsoft.com/office/drawing/2014/main" id="{2C99F3E4-4DF1-4FB8-BB7B-70CDCDE043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11273739" y="7734300"/>
                  <a:ext cx="360000" cy="0"/>
                </a:xfrm>
                <a:prstGeom prst="line">
                  <a:avLst/>
                </a:prstGeom>
                <a:noFill/>
                <a:ln w="9525">
                  <a:solidFill>
                    <a:schemeClr val="accent2"/>
                  </a:solidFill>
                  <a:round/>
                  <a:headEnd type="none" w="med" len="med"/>
                  <a:tailEnd type="arrow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1" name="文字方塊 420">
                  <a:extLst>
                    <a:ext uri="{FF2B5EF4-FFF2-40B4-BE49-F238E27FC236}">
                      <a16:creationId xmlns:a16="http://schemas.microsoft.com/office/drawing/2014/main" id="{ED4CD374-AA22-4690-84C7-169216592226}"/>
                    </a:ext>
                  </a:extLst>
                </xdr:cNvPr>
                <xdr:cNvSpPr txBox="1"/>
              </xdr:nvSpPr>
              <xdr:spPr>
                <a:xfrm>
                  <a:off x="11510817" y="7591425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accent2"/>
                      </a:solidFill>
                    </a:rPr>
                    <a:t>C1</a:t>
                  </a:r>
                  <a:endParaRPr lang="zh-TW" altLang="en-US" sz="1100">
                    <a:solidFill>
                      <a:schemeClr val="accent2"/>
                    </a:solidFill>
                  </a:endParaRPr>
                </a:p>
              </xdr:txBody>
            </xdr:sp>
          </xdr:grpSp>
          <xdr:grpSp>
            <xdr:nvGrpSpPr>
              <xdr:cNvPr id="417" name="群組 416">
                <a:extLst>
                  <a:ext uri="{FF2B5EF4-FFF2-40B4-BE49-F238E27FC236}">
                    <a16:creationId xmlns:a16="http://schemas.microsoft.com/office/drawing/2014/main" id="{FA699DC7-5CE8-4AC4-862B-BEED18D4A90C}"/>
                  </a:ext>
                </a:extLst>
              </xdr:cNvPr>
              <xdr:cNvGrpSpPr/>
            </xdr:nvGrpSpPr>
            <xdr:grpSpPr>
              <a:xfrm>
                <a:off x="8130092" y="2881220"/>
                <a:ext cx="676224" cy="271346"/>
                <a:chOff x="11316026" y="7591425"/>
                <a:chExt cx="676278" cy="266700"/>
              </a:xfrm>
            </xdr:grpSpPr>
            <xdr:sp macro="" textlink="">
              <xdr:nvSpPr>
                <xdr:cNvPr id="418" name="Line 80">
                  <a:extLst>
                    <a:ext uri="{FF2B5EF4-FFF2-40B4-BE49-F238E27FC236}">
                      <a16:creationId xmlns:a16="http://schemas.microsoft.com/office/drawing/2014/main" id="{F2F808B8-D701-411F-ADB1-B7EA26969EA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11316026" y="7734300"/>
                  <a:ext cx="360000" cy="0"/>
                </a:xfrm>
                <a:prstGeom prst="line">
                  <a:avLst/>
                </a:prstGeom>
                <a:noFill/>
                <a:ln w="9525">
                  <a:solidFill>
                    <a:schemeClr val="accent2"/>
                  </a:solidFill>
                  <a:round/>
                  <a:headEnd type="none" w="med" len="med"/>
                  <a:tailEnd type="arrow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9" name="文字方塊 418">
                  <a:extLst>
                    <a:ext uri="{FF2B5EF4-FFF2-40B4-BE49-F238E27FC236}">
                      <a16:creationId xmlns:a16="http://schemas.microsoft.com/office/drawing/2014/main" id="{6D8A1BD0-D789-47AB-956B-3D7AFCC4D2AD}"/>
                    </a:ext>
                  </a:extLst>
                </xdr:cNvPr>
                <xdr:cNvSpPr txBox="1"/>
              </xdr:nvSpPr>
              <xdr:spPr>
                <a:xfrm>
                  <a:off x="11563679" y="7591425"/>
                  <a:ext cx="428625" cy="2667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zh-TW" sz="1100">
                      <a:solidFill>
                        <a:schemeClr val="accent2"/>
                      </a:solidFill>
                    </a:rPr>
                    <a:t>C2</a:t>
                  </a:r>
                  <a:endParaRPr lang="zh-TW" altLang="en-US" sz="1100">
                    <a:solidFill>
                      <a:schemeClr val="accent2"/>
                    </a:solidFill>
                  </a:endParaRPr>
                </a:p>
              </xdr:txBody>
            </xdr:sp>
          </xdr:grpSp>
        </xdr:grpSp>
        <xdr:sp macro="" textlink="">
          <xdr:nvSpPr>
            <xdr:cNvPr id="410" name="文字方塊 409">
              <a:extLst>
                <a:ext uri="{FF2B5EF4-FFF2-40B4-BE49-F238E27FC236}">
                  <a16:creationId xmlns:a16="http://schemas.microsoft.com/office/drawing/2014/main" id="{8FDD470B-7CE6-4E5A-B785-B8A4D1CB57A1}"/>
                </a:ext>
              </a:extLst>
            </xdr:cNvPr>
            <xdr:cNvSpPr txBox="1"/>
          </xdr:nvSpPr>
          <xdr:spPr>
            <a:xfrm>
              <a:off x="6405557" y="1154906"/>
              <a:ext cx="428590" cy="2713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tx2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Soil</a:t>
              </a:r>
              <a:endParaRPr lang="zh-TW" altLang="en-US" sz="1100">
                <a:solidFill>
                  <a:schemeClr val="tx2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  <xdr:sp macro="" textlink="">
          <xdr:nvSpPr>
            <xdr:cNvPr id="411" name="文字方塊 410">
              <a:extLst>
                <a:ext uri="{FF2B5EF4-FFF2-40B4-BE49-F238E27FC236}">
                  <a16:creationId xmlns:a16="http://schemas.microsoft.com/office/drawing/2014/main" id="{C645CA5D-E6D1-44F2-AD37-B814BE3C9A33}"/>
                </a:ext>
              </a:extLst>
            </xdr:cNvPr>
            <xdr:cNvSpPr txBox="1"/>
          </xdr:nvSpPr>
          <xdr:spPr>
            <a:xfrm>
              <a:off x="7217582" y="1168891"/>
              <a:ext cx="842949" cy="2717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tx2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cohesion</a:t>
              </a:r>
              <a:endParaRPr lang="zh-TW" altLang="en-US" sz="1100">
                <a:solidFill>
                  <a:schemeClr val="tx2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  <xdr:sp macro="" textlink="">
          <xdr:nvSpPr>
            <xdr:cNvPr id="412" name="文字方塊 411">
              <a:extLst>
                <a:ext uri="{FF2B5EF4-FFF2-40B4-BE49-F238E27FC236}">
                  <a16:creationId xmlns:a16="http://schemas.microsoft.com/office/drawing/2014/main" id="{C972B014-91F3-44E9-B56F-398A0C7F5E68}"/>
                </a:ext>
              </a:extLst>
            </xdr:cNvPr>
            <xdr:cNvSpPr txBox="1"/>
          </xdr:nvSpPr>
          <xdr:spPr>
            <a:xfrm>
              <a:off x="8024822" y="1141818"/>
              <a:ext cx="877611" cy="2988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tx2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surcharge</a:t>
              </a:r>
              <a:endParaRPr lang="zh-TW" altLang="en-US" sz="1100">
                <a:solidFill>
                  <a:schemeClr val="tx2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  <xdr:sp macro="" textlink="">
          <xdr:nvSpPr>
            <xdr:cNvPr id="413" name="文字方塊 412">
              <a:extLst>
                <a:ext uri="{FF2B5EF4-FFF2-40B4-BE49-F238E27FC236}">
                  <a16:creationId xmlns:a16="http://schemas.microsoft.com/office/drawing/2014/main" id="{ABA2DE5F-9959-41CB-BC05-FB5836D0DA18}"/>
                </a:ext>
              </a:extLst>
            </xdr:cNvPr>
            <xdr:cNvSpPr txBox="1"/>
          </xdr:nvSpPr>
          <xdr:spPr>
            <a:xfrm>
              <a:off x="8965413" y="1154906"/>
              <a:ext cx="726281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tx2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Water</a:t>
              </a:r>
              <a:endParaRPr lang="zh-TW" altLang="en-US" sz="1100">
                <a:solidFill>
                  <a:schemeClr val="tx2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119060</xdr:colOff>
      <xdr:row>6</xdr:row>
      <xdr:rowOff>83342</xdr:rowOff>
    </xdr:from>
    <xdr:ext cx="16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797841" y="1035842"/>
              <a:ext cx="16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l-GR" altLang="zh-TW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14:m>
                <m:oMath xmlns:m="http://schemas.openxmlformats.org/officeDocument/2006/math"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000" i="1">
                      <a:latin typeface="Cambria Math" panose="02040503050406030204" pitchFamily="18" charset="0"/>
                    </a:rPr>
                    <m:t>𝑐</m:t>
                  </m:r>
                  <m:r>
                    <a:rPr lang="en-US" altLang="zh-TW" sz="1000" b="0" i="1">
                      <a:latin typeface="Cambria Math" panose="02040503050406030204" pitchFamily="18" charset="0"/>
                    </a:rPr>
                    <m:t>𝑜𝑠</m:t>
                  </m:r>
                  <m:r>
                    <a:rPr lang="zh-TW" altLang="en-US" sz="1000" b="0" i="1">
                      <a:latin typeface="Cambria Math" panose="02040503050406030204" pitchFamily="18" charset="0"/>
                    </a:rPr>
                    <m:t>𝛽</m:t>
                  </m:r>
                  <m:f>
                    <m:f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𝑐𝑜𝑠</m:t>
                      </m:r>
                      <m:r>
                        <a:rPr lang="zh-TW" altLang="en-US" sz="1000" b="0" i="1">
                          <a:latin typeface="Cambria Math" panose="02040503050406030204" pitchFamily="18" charset="0"/>
                        </a:rPr>
                        <m:t>𝛽</m:t>
                      </m:r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−</m:t>
                      </m:r>
                      <m:rad>
                        <m:radPr>
                          <m:degHide m:val="on"/>
                          <m:ctrlPr>
                            <a:rPr lang="en-US" altLang="zh-TW" sz="10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zh-TW" altLang="en-US" sz="1000" b="0" i="1">
                              <a:latin typeface="Cambria Math" panose="02040503050406030204" pitchFamily="18" charset="0"/>
                            </a:rPr>
                            <m:t>𝛽</m:t>
                          </m:r>
                          <m:r>
                            <a:rPr lang="en-US" altLang="zh-TW" sz="1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∅</m:t>
                          </m:r>
                        </m:e>
                      </m:rad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𝑐𝑜𝑠</m:t>
                      </m:r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ad>
                        <m:radPr>
                          <m:degHide m:val="on"/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zh-TW" altLang="en-US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∅</m:t>
                          </m:r>
                        </m:e>
                      </m:rad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797841" y="1035842"/>
              <a:ext cx="16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i="0">
                  <a:latin typeface="Cambria Math" panose="02040503050406030204" pitchFamily="18" charset="0"/>
                </a:rPr>
                <a:t>𝑐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𝑜𝑠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 (𝑐𝑜𝑠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−√(〖𝑐𝑜𝑠〗^2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 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−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〖𝑐𝑜𝑠〗^2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∅))/(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𝑐𝑜𝑠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+√(〖𝑐𝑜𝑠〗^2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−〖𝑐𝑜𝑠〗^2∅))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119060</xdr:colOff>
      <xdr:row>8</xdr:row>
      <xdr:rowOff>83342</xdr:rowOff>
    </xdr:from>
    <xdr:ext cx="16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797841" y="2035967"/>
              <a:ext cx="16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l-GR" altLang="zh-TW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14:m>
                <m:oMath xmlns:m="http://schemas.openxmlformats.org/officeDocument/2006/math"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000" i="1">
                      <a:latin typeface="Cambria Math" panose="02040503050406030204" pitchFamily="18" charset="0"/>
                    </a:rPr>
                    <m:t>𝑐</m:t>
                  </m:r>
                  <m:r>
                    <a:rPr lang="en-US" altLang="zh-TW" sz="1000" b="0" i="1">
                      <a:latin typeface="Cambria Math" panose="02040503050406030204" pitchFamily="18" charset="0"/>
                    </a:rPr>
                    <m:t>𝑜𝑠</m:t>
                  </m:r>
                  <m:r>
                    <a:rPr lang="zh-TW" altLang="en-US" sz="1000" b="0" i="1">
                      <a:latin typeface="Cambria Math" panose="02040503050406030204" pitchFamily="18" charset="0"/>
                    </a:rPr>
                    <m:t>𝛽</m:t>
                  </m:r>
                  <m:f>
                    <m:f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𝑐𝑜𝑠</m:t>
                      </m:r>
                      <m:r>
                        <a:rPr lang="zh-TW" altLang="en-US" sz="1000" b="0" i="1">
                          <a:latin typeface="Cambria Math" panose="02040503050406030204" pitchFamily="18" charset="0"/>
                        </a:rPr>
                        <m:t>𝛽</m:t>
                      </m:r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+</m:t>
                      </m:r>
                      <m:rad>
                        <m:radPr>
                          <m:degHide m:val="on"/>
                          <m:ctrlPr>
                            <a:rPr lang="en-US" altLang="zh-TW" sz="10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zh-TW" altLang="en-US" sz="1000" b="0" i="1">
                              <a:latin typeface="Cambria Math" panose="02040503050406030204" pitchFamily="18" charset="0"/>
                            </a:rPr>
                            <m:t>𝛽</m:t>
                          </m:r>
                          <m:r>
                            <a:rPr lang="en-US" altLang="zh-TW" sz="1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∅</m:t>
                          </m:r>
                        </m:e>
                      </m:rad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𝑐𝑜𝑠</m:t>
                      </m:r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ad>
                        <m:radPr>
                          <m:degHide m:val="on"/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zh-TW" altLang="en-US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𝑐𝑜𝑠</m:t>
                              </m:r>
                            </m:e>
                            <m:sup>
                              <m:r>
                                <a:rPr lang="en-US" altLang="zh-TW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∅</m:t>
                          </m:r>
                        </m:e>
                      </m:rad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797841" y="2035967"/>
              <a:ext cx="16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i="0">
                  <a:latin typeface="Cambria Math" panose="02040503050406030204" pitchFamily="18" charset="0"/>
                </a:rPr>
                <a:t>𝑐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𝑜𝑠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 (𝑐𝑜𝑠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+√(〖𝑐𝑜𝑠〗^2</a:t>
              </a:r>
              <a:r>
                <a:rPr lang="zh-TW" altLang="en-US" sz="1000" b="0" i="0">
                  <a:latin typeface="Cambria Math" panose="02040503050406030204" pitchFamily="18" charset="0"/>
                </a:rPr>
                <a:t> 𝛽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−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〖𝑐𝑜𝑠〗^2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∅))/(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𝑐𝑜𝑠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−√(〖𝑐𝑜𝑠〗^2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−〖𝑐𝑜𝑠〗^2∅))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119060</xdr:colOff>
      <xdr:row>7</xdr:row>
      <xdr:rowOff>83342</xdr:rowOff>
    </xdr:from>
    <xdr:ext cx="1188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797841" y="1535905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𝑡𝑎𝑛</m:t>
                        </m:r>
                      </m:e>
                      <m:sup>
                        <m:r>
                          <a:rPr lang="en-US" altLang="zh-TW" sz="10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zh-TW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45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°+</m:t>
                        </m:r>
                        <m:f>
                          <m:fPr>
                            <m:ctrlPr>
                              <a:rPr lang="el-GR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num>
                          <m:den>
                            <m:r>
                              <a:rPr lang="el-GR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797841" y="1535905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𝑡𝑎𝑛〗^</a:t>
              </a:r>
              <a:r>
                <a:rPr lang="en-US" altLang="zh-TW" sz="1000" i="0">
                  <a:latin typeface="Cambria Math" panose="02040503050406030204" pitchFamily="18" charset="0"/>
                </a:rPr>
                <a:t>2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 (45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°+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∅/2)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119060</xdr:colOff>
      <xdr:row>5</xdr:row>
      <xdr:rowOff>83342</xdr:rowOff>
    </xdr:from>
    <xdr:ext cx="1188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797841" y="535780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l-GR" altLang="zh-TW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𝑡𝑎𝑛</m:t>
                        </m:r>
                      </m:e>
                      <m:sup>
                        <m:r>
                          <a:rPr lang="en-US" altLang="zh-TW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45°</m:t>
                        </m:r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l-GR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∅</m:t>
                            </m:r>
                          </m:num>
                          <m:den>
                            <m:r>
                              <a:rPr lang="el-GR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797841" y="535780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l-GR" altLang="zh-TW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zh-TW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𝑡𝑎𝑛〗^</a:t>
              </a:r>
              <a:r>
                <a:rPr lang="en-US" altLang="zh-TW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(45°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∅/2)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58</xdr:row>
      <xdr:rowOff>83342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字方塊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833558" y="25038842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l-GR" altLang="zh-TW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14:m>
                <m:oMath xmlns:m="http://schemas.openxmlformats.org/officeDocument/2006/math"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TW" sz="1000" i="1">
                          <a:latin typeface="Cambria Math" panose="02040503050406030204" pitchFamily="18" charset="0"/>
                        </a:rPr>
                        <m:t>K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US" altLang="zh-TW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zh-TW" altLang="en-US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𝛾</m:t>
                  </m:r>
                  <m:r>
                    <a:rPr lang="en-US" altLang="zh-TW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𝑧</m:t>
                  </m:r>
                  <m:r>
                    <a:rPr lang="en-US" altLang="zh-TW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−2</m:t>
                  </m:r>
                  <m:r>
                    <a:rPr lang="en-US" altLang="zh-TW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</m:t>
                  </m:r>
                  <m:rad>
                    <m:radPr>
                      <m:degHide m:val="on"/>
                      <m:ctrlPr>
                        <a:rPr lang="en-US" altLang="zh-TW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𝐾𝑎</m:t>
                      </m:r>
                    </m:e>
                  </m:rad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9" name="文字方塊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833558" y="25038842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l-GR" altLang="zh-TW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i="0">
                  <a:latin typeface="Cambria Math" panose="02040503050406030204" pitchFamily="18" charset="0"/>
                </a:rPr>
                <a:t>K</a:t>
              </a:r>
              <a:r>
                <a:rPr lang="el-GR" altLang="zh-TW" sz="100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𝑎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zh-TW" alt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 −2𝑐√𝐾𝑎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13</xdr:row>
      <xdr:rowOff>71436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833558" y="4524374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833558" y="4524374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𝑃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14</xdr:row>
      <xdr:rowOff>83342</xdr:rowOff>
    </xdr:from>
    <xdr:ext cx="963084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字方塊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1833558" y="5036342"/>
              <a:ext cx="963084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bar>
                          <m:barPr>
                            <m:pos m:val="top"/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l-GR" altLang="zh-TW" sz="1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bar>
                      </m:e>
                    </m:nary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1" name="文字方塊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833558" y="5036342"/>
              <a:ext cx="963084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𝑊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∙¯(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16</xdr:row>
      <xdr:rowOff>83342</xdr:rowOff>
    </xdr:from>
    <xdr:ext cx="1476374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1833558" y="6036467"/>
              <a:ext cx="1476374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bar>
                          <m:barPr>
                            <m:pos m:val="top"/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l-GR" altLang="zh-TW" sz="1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ba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l-GR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bar>
                      <m:barPr>
                        <m:pos m:val="top"/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l-GR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833558" y="6036467"/>
              <a:ext cx="1476374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𝑊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∙¯(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∙¯(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44</xdr:row>
      <xdr:rowOff>95248</xdr:rowOff>
    </xdr:from>
    <xdr:ext cx="108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字方塊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1833558" y="20050123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(1+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3" name="文字方塊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1833558" y="20050123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𝑞_𝑚𝑎𝑥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𝐵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(1+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6𝑒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45</xdr:row>
      <xdr:rowOff>83343</xdr:rowOff>
    </xdr:from>
    <xdr:ext cx="1188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1833558" y="20538281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TW" sz="10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TW" sz="1000" i="1">
                          <a:latin typeface="Cambria Math" panose="02040503050406030204" pitchFamily="18" charset="0"/>
                        </a:rPr>
                        <m:t>𝑈</m:t>
                      </m:r>
                    </m:num>
                    <m:den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(1-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1833558" y="20538281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𝑞_𝑚𝑖𝑛</a:t>
              </a:r>
              <a:r>
                <a:rPr lang="el-GR" altLang="zh-TW" sz="1000" i="0">
                  <a:latin typeface="Cambria Math" panose="02040503050406030204" pitchFamily="18" charset="0"/>
                </a:rPr>
                <a:t>=(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n-US" altLang="zh-TW" sz="1000" i="0">
                  <a:latin typeface="Cambria Math" panose="02040503050406030204" pitchFamily="18" charset="0"/>
                </a:rPr>
                <a:t>−𝑈</a:t>
              </a:r>
              <a:r>
                <a:rPr lang="el-GR" altLang="zh-TW" sz="1000" i="0">
                  <a:latin typeface="Cambria Math" panose="02040503050406030204" pitchFamily="18" charset="0"/>
                </a:rPr>
                <a:t>)/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𝐵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(1-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6𝑒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41</xdr:row>
      <xdr:rowOff>83342</xdr:rowOff>
    </xdr:from>
    <xdr:ext cx="7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1833558" y="18538030"/>
              <a:ext cx="7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e</a:t>
              </a:r>
              <a:r>
                <a:rPr lang="en-US" altLang="zh-TW" sz="1000" baseline="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TW" sz="1000" i="1" baseline="0">
                          <a:latin typeface="Cambria Math" panose="02040503050406030204" pitchFamily="18" charset="0"/>
                          <a:ea typeface="微軟正黑體" panose="020B0604030504040204" pitchFamily="34" charset="-120"/>
                        </a:rPr>
                      </m:ctrlPr>
                    </m:fPr>
                    <m:num>
                      <m:r>
                        <a:rPr lang="en-US" altLang="zh-TW" sz="1000" b="0" i="1" baseline="0">
                          <a:latin typeface="Cambria Math" panose="02040503050406030204" pitchFamily="18" charset="0"/>
                          <a:ea typeface="微軟正黑體" panose="020B0604030504040204" pitchFamily="34" charset="-120"/>
                        </a:rPr>
                        <m:t>𝐵</m:t>
                      </m:r>
                    </m:num>
                    <m:den>
                      <m:r>
                        <a:rPr lang="en-US" altLang="zh-TW" sz="1000" b="0" i="1" baseline="0">
                          <a:latin typeface="Cambria Math" panose="02040503050406030204" pitchFamily="18" charset="0"/>
                          <a:ea typeface="微軟正黑體" panose="020B0604030504040204" pitchFamily="34" charset="-120"/>
                        </a:rPr>
                        <m:t>2</m:t>
                      </m:r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- d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1833558" y="18538030"/>
              <a:ext cx="7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e</a:t>
              </a:r>
              <a:r>
                <a:rPr lang="en-US" altLang="zh-TW" sz="1000" baseline="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= </a:t>
              </a:r>
              <a:r>
                <a:rPr lang="en-US" altLang="zh-TW" sz="1000" b="0" i="0" baseline="0">
                  <a:latin typeface="Cambria Math" panose="02040503050406030204" pitchFamily="18" charset="0"/>
                  <a:ea typeface="微軟正黑體" panose="020B0604030504040204" pitchFamily="34" charset="-120"/>
                </a:rPr>
                <a:t>𝐵/2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- d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42</xdr:row>
      <xdr:rowOff>83342</xdr:rowOff>
    </xdr:from>
    <xdr:ext cx="126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1833558" y="19038092"/>
              <a:ext cx="126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TW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l-GR" altLang="zh-TW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l-GR" altLang="zh-TW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𝑀𝑟</m:t>
                            </m:r>
                          </m:e>
                        </m:nary>
                        <m:r>
                          <a:rPr lang="en-US" altLang="zh-TW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𝑀𝑑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zh-TW" altLang="en-US" sz="9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1833558" y="19038092"/>
              <a:ext cx="126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▒𝑀𝑟−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▒𝑀𝑑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▒𝑉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TW" altLang="en-US" sz="9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11</xdr:row>
      <xdr:rowOff>83342</xdr:rowOff>
    </xdr:from>
    <xdr:ext cx="288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1833558" y="3536155"/>
              <a:ext cx="28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latin typeface="Cambria Math" panose="02040503050406030204" pitchFamily="18" charset="0"/>
                          </a:rPr>
                          <m:t>P</m:t>
                        </m:r>
                      </m:e>
                      <m:sub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l-GR" altLang="zh-TW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latin typeface="Cambria Math" panose="02040503050406030204" pitchFamily="18" charset="0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zh-TW" altLang="en-U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sSup>
                      <m:sSupPr>
                        <m:ctrlP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−2</m:t>
                    </m:r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ad>
                      <m:radPr>
                        <m:degHide m:val="on"/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e>
                    </m:rad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𝑞𝐻</m:t>
                    </m:r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zh-TW" altLang="en-U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sSup>
                      <m:sSupPr>
                        <m:ctrlP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zh-TW" altLang="en-US" sz="105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833558" y="3536155"/>
              <a:ext cx="28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050" i="0">
                  <a:latin typeface="Cambria Math" panose="02040503050406030204" pitchFamily="18" charset="0"/>
                </a:rPr>
                <a:t>P</a:t>
              </a:r>
              <a:r>
                <a:rPr lang="el-GR" altLang="zh-TW" sz="1050" i="0">
                  <a:latin typeface="Cambria Math" panose="02040503050406030204" pitchFamily="18" charset="0"/>
                </a:rPr>
                <a:t>_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𝑎</a:t>
              </a:r>
              <a:r>
                <a:rPr lang="el-GR" altLang="zh-TW" sz="1050" i="0">
                  <a:latin typeface="Cambria Math" panose="02040503050406030204" pitchFamily="18" charset="0"/>
                </a:rPr>
                <a:t>=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1</a:t>
              </a:r>
              <a:r>
                <a:rPr lang="el-GR" altLang="zh-TW" sz="105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2</a:t>
              </a:r>
              <a:r>
                <a:rPr lang="el-GR" altLang="zh-TW" sz="1050" b="0" i="0">
                  <a:latin typeface="Cambria Math" panose="02040503050406030204" pitchFamily="18" charset="0"/>
                </a:rPr>
                <a:t> </a:t>
              </a:r>
              <a:r>
                <a:rPr lang="en-US" altLang="zh-TW" sz="1050" i="0">
                  <a:latin typeface="Cambria Math" panose="02040503050406030204" pitchFamily="18" charset="0"/>
                </a:rPr>
                <a:t>K</a:t>
              </a:r>
              <a:r>
                <a:rPr lang="el-GR" altLang="zh-TW" sz="1050" i="0">
                  <a:latin typeface="Cambria Math" panose="02040503050406030204" pitchFamily="18" charset="0"/>
                </a:rPr>
                <a:t>_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𝑎</a:t>
              </a:r>
              <a:r>
                <a:rPr lang="en-US" altLang="zh-TW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zh-TW" alt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altLang="zh-TW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𝐻^2  −2𝑐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√(𝐾_𝑎 )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TW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𝐻+</a:t>
              </a:r>
              <a:r>
                <a:rPr lang="en-US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</a:t>
              </a:r>
              <a:r>
                <a:rPr lang="el-GR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𝑞𝐻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l-GR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</a:t>
              </a:r>
              <a:r>
                <a:rPr lang="el-GR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</a:t>
              </a:r>
              <a:r>
                <a:rPr lang="zh-TW" alt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𝐻^2   </a:t>
              </a:r>
              <a:endParaRPr lang="zh-TW" altLang="en-US" sz="105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12</xdr:row>
      <xdr:rowOff>71436</xdr:rowOff>
    </xdr:from>
    <xdr:ext cx="288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字方塊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1833558" y="4024311"/>
              <a:ext cx="28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latin typeface="Cambria Math" panose="02040503050406030204" pitchFamily="18" charset="0"/>
                          </a:rPr>
                          <m:t>P</m:t>
                        </m:r>
                      </m:e>
                      <m:sub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l-GR" altLang="zh-TW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l-GR" altLang="zh-TW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latin typeface="Cambria Math" panose="02040503050406030204" pitchFamily="18" charset="0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zh-TW" altLang="en-U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sSup>
                      <m:sSupPr>
                        <m:ctrlP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−2</m:t>
                    </m:r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ad>
                      <m:radPr>
                        <m:degHide m:val="on"/>
                        <m:ctrlPr>
                          <a:rPr lang="en-US" altLang="zh-TW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altLang="zh-TW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altLang="zh-TW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e>
                    </m:rad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n-US" altLang="zh-TW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𝑞𝐻</m:t>
                    </m:r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l-GR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TW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zh-TW" altLang="en-U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sSup>
                      <m:sSupPr>
                        <m:ctrlP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n-US" altLang="zh-TW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zh-TW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zh-TW" altLang="en-US" sz="105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8" name="文字方塊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1833558" y="4024311"/>
              <a:ext cx="28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050" i="0">
                  <a:latin typeface="Cambria Math" panose="02040503050406030204" pitchFamily="18" charset="0"/>
                </a:rPr>
                <a:t>P</a:t>
              </a:r>
              <a:r>
                <a:rPr lang="el-GR" altLang="zh-TW" sz="1050" i="0">
                  <a:latin typeface="Cambria Math" panose="02040503050406030204" pitchFamily="18" charset="0"/>
                </a:rPr>
                <a:t>_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𝑝</a:t>
              </a:r>
              <a:r>
                <a:rPr lang="el-GR" altLang="zh-TW" sz="1050" i="0">
                  <a:latin typeface="Cambria Math" panose="02040503050406030204" pitchFamily="18" charset="0"/>
                </a:rPr>
                <a:t>=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1</a:t>
              </a:r>
              <a:r>
                <a:rPr lang="el-GR" altLang="zh-TW" sz="105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2</a:t>
              </a:r>
              <a:r>
                <a:rPr lang="el-GR" altLang="zh-TW" sz="1050" b="0" i="0">
                  <a:latin typeface="Cambria Math" panose="02040503050406030204" pitchFamily="18" charset="0"/>
                </a:rPr>
                <a:t> </a:t>
              </a:r>
              <a:r>
                <a:rPr lang="en-US" altLang="zh-TW" sz="1050" i="0">
                  <a:latin typeface="Cambria Math" panose="02040503050406030204" pitchFamily="18" charset="0"/>
                </a:rPr>
                <a:t>K</a:t>
              </a:r>
              <a:r>
                <a:rPr lang="el-GR" altLang="zh-TW" sz="1050" i="0">
                  <a:latin typeface="Cambria Math" panose="02040503050406030204" pitchFamily="18" charset="0"/>
                </a:rPr>
                <a:t>_</a:t>
              </a:r>
              <a:r>
                <a:rPr lang="en-US" altLang="zh-TW" sz="1050" b="0" i="0">
                  <a:latin typeface="Cambria Math" panose="02040503050406030204" pitchFamily="18" charset="0"/>
                </a:rPr>
                <a:t>𝑝</a:t>
              </a:r>
              <a:r>
                <a:rPr lang="en-US" altLang="zh-TW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zh-TW" alt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altLang="zh-TW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𝐻^2  −2𝑐√(𝐾_𝑝 ) 𝐻+</a:t>
              </a:r>
              <a:r>
                <a:rPr lang="en-US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</a:t>
              </a:r>
              <a:r>
                <a:rPr lang="el-GR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 𝑞𝐻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l-GR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</a:t>
              </a:r>
              <a:r>
                <a:rPr lang="el-GR" altLang="zh-TW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 </a:t>
              </a:r>
              <a:r>
                <a:rPr lang="zh-TW" alt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𝐻^2   </a:t>
              </a:r>
              <a:endParaRPr lang="zh-TW" altLang="en-US" sz="105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23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字方塊 19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/>
          </xdr:nvSpPr>
          <xdr:spPr>
            <a:xfrm>
              <a:off x="1833558" y="95369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0" name="文字方塊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 txBox="1"/>
          </xdr:nvSpPr>
          <xdr:spPr>
            <a:xfrm>
              <a:off x="1833558" y="95369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24</xdr:row>
      <xdr:rowOff>83342</xdr:rowOff>
    </xdr:from>
    <xdr:ext cx="1988345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字方塊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 txBox="1"/>
          </xdr:nvSpPr>
          <xdr:spPr>
            <a:xfrm>
              <a:off x="1833558" y="10036967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1" name="文字方塊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1833558" y="10036967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53</xdr:row>
      <xdr:rowOff>83342</xdr:rowOff>
    </xdr:from>
    <xdr:ext cx="25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字方塊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 txBox="1"/>
          </xdr:nvSpPr>
          <xdr:spPr>
            <a:xfrm>
              <a:off x="1833558" y="22538530"/>
              <a:ext cx="25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𝑢𝑙𝑡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000" b="0" i="1">
                      <a:latin typeface="Cambria Math" panose="02040503050406030204" pitchFamily="18" charset="0"/>
                    </a:rPr>
                    <m:t>𝑐</m:t>
                  </m:r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𝑞𝑁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𝑞𝑖</m:t>
                      </m:r>
                    </m:sub>
                  </m:sSub>
                </m:oMath>
              </a14:m>
              <a:r>
                <a:rPr lang="zh-TW" altLang="zh-TW" sz="1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′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sub>
                  </m:sSub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</m:e>
                    <m:sub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2" name="文字方塊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1833558" y="22538530"/>
              <a:ext cx="25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𝑞_𝑢𝑙𝑡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𝑐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〖𝑞𝑁〗_𝑞 𝐹_𝑞𝑖</a:t>
              </a:r>
              <a:r>
                <a:rPr lang="zh-TW" altLang="zh-TW" sz="1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𝐵′𝑁〗_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F_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48</xdr:row>
      <xdr:rowOff>71436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字方塊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1833558" y="21026436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zh-TW" altLang="en-US" sz="1000" b="0" i="1">
                      <a:latin typeface="Cambria Math" panose="02040503050406030204" pitchFamily="18" charset="0"/>
                    </a:rPr>
                    <m:t>𝛼</m:t>
                  </m:r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𝑡𝑎𝑛</m:t>
                      </m:r>
                    </m:e>
                    <m:sup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altLang="zh-TW" sz="1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nary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4" name="文字方塊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 txBox="1"/>
          </xdr:nvSpPr>
          <xdr:spPr>
            <a:xfrm>
              <a:off x="1833558" y="21026436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zh-TW" altLang="en-US" sz="1000" b="0" i="0">
                  <a:latin typeface="Cambria Math" panose="02040503050406030204" pitchFamily="18" charset="0"/>
                </a:rPr>
                <a:t>𝛼</a:t>
              </a:r>
              <a:r>
                <a:rPr lang="el-GR" altLang="zh-TW" sz="1000" i="0">
                  <a:latin typeface="Cambria Math" panose="02040503050406030204" pitchFamily="18" charset="0"/>
                </a:rPr>
                <a:t>=〖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𝑡𝑎𝑛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〗^(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−1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)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∑▒𝑉  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50</xdr:row>
      <xdr:rowOff>71436</xdr:rowOff>
    </xdr:from>
    <xdr:ext cx="180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字方塊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1833558" y="21526499"/>
              <a:ext cx="180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𝑐𝑖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𝑞𝑖</m:t>
                        </m:r>
                      </m:sub>
                    </m:sSub>
                    <m:r>
                      <a:rPr lang="en-US" altLang="zh-TW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altLang="zh-TW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zh-TW" altLang="zh-TW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TW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90°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5" name="文字方塊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1833558" y="21526499"/>
              <a:ext cx="180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𝐹_𝑐𝑖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𝐹_𝑞𝑖=(1−</a:t>
              </a:r>
              <a:r>
                <a:rPr lang="zh-TW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/(90°))^2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51</xdr:row>
      <xdr:rowOff>71436</xdr:rowOff>
    </xdr:from>
    <xdr:ext cx="108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字方塊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1833558" y="22026561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zh-TW" alt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altLang="zh-TW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zh-TW" altLang="zh-TW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zh-TW" alt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zh-TW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6" name="文字方塊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SpPr txBox="1"/>
          </xdr:nvSpPr>
          <xdr:spPr>
            <a:xfrm>
              <a:off x="1833558" y="22026561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𝑖=(1−</a:t>
              </a:r>
              <a:r>
                <a:rPr lang="zh-TW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15</xdr:row>
      <xdr:rowOff>83342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1833558" y="5536405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𝑈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3959F2ED-A132-477A-947F-3859F43E5A4F}"/>
                </a:ext>
              </a:extLst>
            </xdr:cNvPr>
            <xdr:cNvSpPr txBox="1"/>
          </xdr:nvSpPr>
          <xdr:spPr>
            <a:xfrm>
              <a:off x="1833558" y="5536405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+𝑈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21</xdr:row>
      <xdr:rowOff>83342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字方塊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1833558" y="8536780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8" name="文字方塊 27">
              <a:extLst>
                <a:ext uri="{FF2B5EF4-FFF2-40B4-BE49-F238E27FC236}">
                  <a16:creationId xmlns:a16="http://schemas.microsoft.com/office/drawing/2014/main" id="{888244C4-8F1F-4984-9573-82ACB1CACC29}"/>
                </a:ext>
              </a:extLst>
            </xdr:cNvPr>
            <xdr:cNvSpPr txBox="1"/>
          </xdr:nvSpPr>
          <xdr:spPr>
            <a:xfrm>
              <a:off x="1833558" y="8536780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=𝑃_𝑎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34</xdr:row>
      <xdr:rowOff>83342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字方塊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1833558" y="15037592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29" name="文字方塊 28">
              <a:extLst>
                <a:ext uri="{FF2B5EF4-FFF2-40B4-BE49-F238E27FC236}">
                  <a16:creationId xmlns:a16="http://schemas.microsoft.com/office/drawing/2014/main" id="{8CA469D6-FD12-48C3-A9C2-D8D4D24B2E7F}"/>
                </a:ext>
              </a:extLst>
            </xdr:cNvPr>
            <xdr:cNvSpPr txBox="1"/>
          </xdr:nvSpPr>
          <xdr:spPr>
            <a:xfrm>
              <a:off x="1833558" y="15037592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=𝑃_ℎ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17</xdr:row>
      <xdr:rowOff>71436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1833558" y="6524624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135C0650-EB43-483D-80ED-9A5FDC9D3CDD}"/>
                </a:ext>
              </a:extLst>
            </xdr:cNvPr>
            <xdr:cNvSpPr txBox="1"/>
          </xdr:nvSpPr>
          <xdr:spPr>
            <a:xfrm>
              <a:off x="1833558" y="6524624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=𝑃_ℎ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19</xdr:row>
      <xdr:rowOff>83342</xdr:rowOff>
    </xdr:from>
    <xdr:ext cx="2286001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字方塊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1833558" y="7536655"/>
              <a:ext cx="2286001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bar>
                          <m:barPr>
                            <m:pos m:val="top"/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l-GR" altLang="zh-TW" sz="1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ba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l-GR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bar>
                      <m:barPr>
                        <m:pos m:val="top"/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l-GR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1" name="文字方塊 30">
              <a:extLst>
                <a:ext uri="{FF2B5EF4-FFF2-40B4-BE49-F238E27FC236}">
                  <a16:creationId xmlns:a16="http://schemas.microsoft.com/office/drawing/2014/main" id="{01A976E6-434A-45B6-AD80-9908BC72D1E9}"/>
                </a:ext>
              </a:extLst>
            </xdr:cNvPr>
            <xdr:cNvSpPr txBox="1"/>
          </xdr:nvSpPr>
          <xdr:spPr>
            <a:xfrm>
              <a:off x="1833558" y="7536655"/>
              <a:ext cx="2286001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𝑊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∙¯(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𝑃_𝑣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∙¯(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18</xdr:row>
      <xdr:rowOff>83342</xdr:rowOff>
    </xdr:from>
    <xdr:ext cx="2286001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字方塊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1833558" y="7036592"/>
              <a:ext cx="2286001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bar>
                          <m:barPr>
                            <m:pos m:val="top"/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l-GR" altLang="zh-TW" sz="1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ba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2" name="文字方塊 31">
              <a:extLst>
                <a:ext uri="{FF2B5EF4-FFF2-40B4-BE49-F238E27FC236}">
                  <a16:creationId xmlns:a16="http://schemas.microsoft.com/office/drawing/2014/main" id="{2E1992C7-504A-4B7C-8374-24BFB22CB643}"/>
                </a:ext>
              </a:extLst>
            </xdr:cNvPr>
            <xdr:cNvSpPr txBox="1"/>
          </xdr:nvSpPr>
          <xdr:spPr>
            <a:xfrm>
              <a:off x="1833558" y="7036592"/>
              <a:ext cx="2286001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𝑊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∙¯(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𝑃_𝑣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22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字方塊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1833558" y="903684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3" name="文字方塊 32">
              <a:extLst>
                <a:ext uri="{FF2B5EF4-FFF2-40B4-BE49-F238E27FC236}">
                  <a16:creationId xmlns:a16="http://schemas.microsoft.com/office/drawing/2014/main" id="{29FF469F-9FDC-4EC7-A694-94E82799951A}"/>
                </a:ext>
              </a:extLst>
            </xdr:cNvPr>
            <xdr:cNvSpPr txBox="1"/>
          </xdr:nvSpPr>
          <xdr:spPr>
            <a:xfrm>
              <a:off x="1833558" y="903684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26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字方塊 33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 txBox="1"/>
          </xdr:nvSpPr>
          <xdr:spPr>
            <a:xfrm>
              <a:off x="1833558" y="1103709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4" name="文字方塊 33">
              <a:extLst>
                <a:ext uri="{FF2B5EF4-FFF2-40B4-BE49-F238E27FC236}">
                  <a16:creationId xmlns:a16="http://schemas.microsoft.com/office/drawing/2014/main" id="{DD1A0834-9E9E-4E5D-8BC2-F043721F7EB9}"/>
                </a:ext>
              </a:extLst>
            </xdr:cNvPr>
            <xdr:cNvSpPr txBox="1"/>
          </xdr:nvSpPr>
          <xdr:spPr>
            <a:xfrm>
              <a:off x="1833558" y="1103709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27</xdr:row>
      <xdr:rowOff>83342</xdr:rowOff>
    </xdr:from>
    <xdr:ext cx="1988345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字方塊 34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 txBox="1"/>
          </xdr:nvSpPr>
          <xdr:spPr>
            <a:xfrm>
              <a:off x="1833558" y="11537155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5" name="文字方塊 34">
              <a:extLst>
                <a:ext uri="{FF2B5EF4-FFF2-40B4-BE49-F238E27FC236}">
                  <a16:creationId xmlns:a16="http://schemas.microsoft.com/office/drawing/2014/main" id="{A84EC6F7-3F9B-495F-9832-6CE6A82FBDDE}"/>
                </a:ext>
              </a:extLst>
            </xdr:cNvPr>
            <xdr:cNvSpPr txBox="1"/>
          </xdr:nvSpPr>
          <xdr:spPr>
            <a:xfrm>
              <a:off x="1833558" y="11537155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29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字方塊 35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 txBox="1"/>
          </xdr:nvSpPr>
          <xdr:spPr>
            <a:xfrm>
              <a:off x="1833558" y="12537280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6" name="文字方塊 35">
              <a:extLst>
                <a:ext uri="{FF2B5EF4-FFF2-40B4-BE49-F238E27FC236}">
                  <a16:creationId xmlns:a16="http://schemas.microsoft.com/office/drawing/2014/main" id="{B55AE4B8-4670-4B54-A0C2-AFBF6FB29138}"/>
                </a:ext>
              </a:extLst>
            </xdr:cNvPr>
            <xdr:cNvSpPr txBox="1"/>
          </xdr:nvSpPr>
          <xdr:spPr>
            <a:xfrm>
              <a:off x="1833558" y="12537280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30</xdr:row>
      <xdr:rowOff>83342</xdr:rowOff>
    </xdr:from>
    <xdr:ext cx="1988345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字方塊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SpPr txBox="1"/>
          </xdr:nvSpPr>
          <xdr:spPr>
            <a:xfrm>
              <a:off x="1833558" y="13037342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7" name="文字方塊 36">
              <a:extLst>
                <a:ext uri="{FF2B5EF4-FFF2-40B4-BE49-F238E27FC236}">
                  <a16:creationId xmlns:a16="http://schemas.microsoft.com/office/drawing/2014/main" id="{2ECF3AB5-5868-43F8-9326-4BE251861BFC}"/>
                </a:ext>
              </a:extLst>
            </xdr:cNvPr>
            <xdr:cNvSpPr txBox="1"/>
          </xdr:nvSpPr>
          <xdr:spPr>
            <a:xfrm>
              <a:off x="1833558" y="13037342"/>
              <a:ext cx="1988345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28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字方塊 37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 txBox="1"/>
          </xdr:nvSpPr>
          <xdr:spPr>
            <a:xfrm>
              <a:off x="1833558" y="1203721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38" name="文字方塊 37">
              <a:extLst>
                <a:ext uri="{FF2B5EF4-FFF2-40B4-BE49-F238E27FC236}">
                  <a16:creationId xmlns:a16="http://schemas.microsoft.com/office/drawing/2014/main" id="{BF53D4E5-2060-4A5D-89DD-5CCA257E1EE5}"/>
                </a:ext>
              </a:extLst>
            </xdr:cNvPr>
            <xdr:cNvSpPr txBox="1"/>
          </xdr:nvSpPr>
          <xdr:spPr>
            <a:xfrm>
              <a:off x="1833558" y="1203721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25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文字方塊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 txBox="1"/>
          </xdr:nvSpPr>
          <xdr:spPr>
            <a:xfrm>
              <a:off x="1833558" y="10537030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1" name="文字方塊 40">
              <a:extLst>
                <a:ext uri="{FF2B5EF4-FFF2-40B4-BE49-F238E27FC236}">
                  <a16:creationId xmlns:a16="http://schemas.microsoft.com/office/drawing/2014/main" id="{ADB2593F-CFB3-48F3-B0C9-D1B965154ED7}"/>
                </a:ext>
              </a:extLst>
            </xdr:cNvPr>
            <xdr:cNvSpPr txBox="1"/>
          </xdr:nvSpPr>
          <xdr:spPr>
            <a:xfrm>
              <a:off x="1833558" y="10537030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32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文字方塊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SpPr txBox="1"/>
          </xdr:nvSpPr>
          <xdr:spPr>
            <a:xfrm>
              <a:off x="1833558" y="1403746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2" name="文字方塊 41">
              <a:extLst>
                <a:ext uri="{FF2B5EF4-FFF2-40B4-BE49-F238E27FC236}">
                  <a16:creationId xmlns:a16="http://schemas.microsoft.com/office/drawing/2014/main" id="{09579126-B361-43F6-90FA-06831968B7CE}"/>
                </a:ext>
              </a:extLst>
            </xdr:cNvPr>
            <xdr:cNvSpPr txBox="1"/>
          </xdr:nvSpPr>
          <xdr:spPr>
            <a:xfrm>
              <a:off x="1833558" y="1403746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33</xdr:row>
      <xdr:rowOff>83342</xdr:rowOff>
    </xdr:from>
    <xdr:ext cx="226219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文字方塊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 txBox="1"/>
          </xdr:nvSpPr>
          <xdr:spPr>
            <a:xfrm>
              <a:off x="1833558" y="14537530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3" name="文字方塊 42">
              <a:extLst>
                <a:ext uri="{FF2B5EF4-FFF2-40B4-BE49-F238E27FC236}">
                  <a16:creationId xmlns:a16="http://schemas.microsoft.com/office/drawing/2014/main" id="{5E3ED149-D51A-4F37-AFB2-5EA149083BBF}"/>
                </a:ext>
              </a:extLst>
            </xdr:cNvPr>
            <xdr:cNvSpPr txBox="1"/>
          </xdr:nvSpPr>
          <xdr:spPr>
            <a:xfrm>
              <a:off x="1833558" y="14537530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31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文字方塊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SpPr txBox="1"/>
          </xdr:nvSpPr>
          <xdr:spPr>
            <a:xfrm>
              <a:off x="1833558" y="135374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4" name="文字方塊 43">
              <a:extLst>
                <a:ext uri="{FF2B5EF4-FFF2-40B4-BE49-F238E27FC236}">
                  <a16:creationId xmlns:a16="http://schemas.microsoft.com/office/drawing/2014/main" id="{46CE5701-AA75-44EB-A11E-5DB7A5F6E959}"/>
                </a:ext>
              </a:extLst>
            </xdr:cNvPr>
            <xdr:cNvSpPr txBox="1"/>
          </xdr:nvSpPr>
          <xdr:spPr>
            <a:xfrm>
              <a:off x="1833558" y="135374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−𝑈)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36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文字方塊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SpPr txBox="1"/>
          </xdr:nvSpPr>
          <xdr:spPr>
            <a:xfrm>
              <a:off x="1833558" y="1603771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5" name="文字方塊 44">
              <a:extLst>
                <a:ext uri="{FF2B5EF4-FFF2-40B4-BE49-F238E27FC236}">
                  <a16:creationId xmlns:a16="http://schemas.microsoft.com/office/drawing/2014/main" id="{630544ED-298C-43EE-A5CB-E6C29AF87FB4}"/>
                </a:ext>
              </a:extLst>
            </xdr:cNvPr>
            <xdr:cNvSpPr txBox="1"/>
          </xdr:nvSpPr>
          <xdr:spPr>
            <a:xfrm>
              <a:off x="1833558" y="16037717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+𝑃_𝑣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37</xdr:row>
      <xdr:rowOff>83342</xdr:rowOff>
    </xdr:from>
    <xdr:ext cx="226219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文字方塊 45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 txBox="1"/>
          </xdr:nvSpPr>
          <xdr:spPr>
            <a:xfrm>
              <a:off x="1833558" y="16537780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6" name="文字方塊 45">
              <a:extLst>
                <a:ext uri="{FF2B5EF4-FFF2-40B4-BE49-F238E27FC236}">
                  <a16:creationId xmlns:a16="http://schemas.microsoft.com/office/drawing/2014/main" id="{22620DBA-467A-48AD-9273-CD9F5B4874F1}"/>
                </a:ext>
              </a:extLst>
            </xdr:cNvPr>
            <xdr:cNvSpPr txBox="1"/>
          </xdr:nvSpPr>
          <xdr:spPr>
            <a:xfrm>
              <a:off x="1833558" y="16537780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+𝑃_𝑣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35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文字方塊 46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 txBox="1"/>
          </xdr:nvSpPr>
          <xdr:spPr>
            <a:xfrm>
              <a:off x="1833558" y="1553765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7" name="文字方塊 46">
              <a:extLst>
                <a:ext uri="{FF2B5EF4-FFF2-40B4-BE49-F238E27FC236}">
                  <a16:creationId xmlns:a16="http://schemas.microsoft.com/office/drawing/2014/main" id="{2FBA1A8A-2C89-4965-B2DD-F539125A4BB8}"/>
                </a:ext>
              </a:extLst>
            </xdr:cNvPr>
            <xdr:cNvSpPr txBox="1"/>
          </xdr:nvSpPr>
          <xdr:spPr>
            <a:xfrm>
              <a:off x="1833558" y="1553765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+𝑃_𝑣)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39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文字方塊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 txBox="1"/>
          </xdr:nvSpPr>
          <xdr:spPr>
            <a:xfrm>
              <a:off x="1833558" y="175379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8" name="文字方塊 47">
              <a:extLst>
                <a:ext uri="{FF2B5EF4-FFF2-40B4-BE49-F238E27FC236}">
                  <a16:creationId xmlns:a16="http://schemas.microsoft.com/office/drawing/2014/main" id="{3AA7E1E5-94CB-401F-BA33-B535A7139AAC}"/>
                </a:ext>
              </a:extLst>
            </xdr:cNvPr>
            <xdr:cNvSpPr txBox="1"/>
          </xdr:nvSpPr>
          <xdr:spPr>
            <a:xfrm>
              <a:off x="1833558" y="17537905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+𝑃_𝑣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40</xdr:row>
      <xdr:rowOff>83342</xdr:rowOff>
    </xdr:from>
    <xdr:ext cx="226219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文字方塊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 txBox="1"/>
          </xdr:nvSpPr>
          <xdr:spPr>
            <a:xfrm>
              <a:off x="1833558" y="18037967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𝑡𝑎𝑛</m:t>
                        </m:r>
                        <m:f>
                          <m:f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zh-TW" altLang="el-GR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49" name="文字方塊 48">
              <a:extLst>
                <a:ext uri="{FF2B5EF4-FFF2-40B4-BE49-F238E27FC236}">
                  <a16:creationId xmlns:a16="http://schemas.microsoft.com/office/drawing/2014/main" id="{0FCCA28C-9D1E-42C6-AE18-9DA8B413FDE3}"/>
                </a:ext>
              </a:extLst>
            </xdr:cNvPr>
            <xdr:cNvSpPr txBox="1"/>
          </xdr:nvSpPr>
          <xdr:spPr>
            <a:xfrm>
              <a:off x="1833558" y="18037967"/>
              <a:ext cx="226219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+𝑃_𝑣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𝑡𝑎𝑛 2/3</a:t>
              </a:r>
              <a:r>
                <a:rPr lang="zh-TW" alt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zh-TW" altLang="el-G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𝐶_𝑎 𝐵+𝑃_𝑝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38</xdr:row>
      <xdr:rowOff>83342</xdr:rowOff>
    </xdr:from>
    <xdr:ext cx="203597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字方塊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 txBox="1"/>
          </xdr:nvSpPr>
          <xdr:spPr>
            <a:xfrm>
              <a:off x="1833558" y="1703784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l-GR" altLang="zh-TW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TW" sz="10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l-GR" altLang="zh-TW" sz="10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l-GR" altLang="zh-TW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TW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l-GR" altLang="zh-TW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zh-TW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</m:nary>
                    <m:r>
                      <m:rPr>
                        <m:nor/>
                      </m:rPr>
                      <a:rPr lang="en-US" altLang="zh-TW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0" name="文字方塊 49">
              <a:extLst>
                <a:ext uri="{FF2B5EF4-FFF2-40B4-BE49-F238E27FC236}">
                  <a16:creationId xmlns:a16="http://schemas.microsoft.com/office/drawing/2014/main" id="{FB8516E2-EF61-4987-8519-238D83565C90}"/>
                </a:ext>
              </a:extLst>
            </xdr:cNvPr>
            <xdr:cNvSpPr txBox="1"/>
          </xdr:nvSpPr>
          <xdr:spPr>
            <a:xfrm>
              <a:off x="1833558" y="17037842"/>
              <a:ext cx="203597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(</a:t>
              </a:r>
              <a:r>
                <a:rPr lang="el-GR" altLang="zh-TW" sz="1000" i="0">
                  <a:latin typeface="Cambria Math" panose="02040503050406030204" pitchFamily="18" charset="0"/>
                </a:rPr>
                <a:t>∑</a:t>
              </a:r>
              <a:r>
                <a:rPr lang="zh-TW" altLang="el-GR" sz="1000" i="0">
                  <a:latin typeface="Cambria Math" panose="02040503050406030204" pitchFamily="18" charset="0"/>
                </a:rPr>
                <a:t>▒</a:t>
              </a:r>
              <a:r>
                <a:rPr lang="el-GR" altLang="zh-TW" sz="1000" i="0">
                  <a:latin typeface="Cambria Math" panose="02040503050406030204" pitchFamily="18" charset="0"/>
                </a:rPr>
                <a:t>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+𝑃_𝑣)</a:t>
              </a:r>
              <a:r>
                <a:rPr lang="el-GR" altLang="zh-TW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l-GR" altLang="zh-TW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+"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𝐶_𝑎 𝐵+𝑃_𝑝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43</xdr:row>
      <xdr:rowOff>83342</xdr:rowOff>
    </xdr:from>
    <xdr:ext cx="126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文字方塊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 txBox="1"/>
          </xdr:nvSpPr>
          <xdr:spPr>
            <a:xfrm>
              <a:off x="1833558" y="19538155"/>
              <a:ext cx="126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TW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l-GR" altLang="zh-TW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l-GR" altLang="zh-TW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𝑀𝑟</m:t>
                            </m:r>
                          </m:e>
                        </m:nary>
                        <m:r>
                          <a:rPr lang="en-US" altLang="zh-TW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𝑀𝑑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TW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zh-TW" altLang="en-US" sz="9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" name="文字方塊 50">
              <a:extLst>
                <a:ext uri="{FF2B5EF4-FFF2-40B4-BE49-F238E27FC236}">
                  <a16:creationId xmlns:a16="http://schemas.microsoft.com/office/drawing/2014/main" id="{BE7017C0-93E4-4208-AABD-C957828F5D05}"/>
                </a:ext>
              </a:extLst>
            </xdr:cNvPr>
            <xdr:cNvSpPr txBox="1"/>
          </xdr:nvSpPr>
          <xdr:spPr>
            <a:xfrm>
              <a:off x="1833558" y="19538155"/>
              <a:ext cx="126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▒𝑀𝑟−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▒𝑀𝑑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𝑉−𝑈</a:t>
              </a:r>
              <a:r>
                <a:rPr lang="el-GR" altLang="zh-TW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</a:t>
              </a:r>
              <a:endParaRPr lang="zh-TW" altLang="en-US" sz="9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54</xdr:row>
      <xdr:rowOff>83342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文字方塊 52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 txBox="1"/>
          </xdr:nvSpPr>
          <xdr:spPr>
            <a:xfrm>
              <a:off x="1833558" y="23038592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𝐹𝑆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altLang="zh-TW" sz="1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sub>
                      </m:s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3" name="文字方塊 52">
              <a:extLst>
                <a:ext uri="{FF2B5EF4-FFF2-40B4-BE49-F238E27FC236}">
                  <a16:creationId xmlns:a16="http://schemas.microsoft.com/office/drawing/2014/main" id="{E6508B23-7075-439B-AB7A-E6E035F14626}"/>
                </a:ext>
              </a:extLst>
            </xdr:cNvPr>
            <xdr:cNvSpPr txBox="1"/>
          </xdr:nvSpPr>
          <xdr:spPr>
            <a:xfrm>
              <a:off x="1833558" y="23038592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〖𝐹𝑆〗_𝑜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𝑀_𝑑  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55</xdr:row>
      <xdr:rowOff>83342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文字方塊 53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 txBox="1"/>
          </xdr:nvSpPr>
          <xdr:spPr>
            <a:xfrm>
              <a:off x="1833558" y="23538655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𝐹𝑆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altLang="zh-TW" sz="1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sub>
                      </m:s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4" name="文字方塊 53">
              <a:extLst>
                <a:ext uri="{FF2B5EF4-FFF2-40B4-BE49-F238E27FC236}">
                  <a16:creationId xmlns:a16="http://schemas.microsoft.com/office/drawing/2014/main" id="{507B374A-1E0A-4426-B963-9653291C8D9F}"/>
                </a:ext>
              </a:extLst>
            </xdr:cNvPr>
            <xdr:cNvSpPr txBox="1"/>
          </xdr:nvSpPr>
          <xdr:spPr>
            <a:xfrm>
              <a:off x="1833558" y="23538655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〖𝐹𝑆〗_𝑠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𝐹_𝑑  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56</xdr:row>
      <xdr:rowOff>83342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文字方塊 54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 txBox="1"/>
          </xdr:nvSpPr>
          <xdr:spPr>
            <a:xfrm>
              <a:off x="1833558" y="24038717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𝐹𝑆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altLang="zh-TW" sz="1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𝑢𝑙𝑡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𝑚𝑧𝑥</m:t>
                          </m:r>
                        </m:sub>
                      </m:s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5" name="文字方塊 54">
              <a:extLst>
                <a:ext uri="{FF2B5EF4-FFF2-40B4-BE49-F238E27FC236}">
                  <a16:creationId xmlns:a16="http://schemas.microsoft.com/office/drawing/2014/main" id="{0E00D5E2-F3DC-461E-8BB0-C3AEE99D2030}"/>
                </a:ext>
              </a:extLst>
            </xdr:cNvPr>
            <xdr:cNvSpPr txBox="1"/>
          </xdr:nvSpPr>
          <xdr:spPr>
            <a:xfrm>
              <a:off x="1833558" y="24038717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〖𝐹𝑆〗_𝑏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𝑢𝑙𝑡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𝑞_𝑚𝑧𝑥  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95251</xdr:colOff>
      <xdr:row>57</xdr:row>
      <xdr:rowOff>83345</xdr:rowOff>
    </xdr:from>
    <xdr:to>
      <xdr:col>4</xdr:col>
      <xdr:colOff>815251</xdr:colOff>
      <xdr:row>57</xdr:row>
      <xdr:rowOff>443345</xdr:rowOff>
    </xdr:to>
    <xdr:pic>
      <xdr:nvPicPr>
        <xdr:cNvPr id="56" name="圖片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907" y="24538783"/>
          <a:ext cx="720000" cy="360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2</xdr:col>
      <xdr:colOff>154777</xdr:colOff>
      <xdr:row>20</xdr:row>
      <xdr:rowOff>83342</xdr:rowOff>
    </xdr:from>
    <xdr:ext cx="92075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文字方塊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 txBox="1"/>
          </xdr:nvSpPr>
          <xdr:spPr>
            <a:xfrm>
              <a:off x="1833558" y="8036717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𝑈</m:t>
                    </m:r>
                  </m:oMath>
                </m:oMathPara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7" name="文字方塊 56">
              <a:extLst>
                <a:ext uri="{FF2B5EF4-FFF2-40B4-BE49-F238E27FC236}">
                  <a16:creationId xmlns:a16="http://schemas.microsoft.com/office/drawing/2014/main" id="{F89CFB81-6922-433E-B185-052CBF7718AF}"/>
                </a:ext>
              </a:extLst>
            </xdr:cNvPr>
            <xdr:cNvSpPr txBox="1"/>
          </xdr:nvSpPr>
          <xdr:spPr>
            <a:xfrm>
              <a:off x="1833558" y="8036717"/>
              <a:ext cx="92075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l-GR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=𝑃_ℎ+𝑈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46</xdr:row>
      <xdr:rowOff>95248</xdr:rowOff>
    </xdr:from>
    <xdr:ext cx="108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文字方塊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 txBox="1"/>
          </xdr:nvSpPr>
          <xdr:spPr>
            <a:xfrm>
              <a:off x="1833558" y="20050123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(1+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8" name="文字方塊 57">
              <a:extLst>
                <a:ext uri="{FF2B5EF4-FFF2-40B4-BE49-F238E27FC236}">
                  <a16:creationId xmlns:a16="http://schemas.microsoft.com/office/drawing/2014/main" id="{4D3B636C-F72D-4E5F-A710-83C881D33D40}"/>
                </a:ext>
              </a:extLst>
            </xdr:cNvPr>
            <xdr:cNvSpPr txBox="1"/>
          </xdr:nvSpPr>
          <xdr:spPr>
            <a:xfrm>
              <a:off x="1833558" y="20050123"/>
              <a:ext cx="108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𝑞_𝑚𝑎𝑥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𝐵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(1+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6𝑒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47</xdr:row>
      <xdr:rowOff>83343</xdr:rowOff>
    </xdr:from>
    <xdr:ext cx="1188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文字方塊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 txBox="1"/>
          </xdr:nvSpPr>
          <xdr:spPr>
            <a:xfrm>
              <a:off x="1833558" y="20538281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TW" sz="10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TW" sz="1000" i="1">
                          <a:latin typeface="Cambria Math" panose="02040503050406030204" pitchFamily="18" charset="0"/>
                        </a:rPr>
                        <m:t>𝑈</m:t>
                      </m:r>
                    </m:num>
                    <m:den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(1-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num>
                    <m:den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59" name="文字方塊 58">
              <a:extLst>
                <a:ext uri="{FF2B5EF4-FFF2-40B4-BE49-F238E27FC236}">
                  <a16:creationId xmlns:a16="http://schemas.microsoft.com/office/drawing/2014/main" id="{DA65C895-C7C9-46CE-A554-8025B8A7D45C}"/>
                </a:ext>
              </a:extLst>
            </xdr:cNvPr>
            <xdr:cNvSpPr txBox="1"/>
          </xdr:nvSpPr>
          <xdr:spPr>
            <a:xfrm>
              <a:off x="1833558" y="20538281"/>
              <a:ext cx="1188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𝑞_𝑚𝑖𝑛</a:t>
              </a:r>
              <a:r>
                <a:rPr lang="el-GR" altLang="zh-TW" sz="1000" i="0">
                  <a:latin typeface="Cambria Math" panose="02040503050406030204" pitchFamily="18" charset="0"/>
                </a:rPr>
                <a:t>=(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𝑉</a:t>
              </a:r>
              <a:r>
                <a:rPr lang="en-US" altLang="zh-TW" sz="1000" i="0">
                  <a:latin typeface="Cambria Math" panose="02040503050406030204" pitchFamily="18" charset="0"/>
                </a:rPr>
                <a:t>−𝑈</a:t>
              </a:r>
              <a:r>
                <a:rPr lang="el-GR" altLang="zh-TW" sz="1000" i="0">
                  <a:latin typeface="Cambria Math" panose="02040503050406030204" pitchFamily="18" charset="0"/>
                </a:rPr>
                <a:t>)/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𝐵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(1-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6𝑒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309562</xdr:colOff>
      <xdr:row>59</xdr:row>
      <xdr:rowOff>166686</xdr:rowOff>
    </xdr:from>
    <xdr:to>
      <xdr:col>2</xdr:col>
      <xdr:colOff>2795587</xdr:colOff>
      <xdr:row>59</xdr:row>
      <xdr:rowOff>2389186</xdr:rowOff>
    </xdr:to>
    <xdr:grpSp>
      <xdr:nvGrpSpPr>
        <xdr:cNvPr id="60" name="畫布 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pSpPr/>
      </xdr:nvGrpSpPr>
      <xdr:grpSpPr>
        <a:xfrm>
          <a:off x="1985962" y="28494036"/>
          <a:ext cx="2486025" cy="2222500"/>
          <a:chOff x="0" y="0"/>
          <a:chExt cx="2486025" cy="2222500"/>
        </a:xfrm>
      </xdr:grpSpPr>
      <xdr:sp macro="" textlink="">
        <xdr:nvSpPr>
          <xdr:cNvPr id="61" name="矩形 60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SpPr/>
        </xdr:nvSpPr>
        <xdr:spPr>
          <a:xfrm>
            <a:off x="0" y="0"/>
            <a:ext cx="2486025" cy="2222500"/>
          </a:xfrm>
          <a:prstGeom prst="rect">
            <a:avLst/>
          </a:prstGeom>
          <a:noFill/>
        </xdr:spPr>
      </xdr:sp>
      <xdr:grpSp>
        <xdr:nvGrpSpPr>
          <xdr:cNvPr id="62" name="群組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GrpSpPr/>
        </xdr:nvGrpSpPr>
        <xdr:grpSpPr>
          <a:xfrm>
            <a:off x="161925" y="36000"/>
            <a:ext cx="2218985" cy="2002998"/>
            <a:chOff x="161925" y="36000"/>
            <a:chExt cx="2218985" cy="2002998"/>
          </a:xfrm>
        </xdr:grpSpPr>
        <xdr:cxnSp macro="">
          <xdr:nvCxnSpPr>
            <xdr:cNvPr id="63" name="直線接點 62">
              <a:extLst>
                <a:ext uri="{FF2B5EF4-FFF2-40B4-BE49-F238E27FC236}">
                  <a16:creationId xmlns:a16="http://schemas.microsoft.com/office/drawing/2014/main" id="{00000000-0008-0000-0400-00003F000000}"/>
                </a:ext>
              </a:extLst>
            </xdr:cNvPr>
            <xdr:cNvCxnSpPr/>
          </xdr:nvCxnSpPr>
          <xdr:spPr>
            <a:xfrm>
              <a:off x="161925" y="1218075"/>
              <a:ext cx="2160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4" name="群組 63">
              <a:extLst>
                <a:ext uri="{FF2B5EF4-FFF2-40B4-BE49-F238E27FC236}">
                  <a16:creationId xmlns:a16="http://schemas.microsoft.com/office/drawing/2014/main" id="{00000000-0008-0000-0400-000040000000}"/>
                </a:ext>
              </a:extLst>
            </xdr:cNvPr>
            <xdr:cNvGrpSpPr/>
          </xdr:nvGrpSpPr>
          <xdr:grpSpPr>
            <a:xfrm>
              <a:off x="1046775" y="36000"/>
              <a:ext cx="362925" cy="1753133"/>
              <a:chOff x="4066200" y="246674"/>
              <a:chExt cx="362925" cy="1753133"/>
            </a:xfrm>
          </xdr:grpSpPr>
          <xdr:sp macro="" textlink="">
            <xdr:nvSpPr>
              <xdr:cNvPr id="95" name="Line 43">
                <a:extLst>
                  <a:ext uri="{FF2B5EF4-FFF2-40B4-BE49-F238E27FC236}">
                    <a16:creationId xmlns:a16="http://schemas.microsoft.com/office/drawing/2014/main" id="{00000000-0008-0000-0400-00005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72430" y="380025"/>
                <a:ext cx="0" cy="1619782"/>
              </a:xfrm>
              <a:prstGeom prst="line">
                <a:avLst/>
              </a:prstGeom>
              <a:noFill/>
              <a:ln w="19050">
                <a:solidFill>
                  <a:srgbClr val="FF0000"/>
                </a:solidFill>
                <a:prstDash val="dash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/>
              <a:p>
                <a:endParaRPr lang="zh-TW" altLang="en-US"/>
              </a:p>
            </xdr:txBody>
          </xdr:sp>
          <xdr:grpSp>
            <xdr:nvGrpSpPr>
              <xdr:cNvPr id="96" name="群組 95">
                <a:extLst>
                  <a:ext uri="{FF2B5EF4-FFF2-40B4-BE49-F238E27FC236}">
                    <a16:creationId xmlns:a16="http://schemas.microsoft.com/office/drawing/2014/main" id="{00000000-0008-0000-0400-000060000000}"/>
                  </a:ext>
                </a:extLst>
              </xdr:cNvPr>
              <xdr:cNvGrpSpPr/>
            </xdr:nvGrpSpPr>
            <xdr:grpSpPr>
              <a:xfrm>
                <a:off x="4066200" y="246674"/>
                <a:ext cx="362925" cy="572475"/>
                <a:chOff x="4037625" y="2018324"/>
                <a:chExt cx="362925" cy="572475"/>
              </a:xfrm>
            </xdr:grpSpPr>
            <xdr:sp macro="" textlink="">
              <xdr:nvSpPr>
                <xdr:cNvPr id="97" name="Text Box 46">
                  <a:extLst>
                    <a:ext uri="{FF2B5EF4-FFF2-40B4-BE49-F238E27FC236}">
                      <a16:creationId xmlns:a16="http://schemas.microsoft.com/office/drawing/2014/main" id="{00000000-0008-0000-0400-000061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4066200" y="2018324"/>
                  <a:ext cx="334350" cy="572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wrap="square" lIns="0" tIns="0" rIns="0" bIns="0" anchor="ctr" upright="1"/>
                <a:lstStyle/>
                <a:p>
                  <a:pPr algn="ctr" fontAlgn="base"/>
                  <a:r>
                    <a:rPr lang="en-US" sz="1200" i="1" kern="100">
                      <a:solidFill>
                        <a:srgbClr val="000000"/>
                      </a:solidFill>
                      <a:effectLst/>
                      <a:latin typeface="微軟正黑體" panose="020B0604030504040204" pitchFamily="34" charset="-120"/>
                      <a:ea typeface="新細明體" panose="02020500000000000000" pitchFamily="18" charset="-120"/>
                      <a:cs typeface="Times New Roman" panose="02020603050405020304" pitchFamily="18" charset="0"/>
                    </a:rPr>
                    <a:t>L</a:t>
                  </a:r>
                  <a:endParaRPr lang="zh-TW" sz="1200" kern="100">
                    <a:effectLst/>
                    <a:latin typeface="Calibri" panose="020F0502020204030204" pitchFamily="34" charset="0"/>
                    <a:ea typeface="新細明體" panose="02020500000000000000" pitchFamily="18" charset="-12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98" name="Text Box 45">
                  <a:extLst>
                    <a:ext uri="{FF2B5EF4-FFF2-40B4-BE49-F238E27FC236}">
                      <a16:creationId xmlns:a16="http://schemas.microsoft.com/office/drawing/2014/main" id="{00000000-0008-0000-0400-000062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4037625" y="2018324"/>
                  <a:ext cx="353400" cy="5248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wrap="square" lIns="0" tIns="0" rIns="0" bIns="0" anchor="ctr" upright="1"/>
                <a:lstStyle/>
                <a:p>
                  <a:pPr algn="ctr" fontAlgn="base"/>
                  <a:r>
                    <a:rPr lang="en-US" sz="1200" i="1" kern="100">
                      <a:solidFill>
                        <a:srgbClr val="000000"/>
                      </a:solidFill>
                      <a:effectLst/>
                      <a:latin typeface="微軟正黑體" panose="020B0604030504040204" pitchFamily="34" charset="-120"/>
                      <a:ea typeface="新細明體" panose="02020500000000000000" pitchFamily="18" charset="-120"/>
                      <a:cs typeface="Times New Roman" panose="02020603050405020304" pitchFamily="18" charset="0"/>
                    </a:rPr>
                    <a:t>C</a:t>
                  </a:r>
                  <a:endParaRPr lang="zh-TW" sz="1200" kern="100">
                    <a:effectLst/>
                    <a:latin typeface="Calibri" panose="020F0502020204030204" pitchFamily="34" charset="0"/>
                    <a:ea typeface="新細明體" panose="02020500000000000000" pitchFamily="18" charset="-120"/>
                    <a:cs typeface="Times New Roman" panose="02020603050405020304" pitchFamily="18" charset="0"/>
                  </a:endParaRPr>
                </a:p>
              </xdr:txBody>
            </xdr:sp>
          </xdr:grpSp>
        </xdr:grpSp>
        <xdr:cxnSp macro="">
          <xdr:nvCxnSpPr>
            <xdr:cNvPr id="65" name="直線單箭頭接點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CxnSpPr/>
          </xdr:nvCxnSpPr>
          <xdr:spPr>
            <a:xfrm flipV="1">
              <a:off x="942975" y="494175"/>
              <a:ext cx="0" cy="720000"/>
            </a:xfrm>
            <a:prstGeom prst="straightConnector1">
              <a:avLst/>
            </a:prstGeom>
            <a:ln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" name="文字方塊 18">
              <a:extLst>
                <a:ext uri="{FF2B5EF4-FFF2-40B4-BE49-F238E27FC236}">
                  <a16:creationId xmlns:a16="http://schemas.microsoft.com/office/drawing/2014/main" id="{00000000-0008-0000-0400-000042000000}"/>
                </a:ext>
              </a:extLst>
            </xdr:cNvPr>
            <xdr:cNvSpPr txBox="1"/>
          </xdr:nvSpPr>
          <xdr:spPr>
            <a:xfrm>
              <a:off x="742950" y="103650"/>
              <a:ext cx="857250" cy="4762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r>
                <a:rPr lang="zh-TW" sz="1200" kern="100">
                  <a:solidFill>
                    <a:srgbClr val="4472C4"/>
                  </a:solidFill>
                  <a:effectLst/>
                  <a:latin typeface="Calibri" panose="020F0502020204030204" pitchFamily="34" charset="0"/>
                  <a:ea typeface="微軟正黑體" panose="020B0604030504040204" pitchFamily="34" charset="-120"/>
                  <a:cs typeface="Times New Roman" panose="02020603050405020304" pitchFamily="18" charset="0"/>
                </a:rPr>
                <a:t>Σ</a:t>
              </a:r>
              <a:r>
                <a:rPr lang="en-US" sz="1200" kern="100">
                  <a:solidFill>
                    <a:srgbClr val="4472C4"/>
                  </a:solidFill>
                  <a:effectLst/>
                  <a:latin typeface="Calibri" panose="020F0502020204030204" pitchFamily="34" charset="0"/>
                  <a:ea typeface="微軟正黑體" panose="020B0604030504040204" pitchFamily="34" charset="-120"/>
                  <a:cs typeface="Times New Roman" panose="02020603050405020304" pitchFamily="18" charset="0"/>
                </a:rPr>
                <a:t>V</a:t>
              </a:r>
              <a:endParaRPr lang="zh-TW" sz="1200" kern="100">
                <a:effectLst/>
                <a:latin typeface="Calibri" panose="020F0502020204030204" pitchFamily="34" charset="0"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grpSp>
          <xdr:nvGrpSpPr>
            <xdr:cNvPr id="67" name="群組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GrpSpPr/>
          </xdr:nvGrpSpPr>
          <xdr:grpSpPr>
            <a:xfrm>
              <a:off x="161925" y="1733223"/>
              <a:ext cx="2166174" cy="305775"/>
              <a:chOff x="1085850" y="2267748"/>
              <a:chExt cx="2166174" cy="305775"/>
            </a:xfrm>
          </xdr:grpSpPr>
          <xdr:grpSp>
            <xdr:nvGrpSpPr>
              <xdr:cNvPr id="90" name="群組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GrpSpPr/>
            </xdr:nvGrpSpPr>
            <xdr:grpSpPr>
              <a:xfrm>
                <a:off x="1085850" y="2418375"/>
                <a:ext cx="2166174" cy="142009"/>
                <a:chOff x="0" y="0"/>
                <a:chExt cx="2163357" cy="142009"/>
              </a:xfrm>
            </xdr:grpSpPr>
            <xdr:cxnSp macro="">
              <xdr:nvCxnSpPr>
                <xdr:cNvPr id="92" name="直線單箭頭接點 91">
                  <a:extLst>
                    <a:ext uri="{FF2B5EF4-FFF2-40B4-BE49-F238E27FC236}">
                      <a16:creationId xmlns:a16="http://schemas.microsoft.com/office/drawing/2014/main" id="{00000000-0008-0000-0400-00005C000000}"/>
                    </a:ext>
                  </a:extLst>
                </xdr:cNvPr>
                <xdr:cNvCxnSpPr/>
              </xdr:nvCxnSpPr>
              <xdr:spPr>
                <a:xfrm>
                  <a:off x="862" y="65809"/>
                  <a:ext cx="2157191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直線接點 92">
                  <a:extLst>
                    <a:ext uri="{FF2B5EF4-FFF2-40B4-BE49-F238E27FC236}">
                      <a16:creationId xmlns:a16="http://schemas.microsoft.com/office/drawing/2014/main" id="{00000000-0008-0000-0400-00005D000000}"/>
                    </a:ext>
                  </a:extLst>
                </xdr:cNvPr>
                <xdr:cNvCxnSpPr/>
              </xdr:nvCxnSpPr>
              <xdr:spPr>
                <a:xfrm>
                  <a:off x="0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4" name="直線接點 93">
                  <a:extLst>
                    <a:ext uri="{FF2B5EF4-FFF2-40B4-BE49-F238E27FC236}">
                      <a16:creationId xmlns:a16="http://schemas.microsoft.com/office/drawing/2014/main" id="{00000000-0008-0000-0400-00005E000000}"/>
                    </a:ext>
                  </a:extLst>
                </xdr:cNvPr>
                <xdr:cNvCxnSpPr/>
              </xdr:nvCxnSpPr>
              <xdr:spPr>
                <a:xfrm>
                  <a:off x="2163357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1" name="文字方塊 14">
                <a:extLst>
                  <a:ext uri="{FF2B5EF4-FFF2-40B4-BE49-F238E27FC236}">
                    <a16:creationId xmlns:a16="http://schemas.microsoft.com/office/drawing/2014/main" id="{00000000-0008-0000-0400-00005B000000}"/>
                  </a:ext>
                </a:extLst>
              </xdr:cNvPr>
              <xdr:cNvSpPr txBox="1"/>
            </xdr:nvSpPr>
            <xdr:spPr>
              <a:xfrm>
                <a:off x="1961175" y="2267748"/>
                <a:ext cx="432301" cy="3057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n-US" sz="1100" kern="100">
                    <a:solidFill>
                      <a:srgbClr val="333F50"/>
                    </a:solidFill>
                    <a:effectLst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B</a:t>
                </a:r>
                <a:endParaRPr lang="zh-TW" sz="1200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68" name="群組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GrpSpPr/>
          </xdr:nvGrpSpPr>
          <xdr:grpSpPr>
            <a:xfrm>
              <a:off x="856275" y="712275"/>
              <a:ext cx="431800" cy="354198"/>
              <a:chOff x="1780200" y="1246800"/>
              <a:chExt cx="431800" cy="354198"/>
            </a:xfrm>
          </xdr:grpSpPr>
          <xdr:grpSp>
            <xdr:nvGrpSpPr>
              <xdr:cNvPr id="85" name="群組 84">
                <a:extLst>
                  <a:ext uri="{FF2B5EF4-FFF2-40B4-BE49-F238E27FC236}">
                    <a16:creationId xmlns:a16="http://schemas.microsoft.com/office/drawing/2014/main" id="{00000000-0008-0000-0400-000055000000}"/>
                  </a:ext>
                </a:extLst>
              </xdr:cNvPr>
              <xdr:cNvGrpSpPr/>
            </xdr:nvGrpSpPr>
            <xdr:grpSpPr>
              <a:xfrm>
                <a:off x="1865925" y="1458989"/>
                <a:ext cx="308610" cy="142009"/>
                <a:chOff x="0" y="0"/>
                <a:chExt cx="308237" cy="142009"/>
              </a:xfrm>
            </xdr:grpSpPr>
            <xdr:cxnSp macro="">
              <xdr:nvCxnSpPr>
                <xdr:cNvPr id="87" name="直線單箭頭接點 86">
                  <a:extLst>
                    <a:ext uri="{FF2B5EF4-FFF2-40B4-BE49-F238E27FC236}">
                      <a16:creationId xmlns:a16="http://schemas.microsoft.com/office/drawing/2014/main" id="{00000000-0008-0000-0400-000057000000}"/>
                    </a:ext>
                  </a:extLst>
                </xdr:cNvPr>
                <xdr:cNvCxnSpPr/>
              </xdr:nvCxnSpPr>
              <xdr:spPr>
                <a:xfrm>
                  <a:off x="862" y="65809"/>
                  <a:ext cx="305629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8" name="直線接點 87">
                  <a:extLst>
                    <a:ext uri="{FF2B5EF4-FFF2-40B4-BE49-F238E27FC236}">
                      <a16:creationId xmlns:a16="http://schemas.microsoft.com/office/drawing/2014/main" id="{00000000-0008-0000-0400-000058000000}"/>
                    </a:ext>
                  </a:extLst>
                </xdr:cNvPr>
                <xdr:cNvCxnSpPr/>
              </xdr:nvCxnSpPr>
              <xdr:spPr>
                <a:xfrm>
                  <a:off x="0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9" name="直線接點 88">
                  <a:extLst>
                    <a:ext uri="{FF2B5EF4-FFF2-40B4-BE49-F238E27FC236}">
                      <a16:creationId xmlns:a16="http://schemas.microsoft.com/office/drawing/2014/main" id="{00000000-0008-0000-0400-000059000000}"/>
                    </a:ext>
                  </a:extLst>
                </xdr:cNvPr>
                <xdr:cNvCxnSpPr/>
              </xdr:nvCxnSpPr>
              <xdr:spPr>
                <a:xfrm>
                  <a:off x="308237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86" name="文字方塊 14">
                <a:extLst>
                  <a:ext uri="{FF2B5EF4-FFF2-40B4-BE49-F238E27FC236}">
                    <a16:creationId xmlns:a16="http://schemas.microsoft.com/office/drawing/2014/main" id="{00000000-0008-0000-0400-000056000000}"/>
                  </a:ext>
                </a:extLst>
              </xdr:cNvPr>
              <xdr:cNvSpPr txBox="1"/>
            </xdr:nvSpPr>
            <xdr:spPr>
              <a:xfrm>
                <a:off x="1780200" y="1246800"/>
                <a:ext cx="431800" cy="3054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n-US" sz="1100" kern="100">
                    <a:solidFill>
                      <a:srgbClr val="333F50"/>
                    </a:solidFill>
                    <a:effectLst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e</a:t>
                </a:r>
                <a:endParaRPr lang="zh-TW" sz="1200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69" name="群組 68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GrpSpPr/>
          </xdr:nvGrpSpPr>
          <xdr:grpSpPr>
            <a:xfrm>
              <a:off x="170475" y="750715"/>
              <a:ext cx="775335" cy="314960"/>
              <a:chOff x="1094400" y="1285240"/>
              <a:chExt cx="775335" cy="314960"/>
            </a:xfrm>
          </xdr:grpSpPr>
          <xdr:sp macro="" textlink="">
            <xdr:nvSpPr>
              <xdr:cNvPr id="80" name="文字方塊 14">
                <a:extLst>
                  <a:ext uri="{FF2B5EF4-FFF2-40B4-BE49-F238E27FC236}">
                    <a16:creationId xmlns:a16="http://schemas.microsoft.com/office/drawing/2014/main" id="{00000000-0008-0000-0400-000050000000}"/>
                  </a:ext>
                </a:extLst>
              </xdr:cNvPr>
              <xdr:cNvSpPr txBox="1"/>
            </xdr:nvSpPr>
            <xdr:spPr>
              <a:xfrm>
                <a:off x="1284900" y="1285240"/>
                <a:ext cx="431800" cy="3054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n-US" altLang="zh-TW" sz="1200" kern="100">
                    <a:effectLst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d</a:t>
                </a:r>
                <a:endParaRPr lang="zh-TW" sz="1200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  <xdr:grpSp>
            <xdr:nvGrpSpPr>
              <xdr:cNvPr id="81" name="群組 80">
                <a:extLst>
                  <a:ext uri="{FF2B5EF4-FFF2-40B4-BE49-F238E27FC236}">
                    <a16:creationId xmlns:a16="http://schemas.microsoft.com/office/drawing/2014/main" id="{00000000-0008-0000-0400-000051000000}"/>
                  </a:ext>
                </a:extLst>
              </xdr:cNvPr>
              <xdr:cNvGrpSpPr/>
            </xdr:nvGrpSpPr>
            <xdr:grpSpPr>
              <a:xfrm>
                <a:off x="1094400" y="1458191"/>
                <a:ext cx="775335" cy="142009"/>
                <a:chOff x="0" y="0"/>
                <a:chExt cx="774397" cy="142009"/>
              </a:xfrm>
            </xdr:grpSpPr>
            <xdr:cxnSp macro="">
              <xdr:nvCxnSpPr>
                <xdr:cNvPr id="82" name="直線單箭頭接點 81">
                  <a:extLst>
                    <a:ext uri="{FF2B5EF4-FFF2-40B4-BE49-F238E27FC236}">
                      <a16:creationId xmlns:a16="http://schemas.microsoft.com/office/drawing/2014/main" id="{00000000-0008-0000-0400-000052000000}"/>
                    </a:ext>
                  </a:extLst>
                </xdr:cNvPr>
                <xdr:cNvCxnSpPr/>
              </xdr:nvCxnSpPr>
              <xdr:spPr>
                <a:xfrm>
                  <a:off x="861" y="65809"/>
                  <a:ext cx="773065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3" name="直線接點 82">
                  <a:extLst>
                    <a:ext uri="{FF2B5EF4-FFF2-40B4-BE49-F238E27FC236}">
                      <a16:creationId xmlns:a16="http://schemas.microsoft.com/office/drawing/2014/main" id="{00000000-0008-0000-0400-000053000000}"/>
                    </a:ext>
                  </a:extLst>
                </xdr:cNvPr>
                <xdr:cNvCxnSpPr/>
              </xdr:nvCxnSpPr>
              <xdr:spPr>
                <a:xfrm>
                  <a:off x="0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4" name="直線接點 83">
                  <a:extLst>
                    <a:ext uri="{FF2B5EF4-FFF2-40B4-BE49-F238E27FC236}">
                      <a16:creationId xmlns:a16="http://schemas.microsoft.com/office/drawing/2014/main" id="{00000000-0008-0000-0400-000054000000}"/>
                    </a:ext>
                  </a:extLst>
                </xdr:cNvPr>
                <xdr:cNvCxnSpPr/>
              </xdr:nvCxnSpPr>
              <xdr:spPr>
                <a:xfrm>
                  <a:off x="774397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70" name="群組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GrpSpPr/>
          </xdr:nvGrpSpPr>
          <xdr:grpSpPr>
            <a:xfrm>
              <a:off x="856275" y="1465725"/>
              <a:ext cx="431800" cy="350584"/>
              <a:chOff x="1780200" y="2000250"/>
              <a:chExt cx="431800" cy="350584"/>
            </a:xfrm>
          </xdr:grpSpPr>
          <xdr:grpSp>
            <xdr:nvGrpSpPr>
              <xdr:cNvPr id="75" name="群組 74">
                <a:extLst>
                  <a:ext uri="{FF2B5EF4-FFF2-40B4-BE49-F238E27FC236}">
                    <a16:creationId xmlns:a16="http://schemas.microsoft.com/office/drawing/2014/main" id="{00000000-0008-0000-0400-00004B000000}"/>
                  </a:ext>
                </a:extLst>
              </xdr:cNvPr>
              <xdr:cNvGrpSpPr/>
            </xdr:nvGrpSpPr>
            <xdr:grpSpPr>
              <a:xfrm>
                <a:off x="1809750" y="2208825"/>
                <a:ext cx="365760" cy="142009"/>
                <a:chOff x="0" y="0"/>
                <a:chExt cx="365318" cy="142009"/>
              </a:xfrm>
            </xdr:grpSpPr>
            <xdr:cxnSp macro="">
              <xdr:nvCxnSpPr>
                <xdr:cNvPr id="77" name="直線單箭頭接點 76">
                  <a:extLst>
                    <a:ext uri="{FF2B5EF4-FFF2-40B4-BE49-F238E27FC236}">
                      <a16:creationId xmlns:a16="http://schemas.microsoft.com/office/drawing/2014/main" id="{00000000-0008-0000-0400-00004D000000}"/>
                    </a:ext>
                  </a:extLst>
                </xdr:cNvPr>
                <xdr:cNvCxnSpPr/>
              </xdr:nvCxnSpPr>
              <xdr:spPr>
                <a:xfrm>
                  <a:off x="861" y="65809"/>
                  <a:ext cx="359565" cy="0"/>
                </a:xfrm>
                <a:prstGeom prst="straightConnector1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  <a:headEnd type="arrow" w="med" len="med"/>
                  <a:tailEnd type="arrow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" name="直線接點 77">
                  <a:extLst>
                    <a:ext uri="{FF2B5EF4-FFF2-40B4-BE49-F238E27FC236}">
                      <a16:creationId xmlns:a16="http://schemas.microsoft.com/office/drawing/2014/main" id="{00000000-0008-0000-0400-00004E000000}"/>
                    </a:ext>
                  </a:extLst>
                </xdr:cNvPr>
                <xdr:cNvCxnSpPr/>
              </xdr:nvCxnSpPr>
              <xdr:spPr>
                <a:xfrm>
                  <a:off x="0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直線接點 78">
                  <a:extLst>
                    <a:ext uri="{FF2B5EF4-FFF2-40B4-BE49-F238E27FC236}">
                      <a16:creationId xmlns:a16="http://schemas.microsoft.com/office/drawing/2014/main" id="{00000000-0008-0000-0400-00004F000000}"/>
                    </a:ext>
                  </a:extLst>
                </xdr:cNvPr>
                <xdr:cNvCxnSpPr/>
              </xdr:nvCxnSpPr>
              <xdr:spPr>
                <a:xfrm>
                  <a:off x="365318" y="0"/>
                  <a:ext cx="0" cy="142009"/>
                </a:xfrm>
                <a:prstGeom prst="line">
                  <a:avLst/>
                </a:prstGeom>
                <a:ln>
                  <a:solidFill>
                    <a:schemeClr val="tx2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76" name="文字方塊 14">
                <a:extLst>
                  <a:ext uri="{FF2B5EF4-FFF2-40B4-BE49-F238E27FC236}">
                    <a16:creationId xmlns:a16="http://schemas.microsoft.com/office/drawing/2014/main" id="{00000000-0008-0000-0400-00004C000000}"/>
                  </a:ext>
                </a:extLst>
              </xdr:cNvPr>
              <xdr:cNvSpPr txBox="1"/>
            </xdr:nvSpPr>
            <xdr:spPr>
              <a:xfrm>
                <a:off x="1780200" y="2000250"/>
                <a:ext cx="431800" cy="3054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n-US" sz="1100" kern="100">
                    <a:solidFill>
                      <a:srgbClr val="333F50"/>
                    </a:solidFill>
                    <a:effectLst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B/6</a:t>
                </a:r>
                <a:endParaRPr lang="zh-TW" sz="1200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71" name="文字方塊 18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SpPr txBox="1"/>
          </xdr:nvSpPr>
          <xdr:spPr>
            <a:xfrm>
              <a:off x="1065824" y="427501"/>
              <a:ext cx="1067775" cy="38100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r>
                <a:rPr lang="en-US" sz="2000" kern="100">
                  <a:solidFill>
                    <a:srgbClr val="4472C4"/>
                  </a:solidFill>
                  <a:effectLst/>
                  <a:latin typeface="Segoe UI Symbol" panose="020B0502040204020203" pitchFamily="34" charset="0"/>
                  <a:ea typeface="新細明體" panose="02020500000000000000" pitchFamily="18" charset="-120"/>
                  <a:cs typeface="Times New Roman" panose="02020603050405020304" pitchFamily="18" charset="0"/>
                </a:rPr>
                <a:t>↷</a:t>
              </a:r>
              <a:r>
                <a:rPr lang="en-US" sz="1200" kern="100">
                  <a:solidFill>
                    <a:srgbClr val="4472C4"/>
                  </a:solidFill>
                  <a:effectLst/>
                  <a:latin typeface="Calibri" panose="020F0502020204030204" pitchFamily="34" charset="0"/>
                  <a:ea typeface="微軟正黑體" panose="020B0604030504040204" pitchFamily="34" charset="-120"/>
                  <a:cs typeface="Times New Roman" panose="02020603050405020304" pitchFamily="18" charset="0"/>
                </a:rPr>
                <a:t> Mr</a:t>
              </a:r>
              <a:endParaRPr lang="zh-TW" sz="1200" kern="100">
                <a:effectLst/>
                <a:latin typeface="Calibri" panose="020F0502020204030204" pitchFamily="34" charset="0"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grpSp>
          <xdr:nvGrpSpPr>
            <xdr:cNvPr id="72" name="群組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GrpSpPr/>
          </xdr:nvGrpSpPr>
          <xdr:grpSpPr>
            <a:xfrm>
              <a:off x="1114424" y="1131374"/>
              <a:ext cx="1266486" cy="561977"/>
              <a:chOff x="2038349" y="1665899"/>
              <a:chExt cx="1266486" cy="561977"/>
            </a:xfrm>
          </xdr:grpSpPr>
          <xdr:sp macro="" textlink="">
            <xdr:nvSpPr>
              <xdr:cNvPr id="73" name="文字方塊 18">
                <a:extLst>
                  <a:ext uri="{FF2B5EF4-FFF2-40B4-BE49-F238E27FC236}">
                    <a16:creationId xmlns:a16="http://schemas.microsoft.com/office/drawing/2014/main" id="{00000000-0008-0000-0400-000049000000}"/>
                  </a:ext>
                </a:extLst>
              </xdr:cNvPr>
              <xdr:cNvSpPr txBox="1"/>
            </xdr:nvSpPr>
            <xdr:spPr>
              <a:xfrm flipH="1" flipV="1">
                <a:off x="2038349" y="1704000"/>
                <a:ext cx="370500" cy="523876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2000" kern="100">
                    <a:solidFill>
                      <a:srgbClr val="4472C4"/>
                    </a:solidFill>
                    <a:effectLst/>
                    <a:latin typeface="Segoe UI Symbol" panose="020B0502040204020203" pitchFamily="34" charset="0"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↶</a:t>
                </a:r>
                <a:r>
                  <a:rPr lang="en-US" sz="1200" kern="100">
                    <a:solidFill>
                      <a:srgbClr val="4472C4"/>
                    </a:solidFill>
                    <a:effectLst/>
                    <a:latin typeface="Calibri" panose="020F0502020204030204" pitchFamily="34" charset="0"/>
                    <a:ea typeface="微軟正黑體" panose="020B0604030504040204" pitchFamily="34" charset="-120"/>
                    <a:cs typeface="Times New Roman" panose="02020603050405020304" pitchFamily="18" charset="0"/>
                  </a:rPr>
                  <a:t> </a:t>
                </a:r>
                <a:endParaRPr lang="zh-TW" sz="1200" kern="100">
                  <a:effectLst/>
                  <a:latin typeface="Calibri" panose="020F0502020204030204" pitchFamily="34" charset="0"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74" name="文字方塊 18">
                <a:extLst>
                  <a:ext uri="{FF2B5EF4-FFF2-40B4-BE49-F238E27FC236}">
                    <a16:creationId xmlns:a16="http://schemas.microsoft.com/office/drawing/2014/main" id="{00000000-0008-0000-0400-00004A000000}"/>
                  </a:ext>
                </a:extLst>
              </xdr:cNvPr>
              <xdr:cNvSpPr txBox="1"/>
            </xdr:nvSpPr>
            <xdr:spPr>
              <a:xfrm>
                <a:off x="2237400" y="1665899"/>
                <a:ext cx="1067435" cy="477225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200" kern="100">
                    <a:solidFill>
                      <a:srgbClr val="4472C4"/>
                    </a:solidFill>
                    <a:effectLst/>
                    <a:latin typeface="Calibri" panose="020F0502020204030204" pitchFamily="34" charset="0"/>
                    <a:ea typeface="微軟正黑體" panose="020B0604030504040204" pitchFamily="34" charset="-120"/>
                    <a:cs typeface="Times New Roman" panose="02020603050405020304" pitchFamily="18" charset="0"/>
                  </a:rPr>
                  <a:t>Md</a:t>
                </a:r>
                <a:endParaRPr lang="zh-TW" sz="1200" kern="100">
                  <a:effectLst/>
                  <a:latin typeface="Calibri" panose="020F0502020204030204" pitchFamily="34" charset="0"/>
                  <a:ea typeface="新細明體" panose="02020500000000000000" pitchFamily="18" charset="-120"/>
                  <a:cs typeface="Times New Roman" panose="02020603050405020304" pitchFamily="18" charset="0"/>
                </a:endParaRPr>
              </a:p>
            </xdr:txBody>
          </xdr:sp>
        </xdr:grpSp>
      </xdr:grpSp>
    </xdr:grpSp>
    <xdr:clientData/>
  </xdr:twoCellAnchor>
  <xdr:oneCellAnchor>
    <xdr:from>
      <xdr:col>2</xdr:col>
      <xdr:colOff>154777</xdr:colOff>
      <xdr:row>49</xdr:row>
      <xdr:rowOff>71436</xdr:rowOff>
    </xdr:from>
    <xdr:ext cx="144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文字方塊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SpPr txBox="1"/>
          </xdr:nvSpPr>
          <xdr:spPr>
            <a:xfrm>
              <a:off x="1833558" y="22026561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zh-TW" altLang="en-US" sz="1000" b="0" i="1">
                      <a:latin typeface="Cambria Math" panose="02040503050406030204" pitchFamily="18" charset="0"/>
                    </a:rPr>
                    <m:t>𝛼</m:t>
                  </m:r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altLang="zh-TW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𝑡𝑎𝑛</m:t>
                      </m:r>
                    </m:e>
                    <m:sup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</m:oMath>
              </a14:m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 </a:t>
              </a:r>
              <a14:m>
                <m:oMath xmlns:m="http://schemas.openxmlformats.org/officeDocument/2006/math">
                  <m:f>
                    <m:fPr>
                      <m:ctrlPr>
                        <a:rPr lang="el-GR" altLang="zh-TW" sz="1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altLang="zh-TW" sz="1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nary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altLang="zh-TW" sz="1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99" name="文字方塊 98">
              <a:extLst>
                <a:ext uri="{FF2B5EF4-FFF2-40B4-BE49-F238E27FC236}">
                  <a16:creationId xmlns:a16="http://schemas.microsoft.com/office/drawing/2014/main" id="{7DE98DD3-827D-4F34-BAC1-F1A6970C4A8B}"/>
                </a:ext>
              </a:extLst>
            </xdr:cNvPr>
            <xdr:cNvSpPr txBox="1"/>
          </xdr:nvSpPr>
          <xdr:spPr>
            <a:xfrm>
              <a:off x="1833558" y="22026561"/>
              <a:ext cx="144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zh-TW" altLang="en-US" sz="1000" b="0" i="0">
                  <a:latin typeface="Cambria Math" panose="02040503050406030204" pitchFamily="18" charset="0"/>
                </a:rPr>
                <a:t>𝛼</a:t>
              </a:r>
              <a:r>
                <a:rPr lang="el-GR" altLang="zh-TW" sz="1000" i="0">
                  <a:latin typeface="Cambria Math" panose="02040503050406030204" pitchFamily="18" charset="0"/>
                </a:rPr>
                <a:t>=〖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𝑡𝑎𝑛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〗^(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−1</a:t>
              </a:r>
              <a:r>
                <a:rPr lang="el-GR" altLang="zh-TW" sz="1000" b="0" i="0">
                  <a:latin typeface="Cambria Math" panose="02040503050406030204" pitchFamily="18" charset="0"/>
                </a:rPr>
                <a:t>)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(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∑▒𝑉−𝑈 </a:t>
              </a:r>
              <a:r>
                <a:rPr lang="el-GR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)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2</xdr:col>
      <xdr:colOff>154777</xdr:colOff>
      <xdr:row>52</xdr:row>
      <xdr:rowOff>83342</xdr:rowOff>
    </xdr:from>
    <xdr:ext cx="25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字方塊 101">
              <a:extLst>
                <a:ext uri="{FF2B5EF4-FFF2-40B4-BE49-F238E27FC236}">
                  <a16:creationId xmlns:a16="http://schemas.microsoft.com/office/drawing/2014/main" id="{00000000-0008-0000-0400-000066000000}"/>
                </a:ext>
              </a:extLst>
            </xdr:cNvPr>
            <xdr:cNvSpPr txBox="1"/>
          </xdr:nvSpPr>
          <xdr:spPr>
            <a:xfrm>
              <a:off x="1833558" y="24538780"/>
              <a:ext cx="25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000" b="0" i="1">
                          <a:latin typeface="Cambria Math" panose="02040503050406030204" pitchFamily="18" charset="0"/>
                        </a:rPr>
                        <m:t>𝑢𝑙𝑡</m:t>
                      </m:r>
                    </m:sub>
                  </m:sSub>
                  <m:r>
                    <a:rPr lang="el-GR" altLang="zh-TW" sz="10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000" b="0" i="1">
                      <a:latin typeface="Cambria Math" panose="02040503050406030204" pitchFamily="18" charset="0"/>
                    </a:rPr>
                    <m:t>𝑐</m:t>
                  </m:r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𝑞𝑁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𝑞𝑖</m:t>
                      </m:r>
                    </m:sub>
                  </m:sSub>
                </m:oMath>
              </a14:m>
              <a:r>
                <a:rPr lang="zh-TW" altLang="zh-TW" sz="1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zh-TW" altLang="en-US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p>
                          <m:r>
                            <a:rPr lang="en-US" altLang="zh-TW" sz="1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′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sub>
                  </m:sSub>
                  <m:sSub>
                    <m:sSubPr>
                      <m:ctrl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</m:e>
                    <m:sub>
                      <m:r>
                        <a:rPr lang="zh-TW" altLang="en-US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  <m:r>
                        <a:rPr lang="en-US" altLang="zh-TW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2" name="文字方塊 101">
              <a:extLst>
                <a:ext uri="{FF2B5EF4-FFF2-40B4-BE49-F238E27FC236}">
                  <a16:creationId xmlns:a16="http://schemas.microsoft.com/office/drawing/2014/main" id="{97697A23-9BB2-4F17-9FE3-85F9F4C2579F}"/>
                </a:ext>
              </a:extLst>
            </xdr:cNvPr>
            <xdr:cNvSpPr txBox="1"/>
          </xdr:nvSpPr>
          <xdr:spPr>
            <a:xfrm>
              <a:off x="1833558" y="24538780"/>
              <a:ext cx="25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n-US" altLang="zh-TW" sz="1000" b="0" i="0">
                  <a:latin typeface="Cambria Math" panose="02040503050406030204" pitchFamily="18" charset="0"/>
                </a:rPr>
                <a:t>𝑞_𝑢𝑙𝑡</a:t>
              </a:r>
              <a:r>
                <a:rPr lang="el-GR" altLang="zh-TW" sz="1000" i="0">
                  <a:latin typeface="Cambria Math" panose="02040503050406030204" pitchFamily="18" charset="0"/>
                </a:rPr>
                <a:t>=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𝑐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〖𝑞𝑁〗_𝑞 𝐹_𝑞𝑖</a:t>
              </a:r>
              <a:r>
                <a:rPr lang="zh-TW" altLang="zh-TW" sz="1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TW" altLang="en-US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0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^′ 𝐵′𝑁〗_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F_</a:t>
              </a:r>
              <a:r>
                <a:rPr lang="zh-TW" alt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zh-TW" altLang="en-US" sz="10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50800</xdr:colOff>
      <xdr:row>58</xdr:row>
      <xdr:rowOff>0</xdr:rowOff>
    </xdr:from>
    <xdr:ext cx="43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文字方塊 99">
              <a:extLst>
                <a:ext uri="{FF2B5EF4-FFF2-40B4-BE49-F238E27FC236}">
                  <a16:creationId xmlns:a16="http://schemas.microsoft.com/office/drawing/2014/main" id="{00000000-0008-0000-0400-000064000000}"/>
                </a:ext>
              </a:extLst>
            </xdr:cNvPr>
            <xdr:cNvSpPr txBox="1"/>
          </xdr:nvSpPr>
          <xdr:spPr>
            <a:xfrm>
              <a:off x="10392229" y="27663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𝑆𝑞𝑢𝑎𝑟𝑒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𝑓𝑜𝑢𝑛𝑑𝑎𝑡𝑖𝑜𝑛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US" altLang="zh-TW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𝑢𝑙𝑡</m:t>
                      </m:r>
                    </m:sub>
                  </m:sSub>
                  <m:r>
                    <a:rPr lang="el-GR" altLang="zh-TW" sz="12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1.3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′</m:t>
                  </m:r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𝜎</m:t>
                          </m:r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𝑧𝐷</m:t>
                          </m:r>
                        </m:sub>
                      </m:s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+ 0.4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𝐵𝑁</m:t>
                      </m:r>
                    </m:e>
                    <m:sub>
                      <m:r>
                        <a:rPr lang="zh-TW" alt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sub>
                  </m:sSub>
                </m:oMath>
              </a14:m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0" name="文字方塊 99">
              <a:extLst>
                <a:ext uri="{FF2B5EF4-FFF2-40B4-BE49-F238E27FC236}">
                  <a16:creationId xmlns:a16="http://schemas.microsoft.com/office/drawing/2014/main" id="{C3496D77-AE94-45BA-81E8-DE571D556A97}"/>
                </a:ext>
              </a:extLst>
            </xdr:cNvPr>
            <xdr:cNvSpPr txBox="1"/>
          </xdr:nvSpPr>
          <xdr:spPr>
            <a:xfrm>
              <a:off x="10392229" y="27663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200" b="0" i="0">
                  <a:latin typeface="Cambria Math" panose="02040503050406030204" pitchFamily="18" charset="0"/>
                </a:rPr>
                <a:t> 𝑆𝑞𝑢𝑎𝑟𝑒 𝑓𝑜𝑢𝑛𝑑𝑎𝑡𝑖𝑜𝑛: 𝑞_𝑢𝑙𝑡</a:t>
              </a:r>
              <a:r>
                <a:rPr lang="el-GR" altLang="zh-TW" sz="1200" i="0">
                  <a:latin typeface="Cambria Math" panose="02040503050406030204" pitchFamily="18" charset="0"/>
                </a:rPr>
                <a:t>=</a:t>
              </a:r>
              <a:r>
                <a:rPr lang="en-US" altLang="zh-TW" sz="1200" b="0" i="0">
                  <a:latin typeface="Cambria Math" panose="02040503050406030204" pitchFamily="18" charset="0"/>
                </a:rPr>
                <a:t>1.3𝑐′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′〗_𝑧𝐷 𝑁〗_𝑞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+ 0.4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^′ 𝐵𝑁〗_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59</xdr:row>
      <xdr:rowOff>4535</xdr:rowOff>
    </xdr:from>
    <xdr:ext cx="43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文字方塊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SpPr txBox="1"/>
          </xdr:nvSpPr>
          <xdr:spPr>
            <a:xfrm>
              <a:off x="10341429" y="28171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𝐶𝑜𝑛𝑡𝑖𝑛𝑢𝑜𝑢𝑠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𝑓𝑜𝑢𝑛𝑑𝑎𝑡𝑖𝑜𝑛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US" altLang="zh-TW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𝑢𝑙𝑡</m:t>
                      </m:r>
                    </m:sub>
                  </m:sSub>
                  <m:r>
                    <a:rPr lang="el-GR" altLang="zh-TW" sz="12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′</m:t>
                  </m:r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𝜎</m:t>
                          </m:r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𝑧𝐷</m:t>
                          </m:r>
                        </m:sub>
                      </m:s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𝐵𝑁</m:t>
                      </m:r>
                    </m:e>
                    <m:sub>
                      <m:r>
                        <a:rPr lang="zh-TW" alt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sub>
                  </m:sSub>
                </m:oMath>
              </a14:m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1" name="文字方塊 100">
              <a:extLst>
                <a:ext uri="{FF2B5EF4-FFF2-40B4-BE49-F238E27FC236}">
                  <a16:creationId xmlns:a16="http://schemas.microsoft.com/office/drawing/2014/main" id="{6854241D-57A4-45E5-B0EC-885040701CAB}"/>
                </a:ext>
              </a:extLst>
            </xdr:cNvPr>
            <xdr:cNvSpPr txBox="1"/>
          </xdr:nvSpPr>
          <xdr:spPr>
            <a:xfrm>
              <a:off x="10341429" y="28171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200" b="0" i="0">
                  <a:latin typeface="Cambria Math" panose="02040503050406030204" pitchFamily="18" charset="0"/>
                </a:rPr>
                <a:t> 𝐶𝑜𝑛𝑡𝑖𝑛𝑢𝑜𝑢𝑠 𝑓𝑜𝑢𝑛𝑑𝑎𝑡𝑖𝑜𝑛: 𝑞_𝑢𝑙𝑡</a:t>
              </a:r>
              <a:r>
                <a:rPr lang="el-GR" altLang="zh-TW" sz="1200" i="0">
                  <a:latin typeface="Cambria Math" panose="02040503050406030204" pitchFamily="18" charset="0"/>
                </a:rPr>
                <a:t>=</a:t>
              </a:r>
              <a:r>
                <a:rPr lang="en-US" altLang="zh-TW" sz="1200" b="0" i="0">
                  <a:latin typeface="Cambria Math" panose="02040503050406030204" pitchFamily="18" charset="0"/>
                </a:rPr>
                <a:t>𝑐′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′〗_𝑧𝐷 𝑁〗_𝑞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+ 0.5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^′ 𝐵𝑁〗_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12700</xdr:colOff>
      <xdr:row>59</xdr:row>
      <xdr:rowOff>512535</xdr:rowOff>
    </xdr:from>
    <xdr:ext cx="432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字方塊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 txBox="1"/>
          </xdr:nvSpPr>
          <xdr:spPr>
            <a:xfrm>
              <a:off x="10354129" y="28679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𝐶𝑖𝑟𝑐𝑢𝑙𝑎𝑟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𝑓𝑜𝑢𝑛𝑑𝑎𝑡𝑖𝑜𝑛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US" altLang="zh-TW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b>
                      <m:r>
                        <a:rPr lang="en-US" altLang="zh-TW" sz="1200" b="0" i="1">
                          <a:latin typeface="Cambria Math" panose="02040503050406030204" pitchFamily="18" charset="0"/>
                        </a:rPr>
                        <m:t>𝑢𝑙𝑡</m:t>
                      </m:r>
                    </m:sub>
                  </m:sSub>
                  <m:r>
                    <a:rPr lang="el-GR" altLang="zh-TW" sz="120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1.3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n-US" altLang="zh-TW" sz="1200" b="0" i="1">
                      <a:latin typeface="Cambria Math" panose="02040503050406030204" pitchFamily="18" charset="0"/>
                    </a:rPr>
                    <m:t>′</m:t>
                  </m:r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𝜎</m:t>
                          </m:r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𝑧𝐷</m:t>
                          </m:r>
                        </m:sub>
                      </m:s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+ 0.3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𝐵𝑁</m:t>
                      </m:r>
                    </m:e>
                    <m:sub>
                      <m:r>
                        <a:rPr lang="zh-TW" alt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sub>
                  </m:sSub>
                </m:oMath>
              </a14:m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3" name="文字方塊 102">
              <a:extLst>
                <a:ext uri="{FF2B5EF4-FFF2-40B4-BE49-F238E27FC236}">
                  <a16:creationId xmlns:a16="http://schemas.microsoft.com/office/drawing/2014/main" id="{D15ECF1F-AF75-42A0-917E-5E7B9A7ACEA6}"/>
                </a:ext>
              </a:extLst>
            </xdr:cNvPr>
            <xdr:cNvSpPr txBox="1"/>
          </xdr:nvSpPr>
          <xdr:spPr>
            <a:xfrm>
              <a:off x="10354129" y="28679321"/>
              <a:ext cx="4320000" cy="36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200" b="0" i="0">
                  <a:latin typeface="Cambria Math" panose="02040503050406030204" pitchFamily="18" charset="0"/>
                </a:rPr>
                <a:t> 𝐶𝑖𝑟𝑐𝑢𝑙𝑎𝑟 𝑓𝑜𝑢𝑛𝑑𝑎𝑡𝑖𝑜𝑛: 𝑞_𝑢𝑙𝑡</a:t>
              </a:r>
              <a:r>
                <a:rPr lang="el-GR" altLang="zh-TW" sz="1200" i="0">
                  <a:latin typeface="Cambria Math" panose="02040503050406030204" pitchFamily="18" charset="0"/>
                </a:rPr>
                <a:t>=</a:t>
              </a:r>
              <a:r>
                <a:rPr lang="en-US" altLang="zh-TW" sz="1200" b="0" i="0">
                  <a:latin typeface="Cambria Math" panose="02040503050406030204" pitchFamily="18" charset="0"/>
                </a:rPr>
                <a:t>1.3𝑐′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′〗_𝑧𝐷 𝑁〗_𝑞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+ 0.3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^′ 𝐵𝑁〗_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355600</xdr:colOff>
      <xdr:row>59</xdr:row>
      <xdr:rowOff>1084035</xdr:rowOff>
    </xdr:from>
    <xdr:ext cx="4320000" cy="736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文字方塊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10697029" y="292508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400" b="0" i="1">
                      <a:latin typeface="Cambria Math" panose="02040503050406030204" pitchFamily="18" charset="0"/>
                    </a:rPr>
                    <m:t>  </m:t>
                  </m:r>
                  <m:sSub>
                    <m:sSub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zh-TW" altLang="en-US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cot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∅</m:t>
                          </m:r>
                        </m:e>
                        <m:sup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′</m:t>
                          </m:r>
                        </m:sup>
                      </m:sSup>
                      <m:d>
                        <m:dPr>
                          <m:begChr m:val="["/>
                          <m:endChr m:val="]"/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𝑒</m:t>
                                  </m:r>
                                </m:e>
                                <m:sup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2</m:t>
                                  </m:r>
                                  <m:d>
                                    <m:dPr>
                                      <m:ctrlPr>
                                        <a:rPr lang="en-US" altLang="zh-TW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f>
                                        <m:fPr>
                                          <m:ctrlPr>
                                            <a:rPr lang="en-US" altLang="zh-TW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altLang="zh-TW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  <m:t>3</m:t>
                                          </m:r>
                                          <m:r>
                                            <a:rPr lang="zh-TW" alt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  <m:t>𝜋</m:t>
                                          </m:r>
                                        </m:num>
                                        <m:den>
                                          <m:r>
                                            <a:rPr lang="en-US" altLang="zh-TW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  <m:t>4</m:t>
                                          </m:r>
                                        </m:den>
                                      </m:f>
                                      <m:r>
                                        <a:rPr lang="en-US" altLang="zh-TW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−</m:t>
                                      </m:r>
                                      <m:f>
                                        <m:fPr>
                                          <m:ctrlPr>
                                            <a:rPr lang="en-US" altLang="zh-TW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sSup>
                                            <m:sSupPr>
                                              <m:ctrlPr>
                                                <a:rPr lang="en-US" altLang="zh-TW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Cambria Math" panose="02040503050406030204" pitchFamily="18" charset="0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US" altLang="zh-TW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Cambria Math" panose="02040503050406030204" pitchFamily="18" charset="0"/>
                                                  <a:cs typeface="+mn-cs"/>
                                                </a:rPr>
                                                <m:t>∅</m:t>
                                              </m:r>
                                            </m:e>
                                            <m:sup>
                                              <m:r>
                                                <a:rPr lang="en-US" altLang="zh-TW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Cambria Math" panose="02040503050406030204" pitchFamily="18" charset="0"/>
                                                  <a:cs typeface="+mn-cs"/>
                                                </a:rPr>
                                                <m:t>′</m:t>
                                              </m:r>
                                            </m:sup>
                                          </m:sSup>
                                        </m:num>
                                        <m:den>
                                          <m:r>
                                            <a:rPr lang="en-US" altLang="zh-TW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  <a:cs typeface="+mn-cs"/>
                                            </a:rPr>
                                            <m:t>2</m:t>
                                          </m:r>
                                        </m:den>
                                      </m:f>
                                    </m:e>
                                  </m:d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𝑡𝑎𝑛</m:t>
                                  </m:r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∅′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 2 </m:t>
                              </m:r>
                              <m:sSup>
                                <m:sSup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𝑐𝑜𝑠</m:t>
                                  </m:r>
                                </m:e>
                                <m:sup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f>
                                <m:f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zh-TW" alt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𝜋</m:t>
                                  </m:r>
                                </m:num>
                                <m:den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4</m:t>
                                  </m:r>
                                </m:den>
                              </m:f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 + </m:t>
                              </m:r>
                              <m:f>
                                <m:f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US" altLang="zh-TW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TW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∅</m:t>
                                      </m:r>
                                    </m:e>
                                    <m:sup>
                                      <m:r>
                                        <a:rPr lang="en-US" altLang="zh-TW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′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den>
                          </m:f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−1</m:t>
                          </m:r>
                        </m:e>
                      </m:d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=</m:t>
                      </m:r>
                      <m:func>
                        <m:funcPr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zh-TW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cot</m:t>
                          </m:r>
                        </m:fName>
                        <m:e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∅′</m:t>
                          </m:r>
                        </m:e>
                      </m:func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(</m:t>
                      </m:r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</m:oMath>
              </a14:m>
              <a:r>
                <a:rPr lang="zh-TW" altLang="en-US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-</a:t>
              </a:r>
              <a14:m>
                <m:oMath xmlns:m="http://schemas.openxmlformats.org/officeDocument/2006/math">
                  <m:r>
                    <a:rPr lang="en-US" altLang="zh-TW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1)</m:t>
                  </m:r>
                </m:oMath>
              </a14:m>
              <a:endParaRPr lang="zh-TW" altLang="en-US" sz="14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4" name="文字方塊 103">
              <a:extLst>
                <a:ext uri="{FF2B5EF4-FFF2-40B4-BE49-F238E27FC236}">
                  <a16:creationId xmlns:a16="http://schemas.microsoft.com/office/drawing/2014/main" id="{0CA11847-705B-49A0-A0EE-4D0B8BC6E557}"/>
                </a:ext>
              </a:extLst>
            </xdr:cNvPr>
            <xdr:cNvSpPr txBox="1"/>
          </xdr:nvSpPr>
          <xdr:spPr>
            <a:xfrm>
              <a:off x="10697029" y="292508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400" b="0" i="0">
                  <a:latin typeface="Cambria Math" panose="02040503050406030204" pitchFamily="18" charset="0"/>
                </a:rPr>
                <a:t>  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𝑁_𝑐</a:t>
              </a:r>
              <a:r>
                <a:rPr lang="zh-TW" altLang="en-US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cot 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∅^′ [𝑒^(2(3</a:t>
              </a:r>
              <a:r>
                <a:rPr lang="zh-TW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/4−∅^′/2)𝑡𝑎𝑛∅′)/( 2 〖𝑐𝑜𝑠〗^2 (</a:t>
              </a:r>
              <a:r>
                <a:rPr lang="zh-TW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/4  + ∅^′/2))  −1]=cot⁡〖∅′〗 (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𝑁〗_𝑞</a:t>
              </a:r>
              <a:r>
                <a:rPr lang="zh-TW" altLang="en-US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4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-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zh-TW" altLang="en-US" sz="14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368300</xdr:colOff>
      <xdr:row>59</xdr:row>
      <xdr:rowOff>1896835</xdr:rowOff>
    </xdr:from>
    <xdr:ext cx="4320000" cy="736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字方塊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SpPr txBox="1"/>
          </xdr:nvSpPr>
          <xdr:spPr>
            <a:xfrm>
              <a:off x="10709729" y="300636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200" b="0" i="1">
                      <a:latin typeface="Cambria Math" panose="02040503050406030204" pitchFamily="18" charset="0"/>
                    </a:rPr>
                    <m:t>  </m:t>
                  </m:r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d>
                            <m:dPr>
                              <m:ctrlPr>
                                <a:rPr lang="en-US" altLang="zh-TW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  <m:r>
                                    <a:rPr lang="zh-TW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</m:num>
                                <m:den>
                                  <m:r>
                                    <a:rPr lang="en-US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den>
                              </m:f>
                              <m:r>
                                <a:rPr lang="en-US" altLang="zh-TW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en-US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US" altLang="zh-TW" sz="12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TW" sz="12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∅</m:t>
                                      </m:r>
                                    </m:e>
                                    <m:sup>
                                      <m:r>
                                        <a:rPr lang="en-US" altLang="zh-TW" sz="12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′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en-US" altLang="zh-TW" sz="12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</m:e>
                          </m:d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𝑡𝑎𝑛</m:t>
                          </m:r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∅′</m:t>
                          </m:r>
                        </m:sup>
                      </m:sSup>
                    </m:num>
                    <m:den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2 </m:t>
                      </m:r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𝑐𝑜𝑠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(45 + </m:t>
                      </m:r>
                      <m:f>
                        <m:f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altLang="zh-TW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altLang="zh-TW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∅</m:t>
                              </m:r>
                            </m:e>
                            <m:sup>
                              <m:r>
                                <a:rPr lang="en-US" altLang="zh-TW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</m:num>
                        <m:den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  <m:r>
                    <a:rPr lang="en-US" altLang="zh-TW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5" name="文字方塊 104">
              <a:extLst>
                <a:ext uri="{FF2B5EF4-FFF2-40B4-BE49-F238E27FC236}">
                  <a16:creationId xmlns:a16="http://schemas.microsoft.com/office/drawing/2014/main" id="{6104A900-50A4-46A1-81C3-21A7A6AA04DE}"/>
                </a:ext>
              </a:extLst>
            </xdr:cNvPr>
            <xdr:cNvSpPr txBox="1"/>
          </xdr:nvSpPr>
          <xdr:spPr>
            <a:xfrm>
              <a:off x="10709729" y="300636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200" b="0" i="0">
                  <a:latin typeface="Cambria Math" panose="02040503050406030204" pitchFamily="18" charset="0"/>
                </a:rPr>
                <a:t> 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𝑁_𝑞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𝑒^(2(3</a:t>
              </a:r>
              <a:r>
                <a:rPr lang="zh-TW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/4−∅^′/2)𝑡𝑎𝑛∅′)/( 2 〖𝑐𝑜𝑠〗^2 (45 + ∅^′/2))   </a:t>
              </a:r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oneCellAnchor>
    <xdr:from>
      <xdr:col>6</xdr:col>
      <xdr:colOff>419100</xdr:colOff>
      <xdr:row>61</xdr:row>
      <xdr:rowOff>0</xdr:rowOff>
    </xdr:from>
    <xdr:ext cx="4320000" cy="736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字方塊 105">
              <a:extLst>
                <a:ext uri="{FF2B5EF4-FFF2-40B4-BE49-F238E27FC236}">
                  <a16:creationId xmlns:a16="http://schemas.microsoft.com/office/drawing/2014/main" id="{00000000-0008-0000-0400-00006A000000}"/>
                </a:ext>
              </a:extLst>
            </xdr:cNvPr>
            <xdr:cNvSpPr txBox="1"/>
          </xdr:nvSpPr>
          <xdr:spPr>
            <a:xfrm>
              <a:off x="10760529" y="309018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200" b="0" i="1">
                      <a:latin typeface="Cambria Math" panose="02040503050406030204" pitchFamily="18" charset="0"/>
                    </a:rPr>
                    <m:t>  </m:t>
                  </m:r>
                  <m:sSub>
                    <m:sSub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</m:oMath>
              </a14:m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2 </m:t>
                      </m:r>
                    </m:den>
                  </m:f>
                </m:oMath>
              </a14:m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(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𝐾</m:t>
                          </m:r>
                        </m:e>
                        <m:sub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  <m:r>
                            <a:rPr lang="zh-TW" altLang="en-US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sub>
                      </m:sSub>
                    </m:num>
                    <m:den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sSup>
                        <m:sSupPr>
                          <m:ctrlP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𝑐𝑜𝑠</m:t>
                          </m:r>
                        </m:e>
                        <m:sup>
                          <m:r>
                            <a:rPr lang="en-US" altLang="zh-TW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zh-TW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∅′</m:t>
                      </m:r>
                    </m:den>
                  </m:f>
                  <m:r>
                    <a:rPr lang="en-US" altLang="zh-TW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−1) </m:t>
                  </m:r>
                  <m:r>
                    <a:rPr lang="en-US" altLang="zh-TW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𝑡𝑎𝑛</m:t>
                  </m:r>
                  <m:r>
                    <a:rPr lang="en-US" altLang="zh-TW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∅′</m:t>
                  </m:r>
                </m:oMath>
              </a14:m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Choice>
      <mc:Fallback xmlns="">
        <xdr:sp macro="" textlink="">
          <xdr:nvSpPr>
            <xdr:cNvPr id="106" name="文字方塊 105">
              <a:extLst>
                <a:ext uri="{FF2B5EF4-FFF2-40B4-BE49-F238E27FC236}">
                  <a16:creationId xmlns:a16="http://schemas.microsoft.com/office/drawing/2014/main" id="{27E75191-ADE5-4F46-8AFE-3C7F39F6B87A}"/>
                </a:ext>
              </a:extLst>
            </xdr:cNvPr>
            <xdr:cNvSpPr txBox="1"/>
          </xdr:nvSpPr>
          <xdr:spPr>
            <a:xfrm>
              <a:off x="10760529" y="30901821"/>
              <a:ext cx="4320000" cy="73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TW" sz="1200" b="0" i="0">
                  <a:latin typeface="Cambria Math" panose="02040503050406030204" pitchFamily="18" charset="0"/>
                </a:rPr>
                <a:t>  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𝑁_𝑟</a:t>
              </a:r>
              <a:r>
                <a:rPr lang="zh-TW" altLang="en-US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=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1/( 2 )</a:t>
              </a:r>
              <a:r>
                <a:rPr lang="en-US" altLang="zh-TW" sz="1200">
                  <a:latin typeface="微軟正黑體" panose="020B0604030504040204" pitchFamily="34" charset="-120"/>
                  <a:ea typeface="微軟正黑體" panose="020B0604030504040204" pitchFamily="34" charset="-120"/>
                </a:rPr>
                <a:t> (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𝐾_𝑝</a:t>
              </a:r>
              <a:r>
                <a:rPr lang="zh-TW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  〖𝑐𝑜𝑠〗^2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∅′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−1) 𝑡𝑎𝑛</a:t>
              </a:r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∅′</a:t>
              </a:r>
              <a:endPara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66</xdr:row>
      <xdr:rowOff>0</xdr:rowOff>
    </xdr:from>
    <xdr:to>
      <xdr:col>3</xdr:col>
      <xdr:colOff>356893</xdr:colOff>
      <xdr:row>77</xdr:row>
      <xdr:rowOff>137462</xdr:rowOff>
    </xdr:to>
    <xdr:grpSp>
      <xdr:nvGrpSpPr>
        <xdr:cNvPr id="107" name="群組 106">
          <a:extLst>
            <a:ext uri="{FF2B5EF4-FFF2-40B4-BE49-F238E27FC236}">
              <a16:creationId xmlns:a16="http://schemas.microsoft.com/office/drawing/2014/main" id="{662B0CFC-F4D4-4023-8946-BCC27216667D}"/>
            </a:ext>
          </a:extLst>
        </xdr:cNvPr>
        <xdr:cNvGrpSpPr/>
      </xdr:nvGrpSpPr>
      <xdr:grpSpPr>
        <a:xfrm>
          <a:off x="1676400" y="32061150"/>
          <a:ext cx="3852568" cy="2337737"/>
          <a:chOff x="11215668" y="1023873"/>
          <a:chExt cx="3853928" cy="2374137"/>
        </a:xfrm>
      </xdr:grpSpPr>
      <xdr:cxnSp macro="">
        <xdr:nvCxnSpPr>
          <xdr:cNvPr id="108" name="直線接點 107">
            <a:extLst>
              <a:ext uri="{FF2B5EF4-FFF2-40B4-BE49-F238E27FC236}">
                <a16:creationId xmlns:a16="http://schemas.microsoft.com/office/drawing/2014/main" id="{9A950995-31B0-4469-BE27-9A818E3F5B9D}"/>
              </a:ext>
            </a:extLst>
          </xdr:cNvPr>
          <xdr:cNvCxnSpPr/>
        </xdr:nvCxnSpPr>
        <xdr:spPr>
          <a:xfrm>
            <a:off x="11215668" y="1083469"/>
            <a:ext cx="3600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9" name="群組 108">
            <a:extLst>
              <a:ext uri="{FF2B5EF4-FFF2-40B4-BE49-F238E27FC236}">
                <a16:creationId xmlns:a16="http://schemas.microsoft.com/office/drawing/2014/main" id="{9C3DA1E2-6B76-40ED-A50A-97F3832FC869}"/>
              </a:ext>
            </a:extLst>
          </xdr:cNvPr>
          <xdr:cNvGrpSpPr/>
        </xdr:nvGrpSpPr>
        <xdr:grpSpPr>
          <a:xfrm rot="-600000">
            <a:off x="11538507" y="1023873"/>
            <a:ext cx="830252" cy="2317016"/>
            <a:chOff x="9573625" y="1070425"/>
            <a:chExt cx="830252" cy="2317016"/>
          </a:xfrm>
        </xdr:grpSpPr>
        <xdr:sp macro="" textlink="">
          <xdr:nvSpPr>
            <xdr:cNvPr id="125" name="AutoShape 83">
              <a:extLst>
                <a:ext uri="{FF2B5EF4-FFF2-40B4-BE49-F238E27FC236}">
                  <a16:creationId xmlns:a16="http://schemas.microsoft.com/office/drawing/2014/main" id="{F3AC743C-E86E-4468-A2DB-88F01DE6FC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73625" y="1070425"/>
              <a:ext cx="216226" cy="864000"/>
            </a:xfrm>
            <a:prstGeom prst="rtTriangle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6" name="Rectangle 82">
              <a:extLst>
                <a:ext uri="{FF2B5EF4-FFF2-40B4-BE49-F238E27FC236}">
                  <a16:creationId xmlns:a16="http://schemas.microsoft.com/office/drawing/2014/main" id="{AAFB2FB4-1E20-4BE1-802B-8436BE5A24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74335" y="1937664"/>
              <a:ext cx="288301" cy="144977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7" name="AutoShape 83">
              <a:extLst>
                <a:ext uri="{FF2B5EF4-FFF2-40B4-BE49-F238E27FC236}">
                  <a16:creationId xmlns:a16="http://schemas.microsoft.com/office/drawing/2014/main" id="{2AABE90B-432D-4169-9744-EF953CD2D8D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860384" y="1937664"/>
              <a:ext cx="360376" cy="1449777"/>
            </a:xfrm>
            <a:prstGeom prst="rtTriangle">
              <a:avLst/>
            </a:prstGeom>
            <a:noFill/>
            <a:ln w="9525">
              <a:solidFill>
                <a:srgbClr val="000000"/>
              </a:solidFill>
              <a:prstDash val="sysDot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8" name="群組 127">
              <a:extLst>
                <a:ext uri="{FF2B5EF4-FFF2-40B4-BE49-F238E27FC236}">
                  <a16:creationId xmlns:a16="http://schemas.microsoft.com/office/drawing/2014/main" id="{73728AF8-1513-41C4-932F-F3E60AA77E5E}"/>
                </a:ext>
              </a:extLst>
            </xdr:cNvPr>
            <xdr:cNvGrpSpPr/>
          </xdr:nvGrpSpPr>
          <xdr:grpSpPr>
            <a:xfrm>
              <a:off x="9622012" y="1638217"/>
              <a:ext cx="705586" cy="270468"/>
              <a:chOff x="11400603" y="7591425"/>
              <a:chExt cx="704850" cy="266700"/>
            </a:xfrm>
          </xdr:grpSpPr>
          <xdr:sp macro="" textlink="">
            <xdr:nvSpPr>
              <xdr:cNvPr id="132" name="Line 80">
                <a:extLst>
                  <a:ext uri="{FF2B5EF4-FFF2-40B4-BE49-F238E27FC236}">
                    <a16:creationId xmlns:a16="http://schemas.microsoft.com/office/drawing/2014/main" id="{6E1E5043-10AE-48D6-BD92-89EE1728699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400603" y="7734300"/>
                <a:ext cx="36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" name="文字方塊 132">
                <a:extLst>
                  <a:ext uri="{FF2B5EF4-FFF2-40B4-BE49-F238E27FC236}">
                    <a16:creationId xmlns:a16="http://schemas.microsoft.com/office/drawing/2014/main" id="{3065E05A-18D1-47E5-98C2-039BD097C06B}"/>
                  </a:ext>
                </a:extLst>
              </xdr:cNvPr>
              <xdr:cNvSpPr txBox="1"/>
            </xdr:nvSpPr>
            <xdr:spPr>
              <a:xfrm>
                <a:off x="11676828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P1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  <xdr:grpSp>
          <xdr:nvGrpSpPr>
            <xdr:cNvPr id="129" name="群組 128">
              <a:extLst>
                <a:ext uri="{FF2B5EF4-FFF2-40B4-BE49-F238E27FC236}">
                  <a16:creationId xmlns:a16="http://schemas.microsoft.com/office/drawing/2014/main" id="{98C038A6-A417-4E8D-894E-B016A8839224}"/>
                </a:ext>
              </a:extLst>
            </xdr:cNvPr>
            <xdr:cNvGrpSpPr/>
          </xdr:nvGrpSpPr>
          <xdr:grpSpPr>
            <a:xfrm>
              <a:off x="9698291" y="2526897"/>
              <a:ext cx="705586" cy="270468"/>
              <a:chOff x="11400603" y="7591425"/>
              <a:chExt cx="704850" cy="266700"/>
            </a:xfrm>
          </xdr:grpSpPr>
          <xdr:sp macro="" textlink="">
            <xdr:nvSpPr>
              <xdr:cNvPr id="130" name="Line 80">
                <a:extLst>
                  <a:ext uri="{FF2B5EF4-FFF2-40B4-BE49-F238E27FC236}">
                    <a16:creationId xmlns:a16="http://schemas.microsoft.com/office/drawing/2014/main" id="{012E3915-9E50-44A3-8A61-CD57F1BB98F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400603" y="7734300"/>
                <a:ext cx="360000" cy="0"/>
              </a:xfrm>
              <a:prstGeom prst="line">
                <a:avLst/>
              </a:prstGeom>
              <a:noFill/>
              <a:ln w="9525">
                <a:solidFill>
                  <a:schemeClr val="accent2"/>
                </a:solidFill>
                <a:round/>
                <a:headEnd type="none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" name="文字方塊 130">
                <a:extLst>
                  <a:ext uri="{FF2B5EF4-FFF2-40B4-BE49-F238E27FC236}">
                    <a16:creationId xmlns:a16="http://schemas.microsoft.com/office/drawing/2014/main" id="{963817AC-855E-4529-9CB5-F4DDD0DF760F}"/>
                  </a:ext>
                </a:extLst>
              </xdr:cNvPr>
              <xdr:cNvSpPr txBox="1"/>
            </xdr:nvSpPr>
            <xdr:spPr>
              <a:xfrm>
                <a:off x="11676828" y="7591425"/>
                <a:ext cx="4286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zh-TW" sz="1100">
                    <a:solidFill>
                      <a:schemeClr val="accent2"/>
                    </a:solidFill>
                  </a:rPr>
                  <a:t>P2</a:t>
                </a:r>
                <a:endParaRPr lang="zh-TW" altLang="en-US" sz="1100">
                  <a:solidFill>
                    <a:schemeClr val="accent2"/>
                  </a:solidFill>
                </a:endParaRPr>
              </a:p>
            </xdr:txBody>
          </xdr:sp>
        </xdr:grpSp>
      </xdr:grpSp>
      <xdr:grpSp>
        <xdr:nvGrpSpPr>
          <xdr:cNvPr id="110" name="群組 109">
            <a:extLst>
              <a:ext uri="{FF2B5EF4-FFF2-40B4-BE49-F238E27FC236}">
                <a16:creationId xmlns:a16="http://schemas.microsoft.com/office/drawing/2014/main" id="{23FF6D94-AFE3-4242-B560-9C2AAA4F8141}"/>
              </a:ext>
            </a:extLst>
          </xdr:cNvPr>
          <xdr:cNvGrpSpPr/>
        </xdr:nvGrpSpPr>
        <xdr:grpSpPr>
          <a:xfrm rot="-600000">
            <a:off x="12073507" y="2812188"/>
            <a:ext cx="705586" cy="270468"/>
            <a:chOff x="11400603" y="7591425"/>
            <a:chExt cx="704850" cy="266700"/>
          </a:xfrm>
        </xdr:grpSpPr>
        <xdr:sp macro="" textlink="">
          <xdr:nvSpPr>
            <xdr:cNvPr id="123" name="Line 80">
              <a:extLst>
                <a:ext uri="{FF2B5EF4-FFF2-40B4-BE49-F238E27FC236}">
                  <a16:creationId xmlns:a16="http://schemas.microsoft.com/office/drawing/2014/main" id="{F6A9D6A6-78ED-45CA-9596-C7B4D880E8A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400603" y="7734300"/>
              <a:ext cx="360000" cy="0"/>
            </a:xfrm>
            <a:prstGeom prst="line">
              <a:avLst/>
            </a:prstGeom>
            <a:noFill/>
            <a:ln w="9525">
              <a:solidFill>
                <a:schemeClr val="accent2"/>
              </a:solidFill>
              <a:round/>
              <a:headEnd type="none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" name="文字方塊 123">
              <a:extLst>
                <a:ext uri="{FF2B5EF4-FFF2-40B4-BE49-F238E27FC236}">
                  <a16:creationId xmlns:a16="http://schemas.microsoft.com/office/drawing/2014/main" id="{0EE9FDC0-C364-4179-9F0C-CEF3A3CD0F15}"/>
                </a:ext>
              </a:extLst>
            </xdr:cNvPr>
            <xdr:cNvSpPr txBox="1"/>
          </xdr:nvSpPr>
          <xdr:spPr>
            <a:xfrm>
              <a:off x="11676828" y="7591425"/>
              <a:ext cx="42862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accent2"/>
                  </a:solidFill>
                </a:rPr>
                <a:t>P3</a:t>
              </a:r>
              <a:endParaRPr lang="zh-TW" altLang="en-US" sz="1100">
                <a:solidFill>
                  <a:schemeClr val="accent2"/>
                </a:solidFill>
              </a:endParaRPr>
            </a:p>
          </xdr:txBody>
        </xdr:sp>
      </xdr:grpSp>
      <xdr:sp macro="" textlink="">
        <xdr:nvSpPr>
          <xdr:cNvPr id="111" name="Rectangle 82">
            <a:extLst>
              <a:ext uri="{FF2B5EF4-FFF2-40B4-BE49-F238E27FC236}">
                <a16:creationId xmlns:a16="http://schemas.microsoft.com/office/drawing/2014/main" id="{E420F75C-0651-405B-A93B-B81AA997C015}"/>
              </a:ext>
            </a:extLst>
          </xdr:cNvPr>
          <xdr:cNvSpPr>
            <a:spLocks noChangeArrowheads="1"/>
          </xdr:cNvSpPr>
        </xdr:nvSpPr>
        <xdr:spPr bwMode="auto">
          <a:xfrm>
            <a:off x="12955252" y="1084477"/>
            <a:ext cx="215769" cy="853200"/>
          </a:xfrm>
          <a:prstGeom prst="rect">
            <a:avLst/>
          </a:prstGeom>
          <a:noFill/>
          <a:ln w="9525">
            <a:solidFill>
              <a:srgbClr val="000000"/>
            </a:solidFill>
            <a:prstDash val="sysDot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2" name="Rectangle 82">
            <a:extLst>
              <a:ext uri="{FF2B5EF4-FFF2-40B4-BE49-F238E27FC236}">
                <a16:creationId xmlns:a16="http://schemas.microsoft.com/office/drawing/2014/main" id="{AB176920-1D41-45B1-909F-D4CB326F758B}"/>
              </a:ext>
            </a:extLst>
          </xdr:cNvPr>
          <xdr:cNvSpPr>
            <a:spLocks noChangeArrowheads="1"/>
          </xdr:cNvSpPr>
        </xdr:nvSpPr>
        <xdr:spPr bwMode="auto">
          <a:xfrm>
            <a:off x="12955253" y="1937664"/>
            <a:ext cx="288301" cy="1460346"/>
          </a:xfrm>
          <a:prstGeom prst="rect">
            <a:avLst/>
          </a:prstGeom>
          <a:noFill/>
          <a:ln w="9525">
            <a:solidFill>
              <a:srgbClr val="000000"/>
            </a:solidFill>
            <a:prstDash val="sysDot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113" name="群組 112">
            <a:extLst>
              <a:ext uri="{FF2B5EF4-FFF2-40B4-BE49-F238E27FC236}">
                <a16:creationId xmlns:a16="http://schemas.microsoft.com/office/drawing/2014/main" id="{DE6DCE7E-B4DC-41DC-97C7-DA3B4F0F3103}"/>
              </a:ext>
            </a:extLst>
          </xdr:cNvPr>
          <xdr:cNvGrpSpPr/>
        </xdr:nvGrpSpPr>
        <xdr:grpSpPr>
          <a:xfrm>
            <a:off x="13066633" y="1416049"/>
            <a:ext cx="666398" cy="270468"/>
            <a:chOff x="11273739" y="7591425"/>
            <a:chExt cx="665703" cy="266700"/>
          </a:xfrm>
        </xdr:grpSpPr>
        <xdr:sp macro="" textlink="">
          <xdr:nvSpPr>
            <xdr:cNvPr id="121" name="Line 80">
              <a:extLst>
                <a:ext uri="{FF2B5EF4-FFF2-40B4-BE49-F238E27FC236}">
                  <a16:creationId xmlns:a16="http://schemas.microsoft.com/office/drawing/2014/main" id="{E48C9ABE-428C-43B8-8826-E296AAAD419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273739" y="7734300"/>
              <a:ext cx="360000" cy="0"/>
            </a:xfrm>
            <a:prstGeom prst="line">
              <a:avLst/>
            </a:prstGeom>
            <a:noFill/>
            <a:ln w="9525">
              <a:solidFill>
                <a:schemeClr val="accent2"/>
              </a:solidFill>
              <a:round/>
              <a:headEnd type="none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" name="文字方塊 121">
              <a:extLst>
                <a:ext uri="{FF2B5EF4-FFF2-40B4-BE49-F238E27FC236}">
                  <a16:creationId xmlns:a16="http://schemas.microsoft.com/office/drawing/2014/main" id="{3DDD31EB-43AF-40A3-A51A-BF395C74C961}"/>
                </a:ext>
              </a:extLst>
            </xdr:cNvPr>
            <xdr:cNvSpPr txBox="1"/>
          </xdr:nvSpPr>
          <xdr:spPr>
            <a:xfrm>
              <a:off x="11510817" y="7591425"/>
              <a:ext cx="42862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accent2"/>
                  </a:solidFill>
                </a:rPr>
                <a:t>P4</a:t>
              </a:r>
              <a:endParaRPr lang="zh-TW" altLang="en-US" sz="1100">
                <a:solidFill>
                  <a:schemeClr val="accent2"/>
                </a:solidFill>
              </a:endParaRPr>
            </a:p>
          </xdr:txBody>
        </xdr:sp>
      </xdr:grpSp>
      <xdr:grpSp>
        <xdr:nvGrpSpPr>
          <xdr:cNvPr id="114" name="群組 113">
            <a:extLst>
              <a:ext uri="{FF2B5EF4-FFF2-40B4-BE49-F238E27FC236}">
                <a16:creationId xmlns:a16="http://schemas.microsoft.com/office/drawing/2014/main" id="{EB896C26-A2BE-4F05-B4A1-579D8B31F7E5}"/>
              </a:ext>
            </a:extLst>
          </xdr:cNvPr>
          <xdr:cNvGrpSpPr/>
        </xdr:nvGrpSpPr>
        <xdr:grpSpPr>
          <a:xfrm>
            <a:off x="13108961" y="2526901"/>
            <a:ext cx="676984" cy="270468"/>
            <a:chOff x="11316026" y="7591425"/>
            <a:chExt cx="676278" cy="266700"/>
          </a:xfrm>
        </xdr:grpSpPr>
        <xdr:sp macro="" textlink="">
          <xdr:nvSpPr>
            <xdr:cNvPr id="119" name="Line 80">
              <a:extLst>
                <a:ext uri="{FF2B5EF4-FFF2-40B4-BE49-F238E27FC236}">
                  <a16:creationId xmlns:a16="http://schemas.microsoft.com/office/drawing/2014/main" id="{58E64E51-FC2F-464F-81F2-B3E6EB7FC6A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316026" y="7734300"/>
              <a:ext cx="360000" cy="0"/>
            </a:xfrm>
            <a:prstGeom prst="line">
              <a:avLst/>
            </a:prstGeom>
            <a:noFill/>
            <a:ln w="9525">
              <a:solidFill>
                <a:schemeClr val="accent2"/>
              </a:solidFill>
              <a:round/>
              <a:headEnd type="none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" name="文字方塊 119">
              <a:extLst>
                <a:ext uri="{FF2B5EF4-FFF2-40B4-BE49-F238E27FC236}">
                  <a16:creationId xmlns:a16="http://schemas.microsoft.com/office/drawing/2014/main" id="{907DA0F6-C78C-4BBD-987F-BF0735E79185}"/>
                </a:ext>
              </a:extLst>
            </xdr:cNvPr>
            <xdr:cNvSpPr txBox="1"/>
          </xdr:nvSpPr>
          <xdr:spPr>
            <a:xfrm>
              <a:off x="11563679" y="7591425"/>
              <a:ext cx="42862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accent2"/>
                  </a:solidFill>
                </a:rPr>
                <a:t>P5</a:t>
              </a:r>
              <a:endParaRPr lang="zh-TW" altLang="en-US" sz="1100">
                <a:solidFill>
                  <a:schemeClr val="accent2"/>
                </a:solidFill>
              </a:endParaRPr>
            </a:p>
          </xdr:txBody>
        </xdr:sp>
      </xdr:grpSp>
      <xdr:sp macro="" textlink="">
        <xdr:nvSpPr>
          <xdr:cNvPr id="115" name="AutoShape 83">
            <a:extLst>
              <a:ext uri="{FF2B5EF4-FFF2-40B4-BE49-F238E27FC236}">
                <a16:creationId xmlns:a16="http://schemas.microsoft.com/office/drawing/2014/main" id="{33BE8349-37F1-4BF2-9614-CB03056117E7}"/>
              </a:ext>
            </a:extLst>
          </xdr:cNvPr>
          <xdr:cNvSpPr>
            <a:spLocks noChangeArrowheads="1"/>
          </xdr:cNvSpPr>
        </xdr:nvSpPr>
        <xdr:spPr bwMode="auto">
          <a:xfrm>
            <a:off x="13963541" y="1937663"/>
            <a:ext cx="720752" cy="1460346"/>
          </a:xfrm>
          <a:prstGeom prst="rtTriangle">
            <a:avLst/>
          </a:prstGeom>
          <a:noFill/>
          <a:ln w="9525">
            <a:solidFill>
              <a:srgbClr val="000000"/>
            </a:solidFill>
            <a:prstDash val="sysDot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116" name="群組 115">
            <a:extLst>
              <a:ext uri="{FF2B5EF4-FFF2-40B4-BE49-F238E27FC236}">
                <a16:creationId xmlns:a16="http://schemas.microsoft.com/office/drawing/2014/main" id="{4381E910-986B-4FBE-A4C1-272D39C52407}"/>
              </a:ext>
            </a:extLst>
          </xdr:cNvPr>
          <xdr:cNvGrpSpPr/>
        </xdr:nvGrpSpPr>
        <xdr:grpSpPr>
          <a:xfrm>
            <a:off x="14201916" y="3019532"/>
            <a:ext cx="867680" cy="270468"/>
            <a:chOff x="11019603" y="7591425"/>
            <a:chExt cx="866775" cy="266700"/>
          </a:xfrm>
        </xdr:grpSpPr>
        <xdr:sp macro="" textlink="">
          <xdr:nvSpPr>
            <xdr:cNvPr id="117" name="Line 80">
              <a:extLst>
                <a:ext uri="{FF2B5EF4-FFF2-40B4-BE49-F238E27FC236}">
                  <a16:creationId xmlns:a16="http://schemas.microsoft.com/office/drawing/2014/main" id="{34064176-52FF-46B7-BCD6-DEA9A505BB76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019603" y="7734300"/>
              <a:ext cx="540000" cy="0"/>
            </a:xfrm>
            <a:prstGeom prst="line">
              <a:avLst/>
            </a:prstGeom>
            <a:noFill/>
            <a:ln w="9525">
              <a:solidFill>
                <a:schemeClr val="accent2"/>
              </a:solidFill>
              <a:round/>
              <a:headEnd type="none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" name="文字方塊 117">
              <a:extLst>
                <a:ext uri="{FF2B5EF4-FFF2-40B4-BE49-F238E27FC236}">
                  <a16:creationId xmlns:a16="http://schemas.microsoft.com/office/drawing/2014/main" id="{754248A1-8A37-4051-A1FC-C0F8591A038E}"/>
                </a:ext>
              </a:extLst>
            </xdr:cNvPr>
            <xdr:cNvSpPr txBox="1"/>
          </xdr:nvSpPr>
          <xdr:spPr>
            <a:xfrm>
              <a:off x="11457753" y="7591425"/>
              <a:ext cx="42862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>
                  <a:solidFill>
                    <a:schemeClr val="accent2"/>
                  </a:solidFill>
                </a:rPr>
                <a:t>P6</a:t>
              </a:r>
              <a:endParaRPr lang="zh-TW" altLang="en-US" sz="1100">
                <a:solidFill>
                  <a:schemeClr val="accent2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251221</xdr:colOff>
      <xdr:row>9</xdr:row>
      <xdr:rowOff>286938</xdr:rowOff>
    </xdr:from>
    <xdr:ext cx="456022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984A1C10-C445-4C23-AA8E-4A1CC6D5F05A}"/>
                </a:ext>
              </a:extLst>
            </xdr:cNvPr>
            <xdr:cNvSpPr txBox="1"/>
          </xdr:nvSpPr>
          <xdr:spPr>
            <a:xfrm>
              <a:off x="7668815" y="2453876"/>
              <a:ext cx="45602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𝑡𝑎𝑛</m:t>
                    </m:r>
                    <m:f>
                      <m:fPr>
                        <m:ctrlPr>
                          <a:rPr lang="en-US" altLang="zh-TW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TW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zh-TW" alt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zh-TW" altLang="en-US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984A1C10-C445-4C23-AA8E-4A1CC6D5F05A}"/>
                </a:ext>
              </a:extLst>
            </xdr:cNvPr>
            <xdr:cNvSpPr txBox="1"/>
          </xdr:nvSpPr>
          <xdr:spPr>
            <a:xfrm>
              <a:off x="7668815" y="2453876"/>
              <a:ext cx="45602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𝑡𝑎𝑛 2/3</a:t>
              </a:r>
              <a:r>
                <a:rPr lang="zh-TW" altLang="en-US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 𝛿</a:t>
              </a:r>
              <a:endParaRPr lang="zh-TW" altLang="en-US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934;&#20729;&#20998;&#26512;&#34920;(1-11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MI\DATA\CYH\CHISAN\DOC\BGT-G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MI\DATA\WRL\CHISAN\BGT-G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gantt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MI\APP\USR\LMC\TPGM\TPGM1\TAIP\WRL\CHISAN\BGT-G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價分析表(1-11)"/>
      <sheetName val="單價分析表_1_11_"/>
      <sheetName val="工程預算書"/>
      <sheetName val="基本資料"/>
      <sheetName val="初稿審查意見處理表"/>
      <sheetName val="初稿審核單"/>
      <sheetName val="封面"/>
      <sheetName val="工程計畫說明書"/>
      <sheetName val="預算書總表"/>
      <sheetName val="主體工程費"/>
      <sheetName val="雜項工程費"/>
      <sheetName val="環境保護措施費"/>
      <sheetName val="品質檢驗費"/>
      <sheetName val="勞工安全衛生費"/>
      <sheetName val="單價分析表1"/>
      <sheetName val="單價分析表2"/>
      <sheetName val="單價分析表3 "/>
      <sheetName val="單價分析表4"/>
      <sheetName val="單價分析表5"/>
      <sheetName val="單價分析表6"/>
      <sheetName val="單價計算表"/>
      <sheetName val="工程數量總表A4"/>
      <sheetName val="數量計算表"/>
      <sheetName val="土石方計算表"/>
      <sheetName val="計算空污費表"/>
      <sheetName val="空污費"/>
      <sheetName val="工期分析表"/>
      <sheetName val="預定進度表"/>
      <sheetName val="注意事項"/>
      <sheetName val="施工補充說明書封面"/>
      <sheetName val="剩餘土石方運棄計畫表"/>
      <sheetName val="各處所地點"/>
      <sheetName val="單價分析表"/>
      <sheetName val="材料表"/>
      <sheetName val="預算明細表"/>
      <sheetName val="工程計算表"/>
      <sheetName val="U型溝暗溝 (0.6X1.3)"/>
      <sheetName val="資料庫"/>
      <sheetName val="修改"/>
      <sheetName val="數量"/>
      <sheetName val="單價"/>
      <sheetName val="發包檔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價分析表(1-11)"/>
      <sheetName val="單價分析表_1_11_"/>
      <sheetName val="12(31)"/>
      <sheetName val="1(1)"/>
      <sheetName val="1(2)"/>
      <sheetName val="1(3)"/>
      <sheetName val="1(4)"/>
      <sheetName val="1(5)"/>
      <sheetName val="1(6)"/>
      <sheetName val="12(24)"/>
      <sheetName val="12(25)"/>
      <sheetName val="12(26)"/>
      <sheetName val="12(27)"/>
      <sheetName val="12(28)"/>
      <sheetName val="12(29)"/>
      <sheetName val="12(30)"/>
      <sheetName val="單價分析表"/>
      <sheetName val="合約2"/>
      <sheetName val="單價總表"/>
      <sheetName val="工程預算書"/>
      <sheetName val="經費總表"/>
      <sheetName val="分年經費"/>
      <sheetName val="成本明細(方案一)"/>
      <sheetName val="成本明細(方案二)"/>
      <sheetName val="基本單價說明"/>
      <sheetName val="BGT-GATE"/>
      <sheetName val="基本資料表"/>
      <sheetName val="工程預算書 "/>
      <sheetName val="鋼筋明細表"/>
      <sheetName val="計劃書"/>
      <sheetName val="預算書"/>
      <sheetName val="費率表"/>
      <sheetName val="工料單價表"/>
      <sheetName val="材料單價"/>
      <sheetName val="工程數量計算"/>
      <sheetName val="土石方"/>
      <sheetName val="鋼筋統計表"/>
      <sheetName val="Sheet2"/>
      <sheetName val="Sheet1"/>
      <sheetName val="材料表"/>
      <sheetName val="預算明細表"/>
      <sheetName val="項目分析(備用)"/>
      <sheetName val="項目分析"/>
      <sheetName val="A6-面積數量計算表"/>
      <sheetName val="A7體積數量計算表"/>
      <sheetName val="資料庫"/>
      <sheetName val="C"/>
      <sheetName val="單價表"/>
      <sheetName val="數量表"/>
      <sheetName val="發包檔"/>
      <sheetName val="計算工作表"/>
      <sheetName val="預算明細"/>
      <sheetName val="右岸"/>
      <sheetName val="左岸"/>
      <sheetName val="左右岸"/>
      <sheetName val="右排"/>
      <sheetName val="左No1"/>
      <sheetName val="左No2"/>
      <sheetName val="合計"/>
      <sheetName val="預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價分析表(1-11)"/>
      <sheetName val="經費總表"/>
      <sheetName val="分年經費"/>
      <sheetName val="成本明細(方案一)"/>
      <sheetName val="成本明細(方案二)"/>
      <sheetName val="基本單價說明"/>
      <sheetName val="基本資料表"/>
      <sheetName val="工程預算書"/>
      <sheetName val="預算"/>
      <sheetName val="封面"/>
      <sheetName val="工程預算書 "/>
      <sheetName val="預算明細表"/>
      <sheetName val="單價分析表_1_11_"/>
      <sheetName val="12(31)"/>
      <sheetName val="1(1)"/>
      <sheetName val="1(2)"/>
      <sheetName val="1(3)"/>
      <sheetName val="1(4)"/>
      <sheetName val="1(5)"/>
      <sheetName val="1(6)"/>
      <sheetName val="12(24)"/>
      <sheetName val="12(25)"/>
      <sheetName val="12(26)"/>
      <sheetName val="12(27)"/>
      <sheetName val="12(28)"/>
      <sheetName val="12(29)"/>
      <sheetName val="12(30)"/>
      <sheetName val="單價分析表"/>
      <sheetName val="合約2"/>
      <sheetName val="單價總表"/>
      <sheetName val="BGT-GATE"/>
      <sheetName val="鋼筋明細表"/>
      <sheetName val="計劃書"/>
      <sheetName val="預算書"/>
      <sheetName val="費率表"/>
      <sheetName val="工料單價表"/>
      <sheetName val="材料單價"/>
      <sheetName val="工程數量計算"/>
      <sheetName val="土石方"/>
      <sheetName val="鋼筋統計表"/>
      <sheetName val="預算資源統計表"/>
      <sheetName val="材料表"/>
      <sheetName val="總表"/>
      <sheetName val="基本單價"/>
      <sheetName val="分析資料"/>
      <sheetName val="工程資料"/>
      <sheetName val="進度(日)"/>
      <sheetName val="施工封面"/>
      <sheetName val="0530"/>
      <sheetName val="0531"/>
      <sheetName val="0601"/>
      <sheetName val="0602"/>
      <sheetName val="0603"/>
      <sheetName val="0604"/>
      <sheetName val="0605"/>
      <sheetName val="0606"/>
      <sheetName val="0607"/>
      <sheetName val="0608"/>
      <sheetName val="0609"/>
      <sheetName val="0610"/>
      <sheetName val="0611"/>
      <sheetName val="0612"/>
      <sheetName val="0613"/>
      <sheetName val="0614"/>
      <sheetName val="0615"/>
      <sheetName val="0616"/>
      <sheetName val="0617"/>
      <sheetName val="0618"/>
      <sheetName val="0619"/>
      <sheetName val="0620"/>
      <sheetName val="0621"/>
      <sheetName val="0622ok"/>
      <sheetName val="0623"/>
      <sheetName val="0624"/>
      <sheetName val="0625"/>
      <sheetName val="0626"/>
      <sheetName val="0627"/>
      <sheetName val="0628"/>
      <sheetName val="0629"/>
      <sheetName val="0630"/>
      <sheetName val="0701"/>
      <sheetName val="0702"/>
      <sheetName val="0703"/>
      <sheetName val="0704"/>
      <sheetName val="0705"/>
      <sheetName val="0706"/>
      <sheetName val="0707"/>
      <sheetName val="0708"/>
      <sheetName val="0709"/>
      <sheetName val="0710"/>
      <sheetName val="0711"/>
      <sheetName val="0712"/>
      <sheetName val="0713"/>
      <sheetName val="0714"/>
      <sheetName val="0715"/>
      <sheetName val="0716"/>
      <sheetName val="0717"/>
      <sheetName val="0718"/>
      <sheetName val="0719"/>
      <sheetName val="0720"/>
      <sheetName val="0721"/>
      <sheetName val="0722"/>
      <sheetName val="0723"/>
      <sheetName val="0724"/>
      <sheetName val="0725"/>
      <sheetName val="0726"/>
      <sheetName val="0727"/>
      <sheetName val="0728"/>
      <sheetName val="0729"/>
      <sheetName val="0730"/>
      <sheetName val="0731"/>
      <sheetName val="0801"/>
      <sheetName val="0802"/>
      <sheetName val="0803"/>
      <sheetName val="0804"/>
      <sheetName val="0805"/>
      <sheetName val="0806"/>
      <sheetName val="0807"/>
      <sheetName val="0808"/>
      <sheetName val="0809"/>
      <sheetName val="0810"/>
      <sheetName val="0811"/>
      <sheetName val="0812"/>
      <sheetName val="0813"/>
      <sheetName val="0814"/>
      <sheetName val="0815"/>
      <sheetName val="0816"/>
      <sheetName val="0817"/>
      <sheetName val="0818"/>
      <sheetName val="0819"/>
      <sheetName val="0820"/>
      <sheetName val="0821"/>
      <sheetName val="0822"/>
      <sheetName val="0823"/>
      <sheetName val="0824"/>
      <sheetName val="0825"/>
      <sheetName val="0826"/>
      <sheetName val="0827"/>
      <sheetName val="0828"/>
      <sheetName val="0829"/>
      <sheetName val="0830"/>
      <sheetName val="0831"/>
      <sheetName val="0901"/>
      <sheetName val="0902"/>
      <sheetName val="0903"/>
      <sheetName val="0904"/>
      <sheetName val="0905"/>
      <sheetName val="0906"/>
      <sheetName val="0907"/>
      <sheetName val="0908"/>
      <sheetName val="資料庫日"/>
      <sheetName val="各部完成"/>
      <sheetName val="坍度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chedule日曆天"/>
      <sheetName val="Schedule日曆天(色碼)"/>
      <sheetName val="settings"/>
      <sheetName val="INFO"/>
      <sheetName val="test area"/>
    </sheetNames>
    <sheetDataSet>
      <sheetData sheetId="0">
        <row r="5">
          <cell r="H5">
            <v>44348</v>
          </cell>
        </row>
        <row r="6">
          <cell r="H6" t="str">
            <v>Daily</v>
          </cell>
        </row>
        <row r="7">
          <cell r="G7">
            <v>6</v>
          </cell>
        </row>
      </sheetData>
      <sheetData sheetId="1">
        <row r="3">
          <cell r="L3">
            <v>44396</v>
          </cell>
        </row>
        <row r="4">
          <cell r="L4" t="str">
            <v>Daily</v>
          </cell>
        </row>
        <row r="5">
          <cell r="L5">
            <v>1</v>
          </cell>
        </row>
      </sheetData>
      <sheetData sheetId="2"/>
      <sheetData sheetId="3">
        <row r="5">
          <cell r="C5" t="str">
            <v>0000011</v>
          </cell>
        </row>
        <row r="6">
          <cell r="E6" t="str">
            <v>Arthur</v>
          </cell>
          <cell r="F6" t="str">
            <v>G</v>
          </cell>
          <cell r="I6">
            <v>44317</v>
          </cell>
        </row>
        <row r="7">
          <cell r="E7" t="str">
            <v>Name2</v>
          </cell>
          <cell r="F7" t="str">
            <v>B</v>
          </cell>
          <cell r="I7">
            <v>44361</v>
          </cell>
        </row>
        <row r="8">
          <cell r="E8" t="str">
            <v>Name3</v>
          </cell>
          <cell r="F8" t="str">
            <v>Y</v>
          </cell>
          <cell r="I8">
            <v>44459</v>
          </cell>
        </row>
        <row r="9">
          <cell r="E9" t="str">
            <v>Name4</v>
          </cell>
          <cell r="F9" t="str">
            <v>O</v>
          </cell>
          <cell r="I9">
            <v>44460</v>
          </cell>
        </row>
        <row r="10">
          <cell r="E10" t="str">
            <v>Name5</v>
          </cell>
          <cell r="F10" t="str">
            <v>C</v>
          </cell>
          <cell r="I10">
            <v>44480</v>
          </cell>
        </row>
        <row r="11">
          <cell r="E11" t="str">
            <v>Name6</v>
          </cell>
          <cell r="F11" t="str">
            <v>M</v>
          </cell>
          <cell r="I11">
            <v>44561</v>
          </cell>
        </row>
        <row r="12">
          <cell r="E12" t="str">
            <v>Name7</v>
          </cell>
          <cell r="F12" t="str">
            <v>P</v>
          </cell>
          <cell r="I12">
            <v>44197</v>
          </cell>
        </row>
        <row r="13">
          <cell r="E13" t="str">
            <v>John</v>
          </cell>
          <cell r="F13" t="str">
            <v>K</v>
          </cell>
          <cell r="I13">
            <v>44592</v>
          </cell>
        </row>
        <row r="14">
          <cell r="I14">
            <v>44593</v>
          </cell>
        </row>
        <row r="15">
          <cell r="I15">
            <v>44594</v>
          </cell>
        </row>
        <row r="16">
          <cell r="I16">
            <v>44595</v>
          </cell>
        </row>
        <row r="17">
          <cell r="I17">
            <v>44596</v>
          </cell>
        </row>
        <row r="18">
          <cell r="C18" t="b">
            <v>1</v>
          </cell>
          <cell r="I18">
            <v>44620</v>
          </cell>
        </row>
        <row r="19">
          <cell r="I19">
            <v>44655</v>
          </cell>
        </row>
        <row r="20">
          <cell r="C20" t="b">
            <v>1</v>
          </cell>
          <cell r="I20">
            <v>44656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經費總表"/>
      <sheetName val="分年經費"/>
      <sheetName val="成本明細(方案一)"/>
      <sheetName val="成本明細(方案二)"/>
      <sheetName val="基本單價說明"/>
      <sheetName val="單價分析表(1-11)"/>
      <sheetName val="單價分析表_1_11_"/>
      <sheetName val="B"/>
      <sheetName val="Sheet2"/>
      <sheetName val="_x0000_"/>
      <sheetName val="基本資料表"/>
      <sheetName val="E85D014"/>
      <sheetName val="?"/>
      <sheetName val="投單"/>
      <sheetName val="預算資源統計表"/>
      <sheetName val="預算書10"/>
      <sheetName val="12(31)"/>
      <sheetName val="1(1)"/>
      <sheetName val="1(2)"/>
      <sheetName val="1(3)"/>
      <sheetName val="1(4)"/>
      <sheetName val="1(5)"/>
      <sheetName val="1(6)"/>
      <sheetName val="12(24)"/>
      <sheetName val="12(25)"/>
      <sheetName val="12(26)"/>
      <sheetName val="12(27)"/>
      <sheetName val="12(28)"/>
      <sheetName val="12(29)"/>
      <sheetName val="12(30)"/>
      <sheetName val="單價分析表"/>
      <sheetName val="合約2"/>
      <sheetName val="單價總表"/>
      <sheetName val="工程預算書"/>
      <sheetName val="BGT-GATE"/>
      <sheetName val="右岸"/>
      <sheetName val="左岸"/>
      <sheetName val="左右岸"/>
      <sheetName val="右排"/>
      <sheetName val="左No1"/>
      <sheetName val="左No2"/>
      <sheetName val="合計"/>
      <sheetName val="工程預算書 "/>
      <sheetName val="鋼筋明細表"/>
      <sheetName val="計劃書"/>
      <sheetName val="預算書"/>
      <sheetName val="費率表"/>
      <sheetName val="工料單價表"/>
      <sheetName val="材料單價"/>
      <sheetName val="工程數量計算"/>
      <sheetName val="土石方"/>
      <sheetName val="鋼筋統計表"/>
      <sheetName val="單價分析(包商用)"/>
      <sheetName val="單價分析"/>
      <sheetName val="明細"/>
      <sheetName val="預算明細表"/>
      <sheetName val="資料庫2"/>
      <sheetName val="單價"/>
      <sheetName val="水理計算"/>
      <sheetName val="_"/>
      <sheetName val="項目分析(備用)"/>
      <sheetName val="項目分析"/>
      <sheetName val="數量表"/>
      <sheetName val="總表"/>
      <sheetName val="TYP1"/>
      <sheetName val="預算明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54D3-5E72-4BDF-AC6D-6AA0A2EB28CD}">
  <sheetPr codeName="工作表1"/>
  <dimension ref="A2:AW154"/>
  <sheetViews>
    <sheetView showGridLines="0" tabSelected="1" zoomScale="80" zoomScaleNormal="80" workbookViewId="0">
      <pane xSplit="1" ySplit="3" topLeftCell="B4" activePane="bottomRight" state="frozen"/>
      <selection activeCell="G21" sqref="G21"/>
      <selection pane="topRight" activeCell="G21" sqref="G21"/>
      <selection pane="bottomLeft" activeCell="G21" sqref="G21"/>
      <selection pane="bottomRight" activeCell="Z4" sqref="Z4"/>
    </sheetView>
  </sheetViews>
  <sheetFormatPr defaultRowHeight="15.75"/>
  <cols>
    <col min="1" max="1" width="3.77734375" style="1" customWidth="1"/>
    <col min="2" max="3" width="2.77734375" style="1" customWidth="1"/>
    <col min="4" max="6" width="12.77734375" style="1" customWidth="1"/>
    <col min="7" max="9" width="10.77734375" style="1" customWidth="1"/>
    <col min="10" max="10" width="2.77734375" style="1" customWidth="1"/>
    <col min="11" max="13" width="12.77734375" style="1" customWidth="1"/>
    <col min="14" max="16" width="10.77734375" style="1" customWidth="1"/>
    <col min="17" max="17" width="3.77734375" style="1" customWidth="1"/>
    <col min="18" max="18" width="3.77734375" style="19" customWidth="1"/>
    <col min="19" max="34" width="8.88671875" style="1"/>
    <col min="35" max="35" width="3.77734375" style="19" customWidth="1"/>
    <col min="36" max="39" width="8.88671875" style="1" hidden="1" customWidth="1"/>
    <col min="40" max="47" width="8.88671875" style="1" customWidth="1"/>
    <col min="48" max="16384" width="8.88671875" style="1"/>
  </cols>
  <sheetData>
    <row r="2" spans="2:38" ht="20.100000000000001" customHeight="1">
      <c r="B2" s="44" t="s">
        <v>154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S2" s="259" t="s">
        <v>155</v>
      </c>
      <c r="T2" s="259"/>
      <c r="U2" s="259"/>
      <c r="V2" s="259"/>
      <c r="AJ2" s="258" t="s">
        <v>156</v>
      </c>
      <c r="AK2" s="258"/>
      <c r="AL2" s="258"/>
    </row>
    <row r="3" spans="2:38" ht="24.95" customHeight="1">
      <c r="B3" s="189" t="str">
        <f>"Project name："&amp;Z4</f>
        <v>Project name：Please enter the project name here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</row>
    <row r="4" spans="2:38">
      <c r="S4" s="96" t="s">
        <v>162</v>
      </c>
      <c r="Z4" s="251" t="s">
        <v>157</v>
      </c>
      <c r="AA4" s="103"/>
      <c r="AB4" s="103"/>
      <c r="AC4" s="103"/>
      <c r="AD4" s="103"/>
      <c r="AE4" s="103"/>
    </row>
    <row r="6" spans="2:38">
      <c r="S6" s="102" t="s">
        <v>158</v>
      </c>
      <c r="T6" s="102"/>
      <c r="U6" s="102"/>
      <c r="V6" s="102"/>
      <c r="W6" s="102"/>
      <c r="X6" s="102"/>
      <c r="Y6" s="102"/>
      <c r="Z6" s="102" t="s">
        <v>159</v>
      </c>
      <c r="AA6" s="102" t="s">
        <v>160</v>
      </c>
      <c r="AB6" s="102" t="s">
        <v>161</v>
      </c>
      <c r="AC6" s="6"/>
      <c r="AD6" s="6"/>
      <c r="AE6" s="6"/>
      <c r="AF6" s="11"/>
      <c r="AG6" s="11"/>
      <c r="AH6" s="11"/>
    </row>
    <row r="7" spans="2:38" ht="16.5">
      <c r="S7" s="46" t="s">
        <v>165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</row>
    <row r="8" spans="2:38" ht="16.5">
      <c r="S8" s="101" t="s">
        <v>168</v>
      </c>
      <c r="Z8" s="243" t="s">
        <v>166</v>
      </c>
      <c r="AB8" s="2"/>
    </row>
    <row r="9" spans="2:38">
      <c r="S9" s="45" t="str">
        <f>IF(Z8="地震","最大水平加速度(Zmax)","")</f>
        <v/>
      </c>
      <c r="Z9" s="244">
        <v>0.33</v>
      </c>
      <c r="AA9" s="2" t="str">
        <f>IF(Z8="地震","g","")</f>
        <v/>
      </c>
      <c r="AB9" s="2" t="str">
        <f>IF(Z8="地震","0.0001~1,建議值0.33","")</f>
        <v/>
      </c>
    </row>
    <row r="10" spans="2:38">
      <c r="S10" s="45" t="str">
        <f>IF(Z8="地震","用途係數(I)","")</f>
        <v/>
      </c>
      <c r="Z10" s="244">
        <v>1</v>
      </c>
      <c r="AA10" s="2"/>
      <c r="AB10" s="2" t="str">
        <f>IF(Z8="地震","0.0001~1,建議值1","")</f>
        <v/>
      </c>
    </row>
    <row r="11" spans="2:38">
      <c r="AB11" s="2"/>
    </row>
    <row r="12" spans="2:38" ht="16.5">
      <c r="S12" s="101" t="s">
        <v>167</v>
      </c>
      <c r="AB12" s="2"/>
    </row>
    <row r="13" spans="2:38">
      <c r="S13" s="32"/>
      <c r="Z13" s="245" t="s">
        <v>170</v>
      </c>
      <c r="AB13" s="2"/>
    </row>
    <row r="14" spans="2:38">
      <c r="S14" s="32"/>
      <c r="AB14" s="2"/>
    </row>
    <row r="15" spans="2:38" ht="16.5">
      <c r="S15" s="101" t="s">
        <v>169</v>
      </c>
      <c r="AB15" s="2"/>
    </row>
    <row r="16" spans="2:38">
      <c r="S16" s="96"/>
      <c r="T16" s="96"/>
      <c r="U16" s="96"/>
      <c r="V16" s="96"/>
      <c r="W16" s="96"/>
      <c r="X16" s="96"/>
      <c r="Y16" s="96"/>
      <c r="Z16" s="243" t="s">
        <v>171</v>
      </c>
      <c r="AA16" s="96"/>
      <c r="AB16" s="104"/>
      <c r="AC16" s="96"/>
      <c r="AD16" s="96"/>
      <c r="AE16" s="96"/>
      <c r="AF16" s="96"/>
      <c r="AG16" s="96"/>
      <c r="AH16" s="96"/>
    </row>
    <row r="17" spans="2:34">
      <c r="S17" s="105" t="str">
        <f>IF(Z16="Yes","Eepth of groundwater from point O","")</f>
        <v>Eepth of groundwater from point O</v>
      </c>
      <c r="T17" s="96"/>
      <c r="U17" s="96"/>
      <c r="V17" s="96"/>
      <c r="W17" s="96"/>
      <c r="X17" s="96"/>
      <c r="Y17" s="96"/>
      <c r="Z17" s="244">
        <v>0.5</v>
      </c>
      <c r="AA17" s="104" t="s">
        <v>0</v>
      </c>
      <c r="AB17" s="104" t="str">
        <f>IF(Z16="否","請忽略C項, 藍色色塊內數值","")</f>
        <v/>
      </c>
      <c r="AC17" s="96"/>
      <c r="AD17" s="96"/>
      <c r="AE17" s="96"/>
      <c r="AF17" s="96"/>
      <c r="AG17" s="96"/>
      <c r="AH17" s="96"/>
    </row>
    <row r="18" spans="2:34">
      <c r="S18" s="105" t="str">
        <f>IF(Z16="Yes","Unit weight of water (γw)","")</f>
        <v>Unit weight of water (γw)</v>
      </c>
      <c r="T18" s="96"/>
      <c r="U18" s="96"/>
      <c r="V18" s="96"/>
      <c r="W18" s="96"/>
      <c r="X18" s="96"/>
      <c r="Y18" s="96"/>
      <c r="Z18" s="244">
        <v>1</v>
      </c>
      <c r="AA18" s="104" t="s">
        <v>224</v>
      </c>
      <c r="AB18" s="104"/>
      <c r="AC18" s="96"/>
      <c r="AD18" s="96"/>
      <c r="AE18" s="96"/>
      <c r="AF18" s="96"/>
      <c r="AG18" s="96"/>
      <c r="AH18" s="96"/>
    </row>
    <row r="19" spans="2:34">
      <c r="S19" s="105" t="str">
        <f>IF(Z16="Yes","Saturated unit weight ((γsat)","")</f>
        <v>Saturated unit weight ((γsat)</v>
      </c>
      <c r="T19" s="96"/>
      <c r="U19" s="96"/>
      <c r="V19" s="96"/>
      <c r="W19" s="96"/>
      <c r="X19" s="96"/>
      <c r="Y19" s="96"/>
      <c r="Z19" s="244">
        <v>2.2000000000000002</v>
      </c>
      <c r="AA19" s="104" t="s">
        <v>224</v>
      </c>
      <c r="AB19" s="104"/>
      <c r="AC19" s="96"/>
      <c r="AD19" s="96"/>
      <c r="AE19" s="96"/>
      <c r="AF19" s="96"/>
      <c r="AG19" s="96"/>
      <c r="AH19" s="96"/>
    </row>
    <row r="20" spans="2:34" ht="15.75" customHeight="1">
      <c r="S20" s="105" t="str">
        <f>IF(Z16="Yes","Effective cohesion (c')","")</f>
        <v>Effective cohesion (c')</v>
      </c>
      <c r="T20" s="96"/>
      <c r="U20" s="96"/>
      <c r="V20" s="96"/>
      <c r="W20" s="96"/>
      <c r="X20" s="96"/>
      <c r="Y20" s="96"/>
      <c r="Z20" s="244">
        <v>0</v>
      </c>
      <c r="AA20" s="104" t="s">
        <v>224</v>
      </c>
      <c r="AB20" s="104"/>
      <c r="AC20" s="96"/>
      <c r="AD20" s="96"/>
      <c r="AE20" s="96"/>
      <c r="AF20" s="96"/>
      <c r="AG20" s="96"/>
      <c r="AH20" s="96"/>
    </row>
    <row r="21" spans="2:34">
      <c r="S21" s="105" t="str">
        <f>IF(Z16="Yes","Effective intermal angle of friction (φ')","")</f>
        <v>Effective intermal angle of friction (φ')</v>
      </c>
      <c r="T21" s="96"/>
      <c r="U21" s="96"/>
      <c r="V21" s="96"/>
      <c r="W21" s="96"/>
      <c r="X21" s="96"/>
      <c r="Y21" s="96"/>
      <c r="Z21" s="244">
        <v>26</v>
      </c>
      <c r="AA21" s="104" t="s">
        <v>2</v>
      </c>
      <c r="AB21" s="104" t="s">
        <v>229</v>
      </c>
      <c r="AC21" s="96"/>
      <c r="AD21" s="96"/>
      <c r="AE21" s="96"/>
      <c r="AF21" s="96"/>
      <c r="AG21" s="96"/>
      <c r="AH21" s="96"/>
    </row>
    <row r="22" spans="2:34">
      <c r="S22" s="106" t="str">
        <f>IF(Z16="Yes","Whether the water pressure on both sides of the wall is the same or not?","")</f>
        <v>Whether the water pressure on both sides of the wall is the same or not?</v>
      </c>
      <c r="T22" s="96"/>
      <c r="U22" s="96"/>
      <c r="V22" s="96"/>
      <c r="W22" s="96"/>
      <c r="X22" s="96"/>
      <c r="Y22" s="96"/>
      <c r="Z22" s="243" t="s">
        <v>230</v>
      </c>
      <c r="AA22" s="104"/>
      <c r="AB22" s="104" t="str">
        <f>IF(Z22="","",IF(Z22="same","The base is in a rectangular distribution","The base is in a triangular distribution"))</f>
        <v>The base is in a triangular distribution</v>
      </c>
      <c r="AC22" s="96"/>
      <c r="AD22" s="96"/>
      <c r="AE22" s="96"/>
      <c r="AF22" s="96"/>
      <c r="AG22" s="96"/>
      <c r="AH22" s="96"/>
    </row>
    <row r="23" spans="2:34" ht="24.95" customHeight="1">
      <c r="B23" s="50" t="s">
        <v>231</v>
      </c>
      <c r="S23" s="106"/>
      <c r="T23" s="96"/>
      <c r="U23" s="96"/>
      <c r="V23" s="96"/>
      <c r="W23" s="96"/>
      <c r="X23" s="96"/>
      <c r="Y23" s="96"/>
      <c r="Z23" s="104"/>
      <c r="AA23" s="104"/>
      <c r="AB23" s="104"/>
      <c r="AC23" s="96"/>
      <c r="AD23" s="96"/>
      <c r="AE23" s="96"/>
      <c r="AF23" s="96"/>
      <c r="AG23" s="96"/>
      <c r="AH23" s="96"/>
    </row>
    <row r="24" spans="2:34" ht="9.9499999999999993" customHeight="1">
      <c r="B24" s="50"/>
      <c r="AA24" s="2"/>
      <c r="AB24" s="2"/>
    </row>
    <row r="25" spans="2:34" ht="20.100000000000001" customHeight="1" thickBot="1">
      <c r="C25" s="226" t="s">
        <v>172</v>
      </c>
      <c r="D25" s="226"/>
      <c r="E25" s="226"/>
      <c r="F25" s="226" t="s">
        <v>173</v>
      </c>
      <c r="G25" s="226" t="s">
        <v>160</v>
      </c>
      <c r="H25" s="226" t="s">
        <v>161</v>
      </c>
      <c r="I25" s="2"/>
      <c r="K25" s="226" t="s">
        <v>172</v>
      </c>
      <c r="L25" s="226"/>
      <c r="M25" s="226"/>
      <c r="N25" s="226" t="s">
        <v>173</v>
      </c>
      <c r="O25" s="226" t="s">
        <v>160</v>
      </c>
      <c r="P25" s="226" t="s">
        <v>161</v>
      </c>
      <c r="S25" s="101" t="s">
        <v>203</v>
      </c>
      <c r="U25" s="2"/>
      <c r="V25" s="2"/>
      <c r="W25" s="2"/>
      <c r="X25" s="2"/>
      <c r="Y25" s="2"/>
      <c r="Z25" s="245" t="s">
        <v>228</v>
      </c>
      <c r="AA25" s="2"/>
      <c r="AB25" s="104" t="str">
        <f>IF(Z25="","",IF(Z25="value","Enter the value directly","Refer to the recommended value of MOTC in Taiwan"))</f>
        <v>Refer to the recommended value of MOTC in Taiwan</v>
      </c>
    </row>
    <row r="26" spans="2:34" ht="20.100000000000001" customHeight="1">
      <c r="C26" s="191" t="s">
        <v>176</v>
      </c>
      <c r="D26" s="191"/>
      <c r="E26" s="192"/>
      <c r="F26" s="192"/>
      <c r="G26" s="192"/>
      <c r="H26" s="192"/>
      <c r="I26" s="2"/>
      <c r="K26" s="193" t="s">
        <v>177</v>
      </c>
      <c r="L26" s="194"/>
      <c r="M26" s="194"/>
      <c r="N26" s="194"/>
      <c r="O26" s="194"/>
      <c r="P26" s="194"/>
      <c r="S26" s="105" t="s">
        <v>202</v>
      </c>
      <c r="T26" s="96"/>
      <c r="U26" s="104"/>
      <c r="V26" s="104"/>
      <c r="W26" s="104"/>
      <c r="X26" s="104"/>
      <c r="Y26" s="104"/>
      <c r="Z26" s="244">
        <v>0.5</v>
      </c>
      <c r="AA26" s="104"/>
      <c r="AB26" s="119" t="str">
        <f>IF(Z25="value", "Enter the value directly below, The recommended value would be 0.5, and please ignore the setting of Item E ","Please select Item E. Whether to set the setting of Shear Key ?")</f>
        <v>Please select Item E. Whether to set the setting of Shear Key ?</v>
      </c>
    </row>
    <row r="27" spans="2:34" ht="20.100000000000001" customHeight="1">
      <c r="C27" s="182" t="s">
        <v>178</v>
      </c>
      <c r="D27" s="187"/>
      <c r="E27" s="187"/>
      <c r="F27" s="184">
        <f>Z42</f>
        <v>3</v>
      </c>
      <c r="G27" s="187" t="s">
        <v>1</v>
      </c>
      <c r="H27" s="187"/>
      <c r="I27" s="104"/>
      <c r="J27" s="96"/>
      <c r="K27" s="182" t="s">
        <v>186</v>
      </c>
      <c r="L27" s="183"/>
      <c r="M27" s="187"/>
      <c r="N27" s="184">
        <f>Z51</f>
        <v>0</v>
      </c>
      <c r="O27" s="187" t="s">
        <v>225</v>
      </c>
      <c r="P27" s="187"/>
      <c r="S27" s="105"/>
      <c r="T27" s="96"/>
      <c r="U27" s="104"/>
      <c r="V27" s="104"/>
      <c r="W27" s="104"/>
      <c r="X27" s="104"/>
      <c r="Y27" s="104"/>
      <c r="Z27" s="104"/>
      <c r="AA27" s="104"/>
      <c r="AB27" s="5"/>
    </row>
    <row r="28" spans="2:34" ht="20.100000000000001" customHeight="1">
      <c r="C28" s="181" t="s">
        <v>179</v>
      </c>
      <c r="D28" s="170"/>
      <c r="E28" s="170"/>
      <c r="F28" s="185">
        <f>Z43</f>
        <v>0.6</v>
      </c>
      <c r="G28" s="170" t="s">
        <v>1</v>
      </c>
      <c r="H28" s="170"/>
      <c r="I28" s="104"/>
      <c r="J28" s="96"/>
      <c r="K28" s="181" t="s">
        <v>187</v>
      </c>
      <c r="L28" s="169"/>
      <c r="M28" s="170"/>
      <c r="N28" s="185">
        <f>Z52</f>
        <v>0</v>
      </c>
      <c r="O28" s="170" t="s">
        <v>2</v>
      </c>
      <c r="P28" s="170"/>
      <c r="S28" s="45"/>
      <c r="U28" s="2"/>
      <c r="V28" s="2"/>
      <c r="W28" s="2"/>
      <c r="X28" s="2"/>
      <c r="Y28" s="2"/>
      <c r="Z28" s="2"/>
      <c r="AA28" s="2"/>
      <c r="AB28" s="5"/>
    </row>
    <row r="29" spans="2:34" ht="20.100000000000001" customHeight="1">
      <c r="C29" s="181" t="s">
        <v>180</v>
      </c>
      <c r="D29" s="170"/>
      <c r="E29" s="170"/>
      <c r="F29" s="185">
        <f>Z44</f>
        <v>0.3</v>
      </c>
      <c r="G29" s="170" t="s">
        <v>1</v>
      </c>
      <c r="H29" s="170"/>
      <c r="I29" s="104"/>
      <c r="J29" s="96"/>
      <c r="K29" s="181" t="s">
        <v>227</v>
      </c>
      <c r="L29" s="169"/>
      <c r="M29" s="170"/>
      <c r="N29" s="185">
        <f>Z53</f>
        <v>2</v>
      </c>
      <c r="O29" s="170" t="s">
        <v>224</v>
      </c>
      <c r="P29" s="170"/>
      <c r="S29" s="101" t="s">
        <v>272</v>
      </c>
      <c r="Z29" s="243" t="s">
        <v>171</v>
      </c>
      <c r="AA29" s="2"/>
      <c r="AB29" s="2"/>
    </row>
    <row r="30" spans="2:34" ht="20.100000000000001" customHeight="1">
      <c r="C30" s="181" t="s">
        <v>181</v>
      </c>
      <c r="D30" s="170"/>
      <c r="E30" s="170"/>
      <c r="F30" s="185">
        <f>F27-F33</f>
        <v>2</v>
      </c>
      <c r="G30" s="170" t="s">
        <v>1</v>
      </c>
      <c r="H30" s="170"/>
      <c r="I30" s="104"/>
      <c r="J30" s="96"/>
      <c r="K30" s="181" t="s">
        <v>188</v>
      </c>
      <c r="L30" s="169"/>
      <c r="M30" s="170"/>
      <c r="N30" s="185">
        <f>Z54</f>
        <v>0</v>
      </c>
      <c r="O30" s="170" t="s">
        <v>224</v>
      </c>
      <c r="P30" s="170"/>
      <c r="S30" s="105" t="s">
        <v>199</v>
      </c>
      <c r="T30" s="96"/>
      <c r="U30" s="96"/>
      <c r="V30" s="96"/>
      <c r="W30" s="96"/>
      <c r="X30" s="96"/>
      <c r="Y30" s="96"/>
      <c r="Z30" s="244">
        <v>33</v>
      </c>
      <c r="AA30" s="104" t="s">
        <v>2</v>
      </c>
      <c r="AB30" s="104"/>
      <c r="AC30" s="96"/>
      <c r="AD30" s="96"/>
      <c r="AE30" s="96"/>
      <c r="AF30" s="96"/>
      <c r="AG30" s="96"/>
      <c r="AH30" s="96"/>
    </row>
    <row r="31" spans="2:34" ht="20.100000000000001" customHeight="1">
      <c r="C31" s="181" t="s">
        <v>182</v>
      </c>
      <c r="D31" s="170"/>
      <c r="E31" s="170"/>
      <c r="F31" s="185">
        <f>F30*F29</f>
        <v>0.6</v>
      </c>
      <c r="G31" s="170" t="s">
        <v>1</v>
      </c>
      <c r="H31" s="170"/>
      <c r="I31" s="104"/>
      <c r="J31" s="96"/>
      <c r="K31" s="181" t="s">
        <v>189</v>
      </c>
      <c r="L31" s="169"/>
      <c r="M31" s="170"/>
      <c r="N31" s="185">
        <f>Z55</f>
        <v>30</v>
      </c>
      <c r="O31" s="170" t="s">
        <v>2</v>
      </c>
      <c r="P31" s="170"/>
      <c r="S31" s="105" t="s">
        <v>201</v>
      </c>
      <c r="T31" s="96"/>
      <c r="U31" s="96"/>
      <c r="V31" s="96"/>
      <c r="W31" s="96"/>
      <c r="X31" s="96"/>
      <c r="Y31" s="96"/>
      <c r="Z31" s="104">
        <f>IF(Z29="No",ROUND(TAN(RADIANS(2/3*Z30)),3),ROUND(TAN(RADIANS(Z30)),3))</f>
        <v>0.64900000000000002</v>
      </c>
      <c r="AA31" s="104"/>
      <c r="AB31" s="120" t="str">
        <f>IF(Z29="No","Recommended value of MOTC: u = tan 2/3δ","Recommended value of MOTC: u = tanδ")</f>
        <v>Recommended value of MOTC: u = tanδ</v>
      </c>
      <c r="AC31" s="96"/>
      <c r="AD31" s="96"/>
      <c r="AE31" s="96"/>
      <c r="AF31" s="96"/>
      <c r="AG31" s="96"/>
      <c r="AH31" s="96"/>
    </row>
    <row r="32" spans="2:34" ht="20.100000000000001" customHeight="1">
      <c r="C32" s="181" t="s">
        <v>183</v>
      </c>
      <c r="D32" s="170"/>
      <c r="E32" s="170"/>
      <c r="F32" s="185">
        <f>Z45</f>
        <v>1.8</v>
      </c>
      <c r="G32" s="170" t="s">
        <v>1</v>
      </c>
      <c r="H32" s="170"/>
      <c r="I32" s="104"/>
      <c r="J32" s="96"/>
      <c r="K32" s="181" t="s">
        <v>268</v>
      </c>
      <c r="L32" s="169"/>
      <c r="M32" s="170"/>
      <c r="N32" s="185">
        <f>Z19</f>
        <v>2.2000000000000002</v>
      </c>
      <c r="O32" s="170" t="s">
        <v>224</v>
      </c>
      <c r="P32" s="170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</row>
    <row r="33" spans="3:41" ht="20.100000000000001" customHeight="1">
      <c r="C33" s="181" t="s">
        <v>184</v>
      </c>
      <c r="D33" s="170"/>
      <c r="E33" s="170"/>
      <c r="F33" s="185">
        <f>Z46</f>
        <v>1</v>
      </c>
      <c r="G33" s="170" t="s">
        <v>1</v>
      </c>
      <c r="H33" s="170"/>
      <c r="I33" s="104"/>
      <c r="J33" s="96"/>
      <c r="K33" s="181" t="s">
        <v>190</v>
      </c>
      <c r="L33" s="169"/>
      <c r="M33" s="170"/>
      <c r="N33" s="185">
        <f>Z20</f>
        <v>0</v>
      </c>
      <c r="O33" s="170" t="s">
        <v>224</v>
      </c>
      <c r="P33" s="170"/>
      <c r="S33" s="101" t="s">
        <v>204</v>
      </c>
    </row>
    <row r="34" spans="3:41" ht="20.100000000000001" customHeight="1">
      <c r="C34" s="181" t="s">
        <v>185</v>
      </c>
      <c r="D34" s="170"/>
      <c r="E34" s="170"/>
      <c r="F34" s="185">
        <f>Z47</f>
        <v>1</v>
      </c>
      <c r="G34" s="170" t="s">
        <v>1</v>
      </c>
      <c r="H34" s="170"/>
      <c r="I34" s="104"/>
      <c r="J34" s="96"/>
      <c r="K34" s="181" t="s">
        <v>191</v>
      </c>
      <c r="L34" s="169"/>
      <c r="M34" s="170"/>
      <c r="N34" s="185">
        <f>Z21</f>
        <v>26</v>
      </c>
      <c r="O34" s="170" t="s">
        <v>2</v>
      </c>
      <c r="P34" s="170"/>
      <c r="S34" s="100" t="s">
        <v>213</v>
      </c>
    </row>
    <row r="35" spans="3:41" ht="20.100000000000001" customHeight="1">
      <c r="C35" s="181" t="s">
        <v>226</v>
      </c>
      <c r="D35" s="170"/>
      <c r="E35" s="170"/>
      <c r="F35" s="185">
        <f>Z48</f>
        <v>2.2999999999999998</v>
      </c>
      <c r="G35" s="170" t="s">
        <v>224</v>
      </c>
      <c r="H35" s="170"/>
      <c r="I35" s="104"/>
      <c r="J35" s="96"/>
      <c r="K35" s="181" t="s">
        <v>192</v>
      </c>
      <c r="L35" s="169"/>
      <c r="M35" s="170"/>
      <c r="N35" s="185">
        <f>IF(Z16="Yes",Z17,0)</f>
        <v>0.5</v>
      </c>
      <c r="O35" s="170" t="str">
        <f>IF(Z16="是","m","")</f>
        <v/>
      </c>
      <c r="P35" s="170"/>
      <c r="S35" s="107"/>
      <c r="T35" s="108"/>
      <c r="U35" s="108"/>
      <c r="V35" s="108"/>
      <c r="W35" s="108"/>
      <c r="X35" s="108"/>
      <c r="Y35" s="109" t="s">
        <v>223</v>
      </c>
      <c r="Z35" s="108"/>
      <c r="AA35" s="110" t="s">
        <v>209</v>
      </c>
      <c r="AB35" s="110" t="s">
        <v>211</v>
      </c>
      <c r="AC35" s="110" t="s">
        <v>174</v>
      </c>
      <c r="AD35" s="110" t="s">
        <v>175</v>
      </c>
      <c r="AE35" s="110"/>
      <c r="AF35" s="96"/>
      <c r="AG35" s="96"/>
      <c r="AH35" s="96"/>
    </row>
    <row r="36" spans="3:41" ht="20.100000000000001" customHeight="1">
      <c r="C36" s="169"/>
      <c r="D36" s="169"/>
      <c r="E36" s="169"/>
      <c r="F36" s="169"/>
      <c r="G36" s="169"/>
      <c r="H36" s="170"/>
      <c r="I36" s="104"/>
      <c r="J36" s="96"/>
      <c r="K36" s="181" t="s">
        <v>269</v>
      </c>
      <c r="L36" s="169"/>
      <c r="M36" s="170"/>
      <c r="N36" s="185">
        <f>Z18</f>
        <v>1</v>
      </c>
      <c r="O36" s="170" t="s">
        <v>224</v>
      </c>
      <c r="P36" s="170"/>
      <c r="S36" s="105" t="s">
        <v>205</v>
      </c>
      <c r="T36" s="96"/>
      <c r="U36" s="96"/>
      <c r="V36" s="96"/>
      <c r="W36" s="96"/>
      <c r="X36" s="96"/>
      <c r="Y36" s="246" t="s">
        <v>28</v>
      </c>
      <c r="Z36" s="111" t="s">
        <v>4</v>
      </c>
      <c r="AA36" s="247">
        <v>2</v>
      </c>
      <c r="AB36" s="247">
        <v>1.5</v>
      </c>
      <c r="AC36" s="112"/>
      <c r="AD36" s="96"/>
      <c r="AE36" s="96"/>
      <c r="AF36" s="96"/>
      <c r="AG36" s="96"/>
      <c r="AH36" s="96"/>
    </row>
    <row r="37" spans="3:41" ht="20.100000000000001" customHeight="1">
      <c r="C37" s="169"/>
      <c r="D37" s="169"/>
      <c r="E37" s="169"/>
      <c r="F37" s="169"/>
      <c r="G37" s="169"/>
      <c r="H37" s="170"/>
      <c r="I37" s="96"/>
      <c r="J37" s="96"/>
      <c r="K37" s="169"/>
      <c r="L37" s="169"/>
      <c r="M37" s="169"/>
      <c r="N37" s="169"/>
      <c r="O37" s="169"/>
      <c r="P37" s="170"/>
      <c r="S37" s="105" t="s">
        <v>206</v>
      </c>
      <c r="T37" s="96"/>
      <c r="U37" s="96"/>
      <c r="V37" s="96"/>
      <c r="W37" s="96"/>
      <c r="X37" s="96"/>
      <c r="Y37" s="246" t="s">
        <v>28</v>
      </c>
      <c r="Z37" s="111" t="s">
        <v>4</v>
      </c>
      <c r="AA37" s="247">
        <v>1.5</v>
      </c>
      <c r="AB37" s="247">
        <v>1.2</v>
      </c>
      <c r="AC37" s="112"/>
      <c r="AD37" s="96"/>
      <c r="AE37" s="96"/>
      <c r="AF37" s="96"/>
      <c r="AG37" s="96"/>
      <c r="AH37" s="96"/>
    </row>
    <row r="38" spans="3:41" ht="20.100000000000001" customHeight="1">
      <c r="C38" s="197" t="s">
        <v>194</v>
      </c>
      <c r="D38" s="34"/>
      <c r="E38" s="35"/>
      <c r="F38" s="35"/>
      <c r="G38" s="35"/>
      <c r="H38" s="35"/>
      <c r="I38" s="2"/>
      <c r="K38" s="195" t="s">
        <v>193</v>
      </c>
      <c r="L38" s="196"/>
      <c r="M38" s="196"/>
      <c r="N38" s="196"/>
      <c r="O38" s="196"/>
      <c r="P38" s="196"/>
      <c r="S38" s="105" t="s">
        <v>207</v>
      </c>
      <c r="T38" s="96"/>
      <c r="U38" s="96"/>
      <c r="V38" s="96"/>
      <c r="W38" s="96"/>
      <c r="X38" s="96"/>
      <c r="Y38" s="246" t="s">
        <v>28</v>
      </c>
      <c r="Z38" s="111" t="s">
        <v>5</v>
      </c>
      <c r="AA38" s="247">
        <v>60</v>
      </c>
      <c r="AB38" s="247"/>
      <c r="AC38" s="112" t="s">
        <v>225</v>
      </c>
      <c r="AD38" s="5" t="s">
        <v>271</v>
      </c>
    </row>
    <row r="39" spans="3:41" ht="20.100000000000001" customHeight="1">
      <c r="C39" s="182" t="s">
        <v>197</v>
      </c>
      <c r="D39" s="183"/>
      <c r="E39" s="183"/>
      <c r="F39" s="184" t="str">
        <f>Z8</f>
        <v>static</v>
      </c>
      <c r="G39" s="183"/>
      <c r="H39" s="183"/>
      <c r="I39" s="2"/>
      <c r="K39" s="182" t="s">
        <v>195</v>
      </c>
      <c r="L39" s="183"/>
      <c r="M39" s="187"/>
      <c r="N39" s="184">
        <f>Z58</f>
        <v>1.96</v>
      </c>
      <c r="O39" s="187" t="s">
        <v>224</v>
      </c>
      <c r="P39" s="183"/>
      <c r="S39" s="105" t="s">
        <v>208</v>
      </c>
      <c r="T39" s="96"/>
      <c r="U39" s="96"/>
      <c r="V39" s="96"/>
      <c r="W39" s="96"/>
      <c r="X39" s="96"/>
      <c r="Y39" s="246"/>
      <c r="Z39" s="111" t="s">
        <v>4</v>
      </c>
      <c r="AA39" s="247">
        <v>2.5</v>
      </c>
      <c r="AB39" s="247">
        <v>2</v>
      </c>
      <c r="AC39" s="104"/>
      <c r="AD39" s="96"/>
      <c r="AE39" s="96"/>
      <c r="AF39" s="96"/>
      <c r="AG39" s="96"/>
      <c r="AH39" s="96"/>
      <c r="AK39" s="28"/>
    </row>
    <row r="40" spans="3:41" ht="20.100000000000001" customHeight="1">
      <c r="C40" s="256" t="s">
        <v>198</v>
      </c>
      <c r="D40" s="256"/>
      <c r="E40" s="256"/>
      <c r="F40" s="185" t="str">
        <f>Z13</f>
        <v>No</v>
      </c>
      <c r="G40" s="169"/>
      <c r="H40" s="169"/>
      <c r="I40" s="2"/>
      <c r="K40" s="181" t="s">
        <v>196</v>
      </c>
      <c r="L40" s="169"/>
      <c r="M40" s="170"/>
      <c r="N40" s="185">
        <f>Z59</f>
        <v>0</v>
      </c>
      <c r="O40" s="170" t="s">
        <v>224</v>
      </c>
      <c r="P40" s="169"/>
      <c r="S40" s="96"/>
      <c r="T40" s="96"/>
      <c r="U40" s="96"/>
      <c r="V40" s="96"/>
      <c r="W40" s="96"/>
      <c r="X40" s="96"/>
      <c r="Y40" s="96"/>
      <c r="Z40" s="96"/>
      <c r="AA40" s="2"/>
      <c r="AB40" s="2"/>
      <c r="AC40" s="96"/>
      <c r="AD40" s="96"/>
      <c r="AE40" s="96"/>
      <c r="AF40" s="96"/>
      <c r="AG40" s="96"/>
      <c r="AH40" s="96"/>
      <c r="AK40" s="28"/>
    </row>
    <row r="41" spans="3:41" ht="20.100000000000001" customHeight="1">
      <c r="C41" s="257"/>
      <c r="D41" s="257"/>
      <c r="E41" s="257"/>
      <c r="F41" s="96"/>
      <c r="G41" s="96"/>
      <c r="H41" s="96"/>
      <c r="I41" s="2"/>
      <c r="K41" s="181" t="s">
        <v>189</v>
      </c>
      <c r="L41" s="169"/>
      <c r="M41" s="170"/>
      <c r="N41" s="185">
        <f>Z60</f>
        <v>33</v>
      </c>
      <c r="O41" s="170" t="s">
        <v>2</v>
      </c>
      <c r="P41" s="169"/>
      <c r="S41" s="117" t="s">
        <v>176</v>
      </c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3:41" ht="20.100000000000001" customHeight="1">
      <c r="C42" s="256" t="s">
        <v>200</v>
      </c>
      <c r="D42" s="256"/>
      <c r="E42" s="256"/>
      <c r="F42" s="185" t="str">
        <f>Z22</f>
        <v>different</v>
      </c>
      <c r="G42" s="170"/>
      <c r="H42" s="170"/>
      <c r="I42" s="2"/>
      <c r="K42" s="169"/>
      <c r="L42" s="169"/>
      <c r="M42" s="169"/>
      <c r="N42" s="188"/>
      <c r="O42" s="169"/>
      <c r="P42" s="169"/>
      <c r="S42" s="105" t="s">
        <v>178</v>
      </c>
      <c r="T42" s="96"/>
      <c r="U42" s="96"/>
      <c r="V42" s="96"/>
      <c r="W42" s="96"/>
      <c r="X42" s="96"/>
      <c r="Y42" s="96"/>
      <c r="Z42" s="248">
        <v>3</v>
      </c>
      <c r="AA42" s="104" t="s">
        <v>1</v>
      </c>
      <c r="AB42" s="104"/>
      <c r="AC42" s="96"/>
      <c r="AD42" s="96"/>
      <c r="AE42" s="96"/>
      <c r="AF42" s="96"/>
      <c r="AG42" s="96"/>
      <c r="AH42" s="96"/>
      <c r="AN42" s="36"/>
      <c r="AO42" s="36"/>
    </row>
    <row r="43" spans="3:41" ht="20.100000000000001" customHeight="1">
      <c r="C43" s="257"/>
      <c r="D43" s="257"/>
      <c r="E43" s="257"/>
      <c r="F43" s="96"/>
      <c r="G43" s="96"/>
      <c r="H43" s="96"/>
      <c r="I43" s="2"/>
      <c r="K43" s="169"/>
      <c r="L43" s="169"/>
      <c r="M43" s="169"/>
      <c r="N43" s="188"/>
      <c r="O43" s="169"/>
      <c r="P43" s="170"/>
      <c r="S43" s="105" t="s">
        <v>214</v>
      </c>
      <c r="T43" s="96"/>
      <c r="U43" s="96"/>
      <c r="V43" s="96"/>
      <c r="W43" s="96"/>
      <c r="X43" s="96"/>
      <c r="Y43" s="96"/>
      <c r="Z43" s="248">
        <v>0.6</v>
      </c>
      <c r="AA43" s="104" t="s">
        <v>1</v>
      </c>
      <c r="AB43" s="104"/>
      <c r="AC43" s="96"/>
      <c r="AD43" s="96"/>
      <c r="AE43" s="96"/>
      <c r="AF43" s="96"/>
      <c r="AG43" s="96"/>
      <c r="AH43" s="96"/>
      <c r="AN43" s="37"/>
      <c r="AO43" s="37"/>
    </row>
    <row r="44" spans="3:41" ht="20.100000000000001" customHeight="1">
      <c r="C44" s="181" t="s">
        <v>265</v>
      </c>
      <c r="D44" s="169"/>
      <c r="E44" s="170"/>
      <c r="F44" s="185" t="str">
        <f>Z29</f>
        <v>Yes</v>
      </c>
      <c r="G44" s="170"/>
      <c r="H44" s="170"/>
      <c r="I44" s="2"/>
      <c r="K44" s="169"/>
      <c r="L44" s="169"/>
      <c r="M44" s="169"/>
      <c r="N44" s="188"/>
      <c r="O44" s="170"/>
      <c r="P44" s="170"/>
      <c r="S44" s="105" t="s">
        <v>215</v>
      </c>
      <c r="T44" s="96"/>
      <c r="U44" s="96"/>
      <c r="V44" s="96"/>
      <c r="W44" s="96"/>
      <c r="X44" s="96"/>
      <c r="Y44" s="96"/>
      <c r="Z44" s="248">
        <v>0.3</v>
      </c>
      <c r="AA44" s="104" t="s">
        <v>1</v>
      </c>
      <c r="AB44" s="104"/>
      <c r="AC44" s="96"/>
      <c r="AD44" s="96"/>
      <c r="AE44" s="96"/>
      <c r="AF44" s="96"/>
      <c r="AG44" s="96"/>
      <c r="AH44" s="96"/>
      <c r="AN44" s="37"/>
      <c r="AO44" s="36"/>
    </row>
    <row r="45" spans="3:41" ht="20.100000000000001" customHeight="1">
      <c r="C45" s="181" t="s">
        <v>199</v>
      </c>
      <c r="D45" s="169"/>
      <c r="E45" s="170"/>
      <c r="F45" s="185">
        <f>Z30</f>
        <v>33</v>
      </c>
      <c r="G45" s="170" t="s">
        <v>2</v>
      </c>
      <c r="H45" s="170"/>
      <c r="I45" s="2"/>
      <c r="K45" s="169"/>
      <c r="L45" s="169"/>
      <c r="M45" s="169"/>
      <c r="N45" s="188"/>
      <c r="O45" s="170"/>
      <c r="P45" s="170"/>
      <c r="S45" s="105" t="s">
        <v>216</v>
      </c>
      <c r="T45" s="96"/>
      <c r="U45" s="96"/>
      <c r="V45" s="96"/>
      <c r="W45" s="96"/>
      <c r="X45" s="96"/>
      <c r="Y45" s="96"/>
      <c r="Z45" s="248">
        <v>1.8</v>
      </c>
      <c r="AA45" s="104" t="s">
        <v>1</v>
      </c>
      <c r="AB45" s="104"/>
      <c r="AC45" s="96"/>
      <c r="AD45" s="96"/>
      <c r="AE45" s="96"/>
      <c r="AF45" s="96"/>
      <c r="AG45" s="96"/>
      <c r="AH45" s="96"/>
    </row>
    <row r="46" spans="3:41" ht="20.100000000000001" customHeight="1">
      <c r="C46" s="256" t="s">
        <v>202</v>
      </c>
      <c r="D46" s="256"/>
      <c r="E46" s="256"/>
      <c r="F46" s="185">
        <f>IF(Z25="value",Z26,Z31)</f>
        <v>0.64900000000000002</v>
      </c>
      <c r="G46" s="171"/>
      <c r="H46" s="186" t="str">
        <f>IF(Z29="No","u = tan 2/3δ","u= tanδ")</f>
        <v>u= tanδ</v>
      </c>
      <c r="K46" s="169"/>
      <c r="L46" s="169"/>
      <c r="M46" s="169"/>
      <c r="N46" s="188"/>
      <c r="O46" s="170"/>
      <c r="P46" s="170"/>
      <c r="S46" s="105" t="s">
        <v>184</v>
      </c>
      <c r="T46" s="96"/>
      <c r="U46" s="96"/>
      <c r="V46" s="96"/>
      <c r="W46" s="96"/>
      <c r="X46" s="96"/>
      <c r="Y46" s="96"/>
      <c r="Z46" s="248">
        <v>1</v>
      </c>
      <c r="AA46" s="104" t="s">
        <v>1</v>
      </c>
      <c r="AB46" s="104"/>
      <c r="AC46" s="96"/>
      <c r="AD46" s="96"/>
      <c r="AE46" s="96"/>
      <c r="AF46" s="96"/>
      <c r="AG46" s="96"/>
      <c r="AH46" s="96"/>
    </row>
    <row r="47" spans="3:41" ht="20.100000000000001" customHeight="1">
      <c r="C47" s="257"/>
      <c r="D47" s="257"/>
      <c r="E47" s="257"/>
      <c r="F47" s="185" t="str">
        <f>IF(Z8="地震",Z9,"")</f>
        <v/>
      </c>
      <c r="G47" s="170" t="str">
        <f>IF(Z8="地震","g","")</f>
        <v/>
      </c>
      <c r="H47" s="170"/>
      <c r="I47" s="2"/>
      <c r="J47" s="2"/>
      <c r="K47" s="169"/>
      <c r="L47" s="169"/>
      <c r="M47" s="169"/>
      <c r="N47" s="188"/>
      <c r="O47" s="170"/>
      <c r="P47" s="170"/>
      <c r="S47" s="105" t="s">
        <v>185</v>
      </c>
      <c r="T47" s="96"/>
      <c r="U47" s="96"/>
      <c r="V47" s="96"/>
      <c r="W47" s="96"/>
      <c r="X47" s="96"/>
      <c r="Y47" s="96"/>
      <c r="Z47" s="248">
        <v>1</v>
      </c>
      <c r="AA47" s="104" t="s">
        <v>1</v>
      </c>
      <c r="AB47" s="104"/>
      <c r="AC47" s="96"/>
      <c r="AD47" s="96"/>
      <c r="AE47" s="96"/>
      <c r="AF47" s="96"/>
      <c r="AG47" s="96"/>
      <c r="AH47" s="96"/>
    </row>
    <row r="48" spans="3:41" ht="20.100000000000001" customHeight="1">
      <c r="C48" s="30" t="str">
        <f>IF(Z8="地震","地震力係數(Kh)","")</f>
        <v/>
      </c>
      <c r="G48" s="2"/>
      <c r="H48" s="2"/>
      <c r="S48" s="105" t="s">
        <v>226</v>
      </c>
      <c r="T48" s="96"/>
      <c r="U48" s="96"/>
      <c r="V48" s="96"/>
      <c r="W48" s="96"/>
      <c r="X48" s="96"/>
      <c r="Y48" s="96"/>
      <c r="Z48" s="248">
        <v>2.2999999999999998</v>
      </c>
      <c r="AA48" s="104" t="s">
        <v>224</v>
      </c>
      <c r="AB48" s="104"/>
      <c r="AC48" s="96"/>
      <c r="AD48" s="96"/>
      <c r="AE48" s="96"/>
      <c r="AF48" s="96"/>
      <c r="AG48" s="96"/>
      <c r="AH48" s="96"/>
    </row>
    <row r="49" spans="2:34" ht="20.100000000000001" customHeight="1">
      <c r="I49" s="2"/>
      <c r="J49" s="2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</row>
    <row r="50" spans="2:34" ht="20.100000000000001" customHeight="1">
      <c r="I50" s="2"/>
      <c r="J50" s="2"/>
      <c r="S50" s="115" t="s">
        <v>177</v>
      </c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</row>
    <row r="51" spans="2:34" ht="20.100000000000001" customHeight="1">
      <c r="B51" s="50" t="s">
        <v>232</v>
      </c>
      <c r="D51" s="2"/>
      <c r="E51" s="2"/>
      <c r="F51" s="2"/>
      <c r="G51" s="2"/>
      <c r="H51" s="2"/>
      <c r="I51" s="2"/>
      <c r="J51" s="2"/>
      <c r="S51" s="105" t="s">
        <v>217</v>
      </c>
      <c r="T51" s="96"/>
      <c r="U51" s="96"/>
      <c r="V51" s="96"/>
      <c r="W51" s="96"/>
      <c r="X51" s="96"/>
      <c r="Y51" s="96"/>
      <c r="Z51" s="249">
        <v>0</v>
      </c>
      <c r="AA51" s="104" t="s">
        <v>225</v>
      </c>
      <c r="AB51" s="96"/>
      <c r="AC51" s="96"/>
      <c r="AD51" s="96"/>
      <c r="AE51" s="96"/>
      <c r="AF51" s="96"/>
      <c r="AG51" s="96"/>
      <c r="AH51" s="96"/>
    </row>
    <row r="52" spans="2:34" ht="9.9499999999999993" customHeight="1">
      <c r="B52" s="50"/>
      <c r="D52" s="2"/>
      <c r="E52" s="2"/>
      <c r="F52" s="2"/>
      <c r="G52" s="2"/>
      <c r="H52" s="2"/>
      <c r="I52" s="2"/>
      <c r="J52" s="2"/>
      <c r="S52" s="105" t="s">
        <v>218</v>
      </c>
      <c r="T52" s="96"/>
      <c r="U52" s="96"/>
      <c r="V52" s="96"/>
      <c r="W52" s="96"/>
      <c r="X52" s="96"/>
      <c r="Y52" s="96"/>
      <c r="Z52" s="249">
        <v>0</v>
      </c>
      <c r="AA52" s="104" t="s">
        <v>2</v>
      </c>
      <c r="AB52" s="96"/>
      <c r="AC52" s="96"/>
      <c r="AD52" s="96"/>
      <c r="AE52" s="96"/>
      <c r="AF52" s="96"/>
      <c r="AG52" s="96"/>
      <c r="AH52" s="96"/>
    </row>
    <row r="53" spans="2:34" ht="24.95" customHeight="1" thickBot="1">
      <c r="C53" s="226" t="s">
        <v>234</v>
      </c>
      <c r="D53" s="230"/>
      <c r="E53" s="226"/>
      <c r="F53" s="230"/>
      <c r="G53" s="231" t="s">
        <v>210</v>
      </c>
      <c r="H53" s="231" t="s">
        <v>212</v>
      </c>
      <c r="I53" s="231" t="s">
        <v>160</v>
      </c>
      <c r="J53" s="231"/>
      <c r="K53" s="231" t="s">
        <v>161</v>
      </c>
      <c r="L53" s="230"/>
      <c r="M53" s="230"/>
      <c r="S53" s="105" t="s">
        <v>227</v>
      </c>
      <c r="T53" s="96"/>
      <c r="U53" s="96"/>
      <c r="V53" s="96"/>
      <c r="W53" s="96"/>
      <c r="X53" s="96"/>
      <c r="Y53" s="96"/>
      <c r="Z53" s="249">
        <v>2</v>
      </c>
      <c r="AA53" s="104" t="s">
        <v>224</v>
      </c>
      <c r="AB53" s="96"/>
      <c r="AC53" s="96"/>
      <c r="AD53" s="96"/>
      <c r="AE53" s="96"/>
      <c r="AF53" s="96"/>
      <c r="AG53" s="96"/>
      <c r="AH53" s="96"/>
    </row>
    <row r="54" spans="2:34" ht="20.100000000000001" customHeight="1">
      <c r="C54" s="182" t="str">
        <f>IF(Y36="v","Overturning (FSo)","")</f>
        <v>Overturning (FSo)</v>
      </c>
      <c r="D54" s="183"/>
      <c r="E54" s="187"/>
      <c r="F54" s="227" t="str">
        <f>IF(Y36="v",Z36,"")</f>
        <v>≧</v>
      </c>
      <c r="G54" s="228">
        <f>IF(Y36="v",AA36,"")</f>
        <v>2</v>
      </c>
      <c r="H54" s="228">
        <f>IF(Y36="v",AB36,"")</f>
        <v>1.5</v>
      </c>
      <c r="I54" s="229"/>
      <c r="J54" s="229"/>
      <c r="K54" s="187"/>
      <c r="L54" s="183"/>
      <c r="M54" s="49"/>
      <c r="S54" s="105" t="s">
        <v>219</v>
      </c>
      <c r="T54" s="96"/>
      <c r="U54" s="96"/>
      <c r="V54" s="96"/>
      <c r="W54" s="96"/>
      <c r="X54" s="96"/>
      <c r="Y54" s="96"/>
      <c r="Z54" s="249">
        <v>0</v>
      </c>
      <c r="AA54" s="104" t="s">
        <v>224</v>
      </c>
      <c r="AB54" s="96"/>
      <c r="AC54" s="96"/>
      <c r="AD54" s="96"/>
      <c r="AE54" s="96"/>
      <c r="AF54" s="96"/>
      <c r="AG54" s="96"/>
      <c r="AH54" s="96"/>
    </row>
    <row r="55" spans="2:34" ht="20.100000000000001" customHeight="1">
      <c r="C55" s="181" t="str">
        <f>IF(Y37="v","Sliding (FSs)","")</f>
        <v>Sliding (FSs)</v>
      </c>
      <c r="D55" s="169"/>
      <c r="E55" s="170"/>
      <c r="F55" s="180" t="str">
        <f>IF(Y37="v",Z37,"")</f>
        <v>≧</v>
      </c>
      <c r="G55" s="51">
        <f>IF(Y37="v",AA37,"")</f>
        <v>1.5</v>
      </c>
      <c r="H55" s="51">
        <f>IF(Y37="v",AB37,"")</f>
        <v>1.2</v>
      </c>
      <c r="I55" s="175"/>
      <c r="J55" s="175"/>
      <c r="K55" s="170"/>
      <c r="L55" s="169"/>
      <c r="M55" s="48"/>
      <c r="S55" s="105" t="s">
        <v>220</v>
      </c>
      <c r="T55" s="96"/>
      <c r="U55" s="96"/>
      <c r="V55" s="96"/>
      <c r="W55" s="96"/>
      <c r="X55" s="96"/>
      <c r="Y55" s="96"/>
      <c r="Z55" s="249">
        <v>30</v>
      </c>
      <c r="AA55" s="104" t="s">
        <v>2</v>
      </c>
      <c r="AB55" s="96"/>
      <c r="AC55" s="96"/>
      <c r="AD55" s="96"/>
      <c r="AE55" s="96"/>
      <c r="AF55" s="96"/>
      <c r="AG55" s="96"/>
      <c r="AH55" s="96"/>
    </row>
    <row r="56" spans="2:34" ht="20.100000000000001" customHeight="1">
      <c r="C56" s="181" t="str">
        <f>IF(Y38="v","Allowable bearing capacity","")</f>
        <v>Allowable bearing capacity</v>
      </c>
      <c r="D56" s="169"/>
      <c r="E56" s="170"/>
      <c r="F56" s="180" t="str">
        <f>IF(Y38="v",Z38,"")</f>
        <v>≦</v>
      </c>
      <c r="G56" s="51">
        <f>IF(Y38="v",AA38,"")</f>
        <v>60</v>
      </c>
      <c r="H56" s="51"/>
      <c r="I56" s="175" t="str">
        <f>IF(Y38="v","t/m²","")</f>
        <v>t/m²</v>
      </c>
      <c r="J56" s="175"/>
      <c r="K56" s="170" t="str">
        <f>IF(Y38="v","Only consider the β=0","")</f>
        <v>Only consider the β=0</v>
      </c>
      <c r="L56" s="169"/>
      <c r="M56" s="48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</row>
    <row r="57" spans="2:34" ht="20.100000000000001" customHeight="1">
      <c r="C57" s="181" t="str">
        <f>IF(Y39="v","Bearing capcity (FSb)","")</f>
        <v/>
      </c>
      <c r="D57" s="170"/>
      <c r="E57" s="169"/>
      <c r="F57" s="180" t="str">
        <f>IF(Y39="v",Z39,"")</f>
        <v/>
      </c>
      <c r="G57" s="51" t="str">
        <f>IF(Y39="v",AA39,"")</f>
        <v/>
      </c>
      <c r="H57" s="51" t="str">
        <f>IF(Y39="v",AB39,"")</f>
        <v/>
      </c>
      <c r="I57" s="169"/>
      <c r="J57" s="170"/>
      <c r="K57" s="170" t="str">
        <f>IF(Y39="v",AD39,"")</f>
        <v/>
      </c>
      <c r="L57" s="169"/>
      <c r="M57" s="48"/>
      <c r="S57" s="113" t="s">
        <v>193</v>
      </c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</row>
    <row r="58" spans="2:34" ht="20.100000000000001" customHeight="1">
      <c r="C58" s="169"/>
      <c r="D58" s="170"/>
      <c r="E58" s="170"/>
      <c r="F58" s="170"/>
      <c r="G58" s="47"/>
      <c r="H58" s="47"/>
      <c r="I58" s="170"/>
      <c r="J58" s="170"/>
      <c r="K58" s="169"/>
      <c r="L58" s="169"/>
      <c r="M58" s="48"/>
      <c r="S58" s="105" t="s">
        <v>221</v>
      </c>
      <c r="T58" s="96"/>
      <c r="U58" s="96"/>
      <c r="V58" s="96"/>
      <c r="W58" s="96"/>
      <c r="X58" s="96"/>
      <c r="Y58" s="96"/>
      <c r="Z58" s="250">
        <v>1.96</v>
      </c>
      <c r="AA58" s="104" t="s">
        <v>224</v>
      </c>
      <c r="AB58" s="96"/>
      <c r="AC58" s="96"/>
      <c r="AD58" s="96"/>
      <c r="AE58" s="96"/>
      <c r="AF58" s="96"/>
      <c r="AG58" s="96"/>
      <c r="AH58" s="96"/>
    </row>
    <row r="59" spans="2:34" ht="20.100000000000001" customHeight="1">
      <c r="D59" s="104" t="s">
        <v>163</v>
      </c>
      <c r="E59" s="104"/>
      <c r="F59" s="104"/>
      <c r="G59" s="104"/>
      <c r="H59" s="104"/>
      <c r="I59" s="104"/>
      <c r="J59" s="104"/>
      <c r="K59" s="96"/>
      <c r="L59" s="96"/>
      <c r="S59" s="105" t="s">
        <v>222</v>
      </c>
      <c r="T59" s="96"/>
      <c r="U59" s="96"/>
      <c r="V59" s="96"/>
      <c r="W59" s="96"/>
      <c r="X59" s="96"/>
      <c r="Y59" s="96"/>
      <c r="Z59" s="250">
        <v>0</v>
      </c>
      <c r="AA59" s="104" t="s">
        <v>224</v>
      </c>
      <c r="AB59" s="96"/>
      <c r="AC59" s="96"/>
      <c r="AD59" s="96"/>
      <c r="AE59" s="96"/>
      <c r="AF59" s="96"/>
      <c r="AG59" s="96"/>
      <c r="AH59" s="96"/>
    </row>
    <row r="60" spans="2:34" ht="20.100000000000001" customHeight="1">
      <c r="I60" s="2"/>
      <c r="J60" s="2"/>
      <c r="S60" s="105" t="s">
        <v>220</v>
      </c>
      <c r="T60" s="96"/>
      <c r="U60" s="96"/>
      <c r="V60" s="96"/>
      <c r="W60" s="96"/>
      <c r="X60" s="96"/>
      <c r="Y60" s="96"/>
      <c r="Z60" s="250">
        <v>33</v>
      </c>
      <c r="AA60" s="104" t="s">
        <v>2</v>
      </c>
      <c r="AB60" s="96"/>
      <c r="AC60" s="96"/>
      <c r="AD60" s="96"/>
      <c r="AE60" s="96"/>
      <c r="AF60" s="96"/>
      <c r="AG60" s="96"/>
      <c r="AH60" s="96"/>
    </row>
    <row r="61" spans="2:34" ht="20.100000000000001" customHeight="1">
      <c r="I61" s="2"/>
      <c r="J61" s="2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</row>
    <row r="62" spans="2:34" ht="20.100000000000001" customHeight="1">
      <c r="D62" s="2"/>
      <c r="E62" s="2"/>
      <c r="F62" s="4"/>
      <c r="G62" s="2"/>
      <c r="H62" s="2"/>
      <c r="I62" s="2"/>
      <c r="J62" s="2"/>
    </row>
    <row r="63" spans="2:34" ht="24.95" customHeight="1">
      <c r="B63" s="50" t="s">
        <v>233</v>
      </c>
    </row>
    <row r="64" spans="2:34" ht="9.9499999999999993" customHeight="1">
      <c r="G64" s="7"/>
    </row>
    <row r="65" spans="3:38" ht="20.100000000000001" customHeight="1" thickBot="1">
      <c r="C65" s="198" t="s">
        <v>13</v>
      </c>
      <c r="D65" s="235" t="s">
        <v>235</v>
      </c>
      <c r="E65" s="236"/>
      <c r="F65" s="237" t="s">
        <v>160</v>
      </c>
      <c r="G65" s="238" t="s">
        <v>238</v>
      </c>
      <c r="H65" s="238" t="s">
        <v>237</v>
      </c>
      <c r="I65" s="238" t="s">
        <v>236</v>
      </c>
      <c r="J65" s="13"/>
    </row>
    <row r="66" spans="3:38" ht="20.100000000000001" customHeight="1">
      <c r="D66" s="232" t="s">
        <v>239</v>
      </c>
      <c r="E66" s="233"/>
      <c r="F66" s="232" t="s">
        <v>2</v>
      </c>
      <c r="G66" s="234">
        <f>N28</f>
        <v>0</v>
      </c>
      <c r="H66" s="234">
        <f>G66</f>
        <v>0</v>
      </c>
      <c r="I66" s="234">
        <v>0</v>
      </c>
      <c r="J66" s="18"/>
    </row>
    <row r="67" spans="3:38" ht="20.100000000000001" customHeight="1">
      <c r="D67" s="176" t="s">
        <v>240</v>
      </c>
      <c r="E67" s="177"/>
      <c r="F67" s="176" t="s">
        <v>224</v>
      </c>
      <c r="G67" s="178">
        <f>N29</f>
        <v>2</v>
      </c>
      <c r="H67" s="178">
        <f>N32</f>
        <v>2.2000000000000002</v>
      </c>
      <c r="I67" s="178">
        <f>N39</f>
        <v>1.96</v>
      </c>
      <c r="J67" s="3"/>
    </row>
    <row r="68" spans="3:38" ht="20.100000000000001" customHeight="1">
      <c r="D68" s="176" t="s">
        <v>196</v>
      </c>
      <c r="E68" s="177"/>
      <c r="F68" s="176" t="s">
        <v>224</v>
      </c>
      <c r="G68" s="178">
        <f>N30</f>
        <v>0</v>
      </c>
      <c r="H68" s="178">
        <f>N33</f>
        <v>0</v>
      </c>
      <c r="I68" s="178">
        <f>N40</f>
        <v>0</v>
      </c>
      <c r="J68" s="3"/>
    </row>
    <row r="69" spans="3:38" ht="20.100000000000001" customHeight="1">
      <c r="D69" s="176" t="s">
        <v>189</v>
      </c>
      <c r="E69" s="177"/>
      <c r="F69" s="176" t="s">
        <v>2</v>
      </c>
      <c r="G69" s="178">
        <f>N31</f>
        <v>30</v>
      </c>
      <c r="H69" s="178">
        <f>N34</f>
        <v>26</v>
      </c>
      <c r="I69" s="178">
        <f>N41</f>
        <v>33</v>
      </c>
      <c r="J69" s="3"/>
    </row>
    <row r="70" spans="3:38" ht="20.100000000000001" customHeight="1">
      <c r="D70" s="179" t="str">
        <f>IF(Y39="v","Nc","")</f>
        <v/>
      </c>
      <c r="E70" s="177"/>
      <c r="F70" s="176"/>
      <c r="G70" s="178"/>
      <c r="H70" s="178"/>
      <c r="I70" s="178" t="str">
        <f>IF(Y39="v",VLOOKUP(I69,settings!$G$6:$J$57,2),"")</f>
        <v/>
      </c>
      <c r="J70" s="3"/>
    </row>
    <row r="71" spans="3:38" ht="20.100000000000001" customHeight="1">
      <c r="D71" s="179" t="str">
        <f>IF(Y39="v","Nq","")</f>
        <v/>
      </c>
      <c r="E71" s="177"/>
      <c r="F71" s="176"/>
      <c r="G71" s="178"/>
      <c r="H71" s="178"/>
      <c r="I71" s="178" t="str">
        <f>IF(Y39="v",VLOOKUP(I69,settings!$G$6:$J$57,3),"")</f>
        <v/>
      </c>
      <c r="J71" s="3"/>
    </row>
    <row r="72" spans="3:38" ht="20.100000000000001" customHeight="1">
      <c r="D72" s="179" t="str">
        <f>IF(Y39="v","Nr","")</f>
        <v/>
      </c>
      <c r="E72" s="177"/>
      <c r="F72" s="176"/>
      <c r="G72" s="178"/>
      <c r="H72" s="178"/>
      <c r="I72" s="178" t="str">
        <f>IF(Y39="v",VLOOKUP(I69,settings!$G$6:$J$57,4),"")</f>
        <v/>
      </c>
      <c r="J72" s="3"/>
      <c r="AJ72" s="74"/>
      <c r="AK72" s="75" t="s">
        <v>113</v>
      </c>
      <c r="AL72" s="76"/>
    </row>
    <row r="73" spans="3:38" ht="9.9499999999999993" customHeight="1">
      <c r="D73" s="27"/>
      <c r="F73" s="2"/>
      <c r="G73" s="3"/>
      <c r="H73" s="3"/>
      <c r="I73" s="3"/>
      <c r="J73" s="3"/>
      <c r="AJ73" s="77"/>
      <c r="AK73" s="11"/>
      <c r="AL73" s="78"/>
    </row>
    <row r="74" spans="3:38" ht="30" customHeight="1">
      <c r="D74" s="168" t="s">
        <v>266</v>
      </c>
      <c r="E74" s="169"/>
      <c r="F74" s="170"/>
      <c r="G74" s="171">
        <f>IF(G66=0,(TAN(RADIANS(45-G69/2)))^2,COS(RADIANS(G66))*((COS(RADIANS(G66))-SQRT((COS(RADIANS(G66)))^2-(COS(RADIANS(G69)))^2))/(COS(RADIANS(G66))+SQRT((COS(RADIANS(G66)))^2-(COS(RADIANS(G69)))^2))))</f>
        <v>0.33333333333333331</v>
      </c>
      <c r="H74" s="171">
        <f>IF(H66=0,(TAN(RADIANS(45-H69/2)))^2,COS(RADIANS(H66))*((COS(RADIANS(H66))-SQRT((COS(RADIANS(H66)))^2-(COS(RADIANS(H69)))^2))/(COS(RADIANS(H66))+SQRT((COS(RADIANS(H66)))^2-(COS(RADIANS(H69)))^2))))</f>
        <v>0.39046170695558291</v>
      </c>
      <c r="I74" s="172"/>
      <c r="J74" s="8"/>
      <c r="AJ74" s="77"/>
      <c r="AK74" s="79" t="str">
        <f>IF(N28=0,"Ka","KaB")</f>
        <v>Ka</v>
      </c>
      <c r="AL74" s="78"/>
    </row>
    <row r="75" spans="3:38" ht="9.9499999999999993" customHeight="1">
      <c r="D75" s="173"/>
      <c r="E75" s="96"/>
      <c r="F75" s="104"/>
      <c r="G75" s="174"/>
      <c r="H75" s="174"/>
      <c r="I75" s="130"/>
      <c r="J75" s="8"/>
      <c r="AJ75" s="77"/>
      <c r="AK75" s="79"/>
      <c r="AL75" s="78"/>
    </row>
    <row r="76" spans="3:38" ht="30" customHeight="1">
      <c r="D76" s="168" t="s">
        <v>267</v>
      </c>
      <c r="E76" s="169"/>
      <c r="F76" s="169"/>
      <c r="G76" s="175"/>
      <c r="H76" s="175"/>
      <c r="I76" s="172">
        <f>IF(I66=0,(TAN(RADIANS(45+I69/2)))^2,COS(RADIANS(I66))*((COS(RADIANS(I66))+SQRT((COS(RADIANS(I66)))^2-(COS(RADIANS(I69)))^2))/(COS(RADIANS(I66))-SQRT((COS(RADIANS(I66)))^2-(COS(RADIANS(I69)))^2))))</f>
        <v>3.3921199966404694</v>
      </c>
      <c r="J76" s="8"/>
      <c r="AJ76" s="77"/>
      <c r="AK76" s="79" t="str">
        <f>IF(N28=0,"Kp","KpB")</f>
        <v>Kp</v>
      </c>
      <c r="AL76" s="78"/>
    </row>
    <row r="77" spans="3:38" ht="20.100000000000001" customHeight="1">
      <c r="I77" s="8"/>
      <c r="J77" s="8"/>
      <c r="AJ77" s="80"/>
      <c r="AK77" s="6"/>
      <c r="AL77" s="81"/>
    </row>
    <row r="78" spans="3:38" ht="20.100000000000001" customHeight="1">
      <c r="D78" s="2"/>
      <c r="E78" s="2"/>
      <c r="F78" s="4"/>
      <c r="G78" s="2"/>
      <c r="H78" s="2"/>
      <c r="I78" s="2"/>
      <c r="J78" s="2"/>
    </row>
    <row r="79" spans="3:38" ht="20.100000000000001" customHeight="1">
      <c r="D79" s="2"/>
      <c r="E79" s="2"/>
      <c r="F79" s="4"/>
      <c r="G79" s="2"/>
      <c r="H79" s="2"/>
      <c r="I79" s="2"/>
      <c r="J79" s="2"/>
    </row>
    <row r="80" spans="3:38" ht="20.100000000000001" customHeight="1">
      <c r="C80" s="198" t="s">
        <v>14</v>
      </c>
      <c r="D80" s="199" t="s">
        <v>241</v>
      </c>
      <c r="E80" s="198"/>
      <c r="F80" s="198"/>
      <c r="G80" s="198"/>
      <c r="H80" s="198"/>
      <c r="I80" s="198"/>
    </row>
    <row r="81" spans="4:12" ht="39.950000000000003" customHeight="1">
      <c r="D81" s="200" t="s">
        <v>253</v>
      </c>
      <c r="E81" s="201"/>
      <c r="F81" s="202"/>
      <c r="G81" s="203" t="s">
        <v>259</v>
      </c>
      <c r="H81" s="203" t="s">
        <v>258</v>
      </c>
      <c r="I81" s="204" t="s">
        <v>257</v>
      </c>
    </row>
    <row r="82" spans="4:12" ht="20.100000000000001" customHeight="1" thickBot="1">
      <c r="D82" s="205"/>
      <c r="E82" s="206"/>
      <c r="F82" s="206"/>
      <c r="G82" s="207" t="s">
        <v>29</v>
      </c>
      <c r="H82" s="207" t="s">
        <v>19</v>
      </c>
      <c r="I82" s="208" t="s">
        <v>18</v>
      </c>
    </row>
    <row r="83" spans="4:12" ht="20.100000000000001" customHeight="1">
      <c r="D83" s="157" t="s">
        <v>254</v>
      </c>
      <c r="E83" s="158"/>
      <c r="F83" s="158"/>
      <c r="G83" s="159">
        <f>F31*F30/2*F35</f>
        <v>1.38</v>
      </c>
      <c r="H83" s="159">
        <f>(2/3*F31)+(F32-F28-F31)</f>
        <v>1.0000000000000002</v>
      </c>
      <c r="I83" s="159">
        <f>G83*H83</f>
        <v>1.3800000000000001</v>
      </c>
    </row>
    <row r="84" spans="4:12" ht="20.100000000000001" customHeight="1">
      <c r="D84" s="160" t="s">
        <v>255</v>
      </c>
      <c r="E84" s="161"/>
      <c r="F84" s="161"/>
      <c r="G84" s="162">
        <f>F30*F28*F35</f>
        <v>2.76</v>
      </c>
      <c r="H84" s="163">
        <f>F32-(F28/2)</f>
        <v>1.5</v>
      </c>
      <c r="I84" s="163">
        <f>G84*H84</f>
        <v>4.1399999999999997</v>
      </c>
    </row>
    <row r="85" spans="4:12" ht="20.100000000000001" customHeight="1" thickBot="1">
      <c r="D85" s="164" t="s">
        <v>256</v>
      </c>
      <c r="E85" s="165"/>
      <c r="F85" s="165"/>
      <c r="G85" s="166">
        <f>IF(F33=0,"",F32*F33*F35)</f>
        <v>4.1399999999999997</v>
      </c>
      <c r="H85" s="167">
        <f>IF(F33=0,"",F32/2)</f>
        <v>0.9</v>
      </c>
      <c r="I85" s="167">
        <f>IF(F33=0,"",G85*H85)</f>
        <v>3.726</v>
      </c>
    </row>
    <row r="86" spans="4:12" ht="20.100000000000001" customHeight="1">
      <c r="D86" s="52" t="s">
        <v>260</v>
      </c>
      <c r="E86" s="53"/>
      <c r="F86" s="53"/>
      <c r="G86" s="54">
        <f>SUM(G83:G85)</f>
        <v>8.2799999999999994</v>
      </c>
      <c r="H86" s="55"/>
      <c r="I86" s="54">
        <f>SUM(I83:I85)</f>
        <v>9.2459999999999987</v>
      </c>
    </row>
    <row r="87" spans="4:12" ht="20.100000000000001" customHeight="1">
      <c r="E87" s="2"/>
      <c r="F87" s="2"/>
      <c r="G87" s="3"/>
      <c r="K87" s="8"/>
      <c r="L87" s="8"/>
    </row>
    <row r="88" spans="4:12" ht="20.100000000000001" hidden="1" customHeight="1">
      <c r="D88" s="2" t="s">
        <v>27</v>
      </c>
      <c r="E88" s="2"/>
      <c r="F88" s="3">
        <f>F27-N35</f>
        <v>2.5</v>
      </c>
      <c r="G88" s="3">
        <f>F27</f>
        <v>3</v>
      </c>
    </row>
    <row r="89" spans="4:12" ht="39.950000000000003" customHeight="1">
      <c r="D89" s="209" t="s">
        <v>242</v>
      </c>
      <c r="E89" s="210"/>
      <c r="F89" s="210"/>
      <c r="G89" s="211" t="s">
        <v>261</v>
      </c>
      <c r="H89" s="211" t="s">
        <v>258</v>
      </c>
      <c r="I89" s="212" t="s">
        <v>257</v>
      </c>
      <c r="J89" s="213"/>
      <c r="K89" s="211" t="s">
        <v>262</v>
      </c>
      <c r="L89" s="214" t="s">
        <v>6</v>
      </c>
    </row>
    <row r="90" spans="4:12" ht="20.100000000000001" customHeight="1" thickBot="1">
      <c r="D90" s="215"/>
      <c r="E90" s="215"/>
      <c r="F90" s="215"/>
      <c r="G90" s="216" t="s">
        <v>3</v>
      </c>
      <c r="H90" s="216" t="s">
        <v>20</v>
      </c>
      <c r="I90" s="217" t="s">
        <v>21</v>
      </c>
      <c r="J90" s="218"/>
      <c r="K90" s="216" t="s">
        <v>270</v>
      </c>
      <c r="L90" s="216" t="s">
        <v>3</v>
      </c>
    </row>
    <row r="91" spans="4:12" ht="20.100000000000001" customHeight="1">
      <c r="D91" s="145" t="str">
        <f>"Lateral earth pressure above z="&amp;F88&amp;"m (P1)"</f>
        <v>Lateral earth pressure above z=2.5m (P1)</v>
      </c>
      <c r="E91" s="146"/>
      <c r="F91" s="146"/>
      <c r="G91" s="147">
        <f>(G74*G67*F88-2*G68*SQRT(G74))*F88/2</f>
        <v>2.083333333333333</v>
      </c>
      <c r="H91" s="147">
        <f>F88/3+N35</f>
        <v>1.3333333333333335</v>
      </c>
      <c r="I91" s="147">
        <f>G91*H91</f>
        <v>2.7777777777777777</v>
      </c>
      <c r="J91" s="148"/>
      <c r="K91" s="147">
        <f>(G74*G67*F88-2*G68*SQRT(G74))</f>
        <v>1.6666666666666665</v>
      </c>
      <c r="L91" s="147">
        <f>K91*F88/2</f>
        <v>2.083333333333333</v>
      </c>
    </row>
    <row r="92" spans="4:12" ht="20.100000000000001" customHeight="1">
      <c r="D92" s="149" t="str">
        <f>"Lateral earth pressure below ​z="&amp;F88&amp;"m (P2)"</f>
        <v>Lateral earth pressure below ​z=2.5m (P2)</v>
      </c>
      <c r="E92" s="150"/>
      <c r="F92" s="150"/>
      <c r="G92" s="151">
        <f>(H74*G67*F88-2*G68*SQRT(H74))*(G88-F88)</f>
        <v>0.97615426738895728</v>
      </c>
      <c r="H92" s="151">
        <f>N35/2</f>
        <v>0.25</v>
      </c>
      <c r="I92" s="151">
        <f>G92*H92</f>
        <v>0.24403856684723932</v>
      </c>
      <c r="J92" s="152"/>
      <c r="K92" s="151">
        <f>(H74*G67*F88-2*G68*SQRT(H74))</f>
        <v>1.9523085347779146</v>
      </c>
      <c r="L92" s="151">
        <f>K92*N35</f>
        <v>0.97615426738895728</v>
      </c>
    </row>
    <row r="93" spans="4:12" ht="20.100000000000001" customHeight="1">
      <c r="D93" s="149" t="str">
        <f>"Lateral earth pressure at ​z="&amp;G88&amp;"m (P3)"</f>
        <v>Lateral earth pressure at ​z=3m (P3)</v>
      </c>
      <c r="E93" s="150"/>
      <c r="F93" s="150"/>
      <c r="G93" s="151">
        <f>((H74*(G67*F88+(G88-F88)*(H67-N36))-2*H68*SQRT(H74))-(H74*G67*F88-2*G68*SQRT(H74)))*(G88-F88)/2</f>
        <v>5.8569256043337348E-2</v>
      </c>
      <c r="H93" s="151">
        <f>N35/3</f>
        <v>0.16666666666666666</v>
      </c>
      <c r="I93" s="151">
        <f>G93*H93</f>
        <v>9.7615426738895568E-3</v>
      </c>
      <c r="J93" s="152"/>
      <c r="K93" s="151">
        <f>H74*(G67*F88+(H67-N36)*N35)-2*H68*SQRT(H74)</f>
        <v>2.1865855589512639</v>
      </c>
      <c r="L93" s="151">
        <f>(K93-K92)*N35/2</f>
        <v>5.8569256043337348E-2</v>
      </c>
    </row>
    <row r="94" spans="4:12" ht="20.100000000000001" customHeight="1">
      <c r="D94" s="149"/>
      <c r="E94" s="150"/>
      <c r="F94" s="150"/>
      <c r="G94" s="151"/>
      <c r="H94" s="151"/>
      <c r="I94" s="151"/>
      <c r="J94" s="152"/>
      <c r="K94" s="151"/>
      <c r="L94" s="151"/>
    </row>
    <row r="95" spans="4:12" ht="20.100000000000001" customHeight="1">
      <c r="D95" s="149" t="s">
        <v>245</v>
      </c>
      <c r="E95" s="150"/>
      <c r="F95" s="150"/>
      <c r="G95" s="151">
        <f>(N27*G74)*F88</f>
        <v>0</v>
      </c>
      <c r="H95" s="151" t="str">
        <f>IF(N27=0,"",F88/2+N35)</f>
        <v/>
      </c>
      <c r="I95" s="151" t="str">
        <f>IF(N27=0,"",G95*H95)</f>
        <v/>
      </c>
      <c r="J95" s="152"/>
      <c r="K95" s="151">
        <f>N27*G74</f>
        <v>0</v>
      </c>
      <c r="L95" s="151">
        <f>K95*F88</f>
        <v>0</v>
      </c>
    </row>
    <row r="96" spans="4:12" ht="20.100000000000001" customHeight="1">
      <c r="D96" s="149" t="s">
        <v>246</v>
      </c>
      <c r="E96" s="150"/>
      <c r="F96" s="150"/>
      <c r="G96" s="151">
        <f>(N27*H74)*(G88-F88)</f>
        <v>0</v>
      </c>
      <c r="H96" s="151" t="str">
        <f>IF(N27=0,"",N35/2)</f>
        <v/>
      </c>
      <c r="I96" s="151" t="str">
        <f>IF(N27=0,"",G96*H96)</f>
        <v/>
      </c>
      <c r="J96" s="152"/>
      <c r="K96" s="151">
        <f>N27*H74</f>
        <v>0</v>
      </c>
      <c r="L96" s="151">
        <f>K96*N35</f>
        <v>0</v>
      </c>
    </row>
    <row r="97" spans="3:49" ht="20.100000000000001" customHeight="1">
      <c r="D97" s="149"/>
      <c r="E97" s="150"/>
      <c r="F97" s="150"/>
      <c r="G97" s="151"/>
      <c r="H97" s="151"/>
      <c r="I97" s="151"/>
      <c r="J97" s="152"/>
      <c r="K97" s="151"/>
      <c r="L97" s="151"/>
    </row>
    <row r="98" spans="3:49" ht="20.100000000000001" customHeight="1" thickBot="1">
      <c r="D98" s="153" t="s">
        <v>247</v>
      </c>
      <c r="E98" s="154"/>
      <c r="F98" s="154"/>
      <c r="G98" s="155">
        <f>((G88-F88)*N36)*(G88-F88)/2</f>
        <v>0.125</v>
      </c>
      <c r="H98" s="155">
        <f>N35/3</f>
        <v>0.16666666666666666</v>
      </c>
      <c r="I98" s="155">
        <f>G98*H98</f>
        <v>2.0833333333333332E-2</v>
      </c>
      <c r="J98" s="156"/>
      <c r="K98" s="155">
        <f>(G88-F88)*N36</f>
        <v>0.5</v>
      </c>
      <c r="L98" s="155">
        <f>K98*N35/2</f>
        <v>0.125</v>
      </c>
    </row>
    <row r="99" spans="3:49" ht="20.100000000000001" customHeight="1">
      <c r="D99" s="56" t="s">
        <v>248</v>
      </c>
      <c r="E99" s="57"/>
      <c r="F99" s="57"/>
      <c r="G99" s="58">
        <f>SUM(G91:G98)</f>
        <v>3.2430568567656279</v>
      </c>
      <c r="H99" s="59"/>
      <c r="I99" s="58">
        <f>SUM(I91:I98)</f>
        <v>3.0524112206322398</v>
      </c>
      <c r="J99" s="59"/>
      <c r="K99" s="60"/>
      <c r="L99" s="60"/>
      <c r="M99" s="2"/>
    </row>
    <row r="100" spans="3:49" ht="20.100000000000001" customHeight="1">
      <c r="D100" s="138" t="s">
        <v>249</v>
      </c>
      <c r="E100" s="139"/>
      <c r="F100" s="139"/>
      <c r="G100" s="140" t="str">
        <f>IF(N28=0,"--",G99*COS(RADIANS(N28)))</f>
        <v>--</v>
      </c>
      <c r="H100" s="141" t="str">
        <f>IF(N28=0,"--",F27/3)</f>
        <v>--</v>
      </c>
      <c r="I100" s="141" t="str">
        <f>IF(N28=0,"--",G100*H100)</f>
        <v>--</v>
      </c>
      <c r="J100" s="142"/>
      <c r="K100" s="143"/>
      <c r="L100" s="143"/>
      <c r="M100" s="2"/>
    </row>
    <row r="101" spans="3:49" ht="20.100000000000001" customHeight="1">
      <c r="D101" s="138" t="s">
        <v>250</v>
      </c>
      <c r="E101" s="139"/>
      <c r="F101" s="139"/>
      <c r="G101" s="140" t="str">
        <f>IF(N28=0,"--",G99*SIN(RADIANS(N28)))</f>
        <v>--</v>
      </c>
      <c r="H101" s="144" t="str">
        <f>IF(N28=0,"--",F32)</f>
        <v>--</v>
      </c>
      <c r="I101" s="141" t="str">
        <f>IF(N28=0,"--",G101*H101)</f>
        <v>--</v>
      </c>
      <c r="J101" s="142"/>
      <c r="K101" s="143"/>
      <c r="L101" s="143"/>
      <c r="M101" s="2"/>
    </row>
    <row r="102" spans="3:49" ht="20.100000000000001" customHeight="1">
      <c r="D102" s="2"/>
      <c r="E102" s="12"/>
      <c r="F102" s="12"/>
      <c r="G102" s="15"/>
      <c r="H102" s="2"/>
      <c r="I102" s="2"/>
      <c r="J102" s="2"/>
      <c r="M102" s="2"/>
    </row>
    <row r="103" spans="3:49" ht="20.100000000000001" customHeight="1">
      <c r="D103" s="61" t="s">
        <v>251</v>
      </c>
      <c r="E103" s="62"/>
      <c r="F103" s="62"/>
      <c r="G103" s="63" t="str">
        <f>IF(F40="Yes",I76*1/2*I67*F34^2,"--")</f>
        <v>--</v>
      </c>
      <c r="H103" s="64" t="str">
        <f>IF(F40="Yes",F34/3,"--")</f>
        <v>--</v>
      </c>
      <c r="I103" s="64" t="str">
        <f>IF(F40="Yes",G103*H103,"--")</f>
        <v>--</v>
      </c>
      <c r="J103" s="15"/>
      <c r="M103" s="2"/>
    </row>
    <row r="104" spans="3:49" ht="20.100000000000001" customHeight="1">
      <c r="E104" s="2"/>
      <c r="F104" s="2"/>
      <c r="G104" s="2"/>
      <c r="H104" s="2"/>
      <c r="I104" s="2"/>
      <c r="J104" s="2"/>
      <c r="M104" s="2"/>
    </row>
    <row r="105" spans="3:49" ht="20.100000000000001" customHeight="1">
      <c r="D105" s="66" t="s">
        <v>252</v>
      </c>
      <c r="E105" s="65"/>
      <c r="F105" s="65"/>
      <c r="G105" s="67">
        <f>IF(Z16="No","",IF(F42="different",N35*N36*F32/2,N35*N36*F32))</f>
        <v>0.45</v>
      </c>
      <c r="H105" s="68">
        <f>IF(Z16="No","",IF(N35=0,"",IF(F42="different",2/3*F32,1/2*F32)))</f>
        <v>1.2</v>
      </c>
      <c r="I105" s="69">
        <f>IF(Z16="No","",IF(N35=0,"",G105*H105))</f>
        <v>0.54</v>
      </c>
      <c r="J105" s="9"/>
      <c r="M105" s="2"/>
      <c r="AQ105" s="40"/>
    </row>
    <row r="106" spans="3:49" ht="20.100000000000001" customHeight="1">
      <c r="F106" s="2"/>
      <c r="G106" s="2"/>
      <c r="H106" s="2"/>
      <c r="I106" s="2"/>
      <c r="J106" s="2"/>
      <c r="K106" s="2"/>
      <c r="L106" s="2"/>
      <c r="M106" s="2"/>
      <c r="AQ106" s="40"/>
    </row>
    <row r="107" spans="3:49" ht="20.100000000000001" customHeight="1">
      <c r="AU107" s="40"/>
    </row>
    <row r="108" spans="3:49" ht="20.100000000000001" customHeight="1">
      <c r="C108" s="198" t="str">
        <f>IF(Y36="v","C.","")</f>
        <v>C.</v>
      </c>
      <c r="D108" s="219" t="str">
        <f>IF(Y36="v","Overall Stability Check","")</f>
        <v>Overall Stability Check</v>
      </c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</row>
    <row r="109" spans="3:49" ht="24.95" customHeight="1">
      <c r="D109" s="104" t="str">
        <f>IF(Y36="v","Don't consider the influence of uplift pressure:","")</f>
        <v>Don't consider the influence of uplift pressure:</v>
      </c>
      <c r="E109" s="96"/>
      <c r="F109" s="96"/>
      <c r="G109" s="96"/>
      <c r="H109" s="96"/>
      <c r="J109" s="96"/>
      <c r="K109" s="104" t="str">
        <f>IF(Y36="v",IF(N35=0,"","Consider the influence of uplift pressure:"),"")</f>
        <v>Consider the influence of uplift pressure:</v>
      </c>
      <c r="L109" s="96"/>
      <c r="M109" s="96"/>
      <c r="N109" s="96"/>
      <c r="O109" s="96"/>
      <c r="AJ109" s="74"/>
      <c r="AK109" s="75" t="s">
        <v>113</v>
      </c>
      <c r="AL109" s="75"/>
      <c r="AM109" s="76"/>
      <c r="AP109" s="2"/>
      <c r="AQ109" s="2"/>
      <c r="AR109" s="2"/>
      <c r="AU109" s="2"/>
      <c r="AV109" s="2"/>
    </row>
    <row r="110" spans="3:49" s="2" customFormat="1" ht="24.95" customHeight="1">
      <c r="D110" s="123" t="str">
        <f>IF(Y36="v","Overturning Moment","")</f>
        <v>Overturning Moment</v>
      </c>
      <c r="E110" s="124"/>
      <c r="F110" s="104"/>
      <c r="G110" s="137">
        <f>IF(Y36="v",IF(N28=0,I99,I100),"")</f>
        <v>3.0524112206322398</v>
      </c>
      <c r="H110" s="124" t="str">
        <f>IF(Y36="v","t-m/m","")</f>
        <v>t-m/m</v>
      </c>
      <c r="J110" s="104"/>
      <c r="K110" s="123" t="str">
        <f>IF(Y36="v",IF(N35=0,"","Overturning Moment"),"")</f>
        <v>Overturning Moment</v>
      </c>
      <c r="L110" s="104"/>
      <c r="M110" s="104"/>
      <c r="N110" s="137">
        <f>IF(Y36="v",IF(N35=0,"",IF(N28=0,SUM(I99,I105),I100+I105)),"")</f>
        <v>3.5924112206322398</v>
      </c>
      <c r="O110" s="124" t="str">
        <f>IF(Y36="v",IF(N35=0,"","t-m/m"),"")</f>
        <v>t-m/m</v>
      </c>
      <c r="R110" s="20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0"/>
      <c r="AJ110" s="82"/>
      <c r="AK110" s="72" t="str">
        <f>IF(Y36="v",IF(N28=0,"Md","MdB"),"blank")</f>
        <v>Md</v>
      </c>
      <c r="AL110" s="72" t="str">
        <f>IF(Y36="v",IF(N35=0,"blank",IF(N28=0,"Md_U","MdB_U")),"blank")</f>
        <v>Md_U</v>
      </c>
      <c r="AM110" s="78"/>
      <c r="AN110" s="1"/>
      <c r="AO110" s="41"/>
      <c r="AQ110" s="42"/>
      <c r="AR110" s="42"/>
      <c r="AT110" s="41"/>
      <c r="AW110" s="42"/>
    </row>
    <row r="111" spans="3:49" s="2" customFormat="1" ht="24.95" customHeight="1">
      <c r="D111" s="123" t="str">
        <f>IF(Y36="v","Restoring Moment","")</f>
        <v>Restoring Moment</v>
      </c>
      <c r="E111" s="124"/>
      <c r="F111" s="104"/>
      <c r="G111" s="137">
        <f>IF(Y36="v",IF(F40="是",IF(N28=0,SUM(I86,I103),SUM(I86,I103,I101)),IF(N28=0,I86,SUM(I86,I101))),"")</f>
        <v>9.2459999999999987</v>
      </c>
      <c r="H111" s="124" t="str">
        <f>IF(Y36="v","t-m/m","")</f>
        <v>t-m/m</v>
      </c>
      <c r="J111" s="104"/>
      <c r="K111" s="123" t="str">
        <f>IF(Y36="v",IF(N35=0,"","Restoring Moment"),"")</f>
        <v>Restoring Moment</v>
      </c>
      <c r="L111" s="104"/>
      <c r="M111" s="104"/>
      <c r="N111" s="137">
        <f>IF(Y36="v",IF(N35=0,"",IF(F40="Yes",IF(N28=0,SUM(I86,I103),SUM(I86,I103,I101)),IF(N28=0,I86,SUM(I86,I101)))),"")</f>
        <v>9.2459999999999987</v>
      </c>
      <c r="O111" s="124" t="str">
        <f>IF(Y36="v",IF(N35=0,"","t-m/m"),"")</f>
        <v>t-m/m</v>
      </c>
      <c r="R111" s="20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0"/>
      <c r="AJ111" s="82"/>
      <c r="AK111" s="72" t="str">
        <f>IF(Y36="v",IF(F40="是",IF(N28=0,"Mr_Pp","MrB_Pp"),IF(N28=0,"Mr","MrB")),"blank")</f>
        <v>Mr</v>
      </c>
      <c r="AL111" s="72" t="str">
        <f>IF(Y36="v",IF(N35=0,"blank",IF(F40="是",IF(N28=0,"Mr_Pp","MrB_Pp"),IF(N28=0,"Mr","MrB"))),"blank")</f>
        <v>Mr</v>
      </c>
      <c r="AM111" s="78"/>
      <c r="AN111" s="1"/>
      <c r="AT111" s="41"/>
      <c r="AW111" s="42"/>
    </row>
    <row r="112" spans="3:49" s="2" customFormat="1" ht="24.95" customHeight="1">
      <c r="D112" s="123" t="str">
        <f>IF(Y36="v","∴","")</f>
        <v>∴</v>
      </c>
      <c r="E112" s="124"/>
      <c r="F112" s="104"/>
      <c r="G112" s="135">
        <f>IF(Y36="v",G111/G110,"")</f>
        <v>3.0290807272307476</v>
      </c>
      <c r="H112" s="104" t="str">
        <f>IF(Y36="v",IF(G112&gt;G$54,"&gt;"&amp;G$54,"&lt;"&amp;G$54),"")</f>
        <v>&gt;2</v>
      </c>
      <c r="I112" s="17" t="str">
        <f>IF(Y36="v",IF(G112&gt;=$G$54,"OK","NG"),"")</f>
        <v>OK</v>
      </c>
      <c r="J112" s="132"/>
      <c r="K112" s="123" t="str">
        <f>IF(Y36="v",IF(N35=0,"","∴"),"")</f>
        <v>∴</v>
      </c>
      <c r="L112" s="104"/>
      <c r="M112" s="104"/>
      <c r="N112" s="135">
        <f>IF(Y36="v",IF(N35=0,"",N111/N110),"")</f>
        <v>2.5737588021375699</v>
      </c>
      <c r="O112" s="104" t="str">
        <f>IF(Y36="v",IF(N35=0,"",IF(N112&gt;G$54,"&gt;"&amp;G$54,"&lt;"&amp;G$54)),"")</f>
        <v>&gt;2</v>
      </c>
      <c r="P112" s="17" t="str">
        <f>IF(Y36="v",IF(N35=0,"",IF(N112&gt;=$G$54,"OK","NG")),"")</f>
        <v>OK</v>
      </c>
      <c r="Q112" s="17"/>
      <c r="R112" s="20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0"/>
      <c r="AJ112" s="82"/>
      <c r="AK112" s="72" t="str">
        <f>IF(Y36="v","FSo","blank")</f>
        <v>FSo</v>
      </c>
      <c r="AL112" s="72" t="str">
        <f>IF(Y36="v",IF(N35=0,"blank","FSo"),"blank")</f>
        <v>FSo</v>
      </c>
      <c r="AM112" s="78"/>
      <c r="AN112" s="1"/>
      <c r="AT112" s="41"/>
      <c r="AU112" s="31"/>
      <c r="AW112" s="42"/>
    </row>
    <row r="113" spans="1:49" s="2" customFormat="1" ht="24.95" customHeight="1">
      <c r="D113" s="29"/>
      <c r="E113" s="10"/>
      <c r="G113" s="16"/>
      <c r="I113" s="17"/>
      <c r="J113" s="17"/>
      <c r="K113" s="29"/>
      <c r="N113" s="16"/>
      <c r="P113" s="17"/>
      <c r="Q113" s="17"/>
      <c r="R113" s="20"/>
      <c r="AB113" s="1"/>
      <c r="AC113" s="1"/>
      <c r="AD113" s="1"/>
      <c r="AE113" s="1"/>
      <c r="AF113" s="1"/>
      <c r="AG113" s="1"/>
      <c r="AH113" s="1"/>
      <c r="AI113" s="20"/>
      <c r="AJ113" s="82"/>
      <c r="AK113" s="11"/>
      <c r="AL113" s="11"/>
      <c r="AM113" s="78"/>
      <c r="AN113" s="1"/>
      <c r="AT113" s="41"/>
      <c r="AU113" s="31"/>
      <c r="AW113" s="42"/>
    </row>
    <row r="114" spans="1:49" s="2" customFormat="1" ht="20.100000000000001" customHeight="1">
      <c r="C114" s="220" t="str">
        <f>IF(Y37="v","D.","")</f>
        <v>D.</v>
      </c>
      <c r="D114" s="221" t="str">
        <f>IF(Y37="v","Sliding Stability Check","")</f>
        <v>Sliding Stability Check</v>
      </c>
      <c r="E114" s="222"/>
      <c r="F114" s="222"/>
      <c r="G114" s="223"/>
      <c r="H114" s="224"/>
      <c r="I114" s="224"/>
      <c r="J114" s="224"/>
      <c r="K114" s="220"/>
      <c r="L114" s="220"/>
      <c r="M114" s="220"/>
      <c r="N114" s="220"/>
      <c r="O114" s="220"/>
      <c r="R114" s="20"/>
      <c r="AB114" s="1"/>
      <c r="AC114" s="1"/>
      <c r="AD114" s="1"/>
      <c r="AE114" s="1"/>
      <c r="AF114" s="1"/>
      <c r="AG114" s="1"/>
      <c r="AH114" s="1"/>
      <c r="AI114" s="20"/>
      <c r="AJ114" s="82"/>
      <c r="AK114" s="10"/>
      <c r="AL114" s="10"/>
      <c r="AM114" s="78"/>
      <c r="AN114" s="1"/>
    </row>
    <row r="115" spans="1:49" s="2" customFormat="1" ht="24.95" customHeight="1">
      <c r="D115" s="136" t="str">
        <f>IF(Y37="v",IF(Z25="value","Don't consider the influence of uplift pressure:","If the angle of wall friction (δ) is known, use the recommended calculation method of the MOTC:"),"")</f>
        <v>If the angle of wall friction (δ) is known, use the recommended calculation method of the MOTC:</v>
      </c>
      <c r="E115" s="104"/>
      <c r="F115" s="126"/>
      <c r="G115" s="127"/>
      <c r="H115" s="128"/>
      <c r="I115" s="14"/>
      <c r="J115" s="14"/>
      <c r="K115" s="104" t="str">
        <f>IF(Y37="v",IF(N35=0,"","Consider the influence of uplift pressure:"),"")</f>
        <v>Consider the influence of uplift pressure:</v>
      </c>
      <c r="L115" s="104"/>
      <c r="M115" s="104"/>
      <c r="N115" s="104"/>
      <c r="O115" s="104"/>
      <c r="R115" s="20"/>
      <c r="AB115" s="1"/>
      <c r="AC115" s="1"/>
      <c r="AD115" s="1"/>
      <c r="AE115" s="1"/>
      <c r="AF115" s="1"/>
      <c r="AG115" s="1"/>
      <c r="AH115" s="1"/>
      <c r="AI115" s="20"/>
      <c r="AJ115" s="82"/>
      <c r="AK115" s="11" t="s">
        <v>113</v>
      </c>
      <c r="AL115" s="11"/>
      <c r="AM115" s="83"/>
      <c r="AT115" s="41"/>
      <c r="AW115" s="39"/>
    </row>
    <row r="116" spans="1:49" s="2" customFormat="1" ht="24.95" customHeight="1">
      <c r="D116" s="123" t="str">
        <f>IF(Y37="v",IF(N28=0,"Horzontal driving forces","Horzontal driving forces"),"")</f>
        <v>Horzontal driving forces</v>
      </c>
      <c r="E116" s="104"/>
      <c r="F116" s="126"/>
      <c r="G116" s="134">
        <f>IF(Y37="v",IF(N28=0,G99,G100),"")</f>
        <v>3.2430568567656279</v>
      </c>
      <c r="H116" s="133" t="str">
        <f>IF(Y37="v","t","")</f>
        <v>t</v>
      </c>
      <c r="I116" s="14"/>
      <c r="J116" s="14"/>
      <c r="K116" s="123" t="str">
        <f>IF(Y37="v",IF(N35=0,"",IF(N28=0,"Horzontal driving forces","Horzontal driving forces")),"")</f>
        <v>Horzontal driving forces</v>
      </c>
      <c r="L116" s="104"/>
      <c r="M116" s="104"/>
      <c r="N116" s="130">
        <f>IF(Y37="v",IF(N35=0,"",IF(N28=0,G99,G100)),"")</f>
        <v>3.2430568567656279</v>
      </c>
      <c r="O116" s="133" t="str">
        <f>IF(Y37="v",IF(N35=0,"","t"),"")</f>
        <v>t</v>
      </c>
      <c r="R116" s="20"/>
      <c r="AB116" s="1"/>
      <c r="AC116" s="1"/>
      <c r="AD116" s="1"/>
      <c r="AE116" s="1"/>
      <c r="AF116" s="1"/>
      <c r="AG116" s="1"/>
      <c r="AH116" s="1"/>
      <c r="AI116" s="20"/>
      <c r="AJ116" s="82"/>
      <c r="AK116" s="72" t="str">
        <f>IF(Y37="v",IF(N28=0,"Fd","FdB"),"blank")</f>
        <v>Fd</v>
      </c>
      <c r="AL116" s="72" t="str">
        <f>IF(Y37="v",IF(N35=0,"blank",IF(N28=0,"Fd","FdB")),"blank")</f>
        <v>Fd</v>
      </c>
      <c r="AM116" s="83"/>
      <c r="AQ116" s="41"/>
      <c r="AR116" s="39"/>
      <c r="AS116" s="39"/>
      <c r="AT116" s="41"/>
      <c r="AW116" s="39"/>
    </row>
    <row r="117" spans="1:49" s="2" customFormat="1" ht="24.95" customHeight="1">
      <c r="D117" s="123" t="str">
        <f>IF(Y37="v",IF(AND(Y37="v",Z25="value"),IF(F40="Yes","Horizontal resisting forces","Horizontal resisting forces"),IF(F40="Yes",IF(F44="No","Horizontal resisting forces","Horizontal resisting forces"),IF(F44="No","Horizontal resisting forces","Horizontal resisting forces"))),"")</f>
        <v>Horizontal resisting forces</v>
      </c>
      <c r="E117" s="104"/>
      <c r="F117" s="126"/>
      <c r="G117" s="134">
        <f>IF(Y37="v",IF(AND(Y37="v",Z25="value"),IF(F40="Yes",IF(N28=0,G86*F46+G103,(G86+G101)*F46+G103),IF(N28=0,G86*F46,(G86+G101)*F46)),IF(F40="Yes",IF(N28=0,G86*F46+G103,(G86+G101)*F46+G103),IF(N28=0,G86*F46,(G86+G101)*F46))),"")</f>
        <v>5.3737199999999996</v>
      </c>
      <c r="H117" s="133" t="str">
        <f>IF(Y37="v","t","")</f>
        <v>t</v>
      </c>
      <c r="I117" s="14"/>
      <c r="J117" s="14"/>
      <c r="K117" s="123" t="str">
        <f>IF(Y37="v",IF(N35=0,"",IF(AND(Y37="v",Z25="value"),IF(F40="Yes","Horizontal resisting forces","Horizontal resisting forces"),IF(F40="Yes",IF(F44="No","Horizontal resisting forces","Horizontal resisting forces"),IF(F44="No","Horizontal resisting forces","Horizontal resisting forces")))),"")</f>
        <v>Horizontal resisting forces</v>
      </c>
      <c r="L117" s="126"/>
      <c r="M117" s="104"/>
      <c r="N117" s="134">
        <f>IF(Y37="v",IF(AND(Y37="v",Z25="輸入數值"),IF(N35=0,"",IF(F40="是",IF(N28=0,(G86-G105)*F46+G103,(G86+G101-G105)*F46+G103),IF(N28=0,(G86-G105)*F46,(G86+G101-G105)*F46))),IF(N35=0,"",IF(F40="是",IF(N28=0,(G86-G105)*F46+G103,(G86+G101-G105)*F46+G103),IF(N28=0,(G86-G105)*F46,(G86+G101-G105)*F46)))),"")</f>
        <v>5.0816699999999999</v>
      </c>
      <c r="O117" s="133" t="str">
        <f>IF(Y37="v",IF(N35=0,"","t"),"")</f>
        <v>t</v>
      </c>
      <c r="R117" s="20"/>
      <c r="AB117" s="1"/>
      <c r="AC117" s="1"/>
      <c r="AD117" s="1"/>
      <c r="AE117" s="1"/>
      <c r="AF117" s="1"/>
      <c r="AG117" s="1"/>
      <c r="AH117" s="1"/>
      <c r="AI117" s="20"/>
      <c r="AJ117" s="82"/>
      <c r="AK117" s="72" t="str">
        <f>IF(Y37="v",IF(AND(Y37="v",Z25="輸入數值"),IF(F40="是","滑動抵抗Fru_Pp","Fru"),IF(F40="是",IF(F44="否","Frs_Pp","Fr_Pp"),IF(F44="否","Frs","Fr"))),"blank")</f>
        <v>Fr</v>
      </c>
      <c r="AL117" s="72" t="str">
        <f>IF(Y37="v",IF(N35=0,"blank",IF(AND(Y37="v",Z25="輸入數值"),IF(F40="是","Fru_U_Pp","Fru_U"),IF(F40="是",IF(F44="否","Frs_U_Pp","Fr_U_Pp"),IF(F44="否","Frs_U","Fr_U")))),"blank")</f>
        <v>Fr_U</v>
      </c>
      <c r="AM117" s="84"/>
      <c r="AN117" s="17"/>
      <c r="AQ117" s="41"/>
      <c r="AR117" s="39"/>
      <c r="AS117" s="39"/>
      <c r="AT117" s="41"/>
      <c r="AW117" s="39"/>
    </row>
    <row r="118" spans="1:49" s="2" customFormat="1" ht="24.95" customHeight="1">
      <c r="D118" s="123" t="str">
        <f>IF(Y37="v","∴","")</f>
        <v>∴</v>
      </c>
      <c r="E118" s="104"/>
      <c r="F118" s="104"/>
      <c r="G118" s="135">
        <f>IF(Y37="v",G117/G116,"")</f>
        <v>1.6569922259578664</v>
      </c>
      <c r="H118" s="104" t="str">
        <f>IF(Y37="v",IF(G118&gt;G55,"&gt;"&amp;G55,"&lt;"&amp;G55),"")</f>
        <v>&gt;1.5</v>
      </c>
      <c r="I118" s="17" t="str">
        <f>IF(Y37="v",IF(G118&gt;=G55,"OK","NG"),"")</f>
        <v>OK</v>
      </c>
      <c r="J118" s="17"/>
      <c r="K118" s="123" t="str">
        <f>IF(Y37="v",IF(N35=0,"","∴"),"")</f>
        <v>∴</v>
      </c>
      <c r="L118" s="104"/>
      <c r="M118" s="104"/>
      <c r="N118" s="135">
        <f>IF(Y37="v",IF(N35=0,"",N117/N116),"")</f>
        <v>1.5669383006340696</v>
      </c>
      <c r="O118" s="104" t="str">
        <f>IF(Y37="v",IF(N35=0,"",IF(N118&gt;G55,"&gt;"&amp;G55,"&lt;"&amp;G55)),"")</f>
        <v>&gt;1.5</v>
      </c>
      <c r="P118" s="17" t="str">
        <f>IF(Y37="v",IF(N35=0,"",IF(N118&gt;=G55,"OK","NG")),"")</f>
        <v>OK</v>
      </c>
      <c r="Q118" s="17"/>
      <c r="R118" s="20"/>
      <c r="AI118" s="20"/>
      <c r="AJ118" s="82"/>
      <c r="AK118" s="72" t="str">
        <f>IF(Y37="v","FSs","blank")</f>
        <v>FSs</v>
      </c>
      <c r="AL118" s="72" t="str">
        <f>IF(Y37="v",IF(N35=0,"blank","FSs"),"blank")</f>
        <v>FSs</v>
      </c>
      <c r="AM118" s="83"/>
      <c r="AQ118" s="41"/>
      <c r="AR118" s="39"/>
      <c r="AS118" s="39"/>
      <c r="AT118" s="41"/>
      <c r="AW118" s="39"/>
    </row>
    <row r="119" spans="1:49" s="2" customFormat="1" ht="20.100000000000001" customHeight="1">
      <c r="R119" s="20"/>
      <c r="AB119" s="17"/>
      <c r="AC119" s="17"/>
      <c r="AD119" s="17"/>
      <c r="AE119" s="17"/>
      <c r="AF119" s="17"/>
      <c r="AG119" s="17"/>
      <c r="AH119" s="17"/>
      <c r="AI119" s="20"/>
      <c r="AJ119" s="82"/>
      <c r="AK119" s="10"/>
      <c r="AL119" s="10"/>
      <c r="AM119" s="83"/>
      <c r="AQ119" s="41"/>
      <c r="AR119" s="39"/>
      <c r="AS119" s="39"/>
    </row>
    <row r="120" spans="1:49" s="2" customFormat="1" ht="20.100000000000001" customHeight="1">
      <c r="C120" s="220" t="str">
        <f>IF(Y38="v","E.","")</f>
        <v>E.</v>
      </c>
      <c r="D120" s="225" t="str">
        <f>IF(Y38="v","Bearing Capacity Failure","")</f>
        <v>Bearing Capacity Failure</v>
      </c>
      <c r="E120" s="222"/>
      <c r="F120" s="222"/>
      <c r="G120" s="223"/>
      <c r="H120" s="224"/>
      <c r="I120" s="220"/>
      <c r="J120" s="220"/>
      <c r="K120" s="220"/>
      <c r="L120" s="220"/>
      <c r="M120" s="220"/>
      <c r="N120" s="220"/>
      <c r="O120" s="220"/>
      <c r="R120" s="20"/>
      <c r="AI120" s="20"/>
      <c r="AJ120" s="82"/>
      <c r="AK120" s="10"/>
      <c r="AL120" s="10"/>
      <c r="AM120" s="83"/>
      <c r="AQ120" s="41"/>
      <c r="AR120" s="39"/>
      <c r="AS120" s="39"/>
      <c r="AT120" s="41"/>
      <c r="AW120" s="39"/>
    </row>
    <row r="121" spans="1:49" s="2" customFormat="1" ht="20.100000000000001" customHeight="1">
      <c r="D121" s="104" t="str">
        <f>IF(Y38="v","Don't consider the influence of uplift pressure:","")</f>
        <v>Don't consider the influence of uplift pressure:</v>
      </c>
      <c r="E121" s="104"/>
      <c r="F121" s="126"/>
      <c r="G121" s="127"/>
      <c r="H121" s="128"/>
      <c r="I121" s="14"/>
      <c r="J121" s="128"/>
      <c r="K121" s="104" t="str">
        <f>IF(Y38="v",IF(N35=0,"","Consider the influence of uplift pressure:"),"")</f>
        <v>Consider the influence of uplift pressure:</v>
      </c>
      <c r="L121" s="104"/>
      <c r="M121" s="104"/>
      <c r="N121" s="104"/>
      <c r="O121" s="104"/>
      <c r="R121" s="20"/>
      <c r="AI121" s="20"/>
      <c r="AJ121" s="82"/>
      <c r="AK121" s="10"/>
      <c r="AL121" s="10"/>
      <c r="AM121" s="83"/>
      <c r="AQ121" s="41"/>
      <c r="AR121" s="39"/>
      <c r="AS121" s="39"/>
      <c r="AT121" s="41"/>
      <c r="AW121" s="39"/>
    </row>
    <row r="122" spans="1:49" s="2" customFormat="1" ht="24.95" customHeight="1">
      <c r="D122" s="129" t="str">
        <f>IF(Y38="v","Distance from center of resultant to point O","")</f>
        <v>Distance from center of resultant to point O</v>
      </c>
      <c r="E122" s="104"/>
      <c r="F122" s="104"/>
      <c r="G122" s="130">
        <f>IF(Y38="v",IF(N28=0,(G111-G110)/(G86),(G111-G110)/(G86+G101)),"")</f>
        <v>0.74801796852267621</v>
      </c>
      <c r="H122" s="128" t="str">
        <f>IF(Y38="v","m","")</f>
        <v>m</v>
      </c>
      <c r="J122" s="104"/>
      <c r="K122" s="129" t="str">
        <f>IF(Y38="v",IF(N35=0,"","Distance from center of resultant to point O"),"")</f>
        <v>Distance from center of resultant to point O</v>
      </c>
      <c r="L122" s="104"/>
      <c r="M122" s="104"/>
      <c r="N122" s="130">
        <f>IF(Y38="v",IF(N35=0,"",IF(N28=0,(N111-N110)/(G86-G105),(N111-N110)/(G86+G101-G105))),"")</f>
        <v>0.7220419897021404</v>
      </c>
      <c r="O122" s="131" t="str">
        <f>IF(Y38="v",IF(N35=0,"","m"),"")</f>
        <v>m</v>
      </c>
      <c r="R122" s="20"/>
      <c r="AI122" s="20"/>
      <c r="AJ122" s="82"/>
      <c r="AK122" s="11" t="s">
        <v>113</v>
      </c>
      <c r="AL122" s="11"/>
      <c r="AM122" s="83"/>
    </row>
    <row r="123" spans="1:49" s="2" customFormat="1" ht="24.95" customHeight="1">
      <c r="D123" s="121" t="str">
        <f>IF(Y38="v","Eccentricity","")</f>
        <v>Eccentricity</v>
      </c>
      <c r="E123" s="104"/>
      <c r="F123" s="104"/>
      <c r="G123" s="130">
        <f>IF(Y38="v",F32/2-G122,"")</f>
        <v>0.15198203147732381</v>
      </c>
      <c r="H123" s="104" t="str">
        <f>IF(Y38="v",IF(ABS(G123)&gt;F32/6,"m  (&gt;B/6)","m  (&lt; B/6)"),"")</f>
        <v>m  (&lt; B/6)</v>
      </c>
      <c r="I123" s="26" t="str">
        <f>IF(Y38="v",IF(G123&lt;F32/6,"OK","NG"),"")</f>
        <v>OK</v>
      </c>
      <c r="J123" s="104"/>
      <c r="K123" s="121" t="str">
        <f>IF(Y38="v",IF(N35=0,"","Eccentricity"),"")</f>
        <v>Eccentricity</v>
      </c>
      <c r="L123" s="104"/>
      <c r="M123" s="104"/>
      <c r="N123" s="130">
        <f>IF(Y38="v",IF(N35=0,"",F32/2-N122),"")</f>
        <v>0.17795801029785963</v>
      </c>
      <c r="O123" s="104" t="str">
        <f>IF(Y38="v",IF(N35=0,"",IF(ABS(N123)&gt;F32/6,"m  (&gt;B/6)","m  (&lt; B/6)")),"")</f>
        <v>m  (&lt; B/6)</v>
      </c>
      <c r="P123" s="26" t="str">
        <f>IF(Y38="v",IF(N35=0,"",IF(N123&lt;F32/6,"OK","NG")),"")</f>
        <v>OK</v>
      </c>
      <c r="R123" s="20"/>
      <c r="AI123" s="20"/>
      <c r="AJ123" s="82"/>
      <c r="AK123" s="72" t="str">
        <f>IF(Y38="v","d","blank")</f>
        <v>d</v>
      </c>
      <c r="AL123" s="72" t="str">
        <f>IF(Y38="v",IF(N35=0,"blank","d_U"),"blank")</f>
        <v>d_U</v>
      </c>
      <c r="AM123" s="84"/>
      <c r="AN123" s="17"/>
    </row>
    <row r="124" spans="1:49" s="2" customFormat="1" ht="24.95" customHeight="1">
      <c r="D124" s="121"/>
      <c r="E124" s="104"/>
      <c r="F124" s="104"/>
      <c r="G124" s="130"/>
      <c r="H124" s="104"/>
      <c r="J124" s="104"/>
      <c r="K124" s="121"/>
      <c r="L124" s="104"/>
      <c r="M124" s="104"/>
      <c r="N124" s="130"/>
      <c r="O124" s="104"/>
      <c r="R124" s="20"/>
      <c r="AI124" s="20"/>
      <c r="AJ124" s="82"/>
      <c r="AK124" s="72" t="str">
        <f>IF(Y38="v","e","blank")</f>
        <v>e</v>
      </c>
      <c r="AL124" s="72" t="str">
        <f>IF(Y38="v",IF(N35=0,"blank","e"),"blank")</f>
        <v>e</v>
      </c>
      <c r="AM124" s="83"/>
    </row>
    <row r="125" spans="1:49" s="2" customFormat="1" ht="24.95" customHeight="1">
      <c r="D125" s="129" t="str">
        <f>IF(Y38="v","Maximum footing pressure","")</f>
        <v>Maximum footing pressure</v>
      </c>
      <c r="E125" s="104"/>
      <c r="F125" s="104"/>
      <c r="G125" s="130">
        <f>IF(Y38="v",IF(N28=0,G86/(F32*1)*(1+6*ABS(G123)/F32),(G86+G101)/(F32*1)*(1+6*ABS(G123)/F32)),"")</f>
        <v>6.9303911493189645</v>
      </c>
      <c r="H125" s="131" t="str">
        <f>IF(Y38="v",IF(G125&lt;=G56,"&lt;"&amp;G56&amp;" t-m","&gt;"&amp;G56&amp;" t-m"),"")</f>
        <v>&lt;60 t-m</v>
      </c>
      <c r="I125" s="17" t="str">
        <f>IF(Y38="v",IF(G125&lt;=$G$56,"OK","NG"),"")</f>
        <v>OK</v>
      </c>
      <c r="J125" s="132"/>
      <c r="K125" s="129" t="str">
        <f>IF(Y38="v",IF(N35=0,"","Maximum footing pressure"),"")</f>
        <v>Maximum footing pressure</v>
      </c>
      <c r="L125" s="104"/>
      <c r="M125" s="104"/>
      <c r="N125" s="130">
        <f>IF(Y38="v",IF(N35=0,"",IF(N28=0,(G86-G105)/(F32*1)*(1+6*ABS(N123)/F32),(G86+G101-G105)/(F32*1)*(1+6*ABS(N123)/F32))),"")</f>
        <v>6.9303911493189636</v>
      </c>
      <c r="O125" s="104" t="str">
        <f>IF(Y38="v",IF(N35=0,"",IF(N125&lt;=G56,"&lt;"&amp;G56&amp;" t-m","&gt;"&amp;G56&amp;" t-m")),"")</f>
        <v>&lt;60 t-m</v>
      </c>
      <c r="P125" s="17" t="str">
        <f>IF(Y38="v",IF(N35=0,"",IF(N125&lt;=$G$56,"OK","NG")),"")</f>
        <v>OK</v>
      </c>
      <c r="Q125" s="17"/>
      <c r="R125" s="20"/>
      <c r="AI125" s="20"/>
      <c r="AJ125" s="82"/>
      <c r="AK125" s="72" t="str">
        <f>IF(Y38="v","qmax","blank")</f>
        <v>qmax</v>
      </c>
      <c r="AL125" s="72" t="str">
        <f>IF(Y38="v",IF(N35=0,"blank","qmax_U"),"blank")</f>
        <v>qmax_U</v>
      </c>
      <c r="AM125" s="85"/>
      <c r="AN125" s="14"/>
    </row>
    <row r="126" spans="1:49" s="2" customFormat="1" ht="24.95" customHeight="1">
      <c r="D126" s="129" t="str">
        <f>IF(Y38="v","Minimum footing pressure","")</f>
        <v>Minimum footing pressure</v>
      </c>
      <c r="E126" s="104"/>
      <c r="F126" s="104"/>
      <c r="G126" s="130">
        <f>IF(Y38="v",IF(N28=0,G86/(F32*1)*(1-6*ABS(G123)/F32),(G86+G101)/(F32*1)*(1-6*ABS(G123)/F32)),"")</f>
        <v>2.2696088506810348</v>
      </c>
      <c r="H126" s="128"/>
      <c r="J126" s="104"/>
      <c r="K126" s="129" t="str">
        <f>IF(Y38="v",IF(N35=0,"","Minimum footing pressure"),"")</f>
        <v>Minimum footing pressure</v>
      </c>
      <c r="L126" s="104"/>
      <c r="M126" s="104"/>
      <c r="N126" s="130">
        <f>IF(Y38="v",IF(N35=0,"",IF(N28=0,(G86-G105)/(F32*1)*(1-6*ABS(N123)/F32),(G86+G101-G105)/(F32*1)*(1-6*ABS(N123)/F32))),"")</f>
        <v>1.769608850681035</v>
      </c>
      <c r="O126" s="104"/>
      <c r="R126" s="20"/>
      <c r="AB126" s="17"/>
      <c r="AC126" s="17"/>
      <c r="AD126" s="17"/>
      <c r="AE126" s="17"/>
      <c r="AF126" s="17"/>
      <c r="AG126" s="17"/>
      <c r="AH126" s="17"/>
      <c r="AI126" s="20"/>
      <c r="AJ126" s="82"/>
      <c r="AK126" s="72" t="str">
        <f>IF(Y38="v","qmin","blank")</f>
        <v>qmin</v>
      </c>
      <c r="AL126" s="72" t="str">
        <f>IF(Y38="v",IF(N35=0,"blank","qmin_U"),"blank")</f>
        <v>qmin_U</v>
      </c>
      <c r="AM126" s="85"/>
      <c r="AN126" s="14"/>
    </row>
    <row r="127" spans="1:49" s="2" customFormat="1" ht="20.100000000000001" customHeight="1">
      <c r="D127" s="104"/>
      <c r="E127" s="104"/>
      <c r="F127" s="104"/>
      <c r="G127" s="104"/>
      <c r="H127" s="104"/>
      <c r="J127" s="104"/>
      <c r="K127" s="104"/>
      <c r="L127" s="104"/>
      <c r="M127" s="104"/>
      <c r="N127" s="104"/>
      <c r="O127" s="104"/>
      <c r="R127" s="20"/>
      <c r="AI127" s="20"/>
      <c r="AJ127" s="82"/>
      <c r="AK127" s="72" t="str">
        <f>IF(Y38="v","FSb","blank")</f>
        <v>FSb</v>
      </c>
      <c r="AL127" s="72" t="str">
        <f>IF(Y38="v",IF(N35=0,"blank","FSb"),"blank")</f>
        <v>FSb</v>
      </c>
      <c r="AM127" s="84"/>
      <c r="AN127" s="17"/>
    </row>
    <row r="128" spans="1:49" s="2" customFormat="1" ht="24.95" customHeight="1">
      <c r="A128" s="1"/>
      <c r="B128" s="1"/>
      <c r="C128" s="1"/>
      <c r="D128" s="121" t="str">
        <f>IF(Y38="v","∴","")</f>
        <v>∴</v>
      </c>
      <c r="E128" s="96"/>
      <c r="F128" s="96"/>
      <c r="G128" s="130">
        <f>IF(Y38="v",G56/G125,"")</f>
        <v>8.6575200024454713</v>
      </c>
      <c r="H128" s="104" t="str">
        <f>IF(Y38="v",IF(G128&gt;AA39,"&gt;"&amp;AA39,"&lt;"&amp;AA39),"")</f>
        <v>&gt;2.5</v>
      </c>
      <c r="I128" s="17" t="str">
        <f>IF(Y38="v",IF(G128&gt;=AA39,"OK","NG"),"")</f>
        <v>OK</v>
      </c>
      <c r="J128" s="96"/>
      <c r="K128" s="121" t="str">
        <f>IF(Y38="v",IF(N35=0,"","∴"),"")</f>
        <v>∴</v>
      </c>
      <c r="L128" s="96"/>
      <c r="M128" s="96"/>
      <c r="N128" s="130">
        <f>IF(Y38="v",IF(N35=0,"",G56/N125),"")</f>
        <v>8.657520002445473</v>
      </c>
      <c r="O128" s="104" t="str">
        <f>IF(Y38="v",IF(N35=0,"",IF(N128&gt;AA39,"&gt;"&amp;AA39,"&lt;"&amp;AA39)),"")</f>
        <v>&gt;2.5</v>
      </c>
      <c r="P128" s="17" t="str">
        <f>IF(Y38="v",IF(N35=0,"",IF(N128&gt;=AA39,"OK","NG")),"")</f>
        <v>OK</v>
      </c>
      <c r="Q128" s="1"/>
      <c r="R128" s="20"/>
      <c r="AB128" s="14"/>
      <c r="AC128" s="14"/>
      <c r="AD128" s="14"/>
      <c r="AE128" s="14"/>
      <c r="AF128" s="14"/>
      <c r="AG128" s="14"/>
      <c r="AH128" s="14"/>
      <c r="AI128" s="20"/>
      <c r="AJ128" s="82"/>
      <c r="AK128" s="72" t="str">
        <f>IF(Y38="v","bearing_capacity","blank")</f>
        <v>bearing_capacity</v>
      </c>
      <c r="AL128" s="10"/>
      <c r="AM128" s="83"/>
    </row>
    <row r="129" spans="2:39" s="2" customFormat="1" ht="20.100000000000001" customHeight="1">
      <c r="P129" s="31"/>
      <c r="Q129" s="31"/>
      <c r="R129" s="20"/>
      <c r="AB129" s="14"/>
      <c r="AC129" s="14"/>
      <c r="AD129" s="14"/>
      <c r="AE129" s="14"/>
      <c r="AF129" s="14"/>
      <c r="AG129" s="14"/>
      <c r="AH129" s="14"/>
      <c r="AI129" s="20"/>
      <c r="AJ129" s="82"/>
      <c r="AK129" s="10"/>
      <c r="AL129" s="10"/>
      <c r="AM129" s="83"/>
    </row>
    <row r="130" spans="2:39" s="2" customFormat="1" ht="20.100000000000001" customHeight="1">
      <c r="P130" s="31"/>
      <c r="Q130" s="31"/>
      <c r="R130" s="20"/>
      <c r="AB130" s="17"/>
      <c r="AC130" s="17"/>
      <c r="AD130" s="17"/>
      <c r="AE130" s="17"/>
      <c r="AF130" s="17"/>
      <c r="AG130" s="17"/>
      <c r="AH130" s="17"/>
      <c r="AI130" s="20"/>
      <c r="AJ130" s="82"/>
      <c r="AK130" s="10"/>
      <c r="AL130" s="10"/>
      <c r="AM130" s="83"/>
    </row>
    <row r="131" spans="2:39" s="2" customFormat="1" ht="20.100000000000001" customHeight="1">
      <c r="P131" s="31"/>
      <c r="Q131" s="31"/>
      <c r="R131" s="20"/>
      <c r="AI131" s="20"/>
      <c r="AJ131" s="82"/>
      <c r="AK131" s="10"/>
      <c r="AL131" s="10"/>
      <c r="AM131" s="83"/>
    </row>
    <row r="132" spans="2:39" s="2" customFormat="1" ht="20.100000000000001" customHeight="1">
      <c r="P132" s="31"/>
      <c r="Q132" s="31"/>
      <c r="R132" s="20"/>
      <c r="AI132" s="20"/>
      <c r="AJ132" s="82"/>
      <c r="AK132" s="10"/>
      <c r="AL132" s="10"/>
      <c r="AM132" s="83"/>
    </row>
    <row r="133" spans="2:39" s="2" customFormat="1" ht="20.100000000000001" customHeight="1">
      <c r="P133" s="31"/>
      <c r="Q133" s="31"/>
      <c r="R133" s="20"/>
      <c r="AI133" s="20"/>
      <c r="AJ133" s="82"/>
      <c r="AK133" s="10"/>
      <c r="AL133" s="10"/>
      <c r="AM133" s="83"/>
    </row>
    <row r="134" spans="2:39" s="2" customFormat="1" ht="20.100000000000001" customHeight="1">
      <c r="P134" s="31"/>
      <c r="Q134" s="31"/>
      <c r="R134" s="20"/>
      <c r="AI134" s="20"/>
      <c r="AJ134" s="82"/>
      <c r="AK134" s="10"/>
      <c r="AL134" s="10"/>
      <c r="AM134" s="83"/>
    </row>
    <row r="135" spans="2:39" s="2" customFormat="1" ht="20.100000000000001" customHeight="1">
      <c r="P135" s="31"/>
      <c r="Q135" s="31"/>
      <c r="R135" s="20"/>
      <c r="AI135" s="20"/>
      <c r="AJ135" s="82"/>
      <c r="AK135" s="10"/>
      <c r="AL135" s="10"/>
      <c r="AM135" s="83"/>
    </row>
    <row r="136" spans="2:39" s="2" customFormat="1" ht="20.100000000000001" customHeight="1">
      <c r="P136" s="31"/>
      <c r="Q136" s="31"/>
      <c r="R136" s="20"/>
      <c r="AI136" s="20"/>
      <c r="AJ136" s="82"/>
      <c r="AK136" s="10"/>
      <c r="AL136" s="10"/>
      <c r="AM136" s="83"/>
    </row>
    <row r="137" spans="2:39" s="2" customFormat="1" ht="20.100000000000001" customHeight="1">
      <c r="P137" s="31"/>
      <c r="Q137" s="31"/>
      <c r="R137" s="20"/>
      <c r="S137" s="1"/>
      <c r="T137" s="1"/>
      <c r="U137" s="1"/>
      <c r="V137" s="1"/>
      <c r="W137" s="1"/>
      <c r="X137" s="1"/>
      <c r="Y137" s="1"/>
      <c r="Z137" s="1"/>
      <c r="AA137" s="1"/>
      <c r="AI137" s="20"/>
      <c r="AJ137" s="82"/>
      <c r="AK137" s="10"/>
      <c r="AL137" s="10"/>
      <c r="AM137" s="83"/>
    </row>
    <row r="138" spans="2:39" ht="24.95" customHeight="1">
      <c r="B138" s="50" t="s">
        <v>243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9" ht="24.95" customHeight="1">
      <c r="D139" s="104" t="s">
        <v>244</v>
      </c>
      <c r="E139" s="96"/>
      <c r="F139" s="96"/>
      <c r="G139" s="96"/>
      <c r="K139" s="104" t="str">
        <f>IF(N35=0,"","Consider the influence of uplift pressure:")</f>
        <v>Consider the influence of uplift pressure:</v>
      </c>
      <c r="L139" s="96"/>
      <c r="M139" s="96"/>
      <c r="N139" s="96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spans="2:39" ht="20.100000000000001" customHeight="1" thickBot="1">
      <c r="D140" s="239" t="s">
        <v>172</v>
      </c>
      <c r="E140" s="240"/>
      <c r="F140" s="240" t="s">
        <v>264</v>
      </c>
      <c r="G140" s="240"/>
      <c r="H140" s="241" t="s">
        <v>263</v>
      </c>
      <c r="I140" s="242"/>
      <c r="K140" s="123" t="str">
        <f>IF(N35=0,"","Item")</f>
        <v>Item</v>
      </c>
      <c r="L140" s="124"/>
      <c r="M140" s="124" t="str">
        <f>IF(N35=0,"","Result")</f>
        <v>Result</v>
      </c>
      <c r="N140" s="124"/>
      <c r="O140" s="10" t="str">
        <f>IF(N35=0,"","Check")</f>
        <v>Check</v>
      </c>
      <c r="P140" s="1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9" ht="20.100000000000001" customHeight="1">
      <c r="D141" s="121" t="str">
        <f>IF(Y36="v","Overturnin, FSo","")</f>
        <v>Overturnin, FSo</v>
      </c>
      <c r="E141" s="104"/>
      <c r="F141" s="122" t="str">
        <f>IF(Y36="v",ROUND(G112,2)&amp;H112,"")</f>
        <v>3.03&gt;2</v>
      </c>
      <c r="G141" s="104"/>
      <c r="H141" s="17" t="str">
        <f>IF(Y36="v",I112,"")</f>
        <v>OK</v>
      </c>
      <c r="K141" s="123" t="str">
        <f>IF(Y36="v",IF(N35=0,"","Overturnin, FSo"),"")</f>
        <v>Overturnin, FSo</v>
      </c>
      <c r="L141" s="124"/>
      <c r="M141" s="125" t="str">
        <f>IF(Y36="v",IF(N35=0,"",ROUND(N112,2)&amp;O112),"")</f>
        <v>2.57&gt;2</v>
      </c>
      <c r="N141" s="124"/>
      <c r="O141" s="17" t="str">
        <f>IF(Y36="v",IF(N35=0,"",P112),"")</f>
        <v>OK</v>
      </c>
      <c r="P141" s="1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9" ht="20.100000000000001" customHeight="1">
      <c r="D142" s="121" t="str">
        <f>IF(Y37="v","Sliding, FSs","")</f>
        <v>Sliding, FSs</v>
      </c>
      <c r="E142" s="104"/>
      <c r="F142" s="122" t="str">
        <f>IF(Y37="v",ROUND(G118,2)&amp;H118,"")</f>
        <v>1.66&gt;1.5</v>
      </c>
      <c r="G142" s="104"/>
      <c r="H142" s="17" t="str">
        <f>IF(Y37="v",I118,"")</f>
        <v>OK</v>
      </c>
      <c r="K142" s="121" t="str">
        <f>IF(Y37="v",IF(N35=0,"","Sliding, FSs"),"")</f>
        <v>Sliding, FSs</v>
      </c>
      <c r="L142" s="104"/>
      <c r="M142" s="122" t="str">
        <f>IF(Y37="v",IF(N35=0,"",ROUND(N118,2)&amp;O118),"")</f>
        <v>1.57&gt;1.5</v>
      </c>
      <c r="N142" s="104"/>
      <c r="O142" s="17" t="str">
        <f>IF(Y37="v",IF(N35=0,"",P118),"")</f>
        <v>OK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9" ht="20.100000000000001" customHeight="1">
      <c r="D143" s="121" t="str">
        <f>IF(Y38="v","Allowable bearing capacity","")</f>
        <v>Allowable bearing capacity</v>
      </c>
      <c r="E143" s="104"/>
      <c r="F143" s="122" t="str">
        <f>IF(Y38="v",ROUND(G125,2)&amp;H125,"")</f>
        <v>6.93&lt;60 t-m</v>
      </c>
      <c r="G143" s="104"/>
      <c r="H143" s="17" t="str">
        <f>IF(Y38="v",I125,"")</f>
        <v>OK</v>
      </c>
      <c r="K143" s="121" t="str">
        <f>IF(Y38="v",IF(N35=0,"","Allowable bearing capacity"),"")</f>
        <v>Allowable bearing capacity</v>
      </c>
      <c r="L143" s="104"/>
      <c r="M143" s="122" t="str">
        <f>IF(Y38="v",IF(N35=0,"",ROUND(N125,2)&amp;O125),"")</f>
        <v>6.93&lt;60 t-m</v>
      </c>
      <c r="N143" s="104"/>
      <c r="O143" s="17" t="str">
        <f>IF(Y38="v",IF(N35=0,"",P125),"")</f>
        <v>OK</v>
      </c>
    </row>
    <row r="144" spans="2:39" ht="20.100000000000001" customHeight="1">
      <c r="D144" s="30"/>
      <c r="E144" s="2"/>
      <c r="F144" s="38"/>
      <c r="G144" s="2"/>
      <c r="H144" s="2"/>
      <c r="K144" s="30"/>
      <c r="L144" s="2"/>
      <c r="M144" s="38"/>
      <c r="N144" s="2"/>
      <c r="O144" s="2"/>
    </row>
    <row r="145" spans="4:15" ht="20.100000000000001" customHeight="1">
      <c r="D145" s="30"/>
      <c r="E145" s="2"/>
      <c r="F145" s="38"/>
      <c r="G145" s="2"/>
      <c r="H145" s="2"/>
      <c r="K145" s="30"/>
      <c r="L145" s="2"/>
      <c r="M145" s="38"/>
      <c r="N145" s="2"/>
      <c r="O145" s="2"/>
    </row>
    <row r="146" spans="4:15" ht="20.100000000000001" customHeight="1">
      <c r="D146" s="30"/>
      <c r="E146" s="2"/>
      <c r="F146" s="38"/>
      <c r="G146" s="2"/>
      <c r="H146" s="2"/>
      <c r="K146" s="30"/>
      <c r="L146" s="2"/>
      <c r="M146" s="38"/>
      <c r="N146" s="2"/>
      <c r="O146" s="2"/>
    </row>
    <row r="147" spans="4:15" ht="20.100000000000001" customHeight="1">
      <c r="D147" s="30"/>
      <c r="E147" s="2"/>
      <c r="F147" s="38"/>
      <c r="G147" s="2"/>
      <c r="H147" s="2"/>
      <c r="K147" s="30"/>
      <c r="L147" s="2"/>
      <c r="M147" s="38"/>
      <c r="N147" s="2"/>
      <c r="O147" s="2"/>
    </row>
    <row r="148" spans="4:15" ht="20.100000000000001" customHeight="1">
      <c r="D148" s="30"/>
      <c r="E148" s="2"/>
      <c r="F148" s="38"/>
      <c r="G148" s="2"/>
      <c r="H148" s="2"/>
      <c r="K148" s="30"/>
      <c r="L148" s="2"/>
      <c r="M148" s="38"/>
      <c r="N148" s="2"/>
      <c r="O148" s="2"/>
    </row>
    <row r="149" spans="4:15" ht="20.100000000000001" customHeight="1">
      <c r="D149" s="30"/>
      <c r="E149" s="2"/>
      <c r="F149" s="38"/>
      <c r="G149" s="2"/>
      <c r="H149" s="2"/>
      <c r="K149" s="30"/>
      <c r="L149" s="2"/>
      <c r="M149" s="38"/>
      <c r="N149" s="2"/>
      <c r="O149" s="2"/>
    </row>
    <row r="150" spans="4:15" ht="20.100000000000001" customHeight="1"/>
    <row r="151" spans="4:15" ht="20.100000000000001" customHeight="1"/>
    <row r="152" spans="4:15" ht="20.100000000000001" customHeight="1"/>
    <row r="153" spans="4:15" ht="20.100000000000001" customHeight="1"/>
    <row r="154" spans="4:15" ht="20.100000000000001" customHeight="1"/>
  </sheetData>
  <sheetProtection algorithmName="SHA-512" hashValue="93svjJqKKFKREJOBLb0anrH3R9mAuEzCpfqeP3/GJlscVbbzqhK55xqDIUh3gDWKHwiaihC0jKbQUW8/iDSGIA==" saltValue="ZUt5f9wx0GxAj3wdVjRLKA==" spinCount="100000" sheet="1" selectLockedCells="1"/>
  <mergeCells count="5">
    <mergeCell ref="C46:E47"/>
    <mergeCell ref="AJ2:AL2"/>
    <mergeCell ref="C40:E41"/>
    <mergeCell ref="S2:V2"/>
    <mergeCell ref="C42:E43"/>
  </mergeCells>
  <phoneticPr fontId="1" type="noConversion"/>
  <conditionalFormatting sqref="I123 P123 AI127:AI128 AI112:AI113 I112:J113 I118:J118 I125:J125 AI122 AM117:AN117 AB130:AH130 AM127:AN127 AB126:AH126 AM123:AN123 AI118 AB119:AH119">
    <cfRule type="cellIs" dxfId="15" priority="21" operator="equal">
      <formula>"NG"</formula>
    </cfRule>
  </conditionalFormatting>
  <conditionalFormatting sqref="P112:Q113">
    <cfRule type="cellIs" dxfId="14" priority="19" operator="equal">
      <formula>"NG"</formula>
    </cfRule>
  </conditionalFormatting>
  <conditionalFormatting sqref="P118:Q118">
    <cfRule type="cellIs" dxfId="13" priority="16" operator="equal">
      <formula>"NG"</formula>
    </cfRule>
  </conditionalFormatting>
  <conditionalFormatting sqref="P125:Q125">
    <cfRule type="cellIs" dxfId="12" priority="15" operator="equal">
      <formula>"NG"</formula>
    </cfRule>
  </conditionalFormatting>
  <conditionalFormatting sqref="AJ2">
    <cfRule type="cellIs" dxfId="11" priority="14" operator="equal">
      <formula>0</formula>
    </cfRule>
  </conditionalFormatting>
  <conditionalFormatting sqref="H141:H143">
    <cfRule type="cellIs" dxfId="10" priority="13" operator="equal">
      <formula>"NG"</formula>
    </cfRule>
  </conditionalFormatting>
  <conditionalFormatting sqref="O141:O143">
    <cfRule type="cellIs" dxfId="9" priority="12" operator="equal">
      <formula>"NG"</formula>
    </cfRule>
  </conditionalFormatting>
  <conditionalFormatting sqref="R127:R128">
    <cfRule type="cellIs" dxfId="8" priority="10" operator="equal">
      <formula>"NG"</formula>
    </cfRule>
  </conditionalFormatting>
  <conditionalFormatting sqref="R112:R113">
    <cfRule type="cellIs" dxfId="7" priority="9" operator="equal">
      <formula>"NG"</formula>
    </cfRule>
  </conditionalFormatting>
  <conditionalFormatting sqref="R122">
    <cfRule type="cellIs" dxfId="6" priority="8" operator="equal">
      <formula>"NG"</formula>
    </cfRule>
  </conditionalFormatting>
  <conditionalFormatting sqref="R118">
    <cfRule type="cellIs" dxfId="5" priority="7" operator="equal">
      <formula>"NG"</formula>
    </cfRule>
  </conditionalFormatting>
  <conditionalFormatting sqref="S2">
    <cfRule type="cellIs" dxfId="4" priority="5" operator="equal">
      <formula>0</formula>
    </cfRule>
  </conditionalFormatting>
  <conditionalFormatting sqref="P128">
    <cfRule type="cellIs" dxfId="3" priority="4" operator="equal">
      <formula>"NG"</formula>
    </cfRule>
  </conditionalFormatting>
  <conditionalFormatting sqref="I128">
    <cfRule type="cellIs" dxfId="2" priority="3" operator="equal">
      <formula>"NG"</formula>
    </cfRule>
  </conditionalFormatting>
  <conditionalFormatting sqref="K140:P140">
    <cfRule type="expression" dxfId="1" priority="1">
      <formula>N35&gt;0</formula>
    </cfRule>
    <cfRule type="expression" dxfId="0" priority="26">
      <formula>N39&gt;0</formula>
    </cfRule>
  </conditionalFormatting>
  <dataValidations count="4">
    <dataValidation type="list" allowBlank="1" showInputMessage="1" showErrorMessage="1" sqref="Z8" xr:uid="{4E8D9AD2-58E2-4A86-8484-2B2FF7D81F96}">
      <formula1>"static,seismic"</formula1>
    </dataValidation>
    <dataValidation type="list" allowBlank="1" showInputMessage="1" showErrorMessage="1" prompt="_x000a_" sqref="Z22" xr:uid="{FD06C474-C5D3-41C9-A42E-BC3EA2E15361}">
      <formula1>"same,different"</formula1>
    </dataValidation>
    <dataValidation type="list" allowBlank="1" showInputMessage="1" showErrorMessage="1" sqref="Z25" xr:uid="{BED6E472-DDC0-4443-86CB-C6254053D71A}">
      <formula1>"value,MOTC"</formula1>
    </dataValidation>
    <dataValidation type="list" allowBlank="1" showInputMessage="1" showErrorMessage="1" sqref="Z16 Z13 Z29" xr:uid="{07290026-F31E-4164-9B2B-2AF848247020}">
      <formula1>"Yes,No"</formula1>
    </dataValidation>
  </dataValidations>
  <pageMargins left="0.39370078740157483" right="0.39370078740157483" top="0.98425196850393704" bottom="0.59055118110236227" header="0.31496062992125984" footer="0.19685039370078741"/>
  <pageSetup paperSize="9" scale="49" orientation="portrait" r:id="rId1"/>
  <headerFooter>
    <oddHeader>&amp;C&amp;"微軟正黑體,粗體"&amp;24&amp;K04-048X Engineering Consulting Co., Ltd.&amp;"微軟正黑體,標準"&amp;12&amp;K01+000
&amp;G</oddHeader>
    <oddFooter xml:space="preserve">&amp;L&amp;8&amp;K04-018©2021 Kary LIN&amp;C&amp;G
&amp;10&amp;K04-041Address：Taiwan     
TEL：886-932890727&amp;R&amp;9&amp;K04-017&amp;P / &amp;N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9434-97CD-4239-B3CB-C0EBC71C621B}">
  <sheetPr codeName="工作表5">
    <tabColor rgb="FF953535"/>
  </sheetPr>
  <dimension ref="B2:AA60"/>
  <sheetViews>
    <sheetView zoomScale="70" zoomScaleNormal="70" workbookViewId="0">
      <pane xSplit="1" ySplit="5" topLeftCell="B6" activePane="bottomRight" state="frozen"/>
      <selection activeCell="G21" sqref="G21"/>
      <selection pane="topRight" activeCell="G21" sqref="G21"/>
      <selection pane="bottomLeft" activeCell="G21" sqref="G21"/>
      <selection pane="bottomRight" activeCell="Q7" sqref="Q7"/>
    </sheetView>
  </sheetViews>
  <sheetFormatPr defaultRowHeight="15.75"/>
  <cols>
    <col min="1" max="1" width="3.77734375" customWidth="1"/>
    <col min="2" max="2" width="15.77734375" customWidth="1"/>
    <col min="3" max="4" width="40.77734375" customWidth="1"/>
    <col min="5" max="5" width="15.77734375" customWidth="1"/>
    <col min="6" max="6" width="3.77734375" customWidth="1"/>
    <col min="11" max="11" width="1.77734375" customWidth="1"/>
    <col min="15" max="15" width="3.77734375" customWidth="1"/>
  </cols>
  <sheetData>
    <row r="2" spans="2:27" ht="20.100000000000001" customHeight="1">
      <c r="B2" s="99" t="s">
        <v>139</v>
      </c>
      <c r="C2" s="99"/>
      <c r="D2" s="99"/>
      <c r="E2" s="99"/>
      <c r="G2" s="97" t="s">
        <v>140</v>
      </c>
      <c r="H2" s="97"/>
      <c r="I2" s="97"/>
      <c r="J2" s="97"/>
      <c r="K2" s="97"/>
      <c r="L2" s="97"/>
      <c r="M2" s="97"/>
      <c r="N2" s="97"/>
      <c r="Q2" s="98" t="s">
        <v>141</v>
      </c>
      <c r="R2" s="98"/>
      <c r="T2" s="94" t="s">
        <v>142</v>
      </c>
      <c r="U2" s="94"/>
      <c r="V2" s="94"/>
      <c r="W2" s="94"/>
      <c r="X2" s="94"/>
      <c r="Y2" s="94"/>
      <c r="AA2" s="95" t="s">
        <v>143</v>
      </c>
    </row>
    <row r="3" spans="2:27" ht="20.100000000000001" customHeight="1">
      <c r="G3" s="21" t="s">
        <v>7</v>
      </c>
      <c r="L3" s="33" t="s">
        <v>15</v>
      </c>
    </row>
    <row r="4" spans="2:27" s="96" customFormat="1" ht="9.75" customHeight="1"/>
    <row r="5" spans="2:27" ht="20.100000000000001" customHeight="1">
      <c r="B5" s="70" t="s">
        <v>145</v>
      </c>
      <c r="C5" s="70" t="s">
        <v>22</v>
      </c>
      <c r="D5" s="70" t="s">
        <v>144</v>
      </c>
      <c r="E5" s="71" t="s">
        <v>146</v>
      </c>
      <c r="G5" s="24" t="s">
        <v>8</v>
      </c>
      <c r="H5" s="25" t="s">
        <v>9</v>
      </c>
      <c r="I5" s="25" t="s">
        <v>10</v>
      </c>
      <c r="J5" s="25" t="s">
        <v>11</v>
      </c>
      <c r="L5" s="25" t="s">
        <v>9</v>
      </c>
      <c r="M5" s="25" t="s">
        <v>10</v>
      </c>
      <c r="N5" s="25" t="s">
        <v>11</v>
      </c>
    </row>
    <row r="6" spans="2:27" ht="39.950000000000003" customHeight="1">
      <c r="B6" t="s">
        <v>16</v>
      </c>
      <c r="D6" s="73" t="s">
        <v>147</v>
      </c>
      <c r="E6" t="s">
        <v>107</v>
      </c>
      <c r="G6" s="23">
        <v>0</v>
      </c>
      <c r="H6" s="22">
        <v>5.14</v>
      </c>
      <c r="I6" s="22">
        <v>1</v>
      </c>
      <c r="J6" s="22">
        <v>0</v>
      </c>
      <c r="L6" s="23">
        <v>5.7</v>
      </c>
      <c r="M6" s="23">
        <v>1</v>
      </c>
      <c r="N6" s="23">
        <v>0</v>
      </c>
    </row>
    <row r="7" spans="2:27" ht="39.950000000000003" customHeight="1">
      <c r="B7" t="s">
        <v>23</v>
      </c>
      <c r="D7" t="s">
        <v>47</v>
      </c>
      <c r="E7" t="s">
        <v>107</v>
      </c>
      <c r="G7" s="23">
        <v>1</v>
      </c>
      <c r="H7" s="22">
        <v>5.38</v>
      </c>
      <c r="I7" s="22">
        <v>1.0900000000000001</v>
      </c>
      <c r="J7" s="22">
        <v>7.0000000000000007E-2</v>
      </c>
      <c r="L7" s="23">
        <v>6</v>
      </c>
      <c r="M7" s="23">
        <v>1.1000000000000001</v>
      </c>
      <c r="N7" s="23">
        <v>0.01</v>
      </c>
    </row>
    <row r="8" spans="2:27" ht="39.950000000000003" customHeight="1">
      <c r="B8" t="s">
        <v>17</v>
      </c>
      <c r="D8" s="73" t="s">
        <v>148</v>
      </c>
      <c r="E8" t="s">
        <v>108</v>
      </c>
      <c r="G8" s="23">
        <v>2</v>
      </c>
      <c r="H8" s="22">
        <v>5.63</v>
      </c>
      <c r="I8" s="22">
        <v>1.2</v>
      </c>
      <c r="J8" s="22">
        <v>0.15</v>
      </c>
      <c r="L8" s="23">
        <v>6.3</v>
      </c>
      <c r="M8" s="23">
        <v>1.22</v>
      </c>
      <c r="N8" s="23">
        <v>0.04</v>
      </c>
    </row>
    <row r="9" spans="2:27" ht="39.950000000000003" customHeight="1">
      <c r="B9" t="s">
        <v>24</v>
      </c>
      <c r="D9" t="s">
        <v>48</v>
      </c>
      <c r="E9" t="s">
        <v>108</v>
      </c>
      <c r="G9" s="23">
        <v>3</v>
      </c>
      <c r="H9" s="22">
        <v>5.9</v>
      </c>
      <c r="I9" s="22">
        <v>1.31</v>
      </c>
      <c r="J9" s="22">
        <v>0.24</v>
      </c>
      <c r="L9" s="23">
        <v>6.62</v>
      </c>
      <c r="M9" s="23">
        <v>1.35</v>
      </c>
      <c r="N9" s="23">
        <v>0.06</v>
      </c>
    </row>
    <row r="10" spans="2:27" ht="39.950000000000003" customHeight="1">
      <c r="B10" t="s">
        <v>25</v>
      </c>
      <c r="D10" t="s">
        <v>37</v>
      </c>
      <c r="G10" s="23">
        <v>4</v>
      </c>
      <c r="H10" s="22">
        <v>6.19</v>
      </c>
      <c r="I10" s="22">
        <v>1.43</v>
      </c>
      <c r="J10" s="22">
        <v>0.34</v>
      </c>
      <c r="L10" s="23">
        <v>6.97</v>
      </c>
      <c r="M10" s="23">
        <v>1.49</v>
      </c>
      <c r="N10" s="23">
        <v>0.1</v>
      </c>
    </row>
    <row r="11" spans="2:27" ht="39.950000000000003" customHeight="1">
      <c r="B11" t="s">
        <v>26</v>
      </c>
      <c r="D11" t="s">
        <v>38</v>
      </c>
      <c r="G11" s="23">
        <v>5</v>
      </c>
      <c r="H11" s="22">
        <v>6.49</v>
      </c>
      <c r="I11" s="22">
        <v>1.57</v>
      </c>
      <c r="J11" s="22">
        <v>0.45</v>
      </c>
      <c r="L11" s="23">
        <v>7.34</v>
      </c>
      <c r="M11" s="23">
        <v>1.64</v>
      </c>
      <c r="N11" s="23">
        <v>0.14000000000000001</v>
      </c>
    </row>
    <row r="12" spans="2:27" ht="39.950000000000003" customHeight="1">
      <c r="B12" t="s">
        <v>40</v>
      </c>
      <c r="D12" t="s">
        <v>149</v>
      </c>
      <c r="G12" s="23">
        <v>6</v>
      </c>
      <c r="H12" s="22">
        <v>6.81</v>
      </c>
      <c r="I12" s="22">
        <v>1.72</v>
      </c>
      <c r="J12" s="22">
        <v>0.56999999999999995</v>
      </c>
      <c r="L12" s="23">
        <v>7.73</v>
      </c>
      <c r="M12" s="23">
        <v>1.81</v>
      </c>
      <c r="N12" s="23">
        <v>0.2</v>
      </c>
    </row>
    <row r="13" spans="2:27" ht="39.950000000000003" customHeight="1">
      <c r="B13" t="s">
        <v>41</v>
      </c>
      <c r="D13" t="s">
        <v>150</v>
      </c>
      <c r="G13" s="23">
        <v>7</v>
      </c>
      <c r="H13" s="22">
        <v>7.16</v>
      </c>
      <c r="I13" s="22">
        <v>1.88</v>
      </c>
      <c r="J13" s="22">
        <v>0.71</v>
      </c>
      <c r="L13" s="23">
        <v>8.15</v>
      </c>
      <c r="M13" s="23">
        <v>2</v>
      </c>
      <c r="N13" s="23">
        <v>0.27</v>
      </c>
    </row>
    <row r="14" spans="2:27" ht="39.950000000000003" customHeight="1">
      <c r="B14" t="s">
        <v>33</v>
      </c>
      <c r="D14" t="s">
        <v>49</v>
      </c>
      <c r="E14" t="s">
        <v>109</v>
      </c>
      <c r="G14" s="23">
        <v>8</v>
      </c>
      <c r="H14" s="22">
        <v>7.53</v>
      </c>
      <c r="I14" s="22">
        <v>2.06</v>
      </c>
      <c r="J14" s="22">
        <v>0.86</v>
      </c>
      <c r="L14" s="23">
        <v>8.6</v>
      </c>
      <c r="M14" s="23">
        <v>2.21</v>
      </c>
      <c r="N14" s="23">
        <v>0.35</v>
      </c>
    </row>
    <row r="15" spans="2:27" ht="39.950000000000003" customHeight="1">
      <c r="B15" t="s">
        <v>32</v>
      </c>
      <c r="D15" t="s">
        <v>50</v>
      </c>
      <c r="E15" t="s">
        <v>110</v>
      </c>
      <c r="G15" s="23">
        <v>9</v>
      </c>
      <c r="H15" s="22">
        <v>7.92</v>
      </c>
      <c r="I15" s="22">
        <v>2.25</v>
      </c>
      <c r="J15" s="22">
        <v>1.03</v>
      </c>
      <c r="L15" s="23">
        <v>9.09</v>
      </c>
      <c r="M15" s="23">
        <v>2.44</v>
      </c>
      <c r="N15" s="23">
        <v>0.44</v>
      </c>
    </row>
    <row r="16" spans="2:27" ht="39.950000000000003" customHeight="1">
      <c r="B16" t="s">
        <v>45</v>
      </c>
      <c r="D16" t="s">
        <v>52</v>
      </c>
      <c r="E16" t="s">
        <v>114</v>
      </c>
      <c r="G16" s="23">
        <v>10</v>
      </c>
      <c r="H16" s="22">
        <v>8.35</v>
      </c>
      <c r="I16" s="22">
        <v>2.4700000000000002</v>
      </c>
      <c r="J16" s="22">
        <v>1.22</v>
      </c>
      <c r="L16" s="23">
        <v>9.61</v>
      </c>
      <c r="M16" s="23">
        <v>2.69</v>
      </c>
      <c r="N16" s="23">
        <v>0.56000000000000005</v>
      </c>
    </row>
    <row r="17" spans="2:14" ht="39.950000000000003" customHeight="1">
      <c r="B17" t="s">
        <v>36</v>
      </c>
      <c r="D17" t="s">
        <v>51</v>
      </c>
      <c r="E17" t="s">
        <v>110</v>
      </c>
      <c r="G17" s="23">
        <v>11</v>
      </c>
      <c r="H17" s="22">
        <v>8.8000000000000007</v>
      </c>
      <c r="I17" s="22">
        <v>2.71</v>
      </c>
      <c r="J17" s="22">
        <v>1.44</v>
      </c>
      <c r="L17" s="23">
        <v>10.16</v>
      </c>
      <c r="M17" s="23">
        <v>2.98</v>
      </c>
      <c r="N17" s="23">
        <v>0.69</v>
      </c>
    </row>
    <row r="18" spans="2:14" ht="39.950000000000003" customHeight="1">
      <c r="B18" t="s">
        <v>61</v>
      </c>
      <c r="D18" t="s">
        <v>53</v>
      </c>
      <c r="E18" t="s">
        <v>109</v>
      </c>
      <c r="G18" s="23">
        <v>12</v>
      </c>
      <c r="H18" s="22">
        <v>9.2799999999999994</v>
      </c>
      <c r="I18" s="22">
        <v>2.97</v>
      </c>
      <c r="J18" s="22">
        <v>1.69</v>
      </c>
      <c r="L18" s="23">
        <v>10.76</v>
      </c>
      <c r="M18" s="23">
        <v>3.29</v>
      </c>
      <c r="N18" s="23">
        <v>0.85</v>
      </c>
    </row>
    <row r="19" spans="2:14" ht="39.950000000000003" customHeight="1">
      <c r="B19" t="s">
        <v>56</v>
      </c>
      <c r="D19" t="s">
        <v>57</v>
      </c>
      <c r="E19" t="s">
        <v>110</v>
      </c>
      <c r="G19" s="23">
        <v>13</v>
      </c>
      <c r="H19" s="22">
        <v>9.81</v>
      </c>
      <c r="I19" s="22">
        <v>3.26</v>
      </c>
      <c r="J19" s="22">
        <v>1.97</v>
      </c>
      <c r="L19" s="23">
        <v>11.41</v>
      </c>
      <c r="M19" s="23">
        <v>3.63</v>
      </c>
      <c r="N19" s="23">
        <v>1.04</v>
      </c>
    </row>
    <row r="20" spans="2:14" ht="39.950000000000003" customHeight="1">
      <c r="B20" t="s">
        <v>55</v>
      </c>
      <c r="D20" t="s">
        <v>54</v>
      </c>
      <c r="E20" t="s">
        <v>110</v>
      </c>
      <c r="F20" s="31"/>
      <c r="G20" s="23">
        <v>14</v>
      </c>
      <c r="H20" s="22">
        <v>10.37</v>
      </c>
      <c r="I20" s="22">
        <v>3.59</v>
      </c>
      <c r="J20" s="22">
        <v>2.29</v>
      </c>
      <c r="L20" s="23">
        <v>12.11</v>
      </c>
      <c r="M20" s="23">
        <v>4.0199999999999996</v>
      </c>
      <c r="N20" s="23">
        <v>1.26</v>
      </c>
    </row>
    <row r="21" spans="2:14" ht="39.950000000000003" customHeight="1">
      <c r="B21" t="s">
        <v>112</v>
      </c>
      <c r="D21" t="s">
        <v>111</v>
      </c>
      <c r="E21" t="s">
        <v>114</v>
      </c>
      <c r="F21" s="31"/>
      <c r="G21" s="23">
        <v>15</v>
      </c>
      <c r="H21" s="22">
        <v>10.98</v>
      </c>
      <c r="I21" s="22">
        <v>3.94</v>
      </c>
      <c r="J21" s="22">
        <v>2.65</v>
      </c>
      <c r="L21" s="23">
        <v>12.86</v>
      </c>
      <c r="M21" s="23">
        <v>4.45</v>
      </c>
      <c r="N21" s="23">
        <v>1.52</v>
      </c>
    </row>
    <row r="22" spans="2:14" ht="39.950000000000003" customHeight="1">
      <c r="B22" t="s">
        <v>46</v>
      </c>
      <c r="D22" t="s">
        <v>59</v>
      </c>
      <c r="E22" s="73" t="s">
        <v>118</v>
      </c>
      <c r="G22" s="23">
        <v>16</v>
      </c>
      <c r="H22" s="22">
        <v>11.63</v>
      </c>
      <c r="I22" s="22">
        <v>4.34</v>
      </c>
      <c r="J22" s="22">
        <v>3.06</v>
      </c>
      <c r="L22" s="23">
        <v>13.68</v>
      </c>
      <c r="M22" s="23">
        <v>4.92</v>
      </c>
      <c r="N22" s="23">
        <v>1.82</v>
      </c>
    </row>
    <row r="23" spans="2:14" ht="39.950000000000003" customHeight="1">
      <c r="B23" t="s">
        <v>64</v>
      </c>
      <c r="D23" t="s">
        <v>70</v>
      </c>
      <c r="E23" t="s">
        <v>119</v>
      </c>
      <c r="G23" s="23">
        <v>17</v>
      </c>
      <c r="H23" s="22">
        <v>12.34</v>
      </c>
      <c r="I23" s="22">
        <v>4.7699999999999996</v>
      </c>
      <c r="J23" s="22">
        <v>3.53</v>
      </c>
      <c r="L23" s="23">
        <v>14.6</v>
      </c>
      <c r="M23" s="23">
        <v>5.45</v>
      </c>
      <c r="N23" s="23">
        <v>2.1800000000000002</v>
      </c>
    </row>
    <row r="24" spans="2:14" ht="39.950000000000003" customHeight="1">
      <c r="B24" t="s">
        <v>42</v>
      </c>
      <c r="D24" t="s">
        <v>62</v>
      </c>
      <c r="E24" t="s">
        <v>119</v>
      </c>
      <c r="G24" s="23">
        <v>18</v>
      </c>
      <c r="H24" s="22">
        <v>13.1</v>
      </c>
      <c r="I24" s="22">
        <v>5.26</v>
      </c>
      <c r="J24" s="22">
        <v>4.07</v>
      </c>
      <c r="L24" s="23">
        <v>15.12</v>
      </c>
      <c r="M24" s="23">
        <v>6.04</v>
      </c>
      <c r="N24" s="23">
        <v>2.59</v>
      </c>
    </row>
    <row r="25" spans="2:14" ht="39.950000000000003" customHeight="1">
      <c r="B25" t="s">
        <v>67</v>
      </c>
      <c r="D25" t="s">
        <v>66</v>
      </c>
      <c r="E25" t="s">
        <v>119</v>
      </c>
      <c r="F25" s="2"/>
      <c r="G25" s="23">
        <v>19</v>
      </c>
      <c r="H25" s="22">
        <v>13.93</v>
      </c>
      <c r="I25" s="22">
        <v>5.8</v>
      </c>
      <c r="J25" s="22">
        <v>4.68</v>
      </c>
      <c r="L25" s="23">
        <v>16.559999999999999</v>
      </c>
      <c r="M25" s="23">
        <v>6.7</v>
      </c>
      <c r="N25" s="23">
        <v>3.07</v>
      </c>
    </row>
    <row r="26" spans="2:14" ht="39.950000000000003" customHeight="1">
      <c r="B26" t="s">
        <v>65</v>
      </c>
      <c r="D26" t="s">
        <v>77</v>
      </c>
      <c r="E26" t="s">
        <v>119</v>
      </c>
      <c r="F26" s="2"/>
      <c r="G26" s="23">
        <v>20</v>
      </c>
      <c r="H26" s="22">
        <v>14.83</v>
      </c>
      <c r="I26" s="22">
        <v>6.4</v>
      </c>
      <c r="J26" s="22">
        <v>5.39</v>
      </c>
      <c r="L26" s="23">
        <v>17.690000000000001</v>
      </c>
      <c r="M26" s="23">
        <v>7.44</v>
      </c>
      <c r="N26" s="23">
        <v>3.64</v>
      </c>
    </row>
    <row r="27" spans="2:14" ht="39.950000000000003" customHeight="1">
      <c r="B27" t="s">
        <v>63</v>
      </c>
      <c r="D27" t="s">
        <v>78</v>
      </c>
      <c r="E27" t="s">
        <v>119</v>
      </c>
      <c r="F27" s="2"/>
      <c r="G27" s="23">
        <v>21</v>
      </c>
      <c r="H27" s="22">
        <v>15.82</v>
      </c>
      <c r="I27" s="22">
        <v>7.07</v>
      </c>
      <c r="J27" s="22">
        <v>6.2</v>
      </c>
      <c r="L27" s="23">
        <v>18.920000000000002</v>
      </c>
      <c r="M27" s="23">
        <v>8.26</v>
      </c>
      <c r="N27" s="23">
        <v>4.3099999999999996</v>
      </c>
    </row>
    <row r="28" spans="2:14" ht="39.950000000000003" customHeight="1">
      <c r="B28" t="s">
        <v>75</v>
      </c>
      <c r="D28" t="s">
        <v>76</v>
      </c>
      <c r="E28" t="s">
        <v>119</v>
      </c>
      <c r="F28" s="2"/>
      <c r="G28" s="23">
        <v>22</v>
      </c>
      <c r="H28" s="22">
        <v>16.88</v>
      </c>
      <c r="I28" s="22">
        <v>7.82</v>
      </c>
      <c r="J28" s="22">
        <v>7.13</v>
      </c>
      <c r="L28" s="23">
        <v>20.27</v>
      </c>
      <c r="M28" s="23">
        <v>9.19</v>
      </c>
      <c r="N28" s="23">
        <v>5.09</v>
      </c>
    </row>
    <row r="29" spans="2:14" ht="39.950000000000003" customHeight="1">
      <c r="B29" t="s">
        <v>71</v>
      </c>
      <c r="D29" t="s">
        <v>74</v>
      </c>
      <c r="E29" t="s">
        <v>120</v>
      </c>
      <c r="F29" s="2"/>
      <c r="G29" s="23">
        <v>23</v>
      </c>
      <c r="H29" s="22">
        <v>18.05</v>
      </c>
      <c r="I29" s="22">
        <v>8.66</v>
      </c>
      <c r="J29" s="22">
        <v>8.1999999999999993</v>
      </c>
      <c r="L29" s="23">
        <v>21.75</v>
      </c>
      <c r="M29" s="23">
        <v>10.23</v>
      </c>
      <c r="N29" s="23">
        <v>6</v>
      </c>
    </row>
    <row r="30" spans="2:14" ht="39.950000000000003" customHeight="1">
      <c r="B30" t="s">
        <v>72</v>
      </c>
      <c r="D30" t="s">
        <v>68</v>
      </c>
      <c r="E30" t="s">
        <v>120</v>
      </c>
      <c r="F30" s="2"/>
      <c r="G30" s="23">
        <v>24</v>
      </c>
      <c r="H30" s="22">
        <v>19.32</v>
      </c>
      <c r="I30" s="22">
        <v>9.6</v>
      </c>
      <c r="J30" s="22">
        <v>9.44</v>
      </c>
      <c r="L30" s="23">
        <v>23.36</v>
      </c>
      <c r="M30" s="23">
        <v>11.4</v>
      </c>
      <c r="N30" s="23">
        <v>7.08</v>
      </c>
    </row>
    <row r="31" spans="2:14" ht="39.950000000000003" customHeight="1">
      <c r="B31" t="s">
        <v>73</v>
      </c>
      <c r="D31" t="s">
        <v>69</v>
      </c>
      <c r="E31" t="s">
        <v>120</v>
      </c>
      <c r="F31" s="2"/>
      <c r="G31" s="23">
        <v>25</v>
      </c>
      <c r="H31" s="22">
        <v>20.72</v>
      </c>
      <c r="I31" s="22">
        <v>10.66</v>
      </c>
      <c r="J31" s="22">
        <v>10.88</v>
      </c>
      <c r="L31" s="23">
        <v>25.13</v>
      </c>
      <c r="M31" s="23">
        <v>12.72</v>
      </c>
      <c r="N31" s="23">
        <v>8.34</v>
      </c>
    </row>
    <row r="32" spans="2:14" ht="39.950000000000003" customHeight="1">
      <c r="B32" t="s">
        <v>82</v>
      </c>
      <c r="D32" t="s">
        <v>79</v>
      </c>
      <c r="E32" t="s">
        <v>120</v>
      </c>
      <c r="F32" s="2"/>
      <c r="G32" s="23">
        <v>26</v>
      </c>
      <c r="H32" s="22">
        <v>22.25</v>
      </c>
      <c r="I32" s="22">
        <v>11.85</v>
      </c>
      <c r="J32" s="22">
        <v>12.54</v>
      </c>
      <c r="L32" s="23">
        <v>27.09</v>
      </c>
      <c r="M32" s="23">
        <v>14.21</v>
      </c>
      <c r="N32" s="23">
        <v>9.84</v>
      </c>
    </row>
    <row r="33" spans="2:14" ht="39.950000000000003" customHeight="1">
      <c r="B33" t="s">
        <v>83</v>
      </c>
      <c r="D33" t="s">
        <v>80</v>
      </c>
      <c r="E33" t="s">
        <v>120</v>
      </c>
      <c r="F33" s="2"/>
      <c r="G33" s="23">
        <v>27</v>
      </c>
      <c r="H33" s="22">
        <v>23.94</v>
      </c>
      <c r="I33" s="22">
        <v>13.2</v>
      </c>
      <c r="J33" s="22">
        <v>14.47</v>
      </c>
      <c r="L33" s="23">
        <v>29.24</v>
      </c>
      <c r="M33" s="23">
        <v>15.9</v>
      </c>
      <c r="N33" s="23">
        <v>11.6</v>
      </c>
    </row>
    <row r="34" spans="2:14" ht="39.950000000000003" customHeight="1">
      <c r="B34" t="s">
        <v>84</v>
      </c>
      <c r="D34" t="s">
        <v>81</v>
      </c>
      <c r="E34" t="s">
        <v>120</v>
      </c>
      <c r="F34" s="2"/>
      <c r="G34" s="23">
        <v>28</v>
      </c>
      <c r="H34" s="22">
        <v>25.8</v>
      </c>
      <c r="I34" s="22">
        <v>14.72</v>
      </c>
      <c r="J34" s="22">
        <v>16.72</v>
      </c>
      <c r="L34" s="23">
        <v>31.61</v>
      </c>
      <c r="M34" s="23">
        <v>17.809999999999999</v>
      </c>
      <c r="N34" s="23">
        <v>13.7</v>
      </c>
    </row>
    <row r="35" spans="2:14" ht="39.950000000000003" customHeight="1">
      <c r="B35" t="s">
        <v>60</v>
      </c>
      <c r="D35" t="s">
        <v>58</v>
      </c>
      <c r="E35" s="73" t="s">
        <v>118</v>
      </c>
      <c r="G35" s="23">
        <v>29</v>
      </c>
      <c r="H35" s="22">
        <v>27.86</v>
      </c>
      <c r="I35" s="22">
        <v>16.440000000000001</v>
      </c>
      <c r="J35" s="22">
        <v>19.34</v>
      </c>
      <c r="L35" s="23">
        <v>34.24</v>
      </c>
      <c r="M35" s="23">
        <v>19.98</v>
      </c>
      <c r="N35" s="23">
        <v>16.18</v>
      </c>
    </row>
    <row r="36" spans="2:14" ht="39.950000000000003" customHeight="1">
      <c r="B36" t="s">
        <v>89</v>
      </c>
      <c r="D36" t="s">
        <v>85</v>
      </c>
      <c r="E36" s="73" t="s">
        <v>119</v>
      </c>
      <c r="F36" s="2"/>
      <c r="G36" s="23">
        <v>30</v>
      </c>
      <c r="H36" s="22">
        <v>30.14</v>
      </c>
      <c r="I36" s="22">
        <v>18.399999999999999</v>
      </c>
      <c r="J36" s="22">
        <v>22.4</v>
      </c>
      <c r="L36" s="23">
        <v>37.159999999999997</v>
      </c>
      <c r="M36" s="23">
        <v>22.46</v>
      </c>
      <c r="N36" s="23">
        <v>19.13</v>
      </c>
    </row>
    <row r="37" spans="2:14" ht="39.950000000000003" customHeight="1">
      <c r="B37" t="s">
        <v>88</v>
      </c>
      <c r="D37" t="s">
        <v>86</v>
      </c>
      <c r="E37" s="73" t="s">
        <v>119</v>
      </c>
      <c r="F37" s="2"/>
      <c r="G37" s="23">
        <v>31</v>
      </c>
      <c r="H37" s="22">
        <v>32.67</v>
      </c>
      <c r="I37" s="22">
        <v>20.63</v>
      </c>
      <c r="J37" s="22">
        <v>25.9</v>
      </c>
      <c r="L37" s="23">
        <v>40.409999999999997</v>
      </c>
      <c r="M37" s="23">
        <v>25.28</v>
      </c>
      <c r="N37" s="23">
        <v>22.65</v>
      </c>
    </row>
    <row r="38" spans="2:14" ht="39.950000000000003" customHeight="1">
      <c r="B38" t="s">
        <v>90</v>
      </c>
      <c r="D38" t="s">
        <v>87</v>
      </c>
      <c r="E38" s="73" t="s">
        <v>119</v>
      </c>
      <c r="F38" s="2"/>
      <c r="G38" s="23">
        <v>32</v>
      </c>
      <c r="H38" s="22">
        <v>35.49</v>
      </c>
      <c r="I38" s="22">
        <v>23.18</v>
      </c>
      <c r="J38" s="22">
        <v>30.22</v>
      </c>
      <c r="L38" s="23">
        <v>44.04</v>
      </c>
      <c r="M38" s="23">
        <v>28.52</v>
      </c>
      <c r="N38" s="23">
        <v>26.87</v>
      </c>
    </row>
    <row r="39" spans="2:14" ht="39.950000000000003" customHeight="1">
      <c r="B39" t="s">
        <v>91</v>
      </c>
      <c r="D39" t="s">
        <v>94</v>
      </c>
      <c r="E39" s="73" t="s">
        <v>119</v>
      </c>
      <c r="F39" s="2"/>
      <c r="G39" s="23">
        <v>33</v>
      </c>
      <c r="H39" s="22">
        <v>38.64</v>
      </c>
      <c r="I39" s="22">
        <v>26.09</v>
      </c>
      <c r="J39" s="22">
        <v>35.19</v>
      </c>
      <c r="L39" s="23">
        <v>48.09</v>
      </c>
      <c r="M39" s="23">
        <v>32.229999999999997</v>
      </c>
      <c r="N39" s="23">
        <v>31.94</v>
      </c>
    </row>
    <row r="40" spans="2:14" ht="39.950000000000003" customHeight="1">
      <c r="B40" t="s">
        <v>92</v>
      </c>
      <c r="D40" t="s">
        <v>95</v>
      </c>
      <c r="E40" s="73" t="s">
        <v>119</v>
      </c>
      <c r="F40" s="2"/>
      <c r="G40" s="23">
        <v>34</v>
      </c>
      <c r="H40" s="22">
        <v>42.16</v>
      </c>
      <c r="I40" s="22">
        <v>29.44</v>
      </c>
      <c r="J40" s="22">
        <v>41.06</v>
      </c>
      <c r="L40" s="23">
        <v>52.64</v>
      </c>
      <c r="M40" s="23">
        <v>36.5</v>
      </c>
      <c r="N40" s="23">
        <v>38.04</v>
      </c>
    </row>
    <row r="41" spans="2:14" ht="39.950000000000003" customHeight="1">
      <c r="B41" t="s">
        <v>93</v>
      </c>
      <c r="D41" t="s">
        <v>96</v>
      </c>
      <c r="E41" s="73" t="s">
        <v>119</v>
      </c>
      <c r="F41" s="2"/>
      <c r="G41" s="23">
        <v>35</v>
      </c>
      <c r="H41" s="22">
        <v>46.12</v>
      </c>
      <c r="I41" s="22">
        <v>33.299999999999997</v>
      </c>
      <c r="J41" s="22">
        <v>48.03</v>
      </c>
      <c r="L41" s="23">
        <v>57.75</v>
      </c>
      <c r="M41" s="23">
        <v>41.44</v>
      </c>
      <c r="N41" s="23">
        <v>45.41</v>
      </c>
    </row>
    <row r="42" spans="2:14" ht="39.950000000000003" customHeight="1">
      <c r="B42" t="s">
        <v>34</v>
      </c>
      <c r="D42" t="s">
        <v>97</v>
      </c>
      <c r="E42" s="73" t="s">
        <v>121</v>
      </c>
      <c r="F42" s="2"/>
      <c r="G42" s="23">
        <v>36</v>
      </c>
      <c r="H42" s="22">
        <v>50.59</v>
      </c>
      <c r="I42" s="22">
        <v>37.75</v>
      </c>
      <c r="J42" s="22">
        <v>56.31</v>
      </c>
      <c r="L42" s="23">
        <v>63.53</v>
      </c>
      <c r="M42" s="23">
        <v>47.16</v>
      </c>
      <c r="N42" s="23">
        <v>54.36</v>
      </c>
    </row>
    <row r="43" spans="2:14" ht="39.950000000000003" customHeight="1">
      <c r="B43" t="s">
        <v>35</v>
      </c>
      <c r="D43" t="s">
        <v>98</v>
      </c>
      <c r="E43" s="73" t="s">
        <v>122</v>
      </c>
      <c r="G43" s="23">
        <v>37</v>
      </c>
      <c r="H43" s="22">
        <v>55.63</v>
      </c>
      <c r="I43" s="22">
        <v>42.92</v>
      </c>
      <c r="J43" s="22">
        <v>66.19</v>
      </c>
      <c r="L43" s="23">
        <v>70.010000000000005</v>
      </c>
      <c r="M43" s="23">
        <v>53.8</v>
      </c>
      <c r="N43" s="23">
        <v>65.27</v>
      </c>
    </row>
    <row r="44" spans="2:14" ht="39.950000000000003" customHeight="1">
      <c r="B44" t="s">
        <v>100</v>
      </c>
      <c r="D44" t="s">
        <v>99</v>
      </c>
      <c r="E44" t="s">
        <v>123</v>
      </c>
      <c r="G44" s="23">
        <v>38</v>
      </c>
      <c r="H44" s="22">
        <v>61.35</v>
      </c>
      <c r="I44" s="22">
        <v>48.93</v>
      </c>
      <c r="J44" s="22">
        <v>78.03</v>
      </c>
      <c r="L44" s="23">
        <v>77.5</v>
      </c>
      <c r="M44" s="23">
        <v>61.55</v>
      </c>
      <c r="N44" s="23">
        <v>78.61</v>
      </c>
    </row>
    <row r="45" spans="2:14" ht="39.950000000000003" customHeight="1">
      <c r="B45" t="s">
        <v>31</v>
      </c>
      <c r="D45" t="s">
        <v>124</v>
      </c>
      <c r="G45" s="23">
        <v>39</v>
      </c>
      <c r="H45" s="22">
        <v>37.869999999999997</v>
      </c>
      <c r="I45" s="22">
        <v>55.96</v>
      </c>
      <c r="J45" s="22">
        <v>92.25</v>
      </c>
      <c r="L45" s="23">
        <v>85.97</v>
      </c>
      <c r="M45" s="23">
        <v>70.61</v>
      </c>
      <c r="N45" s="23">
        <v>95.03</v>
      </c>
    </row>
    <row r="46" spans="2:14" ht="39.950000000000003" customHeight="1">
      <c r="B46" t="s">
        <v>30</v>
      </c>
      <c r="D46" t="s">
        <v>125</v>
      </c>
      <c r="G46" s="23">
        <v>40</v>
      </c>
      <c r="H46" s="22">
        <v>75.31</v>
      </c>
      <c r="I46" s="22">
        <v>64.2</v>
      </c>
      <c r="J46" s="22">
        <v>109.41</v>
      </c>
      <c r="L46" s="23">
        <v>95.66</v>
      </c>
      <c r="M46" s="23">
        <v>81.27</v>
      </c>
      <c r="N46" s="23">
        <v>115.31</v>
      </c>
    </row>
    <row r="47" spans="2:14" ht="39.950000000000003" customHeight="1">
      <c r="B47" t="s">
        <v>128</v>
      </c>
      <c r="D47" t="s">
        <v>126</v>
      </c>
      <c r="G47" s="23">
        <v>41</v>
      </c>
      <c r="H47" s="22">
        <v>83.86</v>
      </c>
      <c r="I47" s="22">
        <v>73.900000000000006</v>
      </c>
      <c r="J47" s="22">
        <v>130.22</v>
      </c>
      <c r="L47" s="23">
        <v>106.81</v>
      </c>
      <c r="M47" s="23">
        <v>93.85</v>
      </c>
      <c r="N47" s="23">
        <v>140.51</v>
      </c>
    </row>
    <row r="48" spans="2:14" ht="39.950000000000003" customHeight="1">
      <c r="B48" t="s">
        <v>129</v>
      </c>
      <c r="D48" t="s">
        <v>127</v>
      </c>
      <c r="G48" s="23">
        <v>42</v>
      </c>
      <c r="H48" s="22">
        <v>93.71</v>
      </c>
      <c r="I48" s="22">
        <v>85.38</v>
      </c>
      <c r="J48" s="22">
        <v>155.55000000000001</v>
      </c>
      <c r="L48" s="23">
        <v>119.67</v>
      </c>
      <c r="M48" s="23">
        <v>108.75</v>
      </c>
      <c r="N48" s="23">
        <v>171.99</v>
      </c>
    </row>
    <row r="49" spans="2:14" ht="39.950000000000003" customHeight="1">
      <c r="B49" t="s">
        <v>104</v>
      </c>
      <c r="G49" s="23">
        <v>43</v>
      </c>
      <c r="H49" s="22">
        <v>105.11</v>
      </c>
      <c r="I49" s="22">
        <v>99.02</v>
      </c>
      <c r="J49" s="22">
        <v>186.54</v>
      </c>
      <c r="L49" s="23">
        <v>134.58000000000001</v>
      </c>
      <c r="M49" s="23">
        <v>126.5</v>
      </c>
      <c r="N49" s="23">
        <v>211.56</v>
      </c>
    </row>
    <row r="50" spans="2:14" ht="39.950000000000003" customHeight="1">
      <c r="B50" t="s">
        <v>131</v>
      </c>
      <c r="G50" s="23">
        <v>44</v>
      </c>
      <c r="H50" s="22">
        <v>118.37</v>
      </c>
      <c r="I50" s="22">
        <v>115.31</v>
      </c>
      <c r="J50" s="22">
        <v>224.64</v>
      </c>
      <c r="L50" s="23">
        <v>151.94999999999999</v>
      </c>
      <c r="M50" s="23">
        <v>147.74</v>
      </c>
      <c r="N50" s="23">
        <v>261.60000000000002</v>
      </c>
    </row>
    <row r="51" spans="2:14" ht="39.950000000000003" customHeight="1">
      <c r="B51" t="s">
        <v>43</v>
      </c>
      <c r="G51" s="23">
        <v>45</v>
      </c>
      <c r="H51" s="22">
        <v>133.88</v>
      </c>
      <c r="I51" s="22">
        <v>134.88</v>
      </c>
      <c r="J51" s="22">
        <v>271.76</v>
      </c>
      <c r="L51" s="23">
        <v>172.28</v>
      </c>
      <c r="M51" s="23">
        <v>173.28</v>
      </c>
      <c r="N51" s="23">
        <v>325.33999999999997</v>
      </c>
    </row>
    <row r="52" spans="2:14" ht="39.950000000000003" customHeight="1">
      <c r="B52" t="s">
        <v>44</v>
      </c>
      <c r="G52" s="23">
        <v>46</v>
      </c>
      <c r="H52" s="22">
        <v>152.1</v>
      </c>
      <c r="I52" s="22">
        <v>158.51</v>
      </c>
      <c r="J52" s="22">
        <v>330.35</v>
      </c>
      <c r="L52" s="23">
        <v>196.22</v>
      </c>
      <c r="M52" s="23">
        <v>204.19</v>
      </c>
      <c r="N52" s="23">
        <v>407.11</v>
      </c>
    </row>
    <row r="53" spans="2:14" ht="39.950000000000003" customHeight="1">
      <c r="B53" t="s">
        <v>132</v>
      </c>
      <c r="D53" t="s">
        <v>133</v>
      </c>
      <c r="G53" s="23">
        <v>47</v>
      </c>
      <c r="H53" s="22">
        <v>173.64</v>
      </c>
      <c r="I53" s="22">
        <v>187.21</v>
      </c>
      <c r="J53" s="22">
        <v>403.67</v>
      </c>
      <c r="L53" s="23">
        <v>224.55</v>
      </c>
      <c r="M53" s="23">
        <v>241.8</v>
      </c>
      <c r="N53" s="23">
        <v>512.84</v>
      </c>
    </row>
    <row r="54" spans="2:14" ht="39.950000000000003" customHeight="1">
      <c r="B54" t="s">
        <v>39</v>
      </c>
      <c r="D54" t="s">
        <v>134</v>
      </c>
      <c r="G54" s="23">
        <v>48</v>
      </c>
      <c r="H54" s="22">
        <v>199.26</v>
      </c>
      <c r="I54" s="22">
        <v>222.31</v>
      </c>
      <c r="J54" s="22">
        <v>496.01</v>
      </c>
      <c r="L54" s="23">
        <v>258.27999999999997</v>
      </c>
      <c r="M54" s="23">
        <v>287.85000000000002</v>
      </c>
      <c r="N54" s="23">
        <v>650.66999999999996</v>
      </c>
    </row>
    <row r="55" spans="2:14" ht="39.950000000000003" customHeight="1">
      <c r="B55" t="s">
        <v>101</v>
      </c>
      <c r="D55" t="s">
        <v>151</v>
      </c>
      <c r="E55" s="73" t="s">
        <v>116</v>
      </c>
      <c r="G55" s="23">
        <v>49</v>
      </c>
      <c r="H55" s="22">
        <v>229.93</v>
      </c>
      <c r="I55" s="22">
        <v>265.51</v>
      </c>
      <c r="J55" s="22">
        <v>613.16</v>
      </c>
      <c r="L55" s="23">
        <v>298.70999999999998</v>
      </c>
      <c r="M55" s="23">
        <v>344.63</v>
      </c>
      <c r="N55" s="23">
        <v>831.99</v>
      </c>
    </row>
    <row r="56" spans="2:14" ht="39.950000000000003" customHeight="1">
      <c r="B56" t="s">
        <v>102</v>
      </c>
      <c r="D56" t="s">
        <v>152</v>
      </c>
      <c r="E56" s="73" t="s">
        <v>115</v>
      </c>
      <c r="G56" s="23">
        <v>50</v>
      </c>
      <c r="H56" s="22">
        <v>266.89</v>
      </c>
      <c r="I56" s="22">
        <v>319.07</v>
      </c>
      <c r="J56" s="22">
        <v>762.89</v>
      </c>
      <c r="L56" s="23">
        <v>347.5</v>
      </c>
      <c r="M56" s="23">
        <v>415.14</v>
      </c>
      <c r="N56" s="23">
        <v>1072.8</v>
      </c>
    </row>
    <row r="57" spans="2:14" ht="39.950000000000003" customHeight="1">
      <c r="B57" t="s">
        <v>103</v>
      </c>
      <c r="D57" t="s">
        <v>153</v>
      </c>
      <c r="E57" s="73" t="s">
        <v>117</v>
      </c>
      <c r="G57" s="23">
        <v>51</v>
      </c>
      <c r="H57" s="22" t="s">
        <v>12</v>
      </c>
      <c r="I57" s="22" t="s">
        <v>12</v>
      </c>
      <c r="J57" s="22" t="s">
        <v>12</v>
      </c>
    </row>
    <row r="58" spans="2:14" ht="39.950000000000003" customHeight="1">
      <c r="B58" t="s">
        <v>106</v>
      </c>
      <c r="D58" t="s">
        <v>105</v>
      </c>
    </row>
    <row r="59" spans="2:14" ht="39.950000000000003" customHeight="1"/>
    <row r="60" spans="2:14" ht="200.1" customHeight="1">
      <c r="B60" t="s">
        <v>130</v>
      </c>
    </row>
  </sheetData>
  <sheetProtection selectLockedCells="1"/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21F4-9CF8-44F2-AFC8-B78AA8DD9AF6}">
  <sheetPr codeName="工作表6">
    <tabColor rgb="FF2F5736"/>
  </sheetPr>
  <dimension ref="B2:D31"/>
  <sheetViews>
    <sheetView showGridLines="0" zoomScale="80" zoomScaleNormal="80" workbookViewId="0">
      <selection activeCell="G4" sqref="G4"/>
    </sheetView>
  </sheetViews>
  <sheetFormatPr defaultRowHeight="15.75"/>
  <cols>
    <col min="1" max="1" width="2.77734375" customWidth="1"/>
    <col min="2" max="2" width="3.77734375" customWidth="1"/>
  </cols>
  <sheetData>
    <row r="2" spans="2:4" ht="20.100000000000001" customHeight="1">
      <c r="B2" s="87" t="s">
        <v>135</v>
      </c>
      <c r="C2" s="88"/>
      <c r="D2" s="88"/>
    </row>
    <row r="3" spans="2:4" s="96" customFormat="1" ht="20.100000000000001" customHeight="1">
      <c r="B3" s="252" t="s">
        <v>164</v>
      </c>
    </row>
    <row r="4" spans="2:4" s="96" customFormat="1" ht="20.100000000000001" customHeight="1">
      <c r="B4" s="252" t="s">
        <v>136</v>
      </c>
    </row>
    <row r="7" spans="2:4" ht="20.100000000000001" customHeight="1">
      <c r="B7" s="90" t="s">
        <v>137</v>
      </c>
      <c r="C7" s="91"/>
      <c r="D7" s="91"/>
    </row>
    <row r="8" spans="2:4" s="96" customFormat="1" ht="24.95" customHeight="1">
      <c r="B8" s="253" t="s">
        <v>274</v>
      </c>
      <c r="C8" s="254"/>
      <c r="D8" s="254"/>
    </row>
    <row r="9" spans="2:4" s="96" customFormat="1" ht="24.95" customHeight="1">
      <c r="C9" s="96" t="s">
        <v>273</v>
      </c>
    </row>
    <row r="10" spans="2:4" s="96" customFormat="1" ht="24.95" customHeight="1">
      <c r="C10" s="96" t="s">
        <v>281</v>
      </c>
    </row>
    <row r="11" spans="2:4" s="96" customFormat="1" ht="24.95" customHeight="1">
      <c r="C11" s="96" t="s">
        <v>282</v>
      </c>
    </row>
    <row r="12" spans="2:4" s="96" customFormat="1" ht="20.100000000000001" customHeight="1"/>
    <row r="13" spans="2:4" ht="24.95" customHeight="1">
      <c r="B13" s="253" t="s">
        <v>275</v>
      </c>
      <c r="C13" s="254"/>
      <c r="D13" s="254"/>
    </row>
    <row r="14" spans="2:4" s="96" customFormat="1" ht="24.95" customHeight="1">
      <c r="C14" s="96" t="s">
        <v>276</v>
      </c>
    </row>
    <row r="15" spans="2:4" s="96" customFormat="1" ht="24.95" customHeight="1">
      <c r="C15" s="96" t="s">
        <v>277</v>
      </c>
    </row>
    <row r="16" spans="2:4" s="96" customFormat="1" ht="24.95" customHeight="1">
      <c r="C16" s="96" t="s">
        <v>278</v>
      </c>
    </row>
    <row r="17" spans="2:4" ht="24.95" customHeight="1">
      <c r="C17" s="255" t="s">
        <v>279</v>
      </c>
    </row>
    <row r="18" spans="2:4">
      <c r="C18" s="96"/>
    </row>
    <row r="20" spans="2:4" ht="20.100000000000001" customHeight="1">
      <c r="B20" s="92" t="s">
        <v>138</v>
      </c>
      <c r="C20" s="93"/>
      <c r="D20" s="93"/>
    </row>
    <row r="21" spans="2:4" ht="24.95" customHeight="1">
      <c r="B21" s="252" t="s">
        <v>280</v>
      </c>
    </row>
    <row r="22" spans="2:4">
      <c r="B22" s="89"/>
    </row>
    <row r="27" spans="2:4">
      <c r="C27" s="1"/>
    </row>
    <row r="28" spans="2:4">
      <c r="C28" s="5"/>
    </row>
    <row r="29" spans="2:4">
      <c r="C29" s="1"/>
    </row>
    <row r="30" spans="2:4">
      <c r="C30" s="5"/>
    </row>
    <row r="31" spans="2:4">
      <c r="C31" s="86"/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55</vt:i4>
      </vt:variant>
    </vt:vector>
  </HeadingPairs>
  <TitlesOfParts>
    <vt:vector size="58" baseType="lpstr">
      <vt:lpstr>Retaining wall</vt:lpstr>
      <vt:lpstr>settings</vt:lpstr>
      <vt:lpstr>INFO</vt:lpstr>
      <vt:lpstr>a</vt:lpstr>
      <vt:lpstr>a_U</vt:lpstr>
      <vt:lpstr>bearing_capacity</vt:lpstr>
      <vt:lpstr>blank</vt:lpstr>
      <vt:lpstr>d</vt:lpstr>
      <vt:lpstr>d_U</vt:lpstr>
      <vt:lpstr>e</vt:lpstr>
      <vt:lpstr>Fci</vt:lpstr>
      <vt:lpstr>Fd</vt:lpstr>
      <vt:lpstr>FdB</vt:lpstr>
      <vt:lpstr>Fr</vt:lpstr>
      <vt:lpstr>Fr_Pp</vt:lpstr>
      <vt:lpstr>Fr_U</vt:lpstr>
      <vt:lpstr>Fr_U_Pp</vt:lpstr>
      <vt:lpstr>FrB</vt:lpstr>
      <vt:lpstr>FrB_Pp</vt:lpstr>
      <vt:lpstr>FrBs</vt:lpstr>
      <vt:lpstr>FrBs_Pp</vt:lpstr>
      <vt:lpstr>FrBu</vt:lpstr>
      <vt:lpstr>FrBu_Pp</vt:lpstr>
      <vt:lpstr>Fri</vt:lpstr>
      <vt:lpstr>Frs</vt:lpstr>
      <vt:lpstr>Frs_Pp</vt:lpstr>
      <vt:lpstr>Frs_U</vt:lpstr>
      <vt:lpstr>Frs_U_Pp</vt:lpstr>
      <vt:lpstr>Fru</vt:lpstr>
      <vt:lpstr>Fru_Pp</vt:lpstr>
      <vt:lpstr>Fru_U</vt:lpstr>
      <vt:lpstr>Fru_U_Pp</vt:lpstr>
      <vt:lpstr>FSb</vt:lpstr>
      <vt:lpstr>FSo</vt:lpstr>
      <vt:lpstr>FSs</vt:lpstr>
      <vt:lpstr>Ka</vt:lpstr>
      <vt:lpstr>KaB</vt:lpstr>
      <vt:lpstr>Kea</vt:lpstr>
      <vt:lpstr>Kep</vt:lpstr>
      <vt:lpstr>Kp</vt:lpstr>
      <vt:lpstr>KpB</vt:lpstr>
      <vt:lpstr>Md</vt:lpstr>
      <vt:lpstr>Md_U</vt:lpstr>
      <vt:lpstr>MdB</vt:lpstr>
      <vt:lpstr>Mr</vt:lpstr>
      <vt:lpstr>Mr_Pp</vt:lpstr>
      <vt:lpstr>MrB</vt:lpstr>
      <vt:lpstr>MrB_Pp</vt:lpstr>
      <vt:lpstr>Pa</vt:lpstr>
      <vt:lpstr>Pp</vt:lpstr>
      <vt:lpstr>'Retaining wall'!Print_Area</vt:lpstr>
      <vt:lpstr>'Retaining wall'!Print_Titles</vt:lpstr>
      <vt:lpstr>qmax</vt:lpstr>
      <vt:lpstr>qmax_U</vt:lpstr>
      <vt:lpstr>qmin</vt:lpstr>
      <vt:lpstr>qmin_U</vt:lpstr>
      <vt:lpstr>qult</vt:lpstr>
      <vt:lpstr>qult_U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KaryLIN</cp:lastModifiedBy>
  <cp:lastPrinted>2021-12-09T10:50:20Z</cp:lastPrinted>
  <dcterms:created xsi:type="dcterms:W3CDTF">2021-04-29T22:32:49Z</dcterms:created>
  <dcterms:modified xsi:type="dcterms:W3CDTF">2021-12-10T11:08:07Z</dcterms:modified>
</cp:coreProperties>
</file>