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xr:revisionPtr revIDLastSave="0" documentId="8_{33299DB9-7FC1-DF46-9A9B-AC8584490A00}" xr6:coauthVersionLast="36" xr6:coauthVersionMax="36" xr10:uidLastSave="{00000000-0000-0000-0000-000000000000}"/>
  <bookViews>
    <workbookView xWindow="-40" yWindow="460" windowWidth="28800" windowHeight="16780" xr2:uid="{AB219472-A173-4942-882C-E6C36FFFB216}"/>
  </bookViews>
  <sheets>
    <sheet name="Q1" sheetId="2" r:id="rId1"/>
  </sheets>
  <definedNames>
    <definedName name="solver_adj" localSheetId="0" hidden="1">'Q1'!$C$54:$G$54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opt" localSheetId="0" hidden="1">'Q1'!$J$54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86" i="2" l="1"/>
  <c r="D181" i="2"/>
  <c r="B181" i="2"/>
  <c r="C181" i="2"/>
  <c r="A181" i="2"/>
  <c r="D180" i="2"/>
  <c r="C180" i="2"/>
  <c r="B180" i="2"/>
  <c r="A180" i="2"/>
  <c r="I171" i="2"/>
  <c r="I172" i="2"/>
  <c r="I173" i="2"/>
  <c r="I170" i="2"/>
  <c r="H171" i="2"/>
  <c r="H172" i="2"/>
  <c r="H173" i="2"/>
  <c r="H170" i="2"/>
  <c r="G171" i="2"/>
  <c r="G172" i="2"/>
  <c r="G173" i="2"/>
  <c r="G170" i="2"/>
  <c r="F171" i="2"/>
  <c r="F172" i="2"/>
  <c r="F173" i="2"/>
  <c r="F170" i="2"/>
  <c r="D160" i="2"/>
  <c r="T24" i="2" l="1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" i="2"/>
  <c r="C140" i="2"/>
  <c r="D140" i="2" s="1"/>
  <c r="C141" i="2"/>
  <c r="D141" i="2" s="1"/>
  <c r="C142" i="2"/>
  <c r="D142" i="2" s="1"/>
  <c r="C143" i="2"/>
  <c r="D143" i="2" s="1"/>
  <c r="C144" i="2"/>
  <c r="D144" i="2" s="1"/>
  <c r="C145" i="2"/>
  <c r="D145" i="2" s="1"/>
  <c r="C146" i="2"/>
  <c r="D146" i="2" s="1"/>
  <c r="C147" i="2"/>
  <c r="D147" i="2" s="1"/>
  <c r="C148" i="2"/>
  <c r="D148" i="2" s="1"/>
  <c r="C149" i="2"/>
  <c r="D149" i="2" s="1"/>
  <c r="C150" i="2"/>
  <c r="D150" i="2" s="1"/>
  <c r="C151" i="2"/>
  <c r="D151" i="2" s="1"/>
  <c r="C152" i="2"/>
  <c r="D152" i="2" s="1"/>
  <c r="C153" i="2"/>
  <c r="D153" i="2" s="1"/>
  <c r="C154" i="2"/>
  <c r="D154" i="2" s="1"/>
  <c r="C155" i="2"/>
  <c r="D155" i="2" s="1"/>
  <c r="C156" i="2"/>
  <c r="D156" i="2" s="1"/>
  <c r="C157" i="2"/>
  <c r="D157" i="2" s="1"/>
  <c r="C158" i="2"/>
  <c r="D158" i="2" s="1"/>
  <c r="C139" i="2"/>
  <c r="D139" i="2" s="1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H112" i="2" a="1"/>
  <c r="H112" i="2" s="1"/>
  <c r="O112" i="2"/>
  <c r="W112" i="2"/>
  <c r="J113" i="2"/>
  <c r="N114" i="2"/>
  <c r="O114" i="2"/>
  <c r="V114" i="2"/>
  <c r="Z115" i="2"/>
  <c r="AA115" i="2"/>
  <c r="K66" i="2"/>
  <c r="F86" i="2" a="1"/>
  <c r="F86" i="2" s="1"/>
  <c r="B80" i="2"/>
  <c r="B81" i="2"/>
  <c r="B79" i="2"/>
  <c r="D159" i="2" l="1"/>
  <c r="N134" i="2"/>
  <c r="N139" i="2"/>
  <c r="N146" i="2"/>
  <c r="N138" i="2"/>
  <c r="N147" i="2"/>
  <c r="N136" i="2"/>
  <c r="N141" i="2"/>
  <c r="N140" i="2"/>
  <c r="N151" i="2"/>
  <c r="N148" i="2"/>
  <c r="N145" i="2"/>
  <c r="N137" i="2"/>
  <c r="N152" i="2"/>
  <c r="N144" i="2"/>
  <c r="N153" i="2"/>
  <c r="N143" i="2"/>
  <c r="N149" i="2"/>
  <c r="N142" i="2"/>
  <c r="N135" i="2"/>
  <c r="N150" i="2"/>
  <c r="R115" i="2"/>
  <c r="Z113" i="2"/>
  <c r="K115" i="2"/>
  <c r="S113" i="2"/>
  <c r="H128" i="2" a="1"/>
  <c r="H128" i="2" s="1"/>
  <c r="J115" i="2"/>
  <c r="R113" i="2"/>
  <c r="S115" i="2"/>
  <c r="AA113" i="2"/>
  <c r="W114" i="2"/>
  <c r="K113" i="2"/>
  <c r="V112" i="2"/>
  <c r="Q115" i="2"/>
  <c r="U114" i="2"/>
  <c r="Y113" i="2"/>
  <c r="U112" i="2"/>
  <c r="L114" i="2"/>
  <c r="W115" i="2"/>
  <c r="AA114" i="2"/>
  <c r="K114" i="2"/>
  <c r="W113" i="2"/>
  <c r="O113" i="2"/>
  <c r="AA112" i="2"/>
  <c r="S112" i="2"/>
  <c r="K112" i="2"/>
  <c r="Y115" i="2"/>
  <c r="I115" i="2"/>
  <c r="M114" i="2"/>
  <c r="Q113" i="2"/>
  <c r="I113" i="2"/>
  <c r="M112" i="2"/>
  <c r="X115" i="2"/>
  <c r="P115" i="2"/>
  <c r="H115" i="2"/>
  <c r="T114" i="2"/>
  <c r="X113" i="2"/>
  <c r="P113" i="2"/>
  <c r="H113" i="2"/>
  <c r="T112" i="2"/>
  <c r="L112" i="2"/>
  <c r="O115" i="2"/>
  <c r="S114" i="2"/>
  <c r="V115" i="2"/>
  <c r="N115" i="2"/>
  <c r="Z114" i="2"/>
  <c r="R114" i="2"/>
  <c r="J114" i="2"/>
  <c r="V113" i="2"/>
  <c r="N113" i="2"/>
  <c r="Z112" i="2"/>
  <c r="R112" i="2"/>
  <c r="J112" i="2"/>
  <c r="M115" i="2"/>
  <c r="Q114" i="2"/>
  <c r="U113" i="2"/>
  <c r="Y112" i="2"/>
  <c r="I112" i="2"/>
  <c r="H134" i="2" s="1" a="1"/>
  <c r="N112" i="2"/>
  <c r="U115" i="2"/>
  <c r="Y114" i="2"/>
  <c r="I114" i="2"/>
  <c r="M113" i="2"/>
  <c r="Q112" i="2"/>
  <c r="T115" i="2"/>
  <c r="L115" i="2"/>
  <c r="X114" i="2"/>
  <c r="P114" i="2"/>
  <c r="H114" i="2"/>
  <c r="T113" i="2"/>
  <c r="L113" i="2"/>
  <c r="X112" i="2"/>
  <c r="P112" i="2"/>
  <c r="H86" i="2"/>
  <c r="J86" i="2"/>
  <c r="I86" i="2"/>
  <c r="G86" i="2"/>
  <c r="H134" i="2" l="1"/>
  <c r="H137" i="2"/>
  <c r="H136" i="2"/>
  <c r="H135" i="2"/>
  <c r="H130" i="2"/>
  <c r="K131" i="2"/>
  <c r="K130" i="2"/>
  <c r="J128" i="2"/>
  <c r="H129" i="2"/>
  <c r="J130" i="2"/>
  <c r="I131" i="2"/>
  <c r="K128" i="2"/>
  <c r="J129" i="2"/>
  <c r="H131" i="2"/>
  <c r="I128" i="2"/>
  <c r="M128" i="2" s="1" a="1"/>
  <c r="I130" i="2"/>
  <c r="K129" i="2"/>
  <c r="J131" i="2"/>
  <c r="K102" i="2"/>
  <c r="L102" i="2" s="1"/>
  <c r="K96" i="2"/>
  <c r="L96" i="2" s="1"/>
  <c r="K93" i="2"/>
  <c r="L93" i="2" s="1"/>
  <c r="K101" i="2"/>
  <c r="L101" i="2" s="1"/>
  <c r="K91" i="2"/>
  <c r="L91" i="2" s="1"/>
  <c r="K89" i="2"/>
  <c r="L89" i="2" s="1"/>
  <c r="K86" i="2"/>
  <c r="L86" i="2" s="1"/>
  <c r="K98" i="2"/>
  <c r="L98" i="2" s="1"/>
  <c r="K103" i="2"/>
  <c r="L103" i="2" s="1"/>
  <c r="K95" i="2"/>
  <c r="L95" i="2" s="1"/>
  <c r="K100" i="2"/>
  <c r="L100" i="2" s="1"/>
  <c r="K99" i="2"/>
  <c r="L99" i="2" s="1"/>
  <c r="K88" i="2"/>
  <c r="L88" i="2" s="1"/>
  <c r="K104" i="2"/>
  <c r="L104" i="2" s="1"/>
  <c r="K94" i="2"/>
  <c r="L94" i="2" s="1"/>
  <c r="K105" i="2"/>
  <c r="L105" i="2" s="1"/>
  <c r="K92" i="2"/>
  <c r="L92" i="2" s="1"/>
  <c r="K87" i="2"/>
  <c r="L87" i="2" s="1"/>
  <c r="K97" i="2"/>
  <c r="L97" i="2" s="1"/>
  <c r="K90" i="2"/>
  <c r="L90" i="2" s="1"/>
  <c r="I129" i="2"/>
  <c r="K20" i="2"/>
  <c r="L20" i="2" s="1"/>
  <c r="K10" i="2"/>
  <c r="L10" i="2" s="1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" i="2"/>
  <c r="M21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" i="2"/>
  <c r="K5" i="2"/>
  <c r="L5" i="2" s="1"/>
  <c r="J3" i="2"/>
  <c r="K3" i="2" s="1"/>
  <c r="L3" i="2" s="1"/>
  <c r="J4" i="2"/>
  <c r="K4" i="2" s="1"/>
  <c r="L4" i="2" s="1"/>
  <c r="J5" i="2"/>
  <c r="J6" i="2"/>
  <c r="K6" i="2" s="1"/>
  <c r="L6" i="2" s="1"/>
  <c r="J7" i="2"/>
  <c r="K7" i="2" s="1"/>
  <c r="L7" i="2" s="1"/>
  <c r="J8" i="2"/>
  <c r="K8" i="2" s="1"/>
  <c r="L8" i="2" s="1"/>
  <c r="J9" i="2"/>
  <c r="K9" i="2" s="1"/>
  <c r="L9" i="2" s="1"/>
  <c r="J10" i="2"/>
  <c r="J11" i="2"/>
  <c r="K11" i="2" s="1"/>
  <c r="L11" i="2" s="1"/>
  <c r="J12" i="2"/>
  <c r="K12" i="2" s="1"/>
  <c r="L12" i="2" s="1"/>
  <c r="J13" i="2"/>
  <c r="K13" i="2" s="1"/>
  <c r="L13" i="2" s="1"/>
  <c r="J14" i="2"/>
  <c r="K14" i="2" s="1"/>
  <c r="L14" i="2" s="1"/>
  <c r="J15" i="2"/>
  <c r="K15" i="2" s="1"/>
  <c r="L15" i="2" s="1"/>
  <c r="J16" i="2"/>
  <c r="K16" i="2" s="1"/>
  <c r="L16" i="2" s="1"/>
  <c r="J17" i="2"/>
  <c r="K17" i="2" s="1"/>
  <c r="L17" i="2" s="1"/>
  <c r="J18" i="2"/>
  <c r="K18" i="2" s="1"/>
  <c r="L18" i="2" s="1"/>
  <c r="J19" i="2"/>
  <c r="K19" i="2" s="1"/>
  <c r="L19" i="2" s="1"/>
  <c r="J20" i="2"/>
  <c r="J21" i="2"/>
  <c r="K21" i="2" s="1"/>
  <c r="L21" i="2" s="1"/>
  <c r="J2" i="2"/>
  <c r="K2" i="2" s="1"/>
  <c r="N128" i="2" l="1"/>
  <c r="M131" i="2"/>
  <c r="N130" i="2"/>
  <c r="P131" i="2"/>
  <c r="M129" i="2"/>
  <c r="N129" i="2"/>
  <c r="O129" i="2"/>
  <c r="M130" i="2"/>
  <c r="M128" i="2"/>
  <c r="P130" i="2"/>
  <c r="P129" i="2"/>
  <c r="P128" i="2"/>
  <c r="O131" i="2"/>
  <c r="O130" i="2"/>
  <c r="N131" i="2"/>
  <c r="O128" i="2"/>
  <c r="L108" i="2"/>
  <c r="K24" i="2"/>
  <c r="L2" i="2"/>
  <c r="J134" i="2" l="1" a="1"/>
  <c r="J134" i="2" l="1"/>
  <c r="J137" i="2"/>
  <c r="J135" i="2"/>
  <c r="J136" i="2"/>
</calcChain>
</file>

<file path=xl/sharedStrings.xml><?xml version="1.0" encoding="utf-8"?>
<sst xmlns="http://schemas.openxmlformats.org/spreadsheetml/2006/main" count="101" uniqueCount="64">
  <si>
    <t>Remodeled</t>
  </si>
  <si>
    <t>Neighborhood</t>
  </si>
  <si>
    <t>Age</t>
  </si>
  <si>
    <t>Price</t>
  </si>
  <si>
    <t>Area (SQFT)</t>
  </si>
  <si>
    <t>Y</t>
  </si>
  <si>
    <t>Area</t>
  </si>
  <si>
    <t>age</t>
  </si>
  <si>
    <t>Remodeled Encode</t>
  </si>
  <si>
    <t>Val Enc</t>
  </si>
  <si>
    <t>Error</t>
  </si>
  <si>
    <t>Neighboorhood 1</t>
  </si>
  <si>
    <t>Neighborhood 2</t>
  </si>
  <si>
    <t>Neighborhood 1 enc</t>
  </si>
  <si>
    <t>Neighboorhood 2 enc</t>
  </si>
  <si>
    <t>Error^2</t>
  </si>
  <si>
    <t>Sum of errors</t>
  </si>
  <si>
    <t>Q(B)</t>
  </si>
  <si>
    <t>n2</t>
  </si>
  <si>
    <t>Neighborhood 2 enc</t>
  </si>
  <si>
    <t>Intercept</t>
  </si>
  <si>
    <t>Coefficients</t>
  </si>
  <si>
    <t>RESIDUAL OUTPUT</t>
  </si>
  <si>
    <t>Observation</t>
  </si>
  <si>
    <t>Residuals</t>
  </si>
  <si>
    <t>Predicted Price</t>
  </si>
  <si>
    <t xml:space="preserve">Q(C) </t>
  </si>
  <si>
    <t>sum of residuals</t>
  </si>
  <si>
    <t>avg of residuals</t>
  </si>
  <si>
    <t xml:space="preserve">Std dev </t>
  </si>
  <si>
    <t>Q(D)</t>
  </si>
  <si>
    <t>Predicted price</t>
  </si>
  <si>
    <t>n1</t>
  </si>
  <si>
    <t>area</t>
  </si>
  <si>
    <t>intercept</t>
  </si>
  <si>
    <t>error</t>
  </si>
  <si>
    <t xml:space="preserve">sum of errors </t>
  </si>
  <si>
    <t>sum of errors</t>
  </si>
  <si>
    <t>transpose(matrix) (X'</t>
  </si>
  <si>
    <t>(Y')</t>
  </si>
  <si>
    <t>Q(E)</t>
  </si>
  <si>
    <t>X</t>
  </si>
  <si>
    <t>Beta</t>
  </si>
  <si>
    <t>inverse</t>
  </si>
  <si>
    <t>(x'x)</t>
  </si>
  <si>
    <t>(x'x)-1</t>
  </si>
  <si>
    <t>(x'y)</t>
  </si>
  <si>
    <t xml:space="preserve">beta </t>
  </si>
  <si>
    <t>Error for variance</t>
  </si>
  <si>
    <t xml:space="preserve">Error term </t>
  </si>
  <si>
    <t xml:space="preserve">Actual </t>
  </si>
  <si>
    <t>error sqared</t>
  </si>
  <si>
    <t>pred</t>
  </si>
  <si>
    <t>Variance</t>
  </si>
  <si>
    <t>sd</t>
  </si>
  <si>
    <t>Q(F)</t>
  </si>
  <si>
    <t xml:space="preserve">Variance - covariance matrix </t>
  </si>
  <si>
    <t>Q(G)</t>
  </si>
  <si>
    <t>Q(H)</t>
  </si>
  <si>
    <t>neighborhood location</t>
  </si>
  <si>
    <t>Enc</t>
  </si>
  <si>
    <t xml:space="preserve">Area </t>
  </si>
  <si>
    <t xml:space="preserve">age </t>
  </si>
  <si>
    <t xml:space="preserve">Predicted price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</si>
</sst>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0" fillId="3" borderId="0" xfId="0" applyFont="1" applyFill="1"/>
    <xf numFmtId="0" fontId="0" fillId="0" borderId="0" xfId="0" applyBorder="1"/>
    <xf numFmtId="0" fontId="2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2" borderId="0" xfId="0" applyFill="1"/>
    <xf numFmtId="0" fontId="0" fillId="2" borderId="0" xfId="0" applyFill="1" applyBorder="1" applyAlignment="1"/>
    <xf numFmtId="0" fontId="0" fillId="2" borderId="0" xfId="0" applyFill="1" applyBorder="1" applyAlignment="1">
      <alignment horizontal="right"/>
    </xf>
    <xf numFmtId="0" fontId="0" fillId="2" borderId="1" xfId="0" applyFill="1" applyBorder="1" applyAlignment="1"/>
    <xf numFmtId="2" fontId="0" fillId="0" borderId="0" xfId="0" applyNumberFormat="1"/>
    <xf numFmtId="2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/>
    <xf numFmtId="0" fontId="3" fillId="0" borderId="0" xfId="0" applyNumberFormat="1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E64B5-7711-4566-9B07-7419F0C55504}">
  <dimension ref="A1:AJ186"/>
  <sheetViews>
    <sheetView tabSelected="1" topLeftCell="A67" workbookViewId="0">
      <selection activeCell="A165" sqref="A165"/>
    </sheetView>
  </sheetViews>
  <sheetFormatPr baseColWidth="10" defaultColWidth="8.83203125" defaultRowHeight="15" x14ac:dyDescent="0.2"/>
  <cols>
    <col min="1" max="1" width="23.33203125" style="2" customWidth="1"/>
    <col min="2" max="2" width="21.1640625" style="2" customWidth="1"/>
    <col min="3" max="3" width="19" style="2" customWidth="1"/>
    <col min="4" max="5" width="15.83203125" style="2" customWidth="1"/>
    <col min="6" max="6" width="13" customWidth="1"/>
    <col min="7" max="7" width="31.83203125" style="2" customWidth="1"/>
    <col min="8" max="8" width="22.33203125" customWidth="1"/>
    <col min="9" max="9" width="18.5" customWidth="1"/>
    <col min="10" max="10" width="18.6640625" customWidth="1"/>
    <col min="11" max="11" width="19" customWidth="1"/>
    <col min="12" max="12" width="14" customWidth="1"/>
    <col min="13" max="13" width="20.33203125" customWidth="1"/>
    <col min="14" max="14" width="17.33203125" customWidth="1"/>
    <col min="15" max="15" width="17.83203125" customWidth="1"/>
    <col min="16" max="16" width="12.6640625" customWidth="1"/>
  </cols>
  <sheetData>
    <row r="1" spans="1:20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8</v>
      </c>
      <c r="G1" s="1" t="s">
        <v>6</v>
      </c>
      <c r="H1" s="1" t="s">
        <v>0</v>
      </c>
      <c r="I1" s="1" t="s">
        <v>2</v>
      </c>
      <c r="J1" s="1" t="s">
        <v>9</v>
      </c>
      <c r="K1" s="1" t="s">
        <v>10</v>
      </c>
      <c r="L1" s="1" t="s">
        <v>15</v>
      </c>
      <c r="M1" s="2" t="s">
        <v>13</v>
      </c>
      <c r="N1" s="2" t="s">
        <v>14</v>
      </c>
      <c r="O1" s="2" t="s">
        <v>11</v>
      </c>
      <c r="P1" s="2" t="s">
        <v>12</v>
      </c>
      <c r="R1" s="2"/>
      <c r="S1" s="2" t="s">
        <v>49</v>
      </c>
      <c r="T1" s="2" t="s">
        <v>50</v>
      </c>
    </row>
    <row r="2" spans="1:20" x14ac:dyDescent="0.2">
      <c r="A2" s="2">
        <v>1500</v>
      </c>
      <c r="C2" s="2">
        <v>2</v>
      </c>
      <c r="D2" s="2">
        <v>20</v>
      </c>
      <c r="E2" s="2">
        <f xml:space="preserve"> (A2*G$2) + (A2*P$2) + J2 - (D2*I$2)</f>
        <v>257500</v>
      </c>
      <c r="F2" s="2">
        <v>0</v>
      </c>
      <c r="G2" s="2">
        <v>150</v>
      </c>
      <c r="H2" s="2">
        <v>50000</v>
      </c>
      <c r="I2" s="2">
        <v>-2000</v>
      </c>
      <c r="J2">
        <f>IF(F2 = 1, 1 * H$2, 0* H$2 )</f>
        <v>0</v>
      </c>
      <c r="K2">
        <f>E2-R$2</f>
        <v>257500</v>
      </c>
      <c r="L2">
        <f>K2*K2</f>
        <v>66306250000</v>
      </c>
      <c r="M2" s="2">
        <f>IF(C2= 1,1,0 )</f>
        <v>0</v>
      </c>
      <c r="N2" s="2">
        <f>IF(C2= 2, 1,0)</f>
        <v>1</v>
      </c>
      <c r="O2" s="2">
        <v>15</v>
      </c>
      <c r="P2" s="2">
        <v>-5</v>
      </c>
      <c r="R2" s="19"/>
      <c r="S2">
        <v>5525.269570061937</v>
      </c>
      <c r="T2" s="13">
        <f>($G$2*A2)+J2+($I$2*D2)+(M2*$O$2)+(N2*$P$2)+S2</f>
        <v>190520.26957006194</v>
      </c>
    </row>
    <row r="3" spans="1:20" x14ac:dyDescent="0.2">
      <c r="A3" s="2">
        <v>2500</v>
      </c>
      <c r="C3" s="2">
        <v>2</v>
      </c>
      <c r="D3" s="2">
        <v>0</v>
      </c>
      <c r="E3" s="2">
        <f xml:space="preserve"> (A3*G$2) + (A3*P$2) + J3 - (D3*I$2)</f>
        <v>362500</v>
      </c>
      <c r="F3" s="2">
        <v>0</v>
      </c>
      <c r="J3">
        <f t="shared" ref="J3:J21" si="0">IF(F3 = 1, 1 * H$2, 0* H$2 )</f>
        <v>0</v>
      </c>
      <c r="K3">
        <f>E3-R$2</f>
        <v>362500</v>
      </c>
      <c r="L3">
        <f t="shared" ref="L3:L21" si="1">K3*K3</f>
        <v>131406250000</v>
      </c>
      <c r="M3" s="2">
        <f>IF(C3= 1,1,0 )</f>
        <v>0</v>
      </c>
      <c r="N3" s="2">
        <f>IF(C3= 2, 1,0)</f>
        <v>1</v>
      </c>
      <c r="O3" s="2"/>
      <c r="P3" s="2"/>
      <c r="R3" s="2"/>
      <c r="S3">
        <v>4683.9301275031175</v>
      </c>
      <c r="T3" s="13">
        <f t="shared" ref="T3:T21" si="2">($G$2*A3)+J3+($I$2*D3)+(M3*$O$2)+(N3*$P$2)+S3</f>
        <v>379678.93012750312</v>
      </c>
    </row>
    <row r="4" spans="1:20" x14ac:dyDescent="0.2">
      <c r="A4" s="2">
        <v>5000</v>
      </c>
      <c r="C4" s="2">
        <v>3</v>
      </c>
      <c r="D4" s="2">
        <v>14</v>
      </c>
      <c r="E4" s="2">
        <f t="shared" ref="E4:E16" si="3" xml:space="preserve"> (A4*G$2) + J4 - (D4*I$2)</f>
        <v>778000</v>
      </c>
      <c r="F4" s="2">
        <v>0</v>
      </c>
      <c r="J4">
        <f t="shared" si="0"/>
        <v>0</v>
      </c>
      <c r="K4">
        <f>E4-R$2</f>
        <v>778000</v>
      </c>
      <c r="L4">
        <f t="shared" si="1"/>
        <v>605284000000</v>
      </c>
      <c r="M4" s="2">
        <f>IF(C4= 1,1,0 )</f>
        <v>0</v>
      </c>
      <c r="N4" s="2">
        <f>IF(C4= 2, 1,0)</f>
        <v>0</v>
      </c>
      <c r="O4" s="2"/>
      <c r="P4" s="2"/>
      <c r="R4" s="2"/>
      <c r="S4">
        <v>3760.3951012715697</v>
      </c>
      <c r="T4" s="13">
        <f t="shared" si="2"/>
        <v>725760.39510127157</v>
      </c>
    </row>
    <row r="5" spans="1:20" x14ac:dyDescent="0.2">
      <c r="A5" s="2">
        <v>4700</v>
      </c>
      <c r="B5" s="2" t="s">
        <v>5</v>
      </c>
      <c r="C5" s="2">
        <v>3</v>
      </c>
      <c r="D5" s="2">
        <v>12</v>
      </c>
      <c r="E5" s="2">
        <f t="shared" si="3"/>
        <v>779000</v>
      </c>
      <c r="F5" s="2">
        <v>1</v>
      </c>
      <c r="J5">
        <f t="shared" si="0"/>
        <v>50000</v>
      </c>
      <c r="K5">
        <f>E5-R$2</f>
        <v>779000</v>
      </c>
      <c r="L5">
        <f t="shared" si="1"/>
        <v>606841000000</v>
      </c>
      <c r="M5" s="2">
        <f>IF(C5= 1,1,0 )</f>
        <v>0</v>
      </c>
      <c r="N5" s="2">
        <f>IF(C5= 2, 1,0)</f>
        <v>0</v>
      </c>
      <c r="O5" s="2"/>
      <c r="P5" s="2"/>
      <c r="R5" s="2"/>
      <c r="S5">
        <v>2768.0590745876543</v>
      </c>
      <c r="T5" s="13">
        <f t="shared" si="2"/>
        <v>733768.05907458765</v>
      </c>
    </row>
    <row r="6" spans="1:20" x14ac:dyDescent="0.2">
      <c r="A6" s="2">
        <v>3500</v>
      </c>
      <c r="C6" s="2">
        <v>3</v>
      </c>
      <c r="D6" s="2">
        <v>5</v>
      </c>
      <c r="E6" s="2">
        <f t="shared" si="3"/>
        <v>535000</v>
      </c>
      <c r="F6" s="2">
        <v>0</v>
      </c>
      <c r="J6">
        <f t="shared" si="0"/>
        <v>0</v>
      </c>
      <c r="K6">
        <f>E6-R$2</f>
        <v>535000</v>
      </c>
      <c r="L6">
        <f t="shared" si="1"/>
        <v>286225000000</v>
      </c>
      <c r="M6" s="2">
        <f>IF(C6= 1,1,0 )</f>
        <v>0</v>
      </c>
      <c r="N6" s="2">
        <f>IF(C6= 2, 1,0)</f>
        <v>0</v>
      </c>
      <c r="O6" s="2"/>
      <c r="P6" s="2"/>
      <c r="R6" s="2"/>
      <c r="S6">
        <v>3158.9189701480791</v>
      </c>
      <c r="T6" s="13">
        <f t="shared" si="2"/>
        <v>518158.91897014808</v>
      </c>
    </row>
    <row r="7" spans="1:20" x14ac:dyDescent="0.2">
      <c r="A7" s="2">
        <v>1000</v>
      </c>
      <c r="C7" s="2">
        <v>1</v>
      </c>
      <c r="D7" s="2">
        <v>25</v>
      </c>
      <c r="E7" s="2">
        <f xml:space="preserve"> (A7*G$2) + (A7*O$2) + J7 - (D7*I$2)</f>
        <v>215000</v>
      </c>
      <c r="F7" s="2">
        <v>0</v>
      </c>
      <c r="J7">
        <f t="shared" si="0"/>
        <v>0</v>
      </c>
      <c r="K7">
        <f>E7-R$2</f>
        <v>215000</v>
      </c>
      <c r="L7">
        <f t="shared" si="1"/>
        <v>46225000000</v>
      </c>
      <c r="M7" s="2">
        <f>IF(C7= 1,1,0 )</f>
        <v>1</v>
      </c>
      <c r="N7" s="2">
        <f>IF(C7= 2, 1,0)</f>
        <v>0</v>
      </c>
      <c r="O7" s="2"/>
      <c r="P7" s="2"/>
      <c r="R7" s="2"/>
      <c r="S7">
        <v>4948.0405676877126</v>
      </c>
      <c r="T7" s="13">
        <f t="shared" si="2"/>
        <v>104963.04056768771</v>
      </c>
    </row>
    <row r="8" spans="1:20" x14ac:dyDescent="0.2">
      <c r="A8" s="2">
        <v>1500</v>
      </c>
      <c r="C8" s="2">
        <v>2</v>
      </c>
      <c r="D8" s="2">
        <v>4</v>
      </c>
      <c r="E8" s="2">
        <f xml:space="preserve"> (A8*G$2) +(A8*P2)+  J8 - (D8*I$2)</f>
        <v>225500</v>
      </c>
      <c r="F8" s="2">
        <v>0</v>
      </c>
      <c r="J8">
        <f t="shared" si="0"/>
        <v>0</v>
      </c>
      <c r="K8">
        <f>E8-R$2</f>
        <v>225500</v>
      </c>
      <c r="L8">
        <f t="shared" si="1"/>
        <v>50850250000</v>
      </c>
      <c r="M8" s="2">
        <f>IF(C8= 1,1,0 )</f>
        <v>0</v>
      </c>
      <c r="N8" s="2">
        <f>IF(C8= 2, 1,0)</f>
        <v>1</v>
      </c>
      <c r="O8" s="2"/>
      <c r="P8" s="2"/>
      <c r="R8" s="2"/>
      <c r="S8">
        <v>4095.9167917026207</v>
      </c>
      <c r="T8" s="13">
        <f t="shared" si="2"/>
        <v>221090.91679170262</v>
      </c>
    </row>
    <row r="9" spans="1:20" x14ac:dyDescent="0.2">
      <c r="A9" s="2">
        <v>1600</v>
      </c>
      <c r="B9" s="2" t="s">
        <v>5</v>
      </c>
      <c r="C9" s="2">
        <v>3</v>
      </c>
      <c r="D9" s="2">
        <v>3</v>
      </c>
      <c r="E9" s="2">
        <f t="shared" si="3"/>
        <v>296000</v>
      </c>
      <c r="F9" s="2">
        <v>1</v>
      </c>
      <c r="J9">
        <f t="shared" si="0"/>
        <v>50000</v>
      </c>
      <c r="K9">
        <f>E9-R$2</f>
        <v>296000</v>
      </c>
      <c r="L9">
        <f t="shared" si="1"/>
        <v>87616000000</v>
      </c>
      <c r="M9" s="2">
        <f>IF(C9= 1,1,0 )</f>
        <v>0</v>
      </c>
      <c r="N9" s="2">
        <f>IF(C9= 2, 1,0)</f>
        <v>0</v>
      </c>
      <c r="O9" s="2"/>
      <c r="P9" s="2"/>
      <c r="R9" s="2"/>
      <c r="S9">
        <v>5981.5607882046606</v>
      </c>
      <c r="T9" s="13">
        <f t="shared" si="2"/>
        <v>289981.56078820466</v>
      </c>
    </row>
    <row r="10" spans="1:20" x14ac:dyDescent="0.2">
      <c r="A10" s="2">
        <v>2000</v>
      </c>
      <c r="C10" s="2">
        <v>1</v>
      </c>
      <c r="D10" s="2">
        <v>1</v>
      </c>
      <c r="E10" s="2">
        <f xml:space="preserve"> (A10*G$2) + (A10*O$2)+ J10 - (D10*I$2)</f>
        <v>332000</v>
      </c>
      <c r="F10" s="2">
        <v>0</v>
      </c>
      <c r="J10">
        <f t="shared" si="0"/>
        <v>0</v>
      </c>
      <c r="K10">
        <f>E10-R$2</f>
        <v>332000</v>
      </c>
      <c r="L10">
        <f t="shared" si="1"/>
        <v>110224000000</v>
      </c>
      <c r="M10" s="2">
        <f>IF(C10= 1,1,0 )</f>
        <v>1</v>
      </c>
      <c r="N10" s="2">
        <f>IF(C10= 2, 1,0)</f>
        <v>0</v>
      </c>
      <c r="O10" s="2"/>
      <c r="P10" s="2"/>
      <c r="R10" s="2"/>
      <c r="S10">
        <v>6228.9387996133883</v>
      </c>
      <c r="T10" s="13">
        <f t="shared" si="2"/>
        <v>304243.93879961339</v>
      </c>
    </row>
    <row r="11" spans="1:20" x14ac:dyDescent="0.2">
      <c r="A11" s="2">
        <v>3000</v>
      </c>
      <c r="C11" s="2">
        <v>1</v>
      </c>
      <c r="D11" s="2">
        <v>0</v>
      </c>
      <c r="E11" s="2">
        <f xml:space="preserve"> (A11*G$2) + (A11*O$2)+ J11 - (D11*I$2)</f>
        <v>495000</v>
      </c>
      <c r="F11" s="2">
        <v>0</v>
      </c>
      <c r="J11">
        <f t="shared" si="0"/>
        <v>0</v>
      </c>
      <c r="K11">
        <f>E11-R$2</f>
        <v>495000</v>
      </c>
      <c r="L11">
        <f t="shared" si="1"/>
        <v>245025000000</v>
      </c>
      <c r="M11" s="2">
        <f>IF(C11= 1,1,0 )</f>
        <v>1</v>
      </c>
      <c r="N11" s="2">
        <f>IF(C11= 2, 1,0)</f>
        <v>0</v>
      </c>
      <c r="O11" s="2"/>
      <c r="P11" s="2"/>
      <c r="R11" s="2"/>
      <c r="S11">
        <v>4013.6439009802416</v>
      </c>
      <c r="T11" s="13">
        <f t="shared" si="2"/>
        <v>454028.64390098024</v>
      </c>
    </row>
    <row r="12" spans="1:20" x14ac:dyDescent="0.2">
      <c r="A12" s="2">
        <v>3600</v>
      </c>
      <c r="C12" s="2">
        <v>2</v>
      </c>
      <c r="D12" s="2">
        <v>10</v>
      </c>
      <c r="E12" s="2">
        <f xml:space="preserve"> (A12*G$2) +(A12*P$2)+ J12 - (D12*I$2)</f>
        <v>542000</v>
      </c>
      <c r="F12" s="2">
        <v>0</v>
      </c>
      <c r="J12">
        <f t="shared" si="0"/>
        <v>0</v>
      </c>
      <c r="K12">
        <f>E12-R$2</f>
        <v>542000</v>
      </c>
      <c r="L12">
        <f t="shared" si="1"/>
        <v>293764000000</v>
      </c>
      <c r="M12" s="2">
        <f>IF(C12= 1,1,0 )</f>
        <v>0</v>
      </c>
      <c r="N12" s="2">
        <f>IF(C12= 2, 1,0)</f>
        <v>1</v>
      </c>
      <c r="O12" s="2"/>
      <c r="P12" s="2"/>
      <c r="R12" s="2"/>
      <c r="S12">
        <v>1088.5725158732384</v>
      </c>
      <c r="T12" s="13">
        <f t="shared" si="2"/>
        <v>521083.57251587324</v>
      </c>
    </row>
    <row r="13" spans="1:20" x14ac:dyDescent="0.2">
      <c r="A13" s="2">
        <v>4100</v>
      </c>
      <c r="C13" s="2">
        <v>2</v>
      </c>
      <c r="D13" s="2">
        <v>35</v>
      </c>
      <c r="E13" s="2">
        <f xml:space="preserve"> (A13*G$2) +(A13*P$2)+ J13 - (D13*I$2)</f>
        <v>664500</v>
      </c>
      <c r="F13" s="2">
        <v>0</v>
      </c>
      <c r="J13">
        <f t="shared" si="0"/>
        <v>0</v>
      </c>
      <c r="K13">
        <f>E13-R$2</f>
        <v>664500</v>
      </c>
      <c r="L13">
        <f t="shared" si="1"/>
        <v>441560250000</v>
      </c>
      <c r="M13" s="2">
        <f>IF(C13= 1,1,0 )</f>
        <v>0</v>
      </c>
      <c r="N13" s="2">
        <f>IF(C13= 2, 1,0)</f>
        <v>1</v>
      </c>
      <c r="O13" s="2"/>
      <c r="P13" s="2"/>
      <c r="R13" s="2"/>
      <c r="S13">
        <v>4299.714090739144</v>
      </c>
      <c r="T13" s="13">
        <f t="shared" si="2"/>
        <v>549294.71409073914</v>
      </c>
    </row>
    <row r="14" spans="1:20" x14ac:dyDescent="0.2">
      <c r="A14" s="2">
        <v>4300</v>
      </c>
      <c r="B14" s="2" t="s">
        <v>5</v>
      </c>
      <c r="C14" s="2">
        <v>2</v>
      </c>
      <c r="D14" s="2">
        <v>22</v>
      </c>
      <c r="E14" s="2">
        <f xml:space="preserve"> (A14*G$2) +(A14*P$2)+ J14 - (D14*I$2)</f>
        <v>717500</v>
      </c>
      <c r="F14" s="2">
        <v>1</v>
      </c>
      <c r="J14">
        <f t="shared" si="0"/>
        <v>50000</v>
      </c>
      <c r="K14">
        <f>E14-R$2</f>
        <v>717500</v>
      </c>
      <c r="L14">
        <f t="shared" si="1"/>
        <v>514806250000</v>
      </c>
      <c r="M14" s="2">
        <f>IF(C14= 1,1,0 )</f>
        <v>0</v>
      </c>
      <c r="N14" s="2">
        <f>IF(C14= 2, 1,0)</f>
        <v>1</v>
      </c>
      <c r="O14" s="2"/>
      <c r="P14" s="2"/>
      <c r="R14" s="2"/>
      <c r="S14">
        <v>7421.5842131525278</v>
      </c>
      <c r="T14" s="13">
        <f t="shared" si="2"/>
        <v>658416.58421315253</v>
      </c>
    </row>
    <row r="15" spans="1:20" x14ac:dyDescent="0.2">
      <c r="A15" s="2">
        <v>6000</v>
      </c>
      <c r="C15" s="2">
        <v>1</v>
      </c>
      <c r="D15" s="2">
        <v>12</v>
      </c>
      <c r="E15" s="2">
        <f xml:space="preserve"> (A15*G$2) + (A15*O2)+ J15 - (D15*I$2)</f>
        <v>1014000</v>
      </c>
      <c r="F15" s="2">
        <v>0</v>
      </c>
      <c r="J15">
        <f t="shared" si="0"/>
        <v>0</v>
      </c>
      <c r="K15">
        <f>E15-R$2</f>
        <v>1014000</v>
      </c>
      <c r="L15">
        <f t="shared" si="1"/>
        <v>1028196000000</v>
      </c>
      <c r="M15" s="2">
        <f>IF(C15= 1,1,0 )</f>
        <v>1</v>
      </c>
      <c r="N15" s="2">
        <f>IF(C15= 2, 1,0)</f>
        <v>0</v>
      </c>
      <c r="O15" s="2"/>
      <c r="P15" s="2"/>
      <c r="R15" s="2"/>
      <c r="S15">
        <v>561.22929789125919</v>
      </c>
      <c r="T15" s="13">
        <f t="shared" si="2"/>
        <v>876576.22929789126</v>
      </c>
    </row>
    <row r="16" spans="1:20" x14ac:dyDescent="0.2">
      <c r="A16" s="2">
        <v>8000</v>
      </c>
      <c r="C16" s="2">
        <v>3</v>
      </c>
      <c r="D16" s="2">
        <v>28</v>
      </c>
      <c r="E16" s="2">
        <f t="shared" si="3"/>
        <v>1256000</v>
      </c>
      <c r="F16" s="2">
        <v>0</v>
      </c>
      <c r="J16">
        <f t="shared" si="0"/>
        <v>0</v>
      </c>
      <c r="K16">
        <f>E16-R$2</f>
        <v>1256000</v>
      </c>
      <c r="L16">
        <f t="shared" si="1"/>
        <v>1577536000000</v>
      </c>
      <c r="M16" s="2">
        <f>IF(C16= 1,1,0 )</f>
        <v>0</v>
      </c>
      <c r="N16" s="2">
        <f>IF(C16= 2, 1,0)</f>
        <v>0</v>
      </c>
      <c r="O16" s="2"/>
      <c r="P16" s="2"/>
      <c r="R16" s="2"/>
      <c r="S16">
        <v>4262.6362654846162</v>
      </c>
      <c r="T16" s="13">
        <f t="shared" si="2"/>
        <v>1148262.6362654846</v>
      </c>
    </row>
    <row r="17" spans="1:20" x14ac:dyDescent="0.2">
      <c r="A17" s="2">
        <v>6700</v>
      </c>
      <c r="C17" s="2">
        <v>1</v>
      </c>
      <c r="D17" s="2">
        <v>6</v>
      </c>
      <c r="E17" s="2">
        <f xml:space="preserve"> (A17*G$2) + (A17*O$2)+ J17 - (D17*I$2)</f>
        <v>1117500</v>
      </c>
      <c r="F17" s="2">
        <v>0</v>
      </c>
      <c r="J17">
        <f t="shared" si="0"/>
        <v>0</v>
      </c>
      <c r="K17">
        <f>E17-R$2</f>
        <v>1117500</v>
      </c>
      <c r="L17">
        <f t="shared" si="1"/>
        <v>1248806250000</v>
      </c>
      <c r="M17" s="2">
        <f>IF(C17= 1,1,0 )</f>
        <v>1</v>
      </c>
      <c r="N17" s="2">
        <f>IF(C17= 2, 1,0)</f>
        <v>0</v>
      </c>
      <c r="O17" s="2"/>
      <c r="P17" s="2"/>
      <c r="R17" s="2"/>
      <c r="S17">
        <v>4260.3397913626395</v>
      </c>
      <c r="T17" s="13">
        <f t="shared" si="2"/>
        <v>997275.33979136264</v>
      </c>
    </row>
    <row r="18" spans="1:20" x14ac:dyDescent="0.2">
      <c r="A18" s="2">
        <v>1400</v>
      </c>
      <c r="C18" s="2">
        <v>1</v>
      </c>
      <c r="D18" s="2">
        <v>4</v>
      </c>
      <c r="E18" s="2">
        <f xml:space="preserve"> (A18*G$2) + (A18*O$2)+ J18 - (D18*I$2)</f>
        <v>239000</v>
      </c>
      <c r="F18" s="2">
        <v>0</v>
      </c>
      <c r="J18">
        <f t="shared" si="0"/>
        <v>0</v>
      </c>
      <c r="K18">
        <f>E18-R$2</f>
        <v>239000</v>
      </c>
      <c r="L18">
        <f t="shared" si="1"/>
        <v>57121000000</v>
      </c>
      <c r="M18" s="2">
        <f>IF(C18= 1,1,0 )</f>
        <v>1</v>
      </c>
      <c r="N18" s="2">
        <f>IF(C18= 2, 1,0)</f>
        <v>0</v>
      </c>
      <c r="O18" s="2"/>
      <c r="P18" s="2"/>
      <c r="R18" s="2"/>
      <c r="S18">
        <v>3108.2237354712561</v>
      </c>
      <c r="T18" s="13">
        <f t="shared" si="2"/>
        <v>205123.22373547126</v>
      </c>
    </row>
    <row r="19" spans="1:20" x14ac:dyDescent="0.2">
      <c r="A19" s="2">
        <v>1800</v>
      </c>
      <c r="B19" s="2" t="s">
        <v>5</v>
      </c>
      <c r="C19" s="2">
        <v>1</v>
      </c>
      <c r="D19" s="2">
        <v>9</v>
      </c>
      <c r="E19" s="2">
        <f xml:space="preserve"> (A19*G$2) + (A19*O$2)+ J19 - (D19*I$2)</f>
        <v>365000</v>
      </c>
      <c r="F19" s="2">
        <v>1</v>
      </c>
      <c r="J19">
        <f t="shared" si="0"/>
        <v>50000</v>
      </c>
      <c r="K19">
        <f>E19-R$2</f>
        <v>365000</v>
      </c>
      <c r="L19">
        <f t="shared" si="1"/>
        <v>133225000000</v>
      </c>
      <c r="M19" s="2">
        <f>IF(C19= 1,1,0 )</f>
        <v>1</v>
      </c>
      <c r="N19" s="2">
        <f>IF(C19= 2, 1,0)</f>
        <v>0</v>
      </c>
      <c r="O19" s="2"/>
      <c r="P19" s="2"/>
      <c r="R19" s="2"/>
      <c r="S19">
        <v>5151.5309122623876</v>
      </c>
      <c r="T19" s="13">
        <f t="shared" si="2"/>
        <v>307166.53091226239</v>
      </c>
    </row>
    <row r="20" spans="1:20" x14ac:dyDescent="0.2">
      <c r="A20" s="2">
        <v>2200</v>
      </c>
      <c r="C20" s="2">
        <v>1</v>
      </c>
      <c r="D20" s="2">
        <v>11</v>
      </c>
      <c r="E20" s="2">
        <f xml:space="preserve"> (A20*G$2) + (A20*O$2)+ J20 - (D20*I$2)</f>
        <v>385000</v>
      </c>
      <c r="F20" s="2">
        <v>0</v>
      </c>
      <c r="J20">
        <f t="shared" si="0"/>
        <v>0</v>
      </c>
      <c r="K20">
        <f>E20-R$2</f>
        <v>385000</v>
      </c>
      <c r="L20">
        <f t="shared" si="1"/>
        <v>148225000000</v>
      </c>
      <c r="M20" s="2">
        <f>IF(C20= 1,1,0 )</f>
        <v>1</v>
      </c>
      <c r="N20" s="2">
        <f>IF(C20= 2, 1,0)</f>
        <v>0</v>
      </c>
      <c r="O20" s="2"/>
      <c r="P20" s="2"/>
      <c r="R20" s="2"/>
      <c r="S20">
        <v>1186.3613862078637</v>
      </c>
      <c r="T20" s="13">
        <f t="shared" si="2"/>
        <v>309201.36138620786</v>
      </c>
    </row>
    <row r="21" spans="1:20" x14ac:dyDescent="0.2">
      <c r="A21" s="2">
        <v>2800</v>
      </c>
      <c r="C21" s="2">
        <v>1</v>
      </c>
      <c r="D21" s="2">
        <v>0</v>
      </c>
      <c r="E21" s="2">
        <f xml:space="preserve"> (A21*G$2) + (A21*O$2)+ J21 - (D21*I$2)</f>
        <v>462000</v>
      </c>
      <c r="F21" s="2">
        <v>0</v>
      </c>
      <c r="J21">
        <f t="shared" si="0"/>
        <v>0</v>
      </c>
      <c r="K21">
        <f>E21-R$2</f>
        <v>462000</v>
      </c>
      <c r="L21">
        <f t="shared" si="1"/>
        <v>213444000000</v>
      </c>
      <c r="M21" s="2">
        <f>IF(C21= 1,1,0 )</f>
        <v>1</v>
      </c>
      <c r="N21" s="2">
        <f>IF(C21= 2, 1,0)</f>
        <v>0</v>
      </c>
      <c r="O21" s="2"/>
      <c r="P21" s="2"/>
      <c r="R21" s="2"/>
      <c r="S21">
        <v>3031.3850755919702</v>
      </c>
      <c r="T21" s="13">
        <f t="shared" si="2"/>
        <v>423046.38507559197</v>
      </c>
    </row>
    <row r="23" spans="1:20" x14ac:dyDescent="0.2">
      <c r="K23" t="s">
        <v>16</v>
      </c>
    </row>
    <row r="24" spans="1:20" x14ac:dyDescent="0.2">
      <c r="K24">
        <f>SUM(K2:K21)</f>
        <v>11038000</v>
      </c>
      <c r="T24">
        <f>SUM(T2:T21)</f>
        <v>9917641.250975797</v>
      </c>
    </row>
    <row r="51" spans="1:15" x14ac:dyDescent="0.2">
      <c r="A51" s="3" t="s">
        <v>17</v>
      </c>
    </row>
    <row r="53" spans="1:15" x14ac:dyDescent="0.2">
      <c r="A53" s="1" t="s">
        <v>4</v>
      </c>
      <c r="B53" s="1" t="s">
        <v>2</v>
      </c>
      <c r="C53" s="2" t="s">
        <v>13</v>
      </c>
      <c r="D53" s="2" t="s">
        <v>19</v>
      </c>
      <c r="E53" s="2" t="s">
        <v>3</v>
      </c>
      <c r="G53" t="s">
        <v>22</v>
      </c>
      <c r="J53" s="9"/>
      <c r="K53" s="9"/>
      <c r="L53" s="9"/>
      <c r="N53" s="1"/>
      <c r="O53" s="1"/>
    </row>
    <row r="54" spans="1:15" ht="16" thickBot="1" x14ac:dyDescent="0.25">
      <c r="A54" s="2">
        <v>1500</v>
      </c>
      <c r="B54" s="2">
        <v>20</v>
      </c>
      <c r="C54" s="2">
        <v>0</v>
      </c>
      <c r="D54" s="2">
        <v>1</v>
      </c>
      <c r="E54" s="2">
        <v>177500</v>
      </c>
      <c r="G54"/>
      <c r="J54" s="4"/>
      <c r="K54" s="4"/>
      <c r="L54" s="4"/>
      <c r="N54" s="2"/>
    </row>
    <row r="55" spans="1:15" x14ac:dyDescent="0.2">
      <c r="A55" s="2">
        <v>2500</v>
      </c>
      <c r="B55" s="2">
        <v>0</v>
      </c>
      <c r="C55" s="2">
        <v>0</v>
      </c>
      <c r="D55" s="2">
        <v>1</v>
      </c>
      <c r="E55" s="2">
        <v>362500</v>
      </c>
      <c r="G55" s="6" t="s">
        <v>23</v>
      </c>
      <c r="H55" s="6" t="s">
        <v>25</v>
      </c>
      <c r="I55" s="6" t="s">
        <v>24</v>
      </c>
      <c r="J55" s="6"/>
      <c r="K55" s="6" t="s">
        <v>21</v>
      </c>
      <c r="L55" s="4"/>
    </row>
    <row r="56" spans="1:15" x14ac:dyDescent="0.2">
      <c r="A56" s="2">
        <v>5000</v>
      </c>
      <c r="B56" s="2">
        <v>14</v>
      </c>
      <c r="C56" s="2">
        <v>0</v>
      </c>
      <c r="D56" s="2">
        <v>0</v>
      </c>
      <c r="E56" s="2">
        <v>722000</v>
      </c>
      <c r="G56" s="4">
        <v>1</v>
      </c>
      <c r="H56" s="4">
        <v>165910.13927104199</v>
      </c>
      <c r="I56" s="4">
        <v>11589.86072895801</v>
      </c>
      <c r="J56" s="4" t="s">
        <v>20</v>
      </c>
      <c r="K56" s="4">
        <v>-92.637734772524709</v>
      </c>
      <c r="L56" s="4"/>
    </row>
    <row r="57" spans="1:15" x14ac:dyDescent="0.2">
      <c r="A57" s="2">
        <v>4700</v>
      </c>
      <c r="B57" s="2">
        <v>12</v>
      </c>
      <c r="C57" s="2">
        <v>0</v>
      </c>
      <c r="D57" s="2">
        <v>0</v>
      </c>
      <c r="E57" s="2">
        <v>731000</v>
      </c>
      <c r="G57" s="4">
        <v>2</v>
      </c>
      <c r="H57" s="4">
        <v>377573.98167348839</v>
      </c>
      <c r="I57" s="4">
        <v>-15073.981673488393</v>
      </c>
      <c r="J57" s="4" t="s">
        <v>4</v>
      </c>
      <c r="K57" s="14">
        <v>156.47185714754619</v>
      </c>
      <c r="L57" s="4"/>
    </row>
    <row r="58" spans="1:15" x14ac:dyDescent="0.2">
      <c r="A58" s="2">
        <v>3500</v>
      </c>
      <c r="B58" s="2">
        <v>5</v>
      </c>
      <c r="C58" s="2">
        <v>0</v>
      </c>
      <c r="D58" s="2">
        <v>0</v>
      </c>
      <c r="E58" s="2">
        <v>515000</v>
      </c>
      <c r="G58" s="4">
        <v>3</v>
      </c>
      <c r="H58" s="4">
        <v>743632.25832452823</v>
      </c>
      <c r="I58" s="4">
        <v>-21632.258324528229</v>
      </c>
      <c r="J58" s="4" t="s">
        <v>2</v>
      </c>
      <c r="K58" s="14">
        <v>-2759.5992627450132</v>
      </c>
      <c r="L58" s="4"/>
    </row>
    <row r="59" spans="1:15" x14ac:dyDescent="0.2">
      <c r="A59" s="2">
        <v>1000</v>
      </c>
      <c r="B59" s="2">
        <v>25</v>
      </c>
      <c r="C59" s="2">
        <v>1</v>
      </c>
      <c r="D59" s="2">
        <v>0</v>
      </c>
      <c r="E59" s="2">
        <v>115000</v>
      </c>
      <c r="G59" s="4">
        <v>4</v>
      </c>
      <c r="H59" s="4">
        <v>702209.89970575436</v>
      </c>
      <c r="I59" s="4">
        <v>28790.10029424564</v>
      </c>
      <c r="J59" s="4" t="s">
        <v>13</v>
      </c>
      <c r="K59" s="14">
        <v>36877.059134513409</v>
      </c>
      <c r="L59" s="8"/>
    </row>
    <row r="60" spans="1:15" ht="16" thickBot="1" x14ac:dyDescent="0.25">
      <c r="A60" s="2">
        <v>1500</v>
      </c>
      <c r="B60" s="2">
        <v>4</v>
      </c>
      <c r="C60" s="2">
        <v>0</v>
      </c>
      <c r="D60" s="2">
        <v>1</v>
      </c>
      <c r="E60" s="2">
        <v>209500</v>
      </c>
      <c r="G60" s="4">
        <v>5</v>
      </c>
      <c r="H60" s="4">
        <v>533760.86596791411</v>
      </c>
      <c r="I60" s="4">
        <v>-18760.865967914113</v>
      </c>
      <c r="J60" s="5" t="s">
        <v>19</v>
      </c>
      <c r="K60" s="16">
        <v>-13513.023460604516</v>
      </c>
      <c r="L60" s="8"/>
    </row>
    <row r="61" spans="1:15" x14ac:dyDescent="0.2">
      <c r="A61" s="2">
        <v>1600</v>
      </c>
      <c r="B61" s="2">
        <v>3</v>
      </c>
      <c r="C61" s="2">
        <v>0</v>
      </c>
      <c r="D61" s="2">
        <v>0</v>
      </c>
      <c r="E61" s="2">
        <v>284000</v>
      </c>
      <c r="G61" s="4">
        <v>6</v>
      </c>
      <c r="H61" s="4">
        <v>124266.29697866176</v>
      </c>
      <c r="I61" s="4">
        <v>-9266.2969786617614</v>
      </c>
      <c r="J61" s="4"/>
      <c r="K61" s="8"/>
      <c r="L61" s="8"/>
    </row>
    <row r="62" spans="1:15" x14ac:dyDescent="0.2">
      <c r="A62" s="2">
        <v>2000</v>
      </c>
      <c r="B62" s="2">
        <v>1</v>
      </c>
      <c r="C62" s="2">
        <v>1</v>
      </c>
      <c r="D62" s="2">
        <v>0</v>
      </c>
      <c r="E62" s="2">
        <v>328000</v>
      </c>
      <c r="G62" s="4">
        <v>7</v>
      </c>
      <c r="H62" s="4">
        <v>210063.72747496222</v>
      </c>
      <c r="I62" s="4">
        <v>-563.72747496221564</v>
      </c>
      <c r="J62" s="4"/>
      <c r="K62" s="8"/>
      <c r="L62" s="8"/>
      <c r="N62" s="7"/>
    </row>
    <row r="63" spans="1:15" x14ac:dyDescent="0.2">
      <c r="A63" s="2">
        <v>3000</v>
      </c>
      <c r="B63" s="2">
        <v>0</v>
      </c>
      <c r="C63" s="2">
        <v>1</v>
      </c>
      <c r="D63" s="2">
        <v>0</v>
      </c>
      <c r="E63" s="2">
        <v>495000</v>
      </c>
      <c r="G63" s="4">
        <v>8</v>
      </c>
      <c r="H63" s="4">
        <v>241983.53591306633</v>
      </c>
      <c r="I63" s="4">
        <v>42016.464086933673</v>
      </c>
      <c r="J63" s="4"/>
      <c r="K63" s="8"/>
      <c r="L63" s="8"/>
    </row>
    <row r="64" spans="1:15" x14ac:dyDescent="0.2">
      <c r="A64" s="2">
        <v>3600</v>
      </c>
      <c r="B64" s="2">
        <v>10</v>
      </c>
      <c r="C64" s="2">
        <v>0</v>
      </c>
      <c r="D64" s="2">
        <v>1</v>
      </c>
      <c r="E64" s="2">
        <v>502000</v>
      </c>
      <c r="G64" s="4">
        <v>9</v>
      </c>
      <c r="H64" s="4">
        <v>346968.53643208829</v>
      </c>
      <c r="I64" s="4">
        <v>-18968.536432088295</v>
      </c>
      <c r="J64" s="4"/>
      <c r="K64" s="8"/>
      <c r="L64" s="8"/>
      <c r="O64" s="2"/>
    </row>
    <row r="65" spans="1:12" x14ac:dyDescent="0.2">
      <c r="A65" s="2">
        <v>4100</v>
      </c>
      <c r="B65" s="2">
        <v>35</v>
      </c>
      <c r="C65" s="2">
        <v>0</v>
      </c>
      <c r="D65" s="2">
        <v>1</v>
      </c>
      <c r="E65" s="2">
        <v>524500</v>
      </c>
      <c r="G65" s="4">
        <v>10</v>
      </c>
      <c r="H65" s="4">
        <v>506199.99284237949</v>
      </c>
      <c r="I65" s="4">
        <v>-11199.992842379492</v>
      </c>
      <c r="J65" s="4"/>
      <c r="K65" s="8"/>
      <c r="L65" s="8"/>
    </row>
    <row r="66" spans="1:12" x14ac:dyDescent="0.2">
      <c r="A66" s="2">
        <v>4300</v>
      </c>
      <c r="B66" s="2">
        <v>22</v>
      </c>
      <c r="C66" s="2">
        <v>0</v>
      </c>
      <c r="D66" s="2">
        <v>1</v>
      </c>
      <c r="E66" s="2">
        <v>629500</v>
      </c>
      <c r="G66" s="4">
        <v>11</v>
      </c>
      <c r="H66" s="4">
        <v>522097.03190833906</v>
      </c>
      <c r="I66" s="4">
        <v>-20097.031908339064</v>
      </c>
      <c r="J66" s="4" t="s">
        <v>37</v>
      </c>
      <c r="K66" s="8">
        <f>SUM(I56:I75)/20</f>
        <v>3.637978807091713E-11</v>
      </c>
      <c r="L66" s="8"/>
    </row>
    <row r="67" spans="1:12" x14ac:dyDescent="0.2">
      <c r="A67" s="2">
        <v>6000</v>
      </c>
      <c r="B67" s="2">
        <v>12</v>
      </c>
      <c r="C67" s="2">
        <v>1</v>
      </c>
      <c r="D67" s="2">
        <v>0</v>
      </c>
      <c r="E67" s="2">
        <v>966000</v>
      </c>
      <c r="G67" s="4">
        <v>12</v>
      </c>
      <c r="H67" s="4">
        <v>531342.97891348694</v>
      </c>
      <c r="I67" s="4">
        <v>-6842.9789134869352</v>
      </c>
      <c r="J67" s="4"/>
      <c r="K67" s="8"/>
      <c r="L67" s="8"/>
    </row>
    <row r="68" spans="1:12" x14ac:dyDescent="0.2">
      <c r="A68" s="2">
        <v>8000</v>
      </c>
      <c r="B68" s="2">
        <v>28</v>
      </c>
      <c r="C68" s="2">
        <v>0</v>
      </c>
      <c r="D68" s="2">
        <v>0</v>
      </c>
      <c r="E68" s="2">
        <v>1144000</v>
      </c>
      <c r="G68" s="4">
        <v>13</v>
      </c>
      <c r="H68" s="4">
        <v>598512.14075868134</v>
      </c>
      <c r="I68" s="4">
        <v>30987.859241318656</v>
      </c>
      <c r="J68" s="4"/>
      <c r="K68" s="8"/>
      <c r="L68" s="8"/>
    </row>
    <row r="69" spans="1:12" x14ac:dyDescent="0.2">
      <c r="A69" s="2">
        <v>6700</v>
      </c>
      <c r="B69" s="2">
        <v>6</v>
      </c>
      <c r="C69" s="2">
        <v>1</v>
      </c>
      <c r="D69" s="2">
        <v>0</v>
      </c>
      <c r="E69" s="2">
        <v>1093500</v>
      </c>
      <c r="G69" s="4">
        <v>14</v>
      </c>
      <c r="H69" s="4">
        <v>942500.37313207786</v>
      </c>
      <c r="I69" s="4">
        <v>23499.626867922139</v>
      </c>
      <c r="J69" s="4"/>
      <c r="K69" s="8"/>
      <c r="L69" s="8"/>
    </row>
    <row r="70" spans="1:12" x14ac:dyDescent="0.2">
      <c r="A70" s="2">
        <v>1400</v>
      </c>
      <c r="B70" s="2">
        <v>4</v>
      </c>
      <c r="C70" s="2">
        <v>1</v>
      </c>
      <c r="D70" s="2">
        <v>0</v>
      </c>
      <c r="E70" s="2">
        <v>223000</v>
      </c>
      <c r="G70" s="4">
        <v>15</v>
      </c>
      <c r="H70" s="4">
        <v>1174413.4400887366</v>
      </c>
      <c r="I70" s="4">
        <v>-30413.440088736592</v>
      </c>
      <c r="J70" s="4"/>
      <c r="K70" s="8"/>
      <c r="L70" s="8"/>
    </row>
    <row r="71" spans="1:12" x14ac:dyDescent="0.2">
      <c r="A71" s="2">
        <v>1800</v>
      </c>
      <c r="B71" s="2">
        <v>9</v>
      </c>
      <c r="C71" s="2">
        <v>1</v>
      </c>
      <c r="D71" s="2">
        <v>0</v>
      </c>
      <c r="E71" s="2">
        <v>329000</v>
      </c>
      <c r="G71" s="4">
        <v>16</v>
      </c>
      <c r="H71" s="4">
        <v>1068588.2687118303</v>
      </c>
      <c r="I71" s="4">
        <v>24911.731288169743</v>
      </c>
      <c r="J71" s="4"/>
      <c r="K71" s="8"/>
      <c r="L71" s="8"/>
    </row>
    <row r="72" spans="1:12" x14ac:dyDescent="0.2">
      <c r="A72" s="2">
        <v>2200</v>
      </c>
      <c r="B72" s="2">
        <v>11</v>
      </c>
      <c r="C72" s="2">
        <v>1</v>
      </c>
      <c r="D72" s="2">
        <v>0</v>
      </c>
      <c r="E72" s="2">
        <v>341000</v>
      </c>
      <c r="G72" s="4">
        <v>17</v>
      </c>
      <c r="H72" s="4">
        <v>244806.6243553255</v>
      </c>
      <c r="I72" s="4">
        <v>-21806.624355325504</v>
      </c>
      <c r="J72" s="4"/>
      <c r="K72" s="8"/>
      <c r="L72" s="8"/>
    </row>
    <row r="73" spans="1:12" x14ac:dyDescent="0.2">
      <c r="A73" s="2">
        <v>2800</v>
      </c>
      <c r="B73" s="2">
        <v>0</v>
      </c>
      <c r="C73" s="2">
        <v>1</v>
      </c>
      <c r="D73" s="2">
        <v>0</v>
      </c>
      <c r="E73" s="2">
        <v>462000</v>
      </c>
      <c r="G73" s="4">
        <v>18</v>
      </c>
      <c r="H73" s="4">
        <v>293597.3709006189</v>
      </c>
      <c r="I73" s="4">
        <v>35402.629099381098</v>
      </c>
      <c r="J73" s="4"/>
      <c r="K73" s="8"/>
      <c r="L73" s="8"/>
    </row>
    <row r="74" spans="1:12" x14ac:dyDescent="0.2">
      <c r="G74" s="4">
        <v>19</v>
      </c>
      <c r="H74" s="4">
        <v>350666.9152341474</v>
      </c>
      <c r="I74" s="4">
        <v>-9666.9152341473964</v>
      </c>
      <c r="J74" s="4"/>
      <c r="K74" s="8"/>
      <c r="L74" s="8"/>
    </row>
    <row r="75" spans="1:12" ht="16" thickBot="1" x14ac:dyDescent="0.25">
      <c r="G75" s="5">
        <v>20</v>
      </c>
      <c r="H75" s="5">
        <v>474905.62141287024</v>
      </c>
      <c r="I75" s="5">
        <v>-12905.621412870241</v>
      </c>
    </row>
    <row r="78" spans="1:12" x14ac:dyDescent="0.2">
      <c r="A78" s="3" t="s">
        <v>26</v>
      </c>
    </row>
    <row r="79" spans="1:12" x14ac:dyDescent="0.2">
      <c r="A79" s="2" t="s">
        <v>27</v>
      </c>
      <c r="B79" s="3">
        <f xml:space="preserve"> SUM(I56:I75)</f>
        <v>7.2759576141834259E-10</v>
      </c>
    </row>
    <row r="80" spans="1:12" x14ac:dyDescent="0.2">
      <c r="A80" s="2" t="s">
        <v>28</v>
      </c>
      <c r="B80" s="3">
        <f xml:space="preserve"> AVERAGE(I56:I75)</f>
        <v>3.637978807091713E-11</v>
      </c>
    </row>
    <row r="81" spans="1:20" x14ac:dyDescent="0.2">
      <c r="A81" s="2" t="s">
        <v>29</v>
      </c>
      <c r="B81" s="3">
        <f xml:space="preserve"> STDEV(I56:I75)</f>
        <v>22762.853899297192</v>
      </c>
    </row>
    <row r="84" spans="1:20" x14ac:dyDescent="0.2">
      <c r="A84" s="3" t="s">
        <v>30</v>
      </c>
    </row>
    <row r="85" spans="1:20" x14ac:dyDescent="0.2">
      <c r="A85" s="1" t="s">
        <v>4</v>
      </c>
      <c r="B85" s="1" t="s">
        <v>2</v>
      </c>
      <c r="C85" s="2" t="s">
        <v>13</v>
      </c>
      <c r="D85" s="2" t="s">
        <v>19</v>
      </c>
      <c r="E85" s="2" t="s">
        <v>3</v>
      </c>
      <c r="F85" s="2" t="s">
        <v>18</v>
      </c>
      <c r="G85" s="2" t="s">
        <v>32</v>
      </c>
      <c r="H85" s="2" t="s">
        <v>7</v>
      </c>
      <c r="I85" s="2" t="s">
        <v>33</v>
      </c>
      <c r="J85" s="2" t="s">
        <v>34</v>
      </c>
      <c r="K85" t="s">
        <v>31</v>
      </c>
      <c r="L85" s="10" t="s">
        <v>35</v>
      </c>
      <c r="M85" s="11"/>
      <c r="N85" s="8"/>
      <c r="O85" s="8"/>
      <c r="P85" s="8"/>
      <c r="Q85" s="8"/>
      <c r="R85" s="8"/>
    </row>
    <row r="86" spans="1:20" x14ac:dyDescent="0.2">
      <c r="A86" s="2">
        <v>1500</v>
      </c>
      <c r="B86" s="2">
        <v>20</v>
      </c>
      <c r="C86" s="2">
        <v>0</v>
      </c>
      <c r="D86" s="2">
        <v>1</v>
      </c>
      <c r="E86" s="2">
        <v>177500</v>
      </c>
      <c r="F86" s="3">
        <f t="array" ref="F86:J86">LINEST(E86:E105,A86:D105)</f>
        <v>-13513.023460604516</v>
      </c>
      <c r="G86" s="3">
        <v>36877.059134513409</v>
      </c>
      <c r="H86" s="3">
        <v>-2759.5992627450132</v>
      </c>
      <c r="I86" s="3">
        <v>156.47185714754619</v>
      </c>
      <c r="J86" s="2">
        <v>-92.637734772524709</v>
      </c>
      <c r="K86">
        <f>(A86*I$86)+ (B86*H$86)+(F$86*D86)</f>
        <v>166002.77700581451</v>
      </c>
      <c r="L86" s="8">
        <f>E86-K86</f>
        <v>11497.222994185489</v>
      </c>
      <c r="M86" s="8"/>
      <c r="N86" s="8"/>
      <c r="O86" s="8"/>
      <c r="P86" s="8"/>
      <c r="Q86" s="8"/>
      <c r="R86" s="8"/>
    </row>
    <row r="87" spans="1:20" x14ac:dyDescent="0.2">
      <c r="A87" s="2">
        <v>2500</v>
      </c>
      <c r="B87" s="2">
        <v>0</v>
      </c>
      <c r="C87" s="2">
        <v>0</v>
      </c>
      <c r="D87" s="2">
        <v>1</v>
      </c>
      <c r="E87" s="2">
        <v>362500</v>
      </c>
      <c r="K87">
        <f>(A87*I$86)+ (B87*H$86)+(F$86*D87)</f>
        <v>377666.61940826091</v>
      </c>
      <c r="L87" s="8">
        <f t="shared" ref="L87:L105" si="4">E87-K87</f>
        <v>-15166.619408260914</v>
      </c>
      <c r="M87" s="8"/>
      <c r="N87" s="8"/>
      <c r="O87" s="8"/>
      <c r="P87" s="8"/>
      <c r="Q87" s="8"/>
      <c r="R87" s="8"/>
    </row>
    <row r="88" spans="1:20" x14ac:dyDescent="0.2">
      <c r="A88" s="2">
        <v>5000</v>
      </c>
      <c r="B88" s="2">
        <v>14</v>
      </c>
      <c r="C88" s="2">
        <v>0</v>
      </c>
      <c r="D88" s="2">
        <v>0</v>
      </c>
      <c r="E88" s="2">
        <v>722000</v>
      </c>
      <c r="K88">
        <f t="shared" ref="K87:K106" si="5">(A88*I$86)+ (B88*H$86)</f>
        <v>743724.89605930075</v>
      </c>
      <c r="L88" s="8">
        <f t="shared" si="4"/>
        <v>-21724.89605930075</v>
      </c>
      <c r="M88" s="8"/>
      <c r="N88" s="8"/>
      <c r="O88" s="8"/>
      <c r="P88" s="8"/>
      <c r="Q88" s="8"/>
      <c r="R88" s="8"/>
    </row>
    <row r="89" spans="1:20" x14ac:dyDescent="0.2">
      <c r="A89" s="2">
        <v>4700</v>
      </c>
      <c r="B89" s="2">
        <v>12</v>
      </c>
      <c r="C89" s="2">
        <v>0</v>
      </c>
      <c r="D89" s="2">
        <v>0</v>
      </c>
      <c r="E89" s="2">
        <v>731000</v>
      </c>
      <c r="K89">
        <f t="shared" si="5"/>
        <v>702302.53744052688</v>
      </c>
      <c r="L89" s="8">
        <f t="shared" si="4"/>
        <v>28697.462559473119</v>
      </c>
      <c r="M89" s="8"/>
      <c r="N89" s="8"/>
      <c r="O89" s="8"/>
      <c r="P89" s="8"/>
      <c r="Q89" s="8"/>
      <c r="R89" s="8"/>
      <c r="T89" s="8"/>
    </row>
    <row r="90" spans="1:20" x14ac:dyDescent="0.2">
      <c r="A90" s="2">
        <v>3500</v>
      </c>
      <c r="B90" s="2">
        <v>5</v>
      </c>
      <c r="C90" s="2">
        <v>0</v>
      </c>
      <c r="D90" s="2">
        <v>0</v>
      </c>
      <c r="E90" s="2">
        <v>515000</v>
      </c>
      <c r="K90">
        <f t="shared" si="5"/>
        <v>533853.50370268663</v>
      </c>
      <c r="L90" s="8">
        <f t="shared" si="4"/>
        <v>-18853.503702686634</v>
      </c>
      <c r="M90" s="8"/>
      <c r="N90" s="8"/>
      <c r="O90" s="8"/>
      <c r="P90" s="8"/>
      <c r="Q90" s="8"/>
      <c r="R90" s="8"/>
      <c r="T90" s="8"/>
    </row>
    <row r="91" spans="1:20" x14ac:dyDescent="0.2">
      <c r="A91" s="2">
        <v>1000</v>
      </c>
      <c r="B91" s="2">
        <v>25</v>
      </c>
      <c r="C91" s="2">
        <v>1</v>
      </c>
      <c r="D91" s="2">
        <v>0</v>
      </c>
      <c r="E91" s="2">
        <v>115000</v>
      </c>
      <c r="K91">
        <f>(A91*I$86)+ (B91*H$86) + (C91*F$86)</f>
        <v>73968.852118316354</v>
      </c>
      <c r="L91" s="8">
        <f t="shared" si="4"/>
        <v>41031.147881683646</v>
      </c>
      <c r="M91" s="8"/>
      <c r="N91" s="8"/>
      <c r="O91" s="8"/>
      <c r="P91" s="8"/>
      <c r="Q91" s="8"/>
      <c r="R91" s="8"/>
      <c r="T91" s="8"/>
    </row>
    <row r="92" spans="1:20" x14ac:dyDescent="0.2">
      <c r="A92" s="2">
        <v>1500</v>
      </c>
      <c r="B92" s="2">
        <v>4</v>
      </c>
      <c r="C92" s="2">
        <v>0</v>
      </c>
      <c r="D92" s="2">
        <v>1</v>
      </c>
      <c r="E92" s="2">
        <v>209500</v>
      </c>
      <c r="K92">
        <f>(A92*I$86)+ (B92*H$86) + (F$86*D92)</f>
        <v>210156.36520973474</v>
      </c>
      <c r="L92" s="8">
        <f t="shared" si="4"/>
        <v>-656.36520973473671</v>
      </c>
      <c r="M92" s="8"/>
      <c r="N92" s="8"/>
      <c r="O92" s="8"/>
      <c r="P92" s="8"/>
      <c r="Q92" s="8"/>
      <c r="R92" s="8"/>
      <c r="T92" s="8"/>
    </row>
    <row r="93" spans="1:20" x14ac:dyDescent="0.2">
      <c r="A93" s="2">
        <v>1600</v>
      </c>
      <c r="B93" s="2">
        <v>3</v>
      </c>
      <c r="C93" s="2">
        <v>0</v>
      </c>
      <c r="D93" s="2">
        <v>0</v>
      </c>
      <c r="E93" s="2">
        <v>284000</v>
      </c>
      <c r="K93">
        <f t="shared" si="5"/>
        <v>242076.17364783885</v>
      </c>
      <c r="L93" s="8">
        <f t="shared" si="4"/>
        <v>41923.826352161152</v>
      </c>
      <c r="M93" s="8"/>
      <c r="N93" s="8"/>
      <c r="O93" s="8"/>
      <c r="P93" s="8"/>
      <c r="Q93" s="8"/>
      <c r="R93" s="8"/>
      <c r="T93" s="8"/>
    </row>
    <row r="94" spans="1:20" x14ac:dyDescent="0.2">
      <c r="A94" s="2">
        <v>2000</v>
      </c>
      <c r="B94" s="2">
        <v>1</v>
      </c>
      <c r="C94" s="2">
        <v>1</v>
      </c>
      <c r="D94" s="2">
        <v>0</v>
      </c>
      <c r="E94" s="2">
        <v>328000</v>
      </c>
      <c r="K94">
        <f>(A94*I$86)+ (B94*H$86) + (G$86*C94)</f>
        <v>347061.17416686082</v>
      </c>
      <c r="L94" s="8">
        <f t="shared" si="4"/>
        <v>-19061.174166860816</v>
      </c>
      <c r="M94" s="8"/>
      <c r="N94" s="8"/>
      <c r="O94" s="8"/>
      <c r="P94" s="8"/>
      <c r="Q94" s="8"/>
      <c r="R94" s="8"/>
      <c r="T94" s="8"/>
    </row>
    <row r="95" spans="1:20" x14ac:dyDescent="0.2">
      <c r="A95" s="2">
        <v>3000</v>
      </c>
      <c r="B95" s="2">
        <v>0</v>
      </c>
      <c r="C95" s="2">
        <v>1</v>
      </c>
      <c r="D95" s="2">
        <v>0</v>
      </c>
      <c r="E95" s="2">
        <v>495000</v>
      </c>
      <c r="K95">
        <f>(A95*I$86)+ (B95*H$86) + (G$86*C95)</f>
        <v>506292.63057715201</v>
      </c>
      <c r="L95" s="8">
        <f t="shared" si="4"/>
        <v>-11292.630577152013</v>
      </c>
      <c r="M95" s="8"/>
      <c r="N95" s="8"/>
      <c r="O95" s="8"/>
      <c r="P95" s="8"/>
      <c r="Q95" s="8"/>
      <c r="R95" s="8"/>
      <c r="T95" s="8"/>
    </row>
    <row r="96" spans="1:20" x14ac:dyDescent="0.2">
      <c r="A96" s="2">
        <v>3600</v>
      </c>
      <c r="B96" s="2">
        <v>10</v>
      </c>
      <c r="C96" s="2">
        <v>0</v>
      </c>
      <c r="D96" s="2">
        <v>1</v>
      </c>
      <c r="E96" s="2">
        <v>502000</v>
      </c>
      <c r="K96">
        <f>(A96*I$86)+ (B96*H$86) +( F$86 * D96)</f>
        <v>522189.66964311159</v>
      </c>
      <c r="L96" s="8">
        <f t="shared" si="4"/>
        <v>-20189.669643111585</v>
      </c>
      <c r="M96" s="8"/>
      <c r="N96" s="8"/>
      <c r="O96" s="8"/>
      <c r="P96" s="8"/>
      <c r="Q96" s="8"/>
      <c r="R96" s="8"/>
      <c r="T96" s="8"/>
    </row>
    <row r="97" spans="1:36" x14ac:dyDescent="0.2">
      <c r="A97" s="2">
        <v>4100</v>
      </c>
      <c r="B97" s="2">
        <v>35</v>
      </c>
      <c r="C97" s="2">
        <v>0</v>
      </c>
      <c r="D97" s="2">
        <v>1</v>
      </c>
      <c r="E97" s="2">
        <v>524500</v>
      </c>
      <c r="K97">
        <f t="shared" ref="K97:K98" si="6">(A97*I$86)+ (B97*H$86) +( F$86 * D97)</f>
        <v>531435.61664825946</v>
      </c>
      <c r="L97" s="8">
        <f t="shared" si="4"/>
        <v>-6935.6166482594563</v>
      </c>
      <c r="M97" s="8"/>
      <c r="N97" s="8"/>
      <c r="O97" s="8"/>
      <c r="P97" s="8"/>
      <c r="Q97" s="8"/>
      <c r="R97" s="8"/>
      <c r="T97" s="8"/>
    </row>
    <row r="98" spans="1:36" x14ac:dyDescent="0.2">
      <c r="A98" s="2">
        <v>4300</v>
      </c>
      <c r="B98" s="2">
        <v>22</v>
      </c>
      <c r="C98" s="2">
        <v>0</v>
      </c>
      <c r="D98" s="2">
        <v>1</v>
      </c>
      <c r="E98" s="2">
        <v>629500</v>
      </c>
      <c r="K98">
        <f t="shared" si="6"/>
        <v>598604.77849345386</v>
      </c>
      <c r="L98" s="8">
        <f t="shared" si="4"/>
        <v>30895.221506546135</v>
      </c>
      <c r="M98" s="9"/>
      <c r="N98" s="9"/>
      <c r="O98" s="9"/>
      <c r="P98" s="9"/>
      <c r="Q98" s="8"/>
      <c r="R98" s="8"/>
      <c r="T98" s="8"/>
    </row>
    <row r="99" spans="1:36" x14ac:dyDescent="0.2">
      <c r="A99" s="2">
        <v>6000</v>
      </c>
      <c r="B99" s="2">
        <v>12</v>
      </c>
      <c r="C99" s="2">
        <v>1</v>
      </c>
      <c r="D99" s="2">
        <v>0</v>
      </c>
      <c r="E99" s="2">
        <v>966000</v>
      </c>
      <c r="K99">
        <f>(A99*I$86)+ (B99*H$86) + (G$86*C99)</f>
        <v>942593.01086685038</v>
      </c>
      <c r="L99" s="8">
        <f t="shared" si="4"/>
        <v>23406.989133149618</v>
      </c>
      <c r="M99" s="4"/>
      <c r="N99" s="4"/>
      <c r="O99" s="4"/>
      <c r="P99" s="4"/>
      <c r="Q99" s="8"/>
      <c r="R99" s="8"/>
      <c r="T99" s="8"/>
    </row>
    <row r="100" spans="1:36" x14ac:dyDescent="0.2">
      <c r="A100" s="2">
        <v>8000</v>
      </c>
      <c r="B100" s="2">
        <v>28</v>
      </c>
      <c r="C100" s="2">
        <v>0</v>
      </c>
      <c r="D100" s="2">
        <v>0</v>
      </c>
      <c r="E100" s="2">
        <v>1144000</v>
      </c>
      <c r="K100">
        <f t="shared" si="5"/>
        <v>1174506.0778235092</v>
      </c>
      <c r="L100" s="8">
        <f t="shared" si="4"/>
        <v>-30506.077823509229</v>
      </c>
      <c r="M100" s="4"/>
      <c r="N100" s="4"/>
      <c r="O100" s="4"/>
      <c r="P100" s="4"/>
      <c r="Q100" s="8"/>
      <c r="R100" s="8"/>
      <c r="T100" s="8"/>
    </row>
    <row r="101" spans="1:36" x14ac:dyDescent="0.2">
      <c r="A101" s="2">
        <v>6700</v>
      </c>
      <c r="B101" s="2">
        <v>6</v>
      </c>
      <c r="C101" s="2">
        <v>1</v>
      </c>
      <c r="D101" s="2">
        <v>0</v>
      </c>
      <c r="E101" s="2">
        <v>1093500</v>
      </c>
      <c r="K101">
        <f>(A101*I$86)+ (B101*H$86) + (G$86*C101)</f>
        <v>1068680.9064466027</v>
      </c>
      <c r="L101" s="8">
        <f t="shared" si="4"/>
        <v>24819.093553397339</v>
      </c>
      <c r="M101" s="4"/>
      <c r="N101" s="4"/>
      <c r="O101" s="4"/>
      <c r="P101" s="4"/>
      <c r="Q101" s="8"/>
      <c r="R101" s="8"/>
      <c r="T101" s="8"/>
    </row>
    <row r="102" spans="1:36" x14ac:dyDescent="0.2">
      <c r="A102" s="2">
        <v>1400</v>
      </c>
      <c r="B102" s="2">
        <v>4</v>
      </c>
      <c r="C102" s="2">
        <v>1</v>
      </c>
      <c r="D102" s="2">
        <v>0</v>
      </c>
      <c r="E102" s="2">
        <v>223000</v>
      </c>
      <c r="K102">
        <f t="shared" ref="K102:K105" si="7">(A102*I$86)+ (B102*H$86) + (G$86*C102)</f>
        <v>244899.26209009803</v>
      </c>
      <c r="L102" s="8">
        <f t="shared" si="4"/>
        <v>-21899.262090098026</v>
      </c>
      <c r="M102" s="8"/>
      <c r="N102" s="8"/>
      <c r="O102" s="8"/>
      <c r="P102" s="8"/>
      <c r="Q102" s="8"/>
      <c r="R102" s="8"/>
      <c r="S102" s="8"/>
      <c r="T102" s="8"/>
    </row>
    <row r="103" spans="1:36" x14ac:dyDescent="0.2">
      <c r="A103" s="2">
        <v>1800</v>
      </c>
      <c r="B103" s="2">
        <v>9</v>
      </c>
      <c r="C103" s="2">
        <v>1</v>
      </c>
      <c r="D103" s="2">
        <v>0</v>
      </c>
      <c r="E103" s="2">
        <v>329000</v>
      </c>
      <c r="K103">
        <f t="shared" si="7"/>
        <v>293690.00863539142</v>
      </c>
      <c r="L103" s="8">
        <f t="shared" si="4"/>
        <v>35309.991364608577</v>
      </c>
      <c r="M103" s="9"/>
      <c r="N103" s="9"/>
      <c r="O103" s="9"/>
      <c r="P103" s="9"/>
      <c r="Q103" s="9"/>
      <c r="R103" s="9"/>
      <c r="S103" s="9"/>
      <c r="T103" s="8"/>
    </row>
    <row r="104" spans="1:36" x14ac:dyDescent="0.2">
      <c r="A104" s="2">
        <v>2200</v>
      </c>
      <c r="B104" s="2">
        <v>11</v>
      </c>
      <c r="C104" s="2">
        <v>1</v>
      </c>
      <c r="D104" s="2">
        <v>0</v>
      </c>
      <c r="E104" s="2">
        <v>341000</v>
      </c>
      <c r="K104">
        <f t="shared" si="7"/>
        <v>350759.55296891992</v>
      </c>
      <c r="L104" s="8">
        <f t="shared" si="4"/>
        <v>-9759.5529689199175</v>
      </c>
      <c r="M104" s="4"/>
      <c r="N104" s="4"/>
      <c r="O104" s="4"/>
      <c r="P104" s="4"/>
      <c r="Q104" s="4"/>
      <c r="R104" s="4"/>
      <c r="S104" s="4"/>
      <c r="T104" s="8"/>
    </row>
    <row r="105" spans="1:36" x14ac:dyDescent="0.2">
      <c r="A105" s="2">
        <v>2800</v>
      </c>
      <c r="B105" s="2">
        <v>0</v>
      </c>
      <c r="C105" s="2">
        <v>1</v>
      </c>
      <c r="D105" s="2">
        <v>0</v>
      </c>
      <c r="E105" s="2">
        <v>462000</v>
      </c>
      <c r="K105">
        <f t="shared" si="7"/>
        <v>474998.25914764276</v>
      </c>
      <c r="L105" s="8">
        <f t="shared" si="4"/>
        <v>-12998.259147642762</v>
      </c>
      <c r="M105" s="4"/>
      <c r="N105" s="4"/>
      <c r="O105" s="4"/>
      <c r="P105" s="4"/>
      <c r="Q105" s="4"/>
      <c r="R105" s="4"/>
      <c r="S105" s="4"/>
      <c r="T105" s="8"/>
    </row>
    <row r="106" spans="1:36" x14ac:dyDescent="0.2">
      <c r="L106" s="4"/>
      <c r="M106" s="4"/>
      <c r="N106" s="4"/>
      <c r="O106" s="4"/>
      <c r="P106" s="4"/>
      <c r="Q106" s="4"/>
      <c r="R106" s="4"/>
      <c r="S106" s="4"/>
      <c r="T106" s="8"/>
    </row>
    <row r="107" spans="1:36" x14ac:dyDescent="0.2">
      <c r="K107" s="4"/>
      <c r="L107" s="4" t="s">
        <v>36</v>
      </c>
      <c r="M107" s="4"/>
      <c r="N107" s="4"/>
      <c r="O107" s="4"/>
      <c r="P107" s="4"/>
      <c r="Q107" s="4"/>
      <c r="R107" s="4"/>
      <c r="S107" s="4"/>
      <c r="T107" s="8"/>
    </row>
    <row r="108" spans="1:36" x14ac:dyDescent="0.2">
      <c r="K108" s="4"/>
      <c r="L108" s="4">
        <f>SUM(L86:L105)/20</f>
        <v>2426.8663949834117</v>
      </c>
      <c r="M108" s="4"/>
      <c r="N108" s="4"/>
      <c r="O108" s="4"/>
      <c r="P108" s="4"/>
      <c r="Q108" s="4"/>
      <c r="R108" s="4"/>
      <c r="S108" s="4"/>
      <c r="T108" s="8"/>
    </row>
    <row r="109" spans="1:36" x14ac:dyDescent="0.2">
      <c r="A109" s="3" t="s">
        <v>40</v>
      </c>
      <c r="K109" s="8"/>
      <c r="L109" s="8"/>
      <c r="M109" s="8"/>
      <c r="N109" s="8"/>
      <c r="O109" s="8"/>
      <c r="P109" s="8"/>
      <c r="Q109" s="8"/>
      <c r="R109" s="8"/>
      <c r="S109" s="8"/>
      <c r="T109" s="8"/>
    </row>
    <row r="110" spans="1:36" x14ac:dyDescent="0.2">
      <c r="A110" s="2" t="s">
        <v>41</v>
      </c>
      <c r="E110" s="2" t="s">
        <v>39</v>
      </c>
      <c r="K110" s="8"/>
      <c r="L110" s="8"/>
      <c r="M110" s="8"/>
      <c r="N110" s="8"/>
      <c r="O110" s="8"/>
      <c r="P110" s="8"/>
      <c r="Q110" s="8"/>
      <c r="R110" s="8"/>
      <c r="T110" s="8"/>
    </row>
    <row r="111" spans="1:36" x14ac:dyDescent="0.2">
      <c r="A111" s="1" t="s">
        <v>4</v>
      </c>
      <c r="B111" s="1" t="s">
        <v>2</v>
      </c>
      <c r="C111" s="2" t="s">
        <v>13</v>
      </c>
      <c r="D111" s="2" t="s">
        <v>19</v>
      </c>
      <c r="E111" s="2" t="s">
        <v>3</v>
      </c>
      <c r="H111" s="2" t="s">
        <v>38</v>
      </c>
      <c r="K111" s="8"/>
      <c r="L111" s="8"/>
      <c r="M111" s="8"/>
      <c r="N111" s="8"/>
      <c r="O111" s="8"/>
      <c r="P111" s="8"/>
      <c r="Q111" s="8"/>
      <c r="R111" s="8"/>
      <c r="T111" s="8"/>
    </row>
    <row r="112" spans="1:36" x14ac:dyDescent="0.2">
      <c r="A112" s="2">
        <v>1500</v>
      </c>
      <c r="B112" s="2">
        <v>20</v>
      </c>
      <c r="C112" s="2">
        <v>0</v>
      </c>
      <c r="D112" s="2">
        <v>1</v>
      </c>
      <c r="E112" s="2">
        <v>177500</v>
      </c>
      <c r="H112">
        <f t="array" ref="H112:AA115">TRANSPOSE(A112:D131)</f>
        <v>1500</v>
      </c>
      <c r="I112">
        <v>2500</v>
      </c>
      <c r="J112">
        <v>5000</v>
      </c>
      <c r="K112">
        <v>4700</v>
      </c>
      <c r="L112">
        <v>3500</v>
      </c>
      <c r="M112">
        <v>1000</v>
      </c>
      <c r="N112">
        <v>1500</v>
      </c>
      <c r="O112">
        <v>1600</v>
      </c>
      <c r="P112">
        <v>2000</v>
      </c>
      <c r="Q112">
        <v>3000</v>
      </c>
      <c r="R112">
        <v>3600</v>
      </c>
      <c r="S112">
        <v>4100</v>
      </c>
      <c r="T112">
        <v>4300</v>
      </c>
      <c r="U112">
        <v>6000</v>
      </c>
      <c r="V112">
        <v>8000</v>
      </c>
      <c r="W112">
        <v>6700</v>
      </c>
      <c r="X112">
        <v>1400</v>
      </c>
      <c r="Y112">
        <v>1800</v>
      </c>
      <c r="Z112">
        <v>2200</v>
      </c>
      <c r="AA112">
        <v>2800</v>
      </c>
      <c r="AJ112" s="8"/>
    </row>
    <row r="113" spans="1:36" x14ac:dyDescent="0.2">
      <c r="A113" s="2">
        <v>2500</v>
      </c>
      <c r="B113" s="2">
        <v>0</v>
      </c>
      <c r="C113" s="2">
        <v>0</v>
      </c>
      <c r="D113" s="2">
        <v>1</v>
      </c>
      <c r="E113" s="2">
        <v>362500</v>
      </c>
      <c r="H113">
        <v>20</v>
      </c>
      <c r="I113">
        <v>0</v>
      </c>
      <c r="J113">
        <v>14</v>
      </c>
      <c r="K113">
        <v>12</v>
      </c>
      <c r="L113">
        <v>5</v>
      </c>
      <c r="M113">
        <v>25</v>
      </c>
      <c r="N113">
        <v>4</v>
      </c>
      <c r="O113">
        <v>3</v>
      </c>
      <c r="P113">
        <v>1</v>
      </c>
      <c r="Q113">
        <v>0</v>
      </c>
      <c r="R113">
        <v>10</v>
      </c>
      <c r="S113">
        <v>35</v>
      </c>
      <c r="T113">
        <v>22</v>
      </c>
      <c r="U113">
        <v>12</v>
      </c>
      <c r="V113">
        <v>28</v>
      </c>
      <c r="W113">
        <v>6</v>
      </c>
      <c r="X113">
        <v>4</v>
      </c>
      <c r="Y113">
        <v>9</v>
      </c>
      <c r="Z113">
        <v>11</v>
      </c>
      <c r="AA113">
        <v>0</v>
      </c>
      <c r="AJ113" s="8"/>
    </row>
    <row r="114" spans="1:36" x14ac:dyDescent="0.2">
      <c r="A114" s="2">
        <v>5000</v>
      </c>
      <c r="B114" s="2">
        <v>14</v>
      </c>
      <c r="C114" s="2">
        <v>0</v>
      </c>
      <c r="D114" s="2">
        <v>0</v>
      </c>
      <c r="E114" s="2">
        <v>722000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1</v>
      </c>
      <c r="Q114">
        <v>1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1</v>
      </c>
      <c r="X114">
        <v>1</v>
      </c>
      <c r="Y114">
        <v>1</v>
      </c>
      <c r="Z114">
        <v>1</v>
      </c>
      <c r="AA114">
        <v>1</v>
      </c>
      <c r="AJ114" s="9"/>
    </row>
    <row r="115" spans="1:36" x14ac:dyDescent="0.2">
      <c r="A115" s="2">
        <v>4700</v>
      </c>
      <c r="B115" s="2">
        <v>12</v>
      </c>
      <c r="C115" s="2">
        <v>0</v>
      </c>
      <c r="D115" s="2">
        <v>0</v>
      </c>
      <c r="E115" s="2">
        <v>731000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J115" s="4"/>
    </row>
    <row r="116" spans="1:36" x14ac:dyDescent="0.2">
      <c r="A116" s="2">
        <v>3500</v>
      </c>
      <c r="B116" s="2">
        <v>5</v>
      </c>
      <c r="C116" s="2">
        <v>0</v>
      </c>
      <c r="D116" s="2">
        <v>0</v>
      </c>
      <c r="E116" s="2">
        <v>515000</v>
      </c>
      <c r="AJ116" s="4"/>
    </row>
    <row r="117" spans="1:36" x14ac:dyDescent="0.2">
      <c r="A117" s="2">
        <v>1000</v>
      </c>
      <c r="B117" s="2">
        <v>25</v>
      </c>
      <c r="C117" s="2">
        <v>1</v>
      </c>
      <c r="D117" s="2">
        <v>0</v>
      </c>
      <c r="E117" s="2">
        <v>115000</v>
      </c>
    </row>
    <row r="118" spans="1:36" x14ac:dyDescent="0.2">
      <c r="A118" s="2">
        <v>1500</v>
      </c>
      <c r="B118" s="2">
        <v>4</v>
      </c>
      <c r="C118" s="2">
        <v>0</v>
      </c>
      <c r="D118" s="2">
        <v>1</v>
      </c>
      <c r="E118" s="2">
        <v>209500</v>
      </c>
    </row>
    <row r="119" spans="1:36" x14ac:dyDescent="0.2">
      <c r="A119" s="2">
        <v>1600</v>
      </c>
      <c r="B119" s="2">
        <v>3</v>
      </c>
      <c r="C119" s="2">
        <v>0</v>
      </c>
      <c r="D119" s="2">
        <v>0</v>
      </c>
      <c r="E119" s="2">
        <v>284000</v>
      </c>
    </row>
    <row r="120" spans="1:36" x14ac:dyDescent="0.2">
      <c r="A120" s="2">
        <v>2000</v>
      </c>
      <c r="B120" s="2">
        <v>1</v>
      </c>
      <c r="C120" s="2">
        <v>1</v>
      </c>
      <c r="D120" s="2">
        <v>0</v>
      </c>
      <c r="E120" s="2">
        <v>328000</v>
      </c>
    </row>
    <row r="121" spans="1:36" x14ac:dyDescent="0.2">
      <c r="A121" s="2">
        <v>3000</v>
      </c>
      <c r="B121" s="2">
        <v>0</v>
      </c>
      <c r="C121" s="2">
        <v>1</v>
      </c>
      <c r="D121" s="2">
        <v>0</v>
      </c>
      <c r="E121" s="2">
        <v>495000</v>
      </c>
    </row>
    <row r="122" spans="1:36" x14ac:dyDescent="0.2">
      <c r="A122" s="2">
        <v>3600</v>
      </c>
      <c r="B122" s="2">
        <v>10</v>
      </c>
      <c r="C122" s="2">
        <v>0</v>
      </c>
      <c r="D122" s="2">
        <v>1</v>
      </c>
      <c r="E122" s="2">
        <v>502000</v>
      </c>
    </row>
    <row r="123" spans="1:36" x14ac:dyDescent="0.2">
      <c r="A123" s="2">
        <v>4100</v>
      </c>
      <c r="B123" s="2">
        <v>35</v>
      </c>
      <c r="C123" s="2">
        <v>0</v>
      </c>
      <c r="D123" s="2">
        <v>1</v>
      </c>
      <c r="E123" s="2">
        <v>524500</v>
      </c>
    </row>
    <row r="124" spans="1:36" x14ac:dyDescent="0.2">
      <c r="A124" s="2">
        <v>4300</v>
      </c>
      <c r="B124" s="2">
        <v>22</v>
      </c>
      <c r="C124" s="2">
        <v>0</v>
      </c>
      <c r="D124" s="2">
        <v>1</v>
      </c>
      <c r="E124" s="2">
        <v>629500</v>
      </c>
    </row>
    <row r="125" spans="1:36" x14ac:dyDescent="0.2">
      <c r="A125" s="2">
        <v>6000</v>
      </c>
      <c r="B125" s="2">
        <v>12</v>
      </c>
      <c r="C125" s="2">
        <v>1</v>
      </c>
      <c r="D125" s="2">
        <v>0</v>
      </c>
      <c r="E125" s="2">
        <v>966000</v>
      </c>
      <c r="H125" t="s">
        <v>44</v>
      </c>
      <c r="M125" t="s">
        <v>45</v>
      </c>
    </row>
    <row r="126" spans="1:36" x14ac:dyDescent="0.2">
      <c r="A126" s="2">
        <v>8000</v>
      </c>
      <c r="B126" s="2">
        <v>28</v>
      </c>
      <c r="C126" s="2">
        <v>0</v>
      </c>
      <c r="D126" s="2">
        <v>0</v>
      </c>
      <c r="E126" s="2">
        <v>1144000</v>
      </c>
    </row>
    <row r="127" spans="1:36" x14ac:dyDescent="0.2">
      <c r="A127" s="2">
        <v>6700</v>
      </c>
      <c r="B127" s="2">
        <v>6</v>
      </c>
      <c r="C127" s="2">
        <v>1</v>
      </c>
      <c r="D127" s="2">
        <v>0</v>
      </c>
      <c r="E127" s="2">
        <v>1093500</v>
      </c>
      <c r="H127" t="s">
        <v>42</v>
      </c>
      <c r="M127" t="s">
        <v>43</v>
      </c>
    </row>
    <row r="128" spans="1:36" x14ac:dyDescent="0.2">
      <c r="A128" s="2">
        <v>1400</v>
      </c>
      <c r="B128" s="2">
        <v>4</v>
      </c>
      <c r="C128" s="2">
        <v>1</v>
      </c>
      <c r="D128" s="2">
        <v>0</v>
      </c>
      <c r="E128" s="2">
        <v>223000</v>
      </c>
      <c r="H128">
        <f t="array" ref="H128:K131">MMULT(H112:AA115,A112:D131)</f>
        <v>297680000</v>
      </c>
      <c r="I128">
        <v>868000</v>
      </c>
      <c r="J128">
        <v>26900</v>
      </c>
      <c r="K128">
        <v>17500</v>
      </c>
      <c r="L128" s="4"/>
      <c r="M128" s="4">
        <f t="array" ref="M128:P131">MINVERSE(H128:K131)</f>
        <v>9.7295202406800454E-9</v>
      </c>
      <c r="N128" s="4">
        <v>-1.5460763665752683E-6</v>
      </c>
      <c r="O128" s="4">
        <v>-1.7398989060797223E-5</v>
      </c>
      <c r="P128" s="4">
        <v>-4.9289424755919036E-6</v>
      </c>
      <c r="Q128" s="8"/>
      <c r="R128" s="8"/>
      <c r="T128" s="8"/>
    </row>
    <row r="129" spans="1:20" x14ac:dyDescent="0.2">
      <c r="A129" s="2">
        <v>1800</v>
      </c>
      <c r="B129" s="2">
        <v>9</v>
      </c>
      <c r="C129" s="2">
        <v>1</v>
      </c>
      <c r="D129" s="2">
        <v>0</v>
      </c>
      <c r="E129" s="2">
        <v>329000</v>
      </c>
      <c r="H129">
        <v>868000</v>
      </c>
      <c r="I129">
        <v>4407</v>
      </c>
      <c r="J129">
        <v>68</v>
      </c>
      <c r="K129">
        <v>91</v>
      </c>
      <c r="L129" s="4"/>
      <c r="M129" s="4">
        <v>-1.5460763665752679E-6</v>
      </c>
      <c r="N129" s="4">
        <v>6.4360233294085746E-4</v>
      </c>
      <c r="O129" s="4">
        <v>-2.4172270878928883E-4</v>
      </c>
      <c r="P129" s="4">
        <v>-5.2519126470918064E-3</v>
      </c>
      <c r="Q129" s="8"/>
      <c r="R129" s="8"/>
      <c r="T129" s="8"/>
    </row>
    <row r="130" spans="1:20" x14ac:dyDescent="0.2">
      <c r="A130" s="2">
        <v>2200</v>
      </c>
      <c r="B130" s="2">
        <v>11</v>
      </c>
      <c r="C130" s="2">
        <v>1</v>
      </c>
      <c r="D130" s="2">
        <v>0</v>
      </c>
      <c r="E130" s="2">
        <v>341000</v>
      </c>
      <c r="H130">
        <v>26900</v>
      </c>
      <c r="I130">
        <v>68</v>
      </c>
      <c r="J130">
        <v>9</v>
      </c>
      <c r="K130">
        <v>0</v>
      </c>
      <c r="L130" s="4"/>
      <c r="M130" s="4">
        <v>-1.7398989060797223E-5</v>
      </c>
      <c r="N130" s="4">
        <v>-2.4172270878928867E-4</v>
      </c>
      <c r="O130" s="4">
        <v>0.16494110554812411</v>
      </c>
      <c r="P130" s="4">
        <v>5.4413179177296128E-2</v>
      </c>
      <c r="Q130" s="8"/>
      <c r="R130" s="8"/>
      <c r="T130" s="8"/>
    </row>
    <row r="131" spans="1:20" x14ac:dyDescent="0.2">
      <c r="A131" s="2">
        <v>2800</v>
      </c>
      <c r="B131" s="2">
        <v>0</v>
      </c>
      <c r="C131" s="2">
        <v>1</v>
      </c>
      <c r="D131" s="2">
        <v>0</v>
      </c>
      <c r="E131" s="2">
        <v>462000</v>
      </c>
      <c r="H131">
        <v>17500</v>
      </c>
      <c r="I131">
        <v>91</v>
      </c>
      <c r="J131">
        <v>0</v>
      </c>
      <c r="K131">
        <v>6</v>
      </c>
      <c r="L131" s="4"/>
      <c r="M131" s="4">
        <v>-4.928942475591907E-6</v>
      </c>
      <c r="N131" s="4">
        <v>-5.2519126470918047E-3</v>
      </c>
      <c r="O131" s="4">
        <v>5.4413179177296121E-2</v>
      </c>
      <c r="P131" s="4">
        <v>0.26069675736803544</v>
      </c>
      <c r="Q131" s="8"/>
      <c r="R131" s="8"/>
      <c r="T131" s="8"/>
    </row>
    <row r="132" spans="1:20" x14ac:dyDescent="0.2">
      <c r="K132" s="4"/>
      <c r="L132" s="4"/>
      <c r="M132" s="4"/>
      <c r="N132" s="8"/>
      <c r="O132" s="8"/>
      <c r="P132" s="8"/>
      <c r="Q132" s="8"/>
      <c r="R132" s="8"/>
      <c r="T132" s="8"/>
    </row>
    <row r="133" spans="1:20" x14ac:dyDescent="0.2">
      <c r="H133" t="s">
        <v>46</v>
      </c>
      <c r="J133" s="13" t="s">
        <v>47</v>
      </c>
      <c r="K133" s="14"/>
      <c r="L133" s="4"/>
      <c r="M133" s="4" t="s">
        <v>48</v>
      </c>
      <c r="N133" s="8" t="s">
        <v>51</v>
      </c>
      <c r="O133" s="8"/>
      <c r="P133" s="8"/>
      <c r="Q133" s="8"/>
      <c r="R133" s="8"/>
      <c r="T133" s="8"/>
    </row>
    <row r="134" spans="1:20" x14ac:dyDescent="0.2">
      <c r="H134">
        <f t="array" ref="H134:H137">MMULT(H112:AA115,E112:E131)</f>
        <v>44932500000</v>
      </c>
      <c r="J134" s="13">
        <f t="array" ref="J134:J137" xml:space="preserve"> MMULT(M128:P131,H134:H137)</f>
        <v>156.46018698600011</v>
      </c>
      <c r="K134" s="15" t="s">
        <v>2</v>
      </c>
      <c r="L134" s="4"/>
      <c r="M134" s="4"/>
      <c r="N134" s="8">
        <f>M134*M134</f>
        <v>0</v>
      </c>
      <c r="O134" s="8"/>
      <c r="P134" s="8"/>
      <c r="Q134" s="8"/>
      <c r="R134" s="8"/>
      <c r="T134" s="8"/>
    </row>
    <row r="135" spans="1:20" x14ac:dyDescent="0.2">
      <c r="H135">
        <v>124913500</v>
      </c>
      <c r="J135" s="13">
        <v>-2760.0302879201481</v>
      </c>
      <c r="K135" s="15" t="s">
        <v>6</v>
      </c>
      <c r="L135" s="4"/>
      <c r="M135" s="4"/>
      <c r="N135" s="8">
        <f t="shared" ref="N135:N153" si="8">M135*M135</f>
        <v>0</v>
      </c>
      <c r="O135" s="8"/>
      <c r="P135" s="8"/>
      <c r="Q135" s="8"/>
      <c r="R135" s="8"/>
      <c r="S135" s="8"/>
      <c r="T135" s="8"/>
    </row>
    <row r="136" spans="1:20" x14ac:dyDescent="0.2">
      <c r="H136">
        <v>4352500</v>
      </c>
      <c r="J136" s="13">
        <v>36822.558850573943</v>
      </c>
      <c r="K136" s="15" t="s">
        <v>32</v>
      </c>
      <c r="L136" s="8"/>
      <c r="M136" s="4"/>
      <c r="N136" s="8">
        <f t="shared" si="8"/>
        <v>0</v>
      </c>
      <c r="O136" s="8"/>
      <c r="P136" s="8"/>
      <c r="Q136" s="8"/>
      <c r="R136" s="8"/>
      <c r="S136" s="8"/>
      <c r="T136" s="8"/>
    </row>
    <row r="137" spans="1:20" x14ac:dyDescent="0.2">
      <c r="H137">
        <v>2405500</v>
      </c>
      <c r="J137" s="13">
        <v>-13565.086009044899</v>
      </c>
      <c r="K137" s="15" t="s">
        <v>18</v>
      </c>
      <c r="L137" s="8"/>
      <c r="M137" s="4"/>
      <c r="N137" s="8">
        <f t="shared" si="8"/>
        <v>0</v>
      </c>
      <c r="O137" s="8"/>
      <c r="P137" s="8"/>
      <c r="Q137" s="8"/>
      <c r="R137" s="8"/>
      <c r="S137" s="8"/>
      <c r="T137" s="8"/>
    </row>
    <row r="138" spans="1:20" x14ac:dyDescent="0.2">
      <c r="A138" s="2" t="s">
        <v>52</v>
      </c>
      <c r="B138"/>
      <c r="K138" s="8"/>
      <c r="L138" s="8"/>
      <c r="M138" s="4"/>
      <c r="N138" s="8">
        <f t="shared" si="8"/>
        <v>0</v>
      </c>
      <c r="O138" s="8"/>
      <c r="P138" s="8"/>
      <c r="Q138" s="8"/>
      <c r="R138" s="8"/>
      <c r="S138" s="8"/>
      <c r="T138" s="8"/>
    </row>
    <row r="139" spans="1:20" x14ac:dyDescent="0.2">
      <c r="A139" s="2">
        <f>(A112*$J$134)+(B112*$J$135)+(C112*$J$136)+(D112*$J$137)</f>
        <v>165924.58871155229</v>
      </c>
      <c r="B139" s="2">
        <v>177500</v>
      </c>
      <c r="C139" s="2">
        <f>A139-B139</f>
        <v>-11575.411288447707</v>
      </c>
      <c r="D139" s="2">
        <f>C139^2</f>
        <v>133990146.49672261</v>
      </c>
      <c r="J139" t="s">
        <v>47</v>
      </c>
      <c r="K139" s="8"/>
      <c r="L139" s="8"/>
      <c r="M139" s="4"/>
      <c r="N139" s="8">
        <f t="shared" si="8"/>
        <v>0</v>
      </c>
      <c r="O139" s="8"/>
      <c r="P139" s="8"/>
      <c r="Q139" s="8"/>
      <c r="R139" s="8"/>
      <c r="S139" s="8"/>
      <c r="T139" s="8"/>
    </row>
    <row r="140" spans="1:20" x14ac:dyDescent="0.2">
      <c r="A140" s="2">
        <f>(A113*$J$134)+(B113*$J$135)+(C113*$J$136)+(D113*$J$137)</f>
        <v>377585.38145595539</v>
      </c>
      <c r="B140" s="2">
        <v>362500</v>
      </c>
      <c r="C140" s="2">
        <f t="shared" ref="C140:C158" si="9">A140-B140</f>
        <v>15085.381455955387</v>
      </c>
      <c r="D140" s="2">
        <f t="shared" ref="D140:D158" si="10">C140^2</f>
        <v>227568733.67168266</v>
      </c>
      <c r="J140">
        <v>-2760.0302879201481</v>
      </c>
      <c r="K140" t="s">
        <v>6</v>
      </c>
      <c r="L140" s="8"/>
      <c r="M140" s="4"/>
      <c r="N140" s="8">
        <f t="shared" si="8"/>
        <v>0</v>
      </c>
      <c r="O140" s="8"/>
      <c r="P140" s="8"/>
      <c r="Q140" s="8"/>
      <c r="R140" s="8"/>
      <c r="S140" s="8"/>
      <c r="T140" s="8"/>
    </row>
    <row r="141" spans="1:20" x14ac:dyDescent="0.2">
      <c r="A141" s="2">
        <f>(A114*$J$134)+(B114*$J$135)+(C114*$J$136)+(D114*$J$137)</f>
        <v>743660.5108991185</v>
      </c>
      <c r="B141" s="2">
        <v>722000</v>
      </c>
      <c r="C141" s="2">
        <f t="shared" si="9"/>
        <v>21660.510899118497</v>
      </c>
      <c r="D141" s="2">
        <f t="shared" si="10"/>
        <v>469177732.41083121</v>
      </c>
      <c r="J141">
        <v>156.46018699999999</v>
      </c>
      <c r="K141" t="s">
        <v>2</v>
      </c>
      <c r="M141" s="4"/>
      <c r="N141" s="8">
        <f t="shared" si="8"/>
        <v>0</v>
      </c>
    </row>
    <row r="142" spans="1:20" x14ac:dyDescent="0.2">
      <c r="A142" s="2">
        <f>(A115*$J$134)+(B115*$J$135)+(C115*$J$136)+(D115*$J$137)</f>
        <v>702242.51537915878</v>
      </c>
      <c r="B142" s="2">
        <v>731000</v>
      </c>
      <c r="C142" s="2">
        <f t="shared" si="9"/>
        <v>-28757.48462084122</v>
      </c>
      <c r="D142" s="2">
        <f t="shared" si="10"/>
        <v>826992921.71791923</v>
      </c>
      <c r="J142">
        <v>36822.558850573943</v>
      </c>
      <c r="K142" t="s">
        <v>32</v>
      </c>
      <c r="M142" s="4"/>
      <c r="N142" s="8">
        <f t="shared" si="8"/>
        <v>0</v>
      </c>
    </row>
    <row r="143" spans="1:20" x14ac:dyDescent="0.2">
      <c r="A143" s="2">
        <f>(A116*$J$134)+(B116*$J$135)+(C116*$J$136)+(D116*$J$137)</f>
        <v>533810.50301139965</v>
      </c>
      <c r="B143" s="2">
        <v>515000</v>
      </c>
      <c r="C143" s="2">
        <f t="shared" si="9"/>
        <v>18810.503011399647</v>
      </c>
      <c r="D143" s="2">
        <f t="shared" si="10"/>
        <v>353835023.54187518</v>
      </c>
      <c r="J143">
        <v>-13565.086009044899</v>
      </c>
      <c r="K143" t="s">
        <v>18</v>
      </c>
      <c r="M143" s="4"/>
      <c r="N143" s="8">
        <f t="shared" si="8"/>
        <v>0</v>
      </c>
    </row>
    <row r="144" spans="1:20" x14ac:dyDescent="0.2">
      <c r="A144" s="2">
        <f>(A117*$J$134)+(B117*$J$135)+(C117*$J$136)+(D117*$J$137)</f>
        <v>124281.98863857034</v>
      </c>
      <c r="B144" s="2">
        <v>115000</v>
      </c>
      <c r="C144" s="2">
        <f t="shared" si="9"/>
        <v>9281.988638570343</v>
      </c>
      <c r="D144" s="2">
        <f t="shared" si="10"/>
        <v>86155313.086548924</v>
      </c>
      <c r="M144" s="4"/>
      <c r="N144" s="8">
        <f t="shared" si="8"/>
        <v>0</v>
      </c>
    </row>
    <row r="145" spans="1:14" x14ac:dyDescent="0.2">
      <c r="A145" s="2">
        <f>(A118*$J$134)+(B118*$J$135)+(C118*$J$136)+(D118*$J$137)</f>
        <v>210085.07331827466</v>
      </c>
      <c r="B145" s="2">
        <v>209500</v>
      </c>
      <c r="C145" s="2">
        <f t="shared" si="9"/>
        <v>585.0733182746626</v>
      </c>
      <c r="D145" s="2">
        <f t="shared" si="10"/>
        <v>342310.78775692463</v>
      </c>
      <c r="M145" s="4"/>
      <c r="N145" s="8">
        <f t="shared" si="8"/>
        <v>0</v>
      </c>
    </row>
    <row r="146" spans="1:14" x14ac:dyDescent="0.2">
      <c r="A146" s="2">
        <f>(A119*$J$134)+(B119*$J$135)+(C119*$J$136)+(D119*$J$137)</f>
        <v>242056.20831383974</v>
      </c>
      <c r="B146" s="2">
        <v>284000</v>
      </c>
      <c r="C146" s="2">
        <f t="shared" si="9"/>
        <v>-41943.791686160257</v>
      </c>
      <c r="D146" s="2">
        <f t="shared" si="10"/>
        <v>1759281661.0120063</v>
      </c>
      <c r="M146" s="4"/>
      <c r="N146" s="8">
        <f t="shared" si="8"/>
        <v>0</v>
      </c>
    </row>
    <row r="147" spans="1:14" x14ac:dyDescent="0.2">
      <c r="A147" s="2">
        <f>(A120*$J$134)+(B120*$J$135)+(C120*$J$136)+(D120*$J$137)</f>
        <v>346982.90253465401</v>
      </c>
      <c r="B147" s="2">
        <v>328000</v>
      </c>
      <c r="C147" s="2">
        <f t="shared" si="9"/>
        <v>18982.902534654015</v>
      </c>
      <c r="D147" s="2">
        <f t="shared" si="10"/>
        <v>360350588.64017379</v>
      </c>
      <c r="M147" s="4"/>
      <c r="N147" s="8">
        <f t="shared" si="8"/>
        <v>0</v>
      </c>
    </row>
    <row r="148" spans="1:14" x14ac:dyDescent="0.2">
      <c r="A148" s="2">
        <f>(A121*$J$134)+(B121*$J$135)+(C121*$J$136)+(D121*$J$137)</f>
        <v>506203.11980857427</v>
      </c>
      <c r="B148" s="2">
        <v>495000</v>
      </c>
      <c r="C148" s="2">
        <f t="shared" si="9"/>
        <v>11203.119808574265</v>
      </c>
      <c r="D148" s="2">
        <f t="shared" si="10"/>
        <v>125509893.44526908</v>
      </c>
      <c r="M148" s="4"/>
      <c r="N148" s="8">
        <f t="shared" si="8"/>
        <v>0</v>
      </c>
    </row>
    <row r="149" spans="1:14" x14ac:dyDescent="0.2">
      <c r="A149" s="2">
        <f>(A122*$J$134)+(B122*$J$135)+(C122*$J$136)+(D122*$J$137)</f>
        <v>522091.28426135401</v>
      </c>
      <c r="B149" s="2">
        <v>502000</v>
      </c>
      <c r="C149" s="2">
        <f t="shared" si="9"/>
        <v>20091.284261354012</v>
      </c>
      <c r="D149" s="2">
        <f t="shared" si="10"/>
        <v>403659703.27053142</v>
      </c>
      <c r="M149" s="4"/>
      <c r="N149" s="8">
        <f t="shared" si="8"/>
        <v>0</v>
      </c>
    </row>
    <row r="150" spans="1:14" x14ac:dyDescent="0.2">
      <c r="A150" s="2">
        <f>(A123*$J$134)+(B123*$J$135)+(C123*$J$136)+(D123*$J$137)</f>
        <v>531320.62055635033</v>
      </c>
      <c r="B150" s="2">
        <v>524500</v>
      </c>
      <c r="C150" s="2">
        <f t="shared" si="9"/>
        <v>6820.6205563503318</v>
      </c>
      <c r="D150" s="2">
        <f t="shared" si="10"/>
        <v>46520864.773708709</v>
      </c>
      <c r="M150" s="4"/>
      <c r="N150" s="8">
        <f t="shared" si="8"/>
        <v>0</v>
      </c>
    </row>
    <row r="151" spans="1:14" x14ac:dyDescent="0.2">
      <c r="A151" s="2">
        <f>(A124*$J$134)+(B124*$J$135)+(C124*$J$136)+(D124*$J$137)</f>
        <v>598493.05169651227</v>
      </c>
      <c r="B151" s="2">
        <v>629500</v>
      </c>
      <c r="C151" s="2">
        <f t="shared" si="9"/>
        <v>-31006.948303487734</v>
      </c>
      <c r="D151" s="2">
        <f t="shared" si="10"/>
        <v>961430843.09516084</v>
      </c>
      <c r="M151" s="4"/>
      <c r="N151" s="8">
        <f t="shared" si="8"/>
        <v>0</v>
      </c>
    </row>
    <row r="152" spans="1:14" x14ac:dyDescent="0.2">
      <c r="A152" s="2">
        <f>(A125*$J$134)+(B125*$J$135)+(C125*$J$136)+(D125*$J$137)</f>
        <v>942463.3173115328</v>
      </c>
      <c r="B152" s="2">
        <v>966000</v>
      </c>
      <c r="C152" s="2">
        <f t="shared" si="9"/>
        <v>-23536.682688467205</v>
      </c>
      <c r="D152" s="2">
        <f t="shared" si="10"/>
        <v>553975431.97759175</v>
      </c>
      <c r="M152" s="4"/>
      <c r="N152" s="8">
        <f t="shared" si="8"/>
        <v>0</v>
      </c>
    </row>
    <row r="153" spans="1:14" x14ac:dyDescent="0.2">
      <c r="A153" s="2">
        <f>(A126*$J$134)+(B126*$J$135)+(C126*$J$136)+(D126*$J$137)</f>
        <v>1174400.6478262367</v>
      </c>
      <c r="B153" s="2">
        <v>1144000</v>
      </c>
      <c r="C153" s="2">
        <f t="shared" si="9"/>
        <v>30400.647826236673</v>
      </c>
      <c r="D153" s="2">
        <f t="shared" si="10"/>
        <v>924199388.25486851</v>
      </c>
      <c r="M153" s="4"/>
      <c r="N153" s="8">
        <f t="shared" si="8"/>
        <v>0</v>
      </c>
    </row>
    <row r="154" spans="1:14" x14ac:dyDescent="0.2">
      <c r="A154" s="2">
        <f>(A127*$J$134)+(B127*$J$135)+(C127*$J$136)+(D127*$J$137)</f>
        <v>1068545.6299292538</v>
      </c>
      <c r="B154" s="2">
        <v>1093500</v>
      </c>
      <c r="C154" s="2">
        <f t="shared" si="9"/>
        <v>-24954.370070746168</v>
      </c>
      <c r="D154" s="2">
        <f t="shared" si="10"/>
        <v>622720585.62775218</v>
      </c>
      <c r="N154" s="12"/>
    </row>
    <row r="155" spans="1:14" x14ac:dyDescent="0.2">
      <c r="A155" s="2">
        <f>(A128*$J$134)+(B128*$J$135)+(C128*$J$136)+(D128*$J$137)</f>
        <v>244826.69947929349</v>
      </c>
      <c r="B155" s="2">
        <v>223000</v>
      </c>
      <c r="C155" s="2">
        <f t="shared" si="9"/>
        <v>21826.699479293486</v>
      </c>
      <c r="D155" s="2">
        <f t="shared" si="10"/>
        <v>476404810.15939051</v>
      </c>
    </row>
    <row r="156" spans="1:14" x14ac:dyDescent="0.2">
      <c r="A156" s="2">
        <f>(A129*$J$134)+(B129*$J$135)+(C129*$J$136)+(D129*$J$137)</f>
        <v>293610.62283409282</v>
      </c>
      <c r="B156" s="2">
        <v>329000</v>
      </c>
      <c r="C156" s="2">
        <f t="shared" si="9"/>
        <v>-35389.377165907179</v>
      </c>
      <c r="D156" s="2">
        <f t="shared" si="10"/>
        <v>1252408016.1908324</v>
      </c>
      <c r="G156" s="18"/>
      <c r="M156" s="17"/>
    </row>
    <row r="157" spans="1:14" x14ac:dyDescent="0.2">
      <c r="A157" s="2">
        <f>(A130*$J$134)+(B130*$J$135)+(C130*$J$136)+(D130*$J$137)</f>
        <v>350674.63705265254</v>
      </c>
      <c r="B157" s="2">
        <v>341000</v>
      </c>
      <c r="C157" s="2">
        <f t="shared" si="9"/>
        <v>9674.6370526525425</v>
      </c>
      <c r="D157" s="2">
        <f t="shared" si="10"/>
        <v>93598602.100557476</v>
      </c>
    </row>
    <row r="158" spans="1:14" x14ac:dyDescent="0.2">
      <c r="A158" s="2">
        <f>(A131*$J$134)+(B131*$J$135)+(C131*$J$136)+(D131*$J$137)</f>
        <v>474911.08241137426</v>
      </c>
      <c r="B158" s="2">
        <v>462000</v>
      </c>
      <c r="C158" s="2">
        <f t="shared" si="9"/>
        <v>12911.082411374256</v>
      </c>
      <c r="D158" s="2">
        <f t="shared" si="10"/>
        <v>166696049.03329769</v>
      </c>
    </row>
    <row r="159" spans="1:14" x14ac:dyDescent="0.2">
      <c r="C159" s="3" t="s">
        <v>53</v>
      </c>
      <c r="D159" s="3">
        <f>SUM(D139:D158)</f>
        <v>9844818619.2944775</v>
      </c>
    </row>
    <row r="160" spans="1:14" x14ac:dyDescent="0.2">
      <c r="C160" s="3" t="s">
        <v>54</v>
      </c>
      <c r="D160" s="3">
        <f>SQRT(D159)</f>
        <v>99221.059353821038</v>
      </c>
    </row>
    <row r="165" spans="1:9" x14ac:dyDescent="0.2">
      <c r="A165" s="3" t="s">
        <v>55</v>
      </c>
    </row>
    <row r="167" spans="1:9" x14ac:dyDescent="0.2">
      <c r="A167" s="20" t="s">
        <v>45</v>
      </c>
      <c r="B167" s="20"/>
      <c r="C167" s="20"/>
      <c r="D167" s="20"/>
    </row>
    <row r="168" spans="1:9" x14ac:dyDescent="0.2">
      <c r="A168" s="20"/>
      <c r="B168" s="20"/>
      <c r="C168" s="20"/>
      <c r="D168" s="20"/>
      <c r="F168" t="s">
        <v>56</v>
      </c>
    </row>
    <row r="169" spans="1:9" x14ac:dyDescent="0.2">
      <c r="A169" s="20" t="s">
        <v>43</v>
      </c>
      <c r="B169" s="20"/>
      <c r="C169" s="20"/>
      <c r="D169" s="20"/>
    </row>
    <row r="170" spans="1:9" x14ac:dyDescent="0.2">
      <c r="A170" s="21">
        <v>9.7295199999999993E-9</v>
      </c>
      <c r="B170" s="21">
        <v>-1.54608E-6</v>
      </c>
      <c r="C170" s="21">
        <v>-1.7399000000000001E-5</v>
      </c>
      <c r="D170" s="21">
        <v>-4.9289399999999998E-6</v>
      </c>
      <c r="F170" s="3">
        <f xml:space="preserve"> A170*D$159</f>
        <v>95.785359652797993</v>
      </c>
      <c r="G170" s="3">
        <f>B170*D$159</f>
        <v>-15220.877170918806</v>
      </c>
      <c r="H170" s="3">
        <f>C170*D$159</f>
        <v>-171289.99915710461</v>
      </c>
      <c r="I170" s="3">
        <f>D170*D$159</f>
        <v>-48524.520285385319</v>
      </c>
    </row>
    <row r="171" spans="1:9" x14ac:dyDescent="0.2">
      <c r="A171" s="21">
        <v>-1.54608E-6</v>
      </c>
      <c r="B171" s="20">
        <v>6.4360199999999995E-4</v>
      </c>
      <c r="C171" s="20">
        <v>-2.41723E-4</v>
      </c>
      <c r="D171" s="20">
        <v>-5.2519130000000004E-3</v>
      </c>
      <c r="F171" s="3">
        <f t="shared" ref="F171:F173" si="11" xml:space="preserve"> A171*D$159</f>
        <v>-15220.877170918806</v>
      </c>
      <c r="G171" s="3">
        <f t="shared" ref="G171:G173" si="12">B171*D$159</f>
        <v>6336144.9530151635</v>
      </c>
      <c r="H171" s="3">
        <f t="shared" ref="H171:H173" si="13">C171*D$159</f>
        <v>-2379719.0911117191</v>
      </c>
      <c r="I171" s="3">
        <f t="shared" ref="I171:I173" si="14">D171*D$159</f>
        <v>-51704130.889314719</v>
      </c>
    </row>
    <row r="172" spans="1:9" x14ac:dyDescent="0.2">
      <c r="A172" s="21">
        <v>-1.7399000000000001E-5</v>
      </c>
      <c r="B172" s="20">
        <v>-2.41723E-4</v>
      </c>
      <c r="C172" s="20">
        <v>0.164941106</v>
      </c>
      <c r="D172" s="20">
        <v>5.4413178999999999E-2</v>
      </c>
      <c r="F172" s="3">
        <f t="shared" si="11"/>
        <v>-171289.99915710461</v>
      </c>
      <c r="G172" s="3">
        <f t="shared" si="12"/>
        <v>-2379719.0911117191</v>
      </c>
      <c r="H172" s="3">
        <f t="shared" si="13"/>
        <v>1623815271.4358242</v>
      </c>
      <c r="I172" s="3">
        <f t="shared" si="14"/>
        <v>535687877.75420326</v>
      </c>
    </row>
    <row r="173" spans="1:9" x14ac:dyDescent="0.2">
      <c r="A173" s="21">
        <v>-4.9289399999999998E-6</v>
      </c>
      <c r="B173" s="20">
        <v>-5.2519130000000004E-3</v>
      </c>
      <c r="C173" s="20">
        <v>5.4413178999999999E-2</v>
      </c>
      <c r="D173" s="20">
        <v>0.260696757</v>
      </c>
      <c r="F173" s="3">
        <f t="shared" si="11"/>
        <v>-48524.520285385319</v>
      </c>
      <c r="G173" s="3">
        <f t="shared" si="12"/>
        <v>-51704130.889314719</v>
      </c>
      <c r="H173" s="3">
        <f t="shared" si="13"/>
        <v>535687877.75420326</v>
      </c>
      <c r="I173" s="3">
        <f t="shared" si="14"/>
        <v>2566512287.303288</v>
      </c>
    </row>
    <row r="176" spans="1:9" x14ac:dyDescent="0.2">
      <c r="A176" s="3" t="s">
        <v>57</v>
      </c>
    </row>
    <row r="179" spans="1:8" x14ac:dyDescent="0.2">
      <c r="A179" s="2">
        <v>156.47185714754619</v>
      </c>
      <c r="B179" s="2">
        <v>-2759.5992627450132</v>
      </c>
      <c r="C179" s="2">
        <v>36877.059134513409</v>
      </c>
      <c r="D179" s="2">
        <v>-13513.023460604516</v>
      </c>
    </row>
    <row r="180" spans="1:8" x14ac:dyDescent="0.2">
      <c r="A180" s="2">
        <f>A179 / SQRT(F170)</f>
        <v>15.987725021169821</v>
      </c>
      <c r="B180" s="2">
        <f>B179/SQRT(G171)</f>
        <v>-1.0963102338584876</v>
      </c>
      <c r="C180" s="2">
        <f>C179/SQRT(H172)</f>
        <v>0.91514090728420694</v>
      </c>
      <c r="D180" s="2">
        <f>D179/SQRT(I173)</f>
        <v>-0.26673552259665761</v>
      </c>
    </row>
    <row r="181" spans="1:8" x14ac:dyDescent="0.2">
      <c r="A181" s="2">
        <f>_xlfn.T.DIST.2T(A180,19)</f>
        <v>1.7835666946367004E-12</v>
      </c>
      <c r="B181" s="2">
        <f>_xlfn.T.DIST.2T(-B180,19)</f>
        <v>0.2866447204114802</v>
      </c>
      <c r="C181" s="2">
        <f t="shared" ref="B181:D181" si="15">_xlfn.T.DIST.2T(C180,19)</f>
        <v>0.37158658364209851</v>
      </c>
      <c r="D181" s="2">
        <f>_xlfn.T.DIST.2T(-D180,19)</f>
        <v>0.79254627210429385</v>
      </c>
    </row>
    <row r="183" spans="1:8" x14ac:dyDescent="0.2">
      <c r="A183" s="3" t="s">
        <v>58</v>
      </c>
    </row>
    <row r="185" spans="1:8" x14ac:dyDescent="0.2">
      <c r="A185" s="2" t="s">
        <v>6</v>
      </c>
      <c r="B185" s="2" t="s">
        <v>2</v>
      </c>
      <c r="C185" s="2" t="s">
        <v>59</v>
      </c>
      <c r="D185" s="2" t="s">
        <v>60</v>
      </c>
      <c r="E185" s="2" t="s">
        <v>61</v>
      </c>
      <c r="F185" s="2" t="s">
        <v>62</v>
      </c>
      <c r="G185" s="2" t="s">
        <v>1</v>
      </c>
      <c r="H185" s="2" t="s">
        <v>63</v>
      </c>
    </row>
    <row r="186" spans="1:8" x14ac:dyDescent="0.2">
      <c r="A186" s="2">
        <v>3500</v>
      </c>
      <c r="B186" s="2">
        <v>10</v>
      </c>
      <c r="C186" s="2">
        <v>3</v>
      </c>
      <c r="D186" s="2">
        <v>0</v>
      </c>
      <c r="E186" s="22">
        <v>156.46018698600011</v>
      </c>
      <c r="F186">
        <v>-2760.0302879201481</v>
      </c>
      <c r="G186" s="2">
        <v>36822.558850573943</v>
      </c>
      <c r="H186">
        <f>(A186*E186) + (F186*B186)</f>
        <v>520010.35157179891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</dc:creator>
  <cp:lastModifiedBy>Microsoft Office User</cp:lastModifiedBy>
  <dcterms:created xsi:type="dcterms:W3CDTF">2020-09-03T00:56:35Z</dcterms:created>
  <dcterms:modified xsi:type="dcterms:W3CDTF">2020-09-12T22:51:43Z</dcterms:modified>
</cp:coreProperties>
</file>