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files\user\Desktop\Projects\Bonds (Fixed Income)\"/>
    </mc:Choice>
  </mc:AlternateContent>
  <workbookProtection lockStructure="1"/>
  <bookViews>
    <workbookView xWindow="0" yWindow="0" windowWidth="20490" windowHeight="7905" activeTab="1"/>
  </bookViews>
  <sheets>
    <sheet name="Duration" sheetId="2" r:id="rId1"/>
    <sheet name="Convexity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3" l="1"/>
  <c r="C27" i="3"/>
  <c r="C28" i="3" l="1"/>
  <c r="F28" i="3" s="1"/>
  <c r="C29" i="3"/>
  <c r="F29" i="3" s="1"/>
  <c r="C30" i="3"/>
  <c r="C31" i="3"/>
  <c r="C33" i="3"/>
  <c r="C34" i="3"/>
  <c r="C35" i="3"/>
  <c r="C36" i="3"/>
  <c r="C37" i="3"/>
  <c r="C38" i="3"/>
  <c r="C39" i="3"/>
  <c r="C16" i="3"/>
  <c r="D16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7" i="3"/>
  <c r="D7" i="3" s="1"/>
  <c r="E14" i="2"/>
  <c r="F37" i="3" l="1"/>
  <c r="G28" i="3"/>
  <c r="H28" i="3" s="1"/>
  <c r="F38" i="3"/>
  <c r="G37" i="3" s="1"/>
  <c r="H37" i="3" s="1"/>
  <c r="F34" i="3"/>
  <c r="D17" i="3"/>
  <c r="E12" i="3" s="1"/>
  <c r="F12" i="3" s="1"/>
  <c r="E33" i="3"/>
  <c r="F33" i="3"/>
  <c r="D32" i="2"/>
  <c r="C32" i="2"/>
  <c r="G36" i="2"/>
  <c r="G37" i="2"/>
  <c r="G38" i="2"/>
  <c r="G39" i="2"/>
  <c r="G35" i="2"/>
  <c r="F36" i="2"/>
  <c r="F37" i="2"/>
  <c r="F38" i="2"/>
  <c r="F39" i="2"/>
  <c r="F35" i="2"/>
  <c r="B37" i="2"/>
  <c r="D36" i="2"/>
  <c r="C36" i="2"/>
  <c r="C37" i="2"/>
  <c r="D37" i="2" s="1"/>
  <c r="B38" i="2" s="1"/>
  <c r="B36" i="2"/>
  <c r="D35" i="2"/>
  <c r="C35" i="2"/>
  <c r="B35" i="2"/>
  <c r="E36" i="2"/>
  <c r="E37" i="2"/>
  <c r="E38" i="2"/>
  <c r="E39" i="2"/>
  <c r="E35" i="2"/>
  <c r="G27" i="2"/>
  <c r="F25" i="2"/>
  <c r="G25" i="2" s="1"/>
  <c r="F26" i="2"/>
  <c r="G26" i="2" s="1"/>
  <c r="F27" i="2"/>
  <c r="F28" i="2"/>
  <c r="G28" i="2" s="1"/>
  <c r="F24" i="2"/>
  <c r="G24" i="2" s="1"/>
  <c r="E25" i="2"/>
  <c r="E26" i="2"/>
  <c r="E27" i="2"/>
  <c r="E28" i="2"/>
  <c r="E24" i="2"/>
  <c r="C25" i="2"/>
  <c r="C26" i="2"/>
  <c r="C27" i="2"/>
  <c r="C28" i="2"/>
  <c r="B26" i="2"/>
  <c r="B27" i="2"/>
  <c r="B28" i="2"/>
  <c r="B25" i="2"/>
  <c r="C24" i="2"/>
  <c r="B24" i="2"/>
  <c r="D25" i="2"/>
  <c r="D26" i="2"/>
  <c r="D27" i="2"/>
  <c r="D28" i="2"/>
  <c r="D24" i="2"/>
  <c r="B6" i="2"/>
  <c r="B13" i="2"/>
  <c r="B14" i="2" s="1"/>
  <c r="G33" i="3" l="1"/>
  <c r="H33" i="3" s="1"/>
  <c r="C20" i="3" s="1"/>
  <c r="E11" i="3"/>
  <c r="F11" i="3" s="1"/>
  <c r="E9" i="3"/>
  <c r="F9" i="3" s="1"/>
  <c r="E13" i="3"/>
  <c r="F13" i="3" s="1"/>
  <c r="E10" i="3"/>
  <c r="F10" i="3" s="1"/>
  <c r="E14" i="3"/>
  <c r="F14" i="3" s="1"/>
  <c r="E16" i="3"/>
  <c r="F16" i="3" s="1"/>
  <c r="E7" i="3"/>
  <c r="F7" i="3" s="1"/>
  <c r="E15" i="3"/>
  <c r="F15" i="3" s="1"/>
  <c r="E8" i="3"/>
  <c r="F8" i="3" s="1"/>
  <c r="C21" i="2"/>
  <c r="D21" i="2" s="1"/>
  <c r="C38" i="2"/>
  <c r="D38" i="2" s="1"/>
  <c r="B39" i="2"/>
  <c r="C39" i="2" s="1"/>
  <c r="D39" i="2" s="1"/>
  <c r="C14" i="2"/>
  <c r="F14" i="2" s="1"/>
  <c r="G14" i="2" s="1"/>
  <c r="B15" i="2"/>
  <c r="C13" i="2"/>
  <c r="E13" i="2" s="1"/>
  <c r="F13" i="2" s="1"/>
  <c r="F17" i="3" l="1"/>
  <c r="C19" i="3" s="1"/>
  <c r="E35" i="3"/>
  <c r="E31" i="3"/>
  <c r="E37" i="3"/>
  <c r="E34" i="3"/>
  <c r="G13" i="2"/>
  <c r="B16" i="2"/>
  <c r="C15" i="2"/>
  <c r="E15" i="2" s="1"/>
  <c r="F15" i="2" s="1"/>
  <c r="G15" i="2" s="1"/>
  <c r="D30" i="3" l="1"/>
  <c r="D34" i="3"/>
  <c r="D38" i="3"/>
  <c r="D32" i="3"/>
  <c r="D36" i="3"/>
  <c r="D29" i="3"/>
  <c r="D37" i="3"/>
  <c r="D31" i="3"/>
  <c r="D35" i="3"/>
  <c r="D39" i="3"/>
  <c r="D28" i="3"/>
  <c r="D27" i="3"/>
  <c r="D33" i="3"/>
  <c r="E32" i="3"/>
  <c r="E27" i="3"/>
  <c r="E29" i="3"/>
  <c r="E36" i="3"/>
  <c r="E30" i="3"/>
  <c r="E38" i="3"/>
  <c r="E28" i="3"/>
  <c r="E39" i="3"/>
  <c r="B17" i="2"/>
  <c r="C17" i="2" s="1"/>
  <c r="E17" i="2" s="1"/>
  <c r="F17" i="2" s="1"/>
  <c r="G17" i="2" s="1"/>
  <c r="C16" i="2"/>
  <c r="E16" i="2" s="1"/>
  <c r="F16" i="2" s="1"/>
  <c r="G16" i="2" l="1"/>
  <c r="C10" i="2" s="1"/>
  <c r="D10" i="2" s="1"/>
  <c r="B7" i="2"/>
</calcChain>
</file>

<file path=xl/sharedStrings.xml><?xml version="1.0" encoding="utf-8"?>
<sst xmlns="http://schemas.openxmlformats.org/spreadsheetml/2006/main" count="61" uniqueCount="37">
  <si>
    <t>Principal</t>
  </si>
  <si>
    <t xml:space="preserve">Interest Rate </t>
  </si>
  <si>
    <t>Discount Rate</t>
  </si>
  <si>
    <t>Start Date</t>
  </si>
  <si>
    <t>Maturity Date</t>
  </si>
  <si>
    <t>Duration (Excel)</t>
  </si>
  <si>
    <t>Fair Value</t>
  </si>
  <si>
    <t>Duration</t>
  </si>
  <si>
    <t>Modified Duration</t>
  </si>
  <si>
    <t>Bond</t>
  </si>
  <si>
    <t>Outstanding Principal</t>
  </si>
  <si>
    <t>Interest Charged</t>
  </si>
  <si>
    <t>Principal Paid</t>
  </si>
  <si>
    <t>CF</t>
  </si>
  <si>
    <t>DCF</t>
  </si>
  <si>
    <t>DCF*t</t>
  </si>
  <si>
    <t>Year</t>
  </si>
  <si>
    <t>Loan (eqaul principal)</t>
  </si>
  <si>
    <t>Loan (eqaul cash flow)</t>
  </si>
  <si>
    <t>Yield-to-Maturity</t>
  </si>
  <si>
    <t>Coupon Rate</t>
  </si>
  <si>
    <t>Notional Amount</t>
  </si>
  <si>
    <t>Period</t>
  </si>
  <si>
    <t>Cash Flow</t>
  </si>
  <si>
    <t>Present Value of CF</t>
  </si>
  <si>
    <t>PV as % of Total</t>
  </si>
  <si>
    <t>Total</t>
  </si>
  <si>
    <t>PV % * Period</t>
  </si>
  <si>
    <t>Macaulay Duration</t>
  </si>
  <si>
    <t>Convexity</t>
  </si>
  <si>
    <t>1st Derivative</t>
  </si>
  <si>
    <t>2nd Derivative</t>
  </si>
  <si>
    <t>Bond Price</t>
  </si>
  <si>
    <t xml:space="preserve">Convexity + Duration </t>
  </si>
  <si>
    <t>Implied Price</t>
  </si>
  <si>
    <t xml:space="preserve"> Duration </t>
  </si>
  <si>
    <t xml:space="preserve">Dollar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</si>
</sst>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₹&quot;\ * #,##0.00_ ;_ &quot;₹&quot;\ * \-#,##0.00_ ;_ &quot;₹&quot;\ * &quot;-&quot;??_ ;_ @_ "/>
    <numFmt numFmtId="164" formatCode="0.0000"/>
    <numFmt numFmtId="165" formatCode="_-[$$-409]* #,##0.00_ ;_-[$$-409]* \-#,##0.00\ ;_-[$$-409]* &quot;-&quot;??_ ;_-@_ "/>
    <numFmt numFmtId="166" formatCode="0.000"/>
    <numFmt numFmtId="167" formatCode="_-[$$-409]* #,##0.0_ ;_-[$$-409]* \-#,##0.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9">
    <xf numFmtId="0" fontId="0" fillId="0" borderId="0" xfId="0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4" borderId="3" xfId="0" applyNumberForma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7" fontId="3" fillId="0" borderId="3" xfId="0" applyNumberFormat="1" applyFont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Duration, Convexity and Interest Rate Risk</a:t>
            </a:r>
          </a:p>
        </c:rich>
      </c:tx>
      <c:layout>
        <c:manualLayout>
          <c:xMode val="edge"/>
          <c:yMode val="edge"/>
          <c:x val="0.36852513028849915"/>
          <c:y val="2.1694919886810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740932341126651"/>
          <c:y val="0.10058307232522563"/>
          <c:w val="0.74372670298801991"/>
          <c:h val="0.64757520834383198"/>
        </c:manualLayout>
      </c:layout>
      <c:lineChart>
        <c:grouping val="standard"/>
        <c:varyColors val="0"/>
        <c:ser>
          <c:idx val="0"/>
          <c:order val="0"/>
          <c:tx>
            <c:strRef>
              <c:f>Convexity!$D$25:$D$26</c:f>
              <c:strCache>
                <c:ptCount val="2"/>
                <c:pt idx="0">
                  <c:v>Convexity + Duration </c:v>
                </c:pt>
                <c:pt idx="1">
                  <c:v>Implied Price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Convexity!$B$27:$B$39</c:f>
              <c:numCache>
                <c:formatCode>0.00%</c:formatCode>
                <c:ptCount val="13"/>
                <c:pt idx="0">
                  <c:v>0.03</c:v>
                </c:pt>
                <c:pt idx="1">
                  <c:v>3.4000000000000002E-2</c:v>
                </c:pt>
                <c:pt idx="2">
                  <c:v>3.7999999999999999E-2</c:v>
                </c:pt>
                <c:pt idx="3">
                  <c:v>4.2000000000000003E-2</c:v>
                </c:pt>
                <c:pt idx="4">
                  <c:v>4.5999999999999999E-2</c:v>
                </c:pt>
                <c:pt idx="5">
                  <c:v>4.99E-2</c:v>
                </c:pt>
                <c:pt idx="6">
                  <c:v>0.05</c:v>
                </c:pt>
                <c:pt idx="7">
                  <c:v>5.0099999999999999E-2</c:v>
                </c:pt>
                <c:pt idx="8">
                  <c:v>5.3999999999999999E-2</c:v>
                </c:pt>
                <c:pt idx="9">
                  <c:v>5.8000000000000003E-2</c:v>
                </c:pt>
                <c:pt idx="10">
                  <c:v>6.2E-2</c:v>
                </c:pt>
                <c:pt idx="11">
                  <c:v>6.6000000000000003E-2</c:v>
                </c:pt>
                <c:pt idx="12">
                  <c:v>7.0000000000000007E-2</c:v>
                </c:pt>
              </c:numCache>
            </c:numRef>
          </c:cat>
          <c:val>
            <c:numRef>
              <c:f>Convexity!$D$27:$D$39</c:f>
              <c:numCache>
                <c:formatCode>_-[$$-409]* #,##0.00_ ;_-[$$-409]* \-#,##0.00\ ;_-[$$-409]* "-"??_ ;_-@_ </c:formatCode>
                <c:ptCount val="13"/>
                <c:pt idx="0">
                  <c:v>109.15140429649556</c:v>
                </c:pt>
                <c:pt idx="1">
                  <c:v>105.54558100648158</c:v>
                </c:pt>
                <c:pt idx="2">
                  <c:v>102.05535543890655</c:v>
                </c:pt>
                <c:pt idx="3">
                  <c:v>98.680727593770499</c:v>
                </c:pt>
                <c:pt idx="4">
                  <c:v>95.421697471073372</c:v>
                </c:pt>
                <c:pt idx="5">
                  <c:v>92.355442033579408</c:v>
                </c:pt>
                <c:pt idx="6">
                  <c:v>92.278265070815181</c:v>
                </c:pt>
                <c:pt idx="7">
                  <c:v>92.201160356627469</c:v>
                </c:pt>
                <c:pt idx="8">
                  <c:v>89.250430392995952</c:v>
                </c:pt>
                <c:pt idx="9">
                  <c:v>86.338193437615672</c:v>
                </c:pt>
                <c:pt idx="10">
                  <c:v>83.541554204674341</c:v>
                </c:pt>
                <c:pt idx="11">
                  <c:v>80.860512694171931</c:v>
                </c:pt>
                <c:pt idx="12">
                  <c:v>78.295068906108497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Convexity!$E$25:$E$26</c:f>
              <c:strCache>
                <c:ptCount val="2"/>
                <c:pt idx="0">
                  <c:v> Duration </c:v>
                </c:pt>
                <c:pt idx="1">
                  <c:v>Implied Price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Convexity!$B$27:$B$39</c:f>
              <c:numCache>
                <c:formatCode>0.00%</c:formatCode>
                <c:ptCount val="13"/>
                <c:pt idx="0">
                  <c:v>0.03</c:v>
                </c:pt>
                <c:pt idx="1">
                  <c:v>3.4000000000000002E-2</c:v>
                </c:pt>
                <c:pt idx="2">
                  <c:v>3.7999999999999999E-2</c:v>
                </c:pt>
                <c:pt idx="3">
                  <c:v>4.2000000000000003E-2</c:v>
                </c:pt>
                <c:pt idx="4">
                  <c:v>4.5999999999999999E-2</c:v>
                </c:pt>
                <c:pt idx="5">
                  <c:v>4.99E-2</c:v>
                </c:pt>
                <c:pt idx="6">
                  <c:v>0.05</c:v>
                </c:pt>
                <c:pt idx="7">
                  <c:v>5.0099999999999999E-2</c:v>
                </c:pt>
                <c:pt idx="8">
                  <c:v>5.3999999999999999E-2</c:v>
                </c:pt>
                <c:pt idx="9">
                  <c:v>5.8000000000000003E-2</c:v>
                </c:pt>
                <c:pt idx="10">
                  <c:v>6.2E-2</c:v>
                </c:pt>
                <c:pt idx="11">
                  <c:v>6.6000000000000003E-2</c:v>
                </c:pt>
                <c:pt idx="12">
                  <c:v>7.0000000000000007E-2</c:v>
                </c:pt>
              </c:numCache>
            </c:numRef>
          </c:cat>
          <c:val>
            <c:numRef>
              <c:f>Convexity!$E$27:$E$39</c:f>
              <c:numCache>
                <c:formatCode>_-[$$-409]* #,##0.00_ ;_-[$$-409]* \-#,##0.00\ ;_-[$$-409]* "-"??_ ;_-@_ </c:formatCode>
                <c:ptCount val="13"/>
                <c:pt idx="0">
                  <c:v>107.70643276600872</c:v>
                </c:pt>
                <c:pt idx="1">
                  <c:v>104.62079922697001</c:v>
                </c:pt>
                <c:pt idx="2">
                  <c:v>101.5351656879313</c:v>
                </c:pt>
                <c:pt idx="3">
                  <c:v>98.449532148892587</c:v>
                </c:pt>
                <c:pt idx="4">
                  <c:v>95.363898609853891</c:v>
                </c:pt>
                <c:pt idx="5">
                  <c:v>92.35540590929115</c:v>
                </c:pt>
                <c:pt idx="6">
                  <c:v>92.278265070815181</c:v>
                </c:pt>
                <c:pt idx="7">
                  <c:v>92.201124232339225</c:v>
                </c:pt>
                <c:pt idx="8">
                  <c:v>89.192631531776485</c:v>
                </c:pt>
                <c:pt idx="9">
                  <c:v>86.106997992737774</c:v>
                </c:pt>
                <c:pt idx="10">
                  <c:v>83.021364453699064</c:v>
                </c:pt>
                <c:pt idx="11">
                  <c:v>79.935730914660354</c:v>
                </c:pt>
                <c:pt idx="12">
                  <c:v>76.850097375621658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Convexity!$C$25</c:f>
              <c:strCache>
                <c:ptCount val="1"/>
                <c:pt idx="0">
                  <c:v>Bond Price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Convexity!$C$27:$C$39</c:f>
              <c:numCache>
                <c:formatCode>_-[$$-409]* #,##0.00_ ;_-[$$-409]* \-#,##0.00\ ;_-[$$-409]* "-"??_ ;_-@_ </c:formatCode>
                <c:ptCount val="13"/>
                <c:pt idx="0">
                  <c:v>108.53020283677583</c:v>
                </c:pt>
                <c:pt idx="1">
                  <c:v>105.01520923458301</c:v>
                </c:pt>
                <c:pt idx="2">
                  <c:v>101.63845125020831</c:v>
                </c:pt>
                <c:pt idx="3">
                  <c:v>98.393851957647428</c:v>
                </c:pt>
                <c:pt idx="4">
                  <c:v>95.275626118261528</c:v>
                </c:pt>
                <c:pt idx="5">
                  <c:v>92.351768673648522</c:v>
                </c:pt>
                <c:pt idx="6">
                  <c:v>92.278265070815181</c:v>
                </c:pt>
                <c:pt idx="7">
                  <c:v>92.204833716558369</c:v>
                </c:pt>
                <c:pt idx="8">
                  <c:v>89.396522459854253</c:v>
                </c:pt>
                <c:pt idx="9">
                  <c:v>86.625400752888211</c:v>
                </c:pt>
                <c:pt idx="10">
                  <c:v>83.960138499945216</c:v>
                </c:pt>
                <c:pt idx="11">
                  <c:v>81.396198291965078</c:v>
                </c:pt>
                <c:pt idx="12">
                  <c:v>78.929255377202196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502256"/>
        <c:axId val="841500624"/>
      </c:lineChart>
      <c:catAx>
        <c:axId val="84150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Interest Rates</a:t>
                </a:r>
              </a:p>
            </c:rich>
          </c:tx>
          <c:layout>
            <c:manualLayout>
              <c:xMode val="edge"/>
              <c:yMode val="edge"/>
              <c:x val="0.47806909844055645"/>
              <c:y val="0.88739821477196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00624"/>
        <c:crosses val="autoZero"/>
        <c:auto val="1"/>
        <c:lblAlgn val="ctr"/>
        <c:lblOffset val="100"/>
        <c:noMultiLvlLbl val="0"/>
      </c:catAx>
      <c:valAx>
        <c:axId val="841500624"/>
        <c:scaling>
          <c:orientation val="minMax"/>
          <c:max val="11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Bond Price</a:t>
                </a:r>
              </a:p>
            </c:rich>
          </c:tx>
          <c:layout>
            <c:manualLayout>
              <c:xMode val="edge"/>
              <c:yMode val="edge"/>
              <c:x val="0.12528850242805015"/>
              <c:y val="0.2763872710178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02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911258710801397E-2"/>
          <c:y val="0.94063778692983602"/>
          <c:w val="0.93017737540810452"/>
          <c:h val="4.5281807672749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</xdr:row>
      <xdr:rowOff>9525</xdr:rowOff>
    </xdr:from>
    <xdr:to>
      <xdr:col>4</xdr:col>
      <xdr:colOff>952500</xdr:colOff>
      <xdr:row>5</xdr:row>
      <xdr:rowOff>21275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225" y="200025"/>
          <a:ext cx="2266950" cy="77375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200025</xdr:colOff>
      <xdr:row>1</xdr:row>
      <xdr:rowOff>20319</xdr:rowOff>
    </xdr:from>
    <xdr:to>
      <xdr:col>9</xdr:col>
      <xdr:colOff>10192</xdr:colOff>
      <xdr:row>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2725" y="210819"/>
          <a:ext cx="2772442" cy="551181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19051</xdr:colOff>
      <xdr:row>40</xdr:row>
      <xdr:rowOff>28574</xdr:rowOff>
    </xdr:from>
    <xdr:to>
      <xdr:col>1</xdr:col>
      <xdr:colOff>1856641</xdr:colOff>
      <xdr:row>43</xdr:row>
      <xdr:rowOff>4947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926" y="7648574"/>
          <a:ext cx="1837590" cy="542925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17</xdr:row>
      <xdr:rowOff>123825</xdr:rowOff>
    </xdr:from>
    <xdr:to>
      <xdr:col>5</xdr:col>
      <xdr:colOff>43064</xdr:colOff>
      <xdr:row>22</xdr:row>
      <xdr:rowOff>76201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3228975"/>
          <a:ext cx="2614814" cy="904876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>
    <xdr:from>
      <xdr:col>8</xdr:col>
      <xdr:colOff>428625</xdr:colOff>
      <xdr:row>19</xdr:row>
      <xdr:rowOff>154782</xdr:rowOff>
    </xdr:from>
    <xdr:to>
      <xdr:col>24</xdr:col>
      <xdr:colOff>11906</xdr:colOff>
      <xdr:row>49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5" x14ac:dyDescent="0.25"/>
  <cols>
    <col min="1" max="1" width="19.28515625" style="2" customWidth="1"/>
    <col min="2" max="2" width="28.140625" style="2" customWidth="1"/>
    <col min="3" max="3" width="18.28515625" style="2" customWidth="1"/>
    <col min="4" max="4" width="20.140625" style="2" customWidth="1"/>
    <col min="5" max="5" width="14.42578125" style="2" customWidth="1"/>
    <col min="6" max="6" width="13.5703125" style="2" customWidth="1"/>
    <col min="7" max="7" width="12.5703125" style="2" customWidth="1"/>
    <col min="8" max="1999" width="9.140625" style="2"/>
    <col min="2000" max="2000" width="2.7109375" style="2" customWidth="1"/>
    <col min="2001" max="16384" width="9.140625" style="2"/>
  </cols>
  <sheetData>
    <row r="1" spans="1:7" x14ac:dyDescent="0.25">
      <c r="A1" s="2" t="s">
        <v>0</v>
      </c>
      <c r="B1" s="18">
        <v>1000</v>
      </c>
    </row>
    <row r="2" spans="1:7" x14ac:dyDescent="0.25">
      <c r="A2" s="2" t="s">
        <v>1</v>
      </c>
      <c r="B2" s="1">
        <v>0.06</v>
      </c>
    </row>
    <row r="3" spans="1:7" x14ac:dyDescent="0.25">
      <c r="A3" s="2" t="s">
        <v>2</v>
      </c>
      <c r="B3" s="1">
        <v>0.06</v>
      </c>
    </row>
    <row r="4" spans="1:7" x14ac:dyDescent="0.25">
      <c r="A4" s="2" t="s">
        <v>3</v>
      </c>
      <c r="B4" s="3">
        <v>43830</v>
      </c>
    </row>
    <row r="5" spans="1:7" x14ac:dyDescent="0.25">
      <c r="A5" s="2" t="s">
        <v>4</v>
      </c>
      <c r="B5" s="3">
        <v>45657</v>
      </c>
    </row>
    <row r="6" spans="1:7" x14ac:dyDescent="0.25">
      <c r="A6" s="4" t="s">
        <v>5</v>
      </c>
      <c r="B6" s="5">
        <f>DURATION(B4,B5,B2,B3,1)</f>
        <v>4.4651056126996558</v>
      </c>
    </row>
    <row r="7" spans="1:7" x14ac:dyDescent="0.25">
      <c r="A7" s="2" t="s">
        <v>6</v>
      </c>
      <c r="B7" s="19">
        <f>SUM(F13:F17)</f>
        <v>999.99999999999977</v>
      </c>
    </row>
    <row r="9" spans="1:7" x14ac:dyDescent="0.25">
      <c r="C9" s="6" t="s">
        <v>7</v>
      </c>
      <c r="D9" s="6" t="s">
        <v>8</v>
      </c>
    </row>
    <row r="10" spans="1:7" x14ac:dyDescent="0.25">
      <c r="B10" s="4" t="s">
        <v>9</v>
      </c>
      <c r="C10" s="48">
        <f>SUM(G13:G17)/SUM(F13:F17)</f>
        <v>4.4651056126996567</v>
      </c>
      <c r="D10" s="48">
        <f>C10/(1+B2)</f>
        <v>4.2123637855657137</v>
      </c>
    </row>
    <row r="12" spans="1:7" x14ac:dyDescent="0.25">
      <c r="A12" s="6" t="s">
        <v>16</v>
      </c>
      <c r="B12" s="6" t="s">
        <v>10</v>
      </c>
      <c r="C12" s="6" t="s">
        <v>11</v>
      </c>
      <c r="D12" s="6" t="s">
        <v>12</v>
      </c>
      <c r="E12" s="6" t="s">
        <v>13</v>
      </c>
      <c r="F12" s="6" t="s">
        <v>14</v>
      </c>
      <c r="G12" s="6" t="s">
        <v>15</v>
      </c>
    </row>
    <row r="13" spans="1:7" x14ac:dyDescent="0.25">
      <c r="A13" s="7">
        <v>1</v>
      </c>
      <c r="B13" s="20">
        <f>B1</f>
        <v>1000</v>
      </c>
      <c r="C13" s="20">
        <f>B13*$B$2</f>
        <v>60</v>
      </c>
      <c r="D13" s="20">
        <v>0</v>
      </c>
      <c r="E13" s="20">
        <f>C13+D13</f>
        <v>60</v>
      </c>
      <c r="F13" s="20">
        <f>E13/(1+$B$3)^A13</f>
        <v>56.60377358490566</v>
      </c>
      <c r="G13" s="20">
        <f>F13*A13</f>
        <v>56.60377358490566</v>
      </c>
    </row>
    <row r="14" spans="1:7" x14ac:dyDescent="0.25">
      <c r="A14" s="7">
        <v>2</v>
      </c>
      <c r="B14" s="20">
        <f>B13-D13</f>
        <v>1000</v>
      </c>
      <c r="C14" s="20">
        <f t="shared" ref="C14:C17" si="0">B14*$B$2</f>
        <v>60</v>
      </c>
      <c r="D14" s="20">
        <v>0</v>
      </c>
      <c r="E14" s="20">
        <f>C14+D14</f>
        <v>60</v>
      </c>
      <c r="F14" s="20">
        <f t="shared" ref="F14:F17" si="1">E14/(1+$B$3)^A14</f>
        <v>53.399786400854389</v>
      </c>
      <c r="G14" s="20">
        <f t="shared" ref="G14:G17" si="2">F14*A14</f>
        <v>106.79957280170878</v>
      </c>
    </row>
    <row r="15" spans="1:7" x14ac:dyDescent="0.25">
      <c r="A15" s="7">
        <v>3</v>
      </c>
      <c r="B15" s="20">
        <f t="shared" ref="B15:B17" si="3">B14-D14</f>
        <v>1000</v>
      </c>
      <c r="C15" s="20">
        <f t="shared" si="0"/>
        <v>60</v>
      </c>
      <c r="D15" s="20">
        <v>0</v>
      </c>
      <c r="E15" s="20">
        <f t="shared" ref="E15:E17" si="4">C15+D15</f>
        <v>60</v>
      </c>
      <c r="F15" s="20">
        <f t="shared" si="1"/>
        <v>50.3771569819381</v>
      </c>
      <c r="G15" s="20">
        <f t="shared" si="2"/>
        <v>151.1314709458143</v>
      </c>
    </row>
    <row r="16" spans="1:7" x14ac:dyDescent="0.25">
      <c r="A16" s="7">
        <v>4</v>
      </c>
      <c r="B16" s="20">
        <f t="shared" si="3"/>
        <v>1000</v>
      </c>
      <c r="C16" s="20">
        <f t="shared" si="0"/>
        <v>60</v>
      </c>
      <c r="D16" s="20">
        <v>0</v>
      </c>
      <c r="E16" s="20">
        <f t="shared" si="4"/>
        <v>60</v>
      </c>
      <c r="F16" s="20">
        <f t="shared" si="1"/>
        <v>47.525619794281226</v>
      </c>
      <c r="G16" s="20">
        <f t="shared" si="2"/>
        <v>190.10247917712491</v>
      </c>
    </row>
    <row r="17" spans="1:7" x14ac:dyDescent="0.25">
      <c r="A17" s="7">
        <v>5</v>
      </c>
      <c r="B17" s="20">
        <f t="shared" si="3"/>
        <v>1000</v>
      </c>
      <c r="C17" s="20">
        <f t="shared" si="0"/>
        <v>60</v>
      </c>
      <c r="D17" s="20">
        <v>1000</v>
      </c>
      <c r="E17" s="20">
        <f t="shared" si="4"/>
        <v>1060</v>
      </c>
      <c r="F17" s="20">
        <f t="shared" si="1"/>
        <v>792.09366323802033</v>
      </c>
      <c r="G17" s="20">
        <f t="shared" si="2"/>
        <v>3960.4683161901016</v>
      </c>
    </row>
    <row r="20" spans="1:7" x14ac:dyDescent="0.25">
      <c r="C20" s="6" t="s">
        <v>7</v>
      </c>
      <c r="D20" s="6" t="s">
        <v>8</v>
      </c>
    </row>
    <row r="21" spans="1:7" x14ac:dyDescent="0.25">
      <c r="B21" s="4" t="s">
        <v>17</v>
      </c>
      <c r="C21" s="48">
        <f>SUM(G24:G28)/SUM(F24:F28)</f>
        <v>2.782981291001144</v>
      </c>
      <c r="D21" s="48">
        <f>C21/(1+B2)</f>
        <v>2.6254540481142867</v>
      </c>
    </row>
    <row r="23" spans="1:7" x14ac:dyDescent="0.25">
      <c r="A23" s="6" t="s">
        <v>16</v>
      </c>
      <c r="B23" s="6" t="s">
        <v>10</v>
      </c>
      <c r="C23" s="6" t="s">
        <v>11</v>
      </c>
      <c r="D23" s="6" t="s">
        <v>12</v>
      </c>
      <c r="E23" s="6" t="s">
        <v>13</v>
      </c>
      <c r="F23" s="6" t="s">
        <v>14</v>
      </c>
      <c r="G23" s="6" t="s">
        <v>15</v>
      </c>
    </row>
    <row r="24" spans="1:7" x14ac:dyDescent="0.25">
      <c r="A24" s="7">
        <v>1</v>
      </c>
      <c r="B24" s="20">
        <f>B1</f>
        <v>1000</v>
      </c>
      <c r="C24" s="20">
        <f>B24*$B$2</f>
        <v>60</v>
      </c>
      <c r="D24" s="20">
        <f>B$1/5</f>
        <v>200</v>
      </c>
      <c r="E24" s="20">
        <f>C24+D24</f>
        <v>260</v>
      </c>
      <c r="F24" s="20">
        <f>E24/(1+$B$3)^A24</f>
        <v>245.28301886792451</v>
      </c>
      <c r="G24" s="20">
        <f>F24*A24</f>
        <v>245.28301886792451</v>
      </c>
    </row>
    <row r="25" spans="1:7" x14ac:dyDescent="0.25">
      <c r="A25" s="7">
        <v>2</v>
      </c>
      <c r="B25" s="20">
        <f>B24-D24</f>
        <v>800</v>
      </c>
      <c r="C25" s="20">
        <f t="shared" ref="C25:C28" si="5">B25*$B$2</f>
        <v>48</v>
      </c>
      <c r="D25" s="20">
        <f t="shared" ref="D25:D28" si="6">B$1/5</f>
        <v>200</v>
      </c>
      <c r="E25" s="20">
        <f t="shared" ref="E25:E28" si="7">C25+D25</f>
        <v>248</v>
      </c>
      <c r="F25" s="20">
        <f t="shared" ref="F25:F28" si="8">E25/(1+$B$3)^A25</f>
        <v>220.71911712353148</v>
      </c>
      <c r="G25" s="20">
        <f t="shared" ref="G25:G28" si="9">F25*A25</f>
        <v>441.43823424706295</v>
      </c>
    </row>
    <row r="26" spans="1:7" x14ac:dyDescent="0.25">
      <c r="A26" s="7">
        <v>3</v>
      </c>
      <c r="B26" s="20">
        <f t="shared" ref="B26:B28" si="10">B25-D25</f>
        <v>600</v>
      </c>
      <c r="C26" s="20">
        <f t="shared" si="5"/>
        <v>36</v>
      </c>
      <c r="D26" s="20">
        <f t="shared" si="6"/>
        <v>200</v>
      </c>
      <c r="E26" s="20">
        <f t="shared" si="7"/>
        <v>236</v>
      </c>
      <c r="F26" s="20">
        <f t="shared" si="8"/>
        <v>198.15015079562318</v>
      </c>
      <c r="G26" s="20">
        <f t="shared" si="9"/>
        <v>594.45045238686953</v>
      </c>
    </row>
    <row r="27" spans="1:7" x14ac:dyDescent="0.25">
      <c r="A27" s="7">
        <v>4</v>
      </c>
      <c r="B27" s="20">
        <f t="shared" si="10"/>
        <v>400</v>
      </c>
      <c r="C27" s="20">
        <f t="shared" si="5"/>
        <v>24</v>
      </c>
      <c r="D27" s="20">
        <f t="shared" si="6"/>
        <v>200</v>
      </c>
      <c r="E27" s="20">
        <f t="shared" si="7"/>
        <v>224</v>
      </c>
      <c r="F27" s="20">
        <f t="shared" si="8"/>
        <v>177.42898056531658</v>
      </c>
      <c r="G27" s="20">
        <f t="shared" si="9"/>
        <v>709.71592226126631</v>
      </c>
    </row>
    <row r="28" spans="1:7" x14ac:dyDescent="0.25">
      <c r="A28" s="7">
        <v>5</v>
      </c>
      <c r="B28" s="20">
        <f t="shared" si="10"/>
        <v>200</v>
      </c>
      <c r="C28" s="20">
        <f t="shared" si="5"/>
        <v>12</v>
      </c>
      <c r="D28" s="20">
        <f t="shared" si="6"/>
        <v>200</v>
      </c>
      <c r="E28" s="20">
        <f t="shared" si="7"/>
        <v>212</v>
      </c>
      <c r="F28" s="20">
        <f t="shared" si="8"/>
        <v>158.41873264760406</v>
      </c>
      <c r="G28" s="20">
        <f t="shared" si="9"/>
        <v>792.09366323802033</v>
      </c>
    </row>
    <row r="31" spans="1:7" x14ac:dyDescent="0.25">
      <c r="C31" s="6" t="s">
        <v>7</v>
      </c>
      <c r="D31" s="6" t="s">
        <v>8</v>
      </c>
    </row>
    <row r="32" spans="1:7" x14ac:dyDescent="0.25">
      <c r="B32" s="4" t="s">
        <v>18</v>
      </c>
      <c r="C32" s="48">
        <f>SUM(G35:G39)/SUM(F35:F39)</f>
        <v>2.8836332974008645</v>
      </c>
      <c r="D32" s="48">
        <f>C32/(1+B2)</f>
        <v>2.7204087711328908</v>
      </c>
    </row>
    <row r="34" spans="1:7" x14ac:dyDescent="0.25">
      <c r="A34" s="6" t="s">
        <v>16</v>
      </c>
      <c r="B34" s="6" t="s">
        <v>10</v>
      </c>
      <c r="C34" s="6" t="s">
        <v>11</v>
      </c>
      <c r="D34" s="6" t="s">
        <v>12</v>
      </c>
      <c r="E34" s="6" t="s">
        <v>13</v>
      </c>
      <c r="F34" s="6" t="s">
        <v>14</v>
      </c>
      <c r="G34" s="6" t="s">
        <v>15</v>
      </c>
    </row>
    <row r="35" spans="1:7" x14ac:dyDescent="0.25">
      <c r="A35" s="7">
        <v>1</v>
      </c>
      <c r="B35" s="20">
        <f>B1</f>
        <v>1000</v>
      </c>
      <c r="C35" s="20">
        <f>B35*$B$2</f>
        <v>60</v>
      </c>
      <c r="D35" s="20">
        <f>E35-C35</f>
        <v>177.39640043118936</v>
      </c>
      <c r="E35" s="20">
        <f>$B$1*$B$2/(1-(1+$B$2)^(-5))</f>
        <v>237.39640043118936</v>
      </c>
      <c r="F35" s="20">
        <f>E35/(1+$B$2)^A35</f>
        <v>223.9588683313107</v>
      </c>
      <c r="G35" s="20">
        <f>F35*A35</f>
        <v>223.9588683313107</v>
      </c>
    </row>
    <row r="36" spans="1:7" x14ac:dyDescent="0.25">
      <c r="A36" s="7">
        <v>2</v>
      </c>
      <c r="B36" s="20">
        <f>B35-D35</f>
        <v>822.60359956881064</v>
      </c>
      <c r="C36" s="20">
        <f t="shared" ref="C36:C39" si="11">B36*$B$2</f>
        <v>49.356215974128638</v>
      </c>
      <c r="D36" s="20">
        <f t="shared" ref="D36:D39" si="12">E36-C36</f>
        <v>188.04018445706072</v>
      </c>
      <c r="E36" s="20">
        <f t="shared" ref="E36:E39" si="13">$B$1*$B$2/(1-(1+$B$2)^(-5))</f>
        <v>237.39640043118936</v>
      </c>
      <c r="F36" s="20">
        <f t="shared" ref="F36:F39" si="14">E36/(1+$B$2)^A36</f>
        <v>211.28195125595349</v>
      </c>
      <c r="G36" s="20">
        <f t="shared" ref="G36:G39" si="15">F36*A36</f>
        <v>422.56390251190697</v>
      </c>
    </row>
    <row r="37" spans="1:7" x14ac:dyDescent="0.25">
      <c r="A37" s="7">
        <v>3</v>
      </c>
      <c r="B37" s="20">
        <f t="shared" ref="B37:B39" si="16">B36-D36</f>
        <v>634.56341511174992</v>
      </c>
      <c r="C37" s="20">
        <f t="shared" si="11"/>
        <v>38.073804906704993</v>
      </c>
      <c r="D37" s="20">
        <f t="shared" si="12"/>
        <v>199.32259552448437</v>
      </c>
      <c r="E37" s="20">
        <f t="shared" si="13"/>
        <v>237.39640043118936</v>
      </c>
      <c r="F37" s="20">
        <f t="shared" si="14"/>
        <v>199.3225955244844</v>
      </c>
      <c r="G37" s="20">
        <f t="shared" si="15"/>
        <v>597.96778657345317</v>
      </c>
    </row>
    <row r="38" spans="1:7" x14ac:dyDescent="0.25">
      <c r="A38" s="7">
        <v>4</v>
      </c>
      <c r="B38" s="20">
        <f t="shared" si="16"/>
        <v>435.24081958726555</v>
      </c>
      <c r="C38" s="20">
        <f t="shared" si="11"/>
        <v>26.114449175235933</v>
      </c>
      <c r="D38" s="20">
        <f t="shared" si="12"/>
        <v>211.28195125595343</v>
      </c>
      <c r="E38" s="20">
        <f t="shared" si="13"/>
        <v>237.39640043118936</v>
      </c>
      <c r="F38" s="20">
        <f t="shared" si="14"/>
        <v>188.04018445706075</v>
      </c>
      <c r="G38" s="20">
        <f t="shared" si="15"/>
        <v>752.16073782824299</v>
      </c>
    </row>
    <row r="39" spans="1:7" x14ac:dyDescent="0.25">
      <c r="A39" s="7">
        <v>5</v>
      </c>
      <c r="B39" s="20">
        <f t="shared" si="16"/>
        <v>223.95886833131212</v>
      </c>
      <c r="C39" s="20">
        <f t="shared" si="11"/>
        <v>13.437532099878727</v>
      </c>
      <c r="D39" s="20">
        <f t="shared" si="12"/>
        <v>223.95886833131064</v>
      </c>
      <c r="E39" s="20">
        <f t="shared" si="13"/>
        <v>237.39640043118936</v>
      </c>
      <c r="F39" s="20">
        <f t="shared" si="14"/>
        <v>177.39640043118936</v>
      </c>
      <c r="G39" s="20">
        <f t="shared" si="15"/>
        <v>886.98200215594682</v>
      </c>
    </row>
  </sheetData>
  <sheetProtection algorithmName="SHA-512" hashValue="leAYAA2PXlHTcI6hcoRFiFuSxUv5ctySJTPtJx2MMlWW+c62unJNwHr5/HmlM587fhoRaaB5nmlSM5VSCeK9pg==" saltValue="7P58J2zf65cyG/cgxUNGpA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tabSelected="1" topLeftCell="A14" zoomScale="90" zoomScaleNormal="90" workbookViewId="0">
      <selection activeCell="H18" sqref="H18"/>
    </sheetView>
  </sheetViews>
  <sheetFormatPr defaultRowHeight="15" x14ac:dyDescent="0.25"/>
  <cols>
    <col min="1" max="1" width="1.5703125" style="2" customWidth="1"/>
    <col min="2" max="2" width="19.7109375" style="2" customWidth="1"/>
    <col min="3" max="3" width="16.85546875" style="2" customWidth="1"/>
    <col min="4" max="4" width="22.42578125" style="2" customWidth="1"/>
    <col min="5" max="5" width="20.85546875" style="2" customWidth="1"/>
    <col min="6" max="6" width="16.28515625" style="2" customWidth="1"/>
    <col min="7" max="7" width="16.5703125" style="2" customWidth="1"/>
    <col min="8" max="8" width="16.42578125" style="2" customWidth="1"/>
    <col min="9" max="9" width="9.85546875" style="2" customWidth="1"/>
    <col min="10" max="20" width="9.140625" style="2"/>
    <col min="21" max="21" width="9.140625" style="2" customWidth="1"/>
    <col min="22" max="1999" width="9.140625" style="2"/>
    <col min="2000" max="2000" width="2.7109375" style="2" customWidth="1"/>
    <col min="2001" max="16384" width="9.140625" style="2"/>
  </cols>
  <sheetData>
    <row r="1" spans="2:6" ht="9.75" customHeight="1" x14ac:dyDescent="0.25"/>
    <row r="2" spans="2:6" x14ac:dyDescent="0.25">
      <c r="B2" s="17" t="s">
        <v>19</v>
      </c>
      <c r="C2" s="8">
        <v>0.05</v>
      </c>
    </row>
    <row r="3" spans="2:6" x14ac:dyDescent="0.25">
      <c r="B3" s="17" t="s">
        <v>20</v>
      </c>
      <c r="C3" s="9">
        <v>0.04</v>
      </c>
    </row>
    <row r="4" spans="2:6" x14ac:dyDescent="0.25">
      <c r="B4" s="17" t="s">
        <v>21</v>
      </c>
      <c r="C4" s="21">
        <v>100</v>
      </c>
    </row>
    <row r="5" spans="2:6" ht="9.75" customHeight="1" x14ac:dyDescent="0.25"/>
    <row r="6" spans="2:6" x14ac:dyDescent="0.25">
      <c r="B6" s="17" t="s">
        <v>22</v>
      </c>
      <c r="C6" s="13" t="s">
        <v>23</v>
      </c>
      <c r="D6" s="17" t="s">
        <v>24</v>
      </c>
      <c r="E6" s="17" t="s">
        <v>25</v>
      </c>
      <c r="F6" s="14" t="s">
        <v>27</v>
      </c>
    </row>
    <row r="7" spans="2:6" x14ac:dyDescent="0.25">
      <c r="B7" s="10">
        <v>1</v>
      </c>
      <c r="C7" s="20">
        <f>$C$4*$C$3</f>
        <v>4</v>
      </c>
      <c r="D7" s="20">
        <f>C7/(1+$C$2)^B7</f>
        <v>3.8095238095238093</v>
      </c>
      <c r="E7" s="24">
        <f>D7/$D$17</f>
        <v>4.1283002087223311E-2</v>
      </c>
      <c r="F7" s="25">
        <f>E7*B7</f>
        <v>4.1283002087223311E-2</v>
      </c>
    </row>
    <row r="8" spans="2:6" x14ac:dyDescent="0.25">
      <c r="B8" s="10">
        <v>2</v>
      </c>
      <c r="C8" s="20">
        <f t="shared" ref="C8:C15" si="0">$C$4*$C$3</f>
        <v>4</v>
      </c>
      <c r="D8" s="20">
        <f t="shared" ref="D8:D16" si="1">C8/(1+$C$2)^B8</f>
        <v>3.6281179138321993</v>
      </c>
      <c r="E8" s="24">
        <f t="shared" ref="E8:E16" si="2">D8/$D$17</f>
        <v>3.9317144844974582E-2</v>
      </c>
      <c r="F8" s="25">
        <f t="shared" ref="F8:F16" si="3">E8*B8</f>
        <v>7.8634289689949163E-2</v>
      </c>
    </row>
    <row r="9" spans="2:6" x14ac:dyDescent="0.25">
      <c r="B9" s="10">
        <v>3</v>
      </c>
      <c r="C9" s="20">
        <f t="shared" si="0"/>
        <v>4</v>
      </c>
      <c r="D9" s="20">
        <f t="shared" si="1"/>
        <v>3.4553503941259041</v>
      </c>
      <c r="E9" s="24">
        <f t="shared" si="2"/>
        <v>3.7444899852356744E-2</v>
      </c>
      <c r="F9" s="25">
        <f t="shared" si="3"/>
        <v>0.11233469955707023</v>
      </c>
    </row>
    <row r="10" spans="2:6" x14ac:dyDescent="0.25">
      <c r="B10" s="10">
        <v>4</v>
      </c>
      <c r="C10" s="20">
        <f t="shared" si="0"/>
        <v>4</v>
      </c>
      <c r="D10" s="20">
        <f t="shared" si="1"/>
        <v>3.2908098991675279</v>
      </c>
      <c r="E10" s="24">
        <f t="shared" si="2"/>
        <v>3.56618093831969E-2</v>
      </c>
      <c r="F10" s="25">
        <f t="shared" si="3"/>
        <v>0.1426472375327876</v>
      </c>
    </row>
    <row r="11" spans="2:6" x14ac:dyDescent="0.25">
      <c r="B11" s="10">
        <v>5</v>
      </c>
      <c r="C11" s="20">
        <f t="shared" si="0"/>
        <v>4</v>
      </c>
      <c r="D11" s="20">
        <f t="shared" si="1"/>
        <v>3.1341046658738358</v>
      </c>
      <c r="E11" s="24">
        <f t="shared" si="2"/>
        <v>3.3963627983997047E-2</v>
      </c>
      <c r="F11" s="25">
        <f t="shared" si="3"/>
        <v>0.16981813991998523</v>
      </c>
    </row>
    <row r="12" spans="2:6" x14ac:dyDescent="0.25">
      <c r="B12" s="10">
        <v>6</v>
      </c>
      <c r="C12" s="20">
        <f t="shared" si="0"/>
        <v>4</v>
      </c>
      <c r="D12" s="20">
        <f t="shared" si="1"/>
        <v>2.9848615865465105</v>
      </c>
      <c r="E12" s="24">
        <f t="shared" si="2"/>
        <v>3.2346312365711477E-2</v>
      </c>
      <c r="F12" s="25">
        <f t="shared" si="3"/>
        <v>0.19407787419426886</v>
      </c>
    </row>
    <row r="13" spans="2:6" x14ac:dyDescent="0.25">
      <c r="B13" s="10">
        <v>7</v>
      </c>
      <c r="C13" s="20">
        <f t="shared" si="0"/>
        <v>4</v>
      </c>
      <c r="D13" s="20">
        <f t="shared" si="1"/>
        <v>2.8427253205204859</v>
      </c>
      <c r="E13" s="24">
        <f t="shared" si="2"/>
        <v>3.0806011776868071E-2</v>
      </c>
      <c r="F13" s="25">
        <f t="shared" si="3"/>
        <v>0.2156420824380765</v>
      </c>
    </row>
    <row r="14" spans="2:6" x14ac:dyDescent="0.25">
      <c r="B14" s="10">
        <v>8</v>
      </c>
      <c r="C14" s="20">
        <f t="shared" si="0"/>
        <v>4</v>
      </c>
      <c r="D14" s="20">
        <f t="shared" si="1"/>
        <v>2.7073574481147489</v>
      </c>
      <c r="E14" s="24">
        <f t="shared" si="2"/>
        <v>2.9339058835112453E-2</v>
      </c>
      <c r="F14" s="25">
        <f t="shared" si="3"/>
        <v>0.23471247068089962</v>
      </c>
    </row>
    <row r="15" spans="2:6" x14ac:dyDescent="0.25">
      <c r="B15" s="10">
        <v>9</v>
      </c>
      <c r="C15" s="20">
        <f t="shared" si="0"/>
        <v>4</v>
      </c>
      <c r="D15" s="20">
        <f t="shared" si="1"/>
        <v>2.578435664871189</v>
      </c>
      <c r="E15" s="24">
        <f t="shared" si="2"/>
        <v>2.7941960795345187E-2</v>
      </c>
      <c r="F15" s="25">
        <f t="shared" si="3"/>
        <v>0.25147764715810667</v>
      </c>
    </row>
    <row r="16" spans="2:6" x14ac:dyDescent="0.25">
      <c r="B16" s="10">
        <v>10</v>
      </c>
      <c r="C16" s="20">
        <f>($C$4*$C$3)+C4</f>
        <v>104</v>
      </c>
      <c r="D16" s="20">
        <f t="shared" si="1"/>
        <v>63.846978368238972</v>
      </c>
      <c r="E16" s="24">
        <f t="shared" si="2"/>
        <v>0.69189617207521426</v>
      </c>
      <c r="F16" s="25">
        <f t="shared" si="3"/>
        <v>6.9189617207521428</v>
      </c>
    </row>
    <row r="17" spans="2:8" x14ac:dyDescent="0.25">
      <c r="B17" s="15" t="s">
        <v>26</v>
      </c>
      <c r="C17" s="22"/>
      <c r="D17" s="41">
        <f>SUM(D7:D16)</f>
        <v>92.278265070815181</v>
      </c>
      <c r="E17" s="16"/>
      <c r="F17" s="42">
        <f>SUM(F7:F16)</f>
        <v>8.3595891640105098</v>
      </c>
    </row>
    <row r="19" spans="2:8" x14ac:dyDescent="0.25">
      <c r="B19" s="17" t="s">
        <v>28</v>
      </c>
      <c r="C19" s="26">
        <f>F17</f>
        <v>8.3595891640105098</v>
      </c>
    </row>
    <row r="20" spans="2:8" x14ac:dyDescent="0.25">
      <c r="B20" s="17" t="s">
        <v>29</v>
      </c>
      <c r="C20" s="40">
        <f>H33</f>
        <v>78.294251055649823</v>
      </c>
    </row>
    <row r="24" spans="2:8" x14ac:dyDescent="0.25">
      <c r="F24" s="27" t="s">
        <v>30</v>
      </c>
      <c r="G24" s="27" t="s">
        <v>31</v>
      </c>
    </row>
    <row r="25" spans="2:8" x14ac:dyDescent="0.25">
      <c r="B25" s="45" t="s">
        <v>19</v>
      </c>
      <c r="C25" s="45" t="s">
        <v>32</v>
      </c>
      <c r="D25" s="28" t="s">
        <v>33</v>
      </c>
      <c r="E25" s="28" t="s">
        <v>35</v>
      </c>
      <c r="F25" s="30" t="s">
        <v>36</v>
      </c>
      <c r="G25" s="30" t="s">
        <v>36</v>
      </c>
      <c r="H25" s="47" t="s">
        <v>29</v>
      </c>
    </row>
    <row r="26" spans="2:8" x14ac:dyDescent="0.25">
      <c r="B26" s="46"/>
      <c r="C26" s="46"/>
      <c r="D26" s="29" t="s">
        <v>34</v>
      </c>
      <c r="E26" s="29" t="s">
        <v>34</v>
      </c>
      <c r="F26" s="35" t="s">
        <v>7</v>
      </c>
      <c r="G26" s="31" t="s">
        <v>29</v>
      </c>
      <c r="H26" s="47"/>
    </row>
    <row r="27" spans="2:8" x14ac:dyDescent="0.25">
      <c r="B27" s="32">
        <v>0.03</v>
      </c>
      <c r="C27" s="20">
        <f>-PV(B27,$B$16,$C$3*$C$4,$C$4)</f>
        <v>108.53020283677583</v>
      </c>
      <c r="D27" s="20">
        <f>(1+((-$C$19*(B27-$B$33))+(0.5*$C$20*(B27-$B$33)^2)))*$E$33</f>
        <v>109.15140429649556</v>
      </c>
      <c r="E27" s="36">
        <f>(1+(-$C$19*(B27-$B$33)))*$E$33</f>
        <v>107.70643276600872</v>
      </c>
      <c r="F27" s="20"/>
      <c r="G27" s="20"/>
      <c r="H27" s="11"/>
    </row>
    <row r="28" spans="2:8" x14ac:dyDescent="0.25">
      <c r="B28" s="32">
        <v>3.4000000000000002E-2</v>
      </c>
      <c r="C28" s="20">
        <f t="shared" ref="C28:C39" si="4">-PV(B28,$B$16,$C$3*$C$4,$C$4)</f>
        <v>105.01520923458301</v>
      </c>
      <c r="D28" s="20">
        <f t="shared" ref="D28:D39" si="5">(1+((-$C$19*(B28-$B$33))+(0.5*$C$20*(B28-$B$33)^2)))*$E$33</f>
        <v>105.54558100648158</v>
      </c>
      <c r="E28" s="36">
        <f t="shared" ref="E28:E39" si="6">(1+(-$C$19*(B28-$B$33)))*$E$33</f>
        <v>104.62079922697001</v>
      </c>
      <c r="F28" s="39">
        <f>(C28-C27)/(B28-B27)</f>
        <v>-878.74840054820345</v>
      </c>
      <c r="G28" s="20">
        <f>(F29-F28)/(B29-B28)</f>
        <v>8639.7261136315901</v>
      </c>
      <c r="H28" s="25">
        <f>G28/C28</f>
        <v>82.271188874481666</v>
      </c>
    </row>
    <row r="29" spans="2:8" x14ac:dyDescent="0.25">
      <c r="B29" s="32">
        <v>3.7999999999999999E-2</v>
      </c>
      <c r="C29" s="20">
        <f t="shared" si="4"/>
        <v>101.63845125020831</v>
      </c>
      <c r="D29" s="20">
        <f t="shared" si="5"/>
        <v>102.05535543890655</v>
      </c>
      <c r="E29" s="36">
        <f t="shared" si="6"/>
        <v>101.5351656879313</v>
      </c>
      <c r="F29" s="39">
        <f>(C29-C28)/(B29-B28)</f>
        <v>-844.18949609367712</v>
      </c>
      <c r="G29" s="38"/>
      <c r="H29" s="11"/>
    </row>
    <row r="30" spans="2:8" x14ac:dyDescent="0.25">
      <c r="B30" s="32">
        <v>4.2000000000000003E-2</v>
      </c>
      <c r="C30" s="20">
        <f t="shared" si="4"/>
        <v>98.393851957647428</v>
      </c>
      <c r="D30" s="20">
        <f t="shared" si="5"/>
        <v>98.680727593770499</v>
      </c>
      <c r="E30" s="36">
        <f t="shared" si="6"/>
        <v>98.449532148892587</v>
      </c>
      <c r="F30" s="20"/>
      <c r="G30" s="20"/>
      <c r="H30" s="11"/>
    </row>
    <row r="31" spans="2:8" x14ac:dyDescent="0.25">
      <c r="B31" s="32">
        <v>4.5999999999999999E-2</v>
      </c>
      <c r="C31" s="20">
        <f t="shared" si="4"/>
        <v>95.275626118261528</v>
      </c>
      <c r="D31" s="20">
        <f t="shared" si="5"/>
        <v>95.421697471073372</v>
      </c>
      <c r="E31" s="36">
        <f t="shared" si="6"/>
        <v>95.363898609853891</v>
      </c>
      <c r="F31" s="20"/>
      <c r="G31" s="20"/>
      <c r="H31" s="11"/>
    </row>
    <row r="32" spans="2:8" x14ac:dyDescent="0.25">
      <c r="B32" s="33">
        <v>4.99E-2</v>
      </c>
      <c r="C32" s="37">
        <f>-PV(B32,$B$16,$C$3*$C$4,$C$4)</f>
        <v>92.351768673648522</v>
      </c>
      <c r="D32" s="37">
        <f t="shared" si="5"/>
        <v>92.355442033579408</v>
      </c>
      <c r="E32" s="44">
        <f>(1+(-$C$19*(B32-$B$33)))*$E$33</f>
        <v>92.35540590929115</v>
      </c>
      <c r="F32" s="20"/>
      <c r="G32" s="20"/>
      <c r="H32" s="11"/>
    </row>
    <row r="33" spans="2:8" x14ac:dyDescent="0.25">
      <c r="B33" s="33">
        <v>0.05</v>
      </c>
      <c r="C33" s="37">
        <f t="shared" si="4"/>
        <v>92.278265070815181</v>
      </c>
      <c r="D33" s="37">
        <f t="shared" si="5"/>
        <v>92.278265070815181</v>
      </c>
      <c r="E33" s="37">
        <f>C33</f>
        <v>92.278265070815181</v>
      </c>
      <c r="F33" s="43">
        <f>((C33-C32)/(B33-B32))</f>
        <v>-735.03602833339016</v>
      </c>
      <c r="G33" s="20">
        <f>(F34-F33)/(B34-B33)</f>
        <v>7224.8576524342061</v>
      </c>
      <c r="H33" s="42">
        <f>G33/C33</f>
        <v>78.294251055649823</v>
      </c>
    </row>
    <row r="34" spans="2:8" x14ac:dyDescent="0.25">
      <c r="B34" s="33">
        <v>5.0099999999999999E-2</v>
      </c>
      <c r="C34" s="37">
        <f t="shared" si="4"/>
        <v>92.204833716558369</v>
      </c>
      <c r="D34" s="37">
        <f t="shared" si="5"/>
        <v>92.201160356627469</v>
      </c>
      <c r="E34" s="44">
        <f t="shared" si="6"/>
        <v>92.201124232339225</v>
      </c>
      <c r="F34" s="39">
        <f>(C34-C33)/(B34-B33)</f>
        <v>-734.31354256814677</v>
      </c>
      <c r="G34" s="20"/>
      <c r="H34" s="11"/>
    </row>
    <row r="35" spans="2:8" x14ac:dyDescent="0.25">
      <c r="B35" s="32">
        <v>5.3999999999999999E-2</v>
      </c>
      <c r="C35" s="20">
        <f t="shared" si="4"/>
        <v>89.396522459854253</v>
      </c>
      <c r="D35" s="20">
        <f t="shared" si="5"/>
        <v>89.250430392995952</v>
      </c>
      <c r="E35" s="36">
        <f t="shared" si="6"/>
        <v>89.192631531776485</v>
      </c>
      <c r="F35" s="20"/>
      <c r="G35" s="20"/>
      <c r="H35" s="11"/>
    </row>
    <row r="36" spans="2:8" x14ac:dyDescent="0.25">
      <c r="B36" s="32">
        <v>5.8000000000000003E-2</v>
      </c>
      <c r="C36" s="20">
        <f t="shared" si="4"/>
        <v>86.625400752888211</v>
      </c>
      <c r="D36" s="20">
        <f t="shared" si="5"/>
        <v>86.338193437615672</v>
      </c>
      <c r="E36" s="36">
        <f t="shared" si="6"/>
        <v>86.106997992737774</v>
      </c>
      <c r="F36" s="20"/>
      <c r="G36" s="20"/>
      <c r="H36" s="11"/>
    </row>
    <row r="37" spans="2:8" x14ac:dyDescent="0.25">
      <c r="B37" s="32">
        <v>6.2E-2</v>
      </c>
      <c r="C37" s="20">
        <f t="shared" si="4"/>
        <v>83.960138499945216</v>
      </c>
      <c r="D37" s="20">
        <f t="shared" si="5"/>
        <v>83.541554204674341</v>
      </c>
      <c r="E37" s="36">
        <f t="shared" si="6"/>
        <v>83.021364453699064</v>
      </c>
      <c r="F37" s="39">
        <f>(C37-C36)/(B37-B36)</f>
        <v>-666.31556323574921</v>
      </c>
      <c r="G37" s="20">
        <f>(F38-F37)/(B38-B37)</f>
        <v>6332.6278101787866</v>
      </c>
      <c r="H37" s="25">
        <f>G37/C37</f>
        <v>75.424218245934867</v>
      </c>
    </row>
    <row r="38" spans="2:8" x14ac:dyDescent="0.25">
      <c r="B38" s="32">
        <v>6.6000000000000003E-2</v>
      </c>
      <c r="C38" s="20">
        <f t="shared" si="4"/>
        <v>81.396198291965078</v>
      </c>
      <c r="D38" s="20">
        <f t="shared" si="5"/>
        <v>80.860512694171931</v>
      </c>
      <c r="E38" s="36">
        <f t="shared" si="6"/>
        <v>79.935730914660354</v>
      </c>
      <c r="F38" s="39">
        <f>(C38-C37)/(B38-B37)</f>
        <v>-640.98505199503404</v>
      </c>
      <c r="G38" s="20"/>
      <c r="H38" s="11"/>
    </row>
    <row r="39" spans="2:8" x14ac:dyDescent="0.25">
      <c r="B39" s="34">
        <v>7.0000000000000007E-2</v>
      </c>
      <c r="C39" s="23">
        <f t="shared" si="4"/>
        <v>78.929255377202196</v>
      </c>
      <c r="D39" s="23">
        <f t="shared" si="5"/>
        <v>78.295068906108497</v>
      </c>
      <c r="E39" s="21">
        <f t="shared" si="6"/>
        <v>76.850097375621658</v>
      </c>
      <c r="F39" s="23"/>
      <c r="G39" s="23"/>
      <c r="H39" s="12"/>
    </row>
  </sheetData>
  <sheetProtection algorithmName="SHA-512" hashValue="a3KGY9kFrV4ddD5f2vbQ/YCBswuueyQNzLLosFF0GqSR5RXpZSAjP4qs8p4WZzZtwyOeJ9Dtxj5sYoSvr6k0tw==" saltValue="7MWFHHFpWDptCuqjaQjiyQ==" spinCount="100000" sheet="1" objects="1" scenarios="1"/>
  <mergeCells count="3">
    <mergeCell ref="B25:B26"/>
    <mergeCell ref="C25:C26"/>
    <mergeCell ref="H25:H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Duration</vt:lpstr>
      <vt:lpstr>Convexity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2025-05-19T14:24:07Z</dcterms:created>
  <dcterms:modified xsi:type="dcterms:W3CDTF">2025-05-29T05:17:50Z</dcterms:modified>
</cp:coreProperties>
</file>