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dashinc-my.sharepoint.com/personal/kashvi_aidash_com/Documents/"/>
    </mc:Choice>
  </mc:AlternateContent>
  <xr:revisionPtr revIDLastSave="1834" documentId="8_{08C084B9-810E-9041-8EB8-ADB244E579C0}" xr6:coauthVersionLast="47" xr6:coauthVersionMax="47" xr10:uidLastSave="{8AD6D80C-1184-E34E-8165-C0CC74A671F5}"/>
  <bookViews>
    <workbookView xWindow="0" yWindow="500" windowWidth="28800" windowHeight="16560" activeTab="1" xr2:uid="{F3091E22-F0B6-B042-A824-A35061E52A9A}"/>
  </bookViews>
  <sheets>
    <sheet name="InitialAsset" sheetId="1" r:id="rId1"/>
    <sheet name="UpdatedAsset" sheetId="2" r:id="rId2"/>
    <sheet name="Cracks" sheetId="3" state="hidden" r:id="rId3"/>
    <sheet name="Cracks (2)" sheetId="5" state="hidden" r:id="rId4"/>
    <sheet name="Cracks (4)" sheetId="8" r:id="rId5"/>
    <sheet name="Cracks (3)" sheetId="6" state="hidden" r:id="rId6"/>
    <sheet name="Box Coordinates" sheetId="7" r:id="rId7"/>
    <sheet name="Y vs Distance" sheetId="9" r:id="rId8"/>
    <sheet name="Sheet3" sheetId="10" r:id="rId9"/>
    <sheet name="Box Data" sheetId="4" r:id="rId10"/>
  </sheets>
  <definedNames>
    <definedName name="_xlnm._FilterDatabase" localSheetId="6" hidden="1">'Box Coordinates'!$A$2:$V$18</definedName>
    <definedName name="_xlnm._FilterDatabase" localSheetId="2" hidden="1">Cracks!$B$1:$B$25</definedName>
    <definedName name="_xlnm._FilterDatabase" localSheetId="3" hidden="1">'Cracks (2)'!$B$1:$B$25</definedName>
    <definedName name="_xlnm._FilterDatabase" localSheetId="5" hidden="1">'Cracks (3)'!$A$1:$K$19</definedName>
    <definedName name="_xlnm._FilterDatabase" localSheetId="4" hidden="1">'Cracks (4)'!$A$1:$K$19</definedName>
    <definedName name="_xlnm._FilterDatabase" localSheetId="1" hidden="1">UpdatedAsset!$B$1:$B$24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" i="2" l="1"/>
  <c r="P12" i="2"/>
  <c r="P10" i="2"/>
  <c r="D16" i="2"/>
  <c r="D11" i="2"/>
  <c r="D9" i="2"/>
  <c r="D8" i="2"/>
  <c r="D12" i="2" s="1"/>
  <c r="D14" i="2" s="1"/>
  <c r="H18" i="2"/>
  <c r="J18" i="2" s="1"/>
  <c r="K18" i="2" s="1"/>
  <c r="T11" i="9"/>
  <c r="N23" i="4"/>
  <c r="O23" i="4" s="1"/>
  <c r="P23" i="4" s="1"/>
  <c r="K22" i="8"/>
  <c r="K21" i="8"/>
  <c r="K44" i="8"/>
  <c r="O44" i="8" s="1"/>
  <c r="O45" i="8" s="1"/>
  <c r="N41" i="8"/>
  <c r="K19" i="8"/>
  <c r="K18" i="8"/>
  <c r="L18" i="8" s="1"/>
  <c r="K17" i="8"/>
  <c r="L17" i="8" s="1"/>
  <c r="K15" i="8"/>
  <c r="K14" i="8"/>
  <c r="K13" i="8"/>
  <c r="K12" i="8"/>
  <c r="K11" i="8"/>
  <c r="K10" i="8"/>
  <c r="L10" i="8" s="1"/>
  <c r="K9" i="8"/>
  <c r="L9" i="8" s="1"/>
  <c r="M8" i="8"/>
  <c r="K8" i="8"/>
  <c r="L8" i="8" s="1"/>
  <c r="K7" i="8"/>
  <c r="K6" i="8"/>
  <c r="K5" i="8"/>
  <c r="K4" i="8"/>
  <c r="K3" i="8"/>
  <c r="K2" i="8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M23" i="4"/>
  <c r="O20" i="4"/>
  <c r="O19" i="4"/>
  <c r="M19" i="4"/>
  <c r="M20" i="4" s="1"/>
  <c r="B25" i="6"/>
  <c r="D28" i="6"/>
  <c r="C27" i="6"/>
  <c r="D27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" i="6"/>
  <c r="O45" i="6"/>
  <c r="N42" i="6"/>
  <c r="O44" i="6"/>
  <c r="K45" i="6"/>
  <c r="K44" i="6"/>
  <c r="K42" i="6"/>
  <c r="N41" i="6"/>
  <c r="K41" i="6"/>
  <c r="K36" i="6"/>
  <c r="K37" i="6" s="1"/>
  <c r="I34" i="6"/>
  <c r="H34" i="6"/>
  <c r="G34" i="6"/>
  <c r="F34" i="6"/>
  <c r="F36" i="6" s="1"/>
  <c r="F38" i="6" s="1"/>
  <c r="E34" i="6"/>
  <c r="D34" i="6"/>
  <c r="C34" i="6"/>
  <c r="B34" i="6"/>
  <c r="B33" i="6"/>
  <c r="G30" i="6"/>
  <c r="J28" i="6"/>
  <c r="I28" i="6"/>
  <c r="H28" i="6"/>
  <c r="G28" i="6"/>
  <c r="K28" i="6" s="1"/>
  <c r="G27" i="6"/>
  <c r="K27" i="6" s="1"/>
  <c r="J27" i="6"/>
  <c r="I27" i="6"/>
  <c r="H27" i="6"/>
  <c r="M8" i="6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M3" i="7"/>
  <c r="L3" i="7"/>
  <c r="K3" i="7"/>
  <c r="J3" i="7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G3" i="5"/>
  <c r="G4" i="5"/>
  <c r="G5" i="5"/>
  <c r="G6" i="5"/>
  <c r="G7" i="5"/>
  <c r="G8" i="5"/>
  <c r="G9" i="5"/>
  <c r="G10" i="5"/>
  <c r="G11" i="5"/>
  <c r="I11" i="5" s="1"/>
  <c r="K11" i="5" s="1"/>
  <c r="L11" i="5" s="1"/>
  <c r="G12" i="5"/>
  <c r="G13" i="5"/>
  <c r="G14" i="5"/>
  <c r="G15" i="5"/>
  <c r="G16" i="5"/>
  <c r="G17" i="5"/>
  <c r="G18" i="5"/>
  <c r="G19" i="5"/>
  <c r="G20" i="5"/>
  <c r="G21" i="5"/>
  <c r="I21" i="5" s="1"/>
  <c r="K21" i="5" s="1"/>
  <c r="L21" i="5" s="1"/>
  <c r="I3" i="5"/>
  <c r="K3" i="5" s="1"/>
  <c r="L3" i="5" s="1"/>
  <c r="I4" i="5"/>
  <c r="K4" i="5" s="1"/>
  <c r="L4" i="5" s="1"/>
  <c r="I19" i="5"/>
  <c r="K19" i="5" s="1"/>
  <c r="L19" i="5" s="1"/>
  <c r="I20" i="5"/>
  <c r="K20" i="5" s="1"/>
  <c r="L20" i="5" s="1"/>
  <c r="I2" i="5"/>
  <c r="K2" i="5" s="1"/>
  <c r="L2" i="5" s="1"/>
  <c r="K9" i="4"/>
  <c r="M9" i="4" s="1"/>
  <c r="O9" i="4" s="1"/>
  <c r="H2" i="5"/>
  <c r="G2" i="5"/>
  <c r="C5" i="4"/>
  <c r="D5" i="4"/>
  <c r="E5" i="4" s="1"/>
  <c r="I9" i="4"/>
  <c r="H9" i="4"/>
  <c r="F2" i="3"/>
  <c r="F3" i="3"/>
  <c r="G3" i="3" s="1"/>
  <c r="I3" i="3" s="1"/>
  <c r="F4" i="3"/>
  <c r="G4" i="3" s="1"/>
  <c r="I4" i="3" s="1"/>
  <c r="F5" i="3"/>
  <c r="G5" i="3" s="1"/>
  <c r="F6" i="3"/>
  <c r="G6" i="3" s="1"/>
  <c r="I6" i="3" s="1"/>
  <c r="F7" i="3"/>
  <c r="G7" i="3" s="1"/>
  <c r="I7" i="3" s="1"/>
  <c r="F8" i="3"/>
  <c r="G8" i="3" s="1"/>
  <c r="I8" i="3" s="1"/>
  <c r="F9" i="3"/>
  <c r="G9" i="3" s="1"/>
  <c r="I9" i="3" s="1"/>
  <c r="F10" i="3"/>
  <c r="G10" i="3" s="1"/>
  <c r="I10" i="3" s="1"/>
  <c r="F11" i="3"/>
  <c r="G11" i="3" s="1"/>
  <c r="I11" i="3" s="1"/>
  <c r="F12" i="3"/>
  <c r="G12" i="3" s="1"/>
  <c r="I12" i="3" s="1"/>
  <c r="F13" i="3"/>
  <c r="G13" i="3" s="1"/>
  <c r="I13" i="3" s="1"/>
  <c r="F14" i="3"/>
  <c r="G14" i="3" s="1"/>
  <c r="I14" i="3" s="1"/>
  <c r="F15" i="3"/>
  <c r="G15" i="3" s="1"/>
  <c r="I15" i="3" s="1"/>
  <c r="F16" i="3"/>
  <c r="G16" i="3" s="1"/>
  <c r="I16" i="3" s="1"/>
  <c r="F17" i="3"/>
  <c r="G17" i="3" s="1"/>
  <c r="I17" i="3" s="1"/>
  <c r="F18" i="3"/>
  <c r="G18" i="3" s="1"/>
  <c r="I18" i="3" s="1"/>
  <c r="F19" i="3"/>
  <c r="G19" i="3" s="1"/>
  <c r="I19" i="3" s="1"/>
  <c r="F20" i="3"/>
  <c r="G20" i="3" s="1"/>
  <c r="I20" i="3" s="1"/>
  <c r="F21" i="3"/>
  <c r="G21" i="3" s="1"/>
  <c r="I21" i="3" s="1"/>
  <c r="G2" i="3"/>
  <c r="I2" i="3" s="1"/>
  <c r="J2" i="3" s="1"/>
  <c r="K2" i="3" s="1"/>
  <c r="E19" i="2"/>
  <c r="H19" i="2" s="1"/>
  <c r="J19" i="2" s="1"/>
  <c r="K19" i="2" s="1"/>
  <c r="D22" i="2" l="1"/>
  <c r="K45" i="8"/>
  <c r="N42" i="8"/>
  <c r="K19" i="6"/>
  <c r="L19" i="6" s="1"/>
  <c r="K18" i="6"/>
  <c r="L18" i="6" s="1"/>
  <c r="K10" i="6"/>
  <c r="L10" i="6" s="1"/>
  <c r="K11" i="6"/>
  <c r="L11" i="6" s="1"/>
  <c r="K3" i="6"/>
  <c r="L3" i="6" s="1"/>
  <c r="K7" i="6"/>
  <c r="L7" i="6" s="1"/>
  <c r="K15" i="6"/>
  <c r="L15" i="6" s="1"/>
  <c r="K14" i="6"/>
  <c r="L14" i="6" s="1"/>
  <c r="K6" i="6"/>
  <c r="L6" i="6" s="1"/>
  <c r="K17" i="6"/>
  <c r="L17" i="6" s="1"/>
  <c r="K5" i="6"/>
  <c r="L5" i="6" s="1"/>
  <c r="K16" i="6"/>
  <c r="L16" i="6" s="1"/>
  <c r="K4" i="6"/>
  <c r="L4" i="6" s="1"/>
  <c r="K13" i="6"/>
  <c r="L13" i="6" s="1"/>
  <c r="K12" i="6"/>
  <c r="L12" i="6" s="1"/>
  <c r="K9" i="6"/>
  <c r="L9" i="6" s="1"/>
  <c r="K8" i="6"/>
  <c r="L8" i="6" s="1"/>
  <c r="N10" i="7"/>
  <c r="O16" i="7"/>
  <c r="O8" i="7"/>
  <c r="K2" i="6"/>
  <c r="L2" i="6" s="1"/>
  <c r="N17" i="7"/>
  <c r="O7" i="7"/>
  <c r="N7" i="7"/>
  <c r="N9" i="7"/>
  <c r="O15" i="7"/>
  <c r="N16" i="7"/>
  <c r="N8" i="7"/>
  <c r="O14" i="7"/>
  <c r="O6" i="7"/>
  <c r="N15" i="7"/>
  <c r="O13" i="7"/>
  <c r="O5" i="7"/>
  <c r="N14" i="7"/>
  <c r="N6" i="7"/>
  <c r="O12" i="7"/>
  <c r="O4" i="7"/>
  <c r="N3" i="7"/>
  <c r="N11" i="7"/>
  <c r="O17" i="7"/>
  <c r="O9" i="7"/>
  <c r="N13" i="7"/>
  <c r="N5" i="7"/>
  <c r="O11" i="7"/>
  <c r="N12" i="7"/>
  <c r="N4" i="7"/>
  <c r="O10" i="7"/>
  <c r="O3" i="7"/>
  <c r="I15" i="5"/>
  <c r="K15" i="5" s="1"/>
  <c r="L15" i="5" s="1"/>
  <c r="I14" i="5"/>
  <c r="K14" i="5" s="1"/>
  <c r="L14" i="5" s="1"/>
  <c r="I7" i="5"/>
  <c r="K7" i="5" s="1"/>
  <c r="L7" i="5" s="1"/>
  <c r="I18" i="5"/>
  <c r="K18" i="5" s="1"/>
  <c r="L18" i="5" s="1"/>
  <c r="I10" i="5"/>
  <c r="K10" i="5" s="1"/>
  <c r="L10" i="5" s="1"/>
  <c r="I13" i="5"/>
  <c r="K13" i="5" s="1"/>
  <c r="L13" i="5" s="1"/>
  <c r="I5" i="5"/>
  <c r="K5" i="5" s="1"/>
  <c r="L5" i="5" s="1"/>
  <c r="I9" i="5"/>
  <c r="K9" i="5" s="1"/>
  <c r="L9" i="5" s="1"/>
  <c r="I12" i="5"/>
  <c r="K12" i="5" s="1"/>
  <c r="L12" i="5" s="1"/>
  <c r="I6" i="5"/>
  <c r="K6" i="5" s="1"/>
  <c r="L6" i="5" s="1"/>
  <c r="I17" i="5"/>
  <c r="K17" i="5" s="1"/>
  <c r="L17" i="5" s="1"/>
  <c r="I16" i="5"/>
  <c r="K16" i="5" s="1"/>
  <c r="L16" i="5" s="1"/>
  <c r="I8" i="5"/>
  <c r="K8" i="5" s="1"/>
  <c r="L8" i="5" s="1"/>
  <c r="I5" i="3"/>
  <c r="J5" i="3" s="1"/>
  <c r="K5" i="3" s="1"/>
  <c r="J3" i="3"/>
  <c r="K3" i="3" s="1"/>
  <c r="J4" i="3"/>
  <c r="J6" i="3"/>
  <c r="K6" i="3" s="1"/>
  <c r="J7" i="3"/>
  <c r="K7" i="3" s="1"/>
  <c r="J8" i="3"/>
  <c r="K8" i="3" s="1"/>
  <c r="J9" i="3"/>
  <c r="K9" i="3" s="1"/>
  <c r="J11" i="3"/>
  <c r="K11" i="3" s="1"/>
  <c r="J12" i="3"/>
  <c r="K12" i="3" s="1"/>
  <c r="J17" i="3"/>
  <c r="K17" i="3" s="1"/>
  <c r="J18" i="3"/>
  <c r="K18" i="3" s="1"/>
  <c r="J19" i="3"/>
  <c r="K19" i="3" s="1"/>
  <c r="J20" i="3"/>
  <c r="K20" i="3" s="1"/>
  <c r="E2" i="2"/>
  <c r="E8" i="2"/>
  <c r="E16" i="2"/>
  <c r="H16" i="2" s="1"/>
  <c r="J16" i="2" s="1"/>
  <c r="K16" i="2" s="1"/>
  <c r="E11" i="2"/>
  <c r="H11" i="2" s="1"/>
  <c r="J11" i="2" s="1"/>
  <c r="K11" i="2" s="1"/>
  <c r="E9" i="2"/>
  <c r="E3" i="2"/>
  <c r="E4" i="2"/>
  <c r="E5" i="2"/>
  <c r="H5" i="2" s="1"/>
  <c r="J5" i="2" s="1"/>
  <c r="K5" i="2" s="1"/>
  <c r="E6" i="2"/>
  <c r="E7" i="2"/>
  <c r="H7" i="2" s="1"/>
  <c r="J7" i="2" s="1"/>
  <c r="K7" i="2" s="1"/>
  <c r="E10" i="2"/>
  <c r="E13" i="2"/>
  <c r="E15" i="2"/>
  <c r="H15" i="2" s="1"/>
  <c r="J15" i="2" s="1"/>
  <c r="K15" i="2" s="1"/>
  <c r="E17" i="2"/>
  <c r="H17" i="2" s="1"/>
  <c r="J17" i="2" s="1"/>
  <c r="K17" i="2" s="1"/>
  <c r="M25" i="5" l="1"/>
  <c r="M24" i="5"/>
  <c r="K4" i="3"/>
  <c r="J21" i="3"/>
  <c r="K21" i="3" s="1"/>
  <c r="J15" i="3"/>
  <c r="K15" i="3" s="1"/>
  <c r="H3" i="2"/>
  <c r="J3" i="2" s="1"/>
  <c r="K3" i="2" s="1"/>
  <c r="H13" i="2"/>
  <c r="J13" i="2" s="1"/>
  <c r="K13" i="2" s="1"/>
  <c r="H2" i="2"/>
  <c r="J2" i="2" s="1"/>
  <c r="H9" i="2"/>
  <c r="J9" i="2" s="1"/>
  <c r="K9" i="2" s="1"/>
  <c r="H8" i="2"/>
  <c r="J8" i="2" s="1"/>
  <c r="K8" i="2" s="1"/>
  <c r="H6" i="2"/>
  <c r="J6" i="2" s="1"/>
  <c r="K6" i="2" s="1"/>
  <c r="H4" i="2"/>
  <c r="J4" i="2" s="1"/>
  <c r="K4" i="2" s="1"/>
  <c r="H10" i="2"/>
  <c r="J10" i="2" s="1"/>
  <c r="K10" i="2" s="1"/>
  <c r="E14" i="2" l="1"/>
  <c r="H14" i="2" s="1"/>
  <c r="J14" i="2" s="1"/>
  <c r="K2" i="2"/>
  <c r="J10" i="3"/>
  <c r="J13" i="3"/>
  <c r="K13" i="3" s="1"/>
  <c r="E12" i="2"/>
  <c r="H12" i="2" s="1"/>
  <c r="J12" i="2" s="1"/>
  <c r="K12" i="2" s="1"/>
  <c r="K10" i="3" l="1"/>
  <c r="K14" i="2"/>
  <c r="J23" i="2" s="1"/>
  <c r="J24" i="2"/>
  <c r="J14" i="3"/>
  <c r="K14" i="3" s="1"/>
  <c r="K24" i="3" l="1"/>
  <c r="J16" i="3"/>
  <c r="K16" i="3" s="1"/>
  <c r="L25" i="3" s="1"/>
  <c r="L24" i="3" l="1"/>
  <c r="K25" i="3"/>
  <c r="K22" i="6" l="1"/>
  <c r="K21" i="6"/>
</calcChain>
</file>

<file path=xl/sharedStrings.xml><?xml version="1.0" encoding="utf-8"?>
<sst xmlns="http://schemas.openxmlformats.org/spreadsheetml/2006/main" count="460" uniqueCount="170">
  <si>
    <t>Image</t>
  </si>
  <si>
    <t>Object</t>
  </si>
  <si>
    <t>Focal Length(mm)</t>
  </si>
  <si>
    <t>Real Height(mm)</t>
  </si>
  <si>
    <t>Pixel Height(px)</t>
  </si>
  <si>
    <t>Object Pixel Height(px)</t>
  </si>
  <si>
    <t>Sensor Height(m)</t>
  </si>
  <si>
    <t>Predicted Distance(m)</t>
  </si>
  <si>
    <t>Actual Distance(m)</t>
  </si>
  <si>
    <t>Distance Error</t>
  </si>
  <si>
    <t>Net Distance error</t>
  </si>
  <si>
    <t>pano_0000_000059.jpg</t>
  </si>
  <si>
    <t>Stop Sign</t>
  </si>
  <si>
    <t>Mailbox</t>
  </si>
  <si>
    <t>Road Sign</t>
  </si>
  <si>
    <t>Fire hydrant</t>
  </si>
  <si>
    <t>pano_0000_000088.jpg</t>
  </si>
  <si>
    <t>Speed Limit</t>
  </si>
  <si>
    <t>pano_0000_000095.jpg</t>
  </si>
  <si>
    <t>pano_0000_000117.jpg</t>
  </si>
  <si>
    <t>pano_0000_000167.jpg</t>
  </si>
  <si>
    <t>pano_0000_000229.jpg</t>
  </si>
  <si>
    <t>pano_0000_000238.jpg</t>
  </si>
  <si>
    <t>pano_0001_000008.jpg</t>
  </si>
  <si>
    <t>pano_0001_000064.jpg</t>
  </si>
  <si>
    <t>indecipherable</t>
  </si>
  <si>
    <t>pano_0001_000130.jpg</t>
  </si>
  <si>
    <t>Avg Dist Error</t>
  </si>
  <si>
    <t>Avg Dist StdDev</t>
  </si>
  <si>
    <t>Asset</t>
  </si>
  <si>
    <t>Focal(mm)</t>
  </si>
  <si>
    <t>Real Px Height(px)</t>
  </si>
  <si>
    <t>Distance Error(m)</t>
  </si>
  <si>
    <t>Net Error(m)</t>
  </si>
  <si>
    <t xml:space="preserve"> &lt;-- No Shapefile</t>
  </si>
  <si>
    <t>&lt;-- No Shapefile</t>
  </si>
  <si>
    <t xml:space="preserve"> </t>
  </si>
  <si>
    <t>Average(m)</t>
  </si>
  <si>
    <t>StdDev(m)</t>
  </si>
  <si>
    <t>CrackType</t>
  </si>
  <si>
    <t>Sealed Crack</t>
  </si>
  <si>
    <t>Pavement Stripping</t>
  </si>
  <si>
    <t>Delamination</t>
  </si>
  <si>
    <t>Patches</t>
  </si>
  <si>
    <t>Transverse Crack</t>
  </si>
  <si>
    <t>Alligator Crack</t>
  </si>
  <si>
    <t>Pixel Height</t>
  </si>
  <si>
    <t>pix_d</t>
  </si>
  <si>
    <t>bbox_Top</t>
  </si>
  <si>
    <t>bbox_Height</t>
  </si>
  <si>
    <t>-</t>
  </si>
  <si>
    <t>j-5</t>
  </si>
  <si>
    <t>Btop</t>
  </si>
  <si>
    <t>Bleft</t>
  </si>
  <si>
    <t>Bheight</t>
  </si>
  <si>
    <t>Bwidth</t>
  </si>
  <si>
    <t>b_top</t>
  </si>
  <si>
    <t>b_left</t>
  </si>
  <si>
    <t>b_width</t>
  </si>
  <si>
    <t>x</t>
  </si>
  <si>
    <t>y</t>
  </si>
  <si>
    <t>-9165101.025,4249733.020</t>
  </si>
  <si>
    <t>wkt_geom</t>
  </si>
  <si>
    <t>Name</t>
  </si>
  <si>
    <t>Status</t>
  </si>
  <si>
    <t>images</t>
  </si>
  <si>
    <t>bboxes</t>
  </si>
  <si>
    <t>altitude</t>
  </si>
  <si>
    <t>area</t>
  </si>
  <si>
    <t>perimeter</t>
  </si>
  <si>
    <t>MultiPolygon (((-82.33943001634584391 35.63691380080997817, -82.33944897285105924 35.63691135529418119, -82.33945406363146446 35.63693765300521221, -82.3394351071200532 35.63694009852100208, -82.33943001634584391 35.63691380080997817)))</t>
  </si>
  <si>
    <t>sealed_crack</t>
  </si>
  <si>
    <t>moderate</t>
  </si>
  <si>
    <t>{"src": ["2022/07/13/TMX7316081502-000335/back/pano_0001_000130.jpg"]}</t>
  </si>
  <si>
    <t>{"bbox": [[4981, 3497, 2276, 928]]}</t>
  </si>
  <si>
    <t>MultiPolygon (((-82.33139910389094496 35.62927287298509071, -82.33140448557577429 35.62926334969973396, -82.33141327238861606 35.62926665943750493, -82.33140789070357357 35.62927618272287589, -82.33139910389094496 35.62927287298509071)))</t>
  </si>
  <si>
    <t>light</t>
  </si>
  <si>
    <t>{"src": ["2022/07/13/TMX7316081502-000335/back/pano_0000_000059.jpg"]}</t>
  </si>
  <si>
    <t>{"bbox": [[4515, 2520, 758, 118]]}</t>
  </si>
  <si>
    <t>MultiPolygon (((-82.33138597706904704 35.62923521079970612, -82.331397537530151 35.62921475369613233, -82.33140833488320709 35.62921882074926572, -82.33139677442150628 35.62923927785284661, -82.33138597706904704 35.62923521079970612)))</t>
  </si>
  <si>
    <t>delamination</t>
  </si>
  <si>
    <t>{"bbox": [[4134, 4256, 1172, 145]]}</t>
  </si>
  <si>
    <t>MultiPolygon (((-82.33258135501787933 35.62966864811465939, -82.33258813155354972 35.62965547892428475, -82.33261547660450219 35.62966485786464688, -82.332608700068036 35.62967802705498599, -82.33258135501787933 35.62966864811465939)))</t>
  </si>
  <si>
    <t>patch</t>
  </si>
  <si>
    <t>low</t>
  </si>
  <si>
    <t>{"src": ["2022/07/13/TMX7316081502-000335/back/pano_0000_000088.jpg"]}</t>
  </si>
  <si>
    <t>{"bbox": [[4524, 4163, 1253, 379]]}</t>
  </si>
  <si>
    <t>MultiPolygon (((-82.33258028484300439 35.62969665731360891, -82.33259259903978489 35.62967272651496842, -82.33259947928536349 35.62967508633548164, -82.33258716508822772 35.62969901713412213, -82.33258028484300439 35.62969665731360891)))</t>
  </si>
  <si>
    <t>{"bbox": [[4674, 1988, 2072, 91]]}</t>
  </si>
  <si>
    <t>MultiPolygon (((-82.33254692496151961 35.62968162447809561, -82.33254830666166413 35.62967893935079644, -82.33256766207226462 35.62968557797135816, -82.33256628037200642 35.62968826309865022, -82.33254692496151961 35.62968162447809561)))</t>
  </si>
  <si>
    <t>{"bbox": [[4212, 2454, 183, 256]]}</t>
  </si>
  <si>
    <t>MultiPolygon (((-82.33289286085525305 35.62978475671680911, -82.33290698456214329 35.62976788669832473, -82.33291573401115215 35.62977276915552238, -82.33290161030339505 35.62978963917399255, -82.33289286085525305 35.62978475671680911)))</t>
  </si>
  <si>
    <t>{"src": ["2022/07/13/TMX7316081502-000335/back/pano_0000_000095.jpg"]}</t>
  </si>
  <si>
    <t>{"bbox": [[4982, 3637, 2128, 208]]}</t>
  </si>
  <si>
    <t>MultiPolygon (((-82.33336346001452455 35.63044059740906988, -82.33336643920007702 35.63043980664971855, -82.33337476961627033 35.63046072546211462, -82.33337179042993625 35.63046151622145175, -82.33336346001452455 35.63044059740906988)))</t>
  </si>
  <si>
    <t>{"src": ["2022/07/13/TMX7316081502-000335/back/pano_0000_000117.jpg"]}</t>
  </si>
  <si>
    <t>{"bbox": [[4730, 2273, 264, 444]]}</t>
  </si>
  <si>
    <t>MultiPolygon (((-82.33430364189868556 35.63203431937112953, -82.33434215895097452 35.63201387317375435, -82.3343712621429944 35.63205041421861807, -82.33433274507316924 35.63207086041586535, -82.33430364189868556 35.63203431937112953)))</t>
  </si>
  <si>
    <t>{"src": ["2022/07/13/TMX7316081502-000335/back/pano_0000_000167.jpg"]}</t>
  </si>
  <si>
    <t>{"bbox": [[4093, 2206, 2949, 651]]}</t>
  </si>
  <si>
    <t>MultiPolygon (((-82.33535254731089026 35.63385414486505454, -82.33535213243473549 35.63386653239759738, -82.33534425587595251 35.63386635658887514, -82.33534467075210728 35.63385396905631808, -82.33535254731089026 35.63385414486505454)))</t>
  </si>
  <si>
    <t>transverese_crack</t>
  </si>
  <si>
    <t>{"src": ["2022/07/13/TMX7316081502-000335/back/pano_0000_000229.jpg"]}</t>
  </si>
  <si>
    <t>{"bbox": [[5270, 629, 1472, 176]]}</t>
  </si>
  <si>
    <t>MultiPolygon (((-82.33537829649884543 35.63386619637650909, -82.33537761859976456 35.63388643734113259, -82.33536345151445346 35.6338861211273894, -82.33536412941353433 35.6338658801627659, -82.33537829649884543 35.63386619637650909)))</t>
  </si>
  <si>
    <t>{"bbox": [[4797, 2235, 1921, 231]]}</t>
  </si>
  <si>
    <t>MultiPolygon (((-82.3349843674479871 35.63384328004141821, -82.33498080666856822 35.63386926900142981, -82.33496354659671113 35.63386769293350653, -82.33496710737605895 35.63384170397348782, -82.3349843674479871 35.63384328004141821)))</t>
  </si>
  <si>
    <t>{"src": ["2022/07/13/TMX7316081502-000335/back/pano_0000_000238.jpg"]}</t>
  </si>
  <si>
    <t>{"bbox": [[4754, 2184, 2472, 268]]}</t>
  </si>
  <si>
    <t>MultiPolygon (((-82.33502252908913022 35.63384603160500319, -82.33501908834502103 35.63387114446629766, -82.33501142695386932 35.63387044488494837, -82.33501486769793587 35.63384533202364679, -82.33502252908913022 35.63384603160500319)))</t>
  </si>
  <si>
    <t>{"bbox": [[4287, 2536, 1462, 94]]}</t>
  </si>
  <si>
    <t>MultiPolygon (((-82.33556811692305644 35.63376647388281526, -82.33557549648159579 35.63375423276308851, -82.33562284324870006 35.63377325584049515, -82.33561546368839856 35.63378549696020059, -82.33556811692305644 35.63376647388281526)))</t>
  </si>
  <si>
    <t>alligator_crack</t>
  </si>
  <si>
    <t>{"src": ["2022/07/13/TMX7316081502-000335/back/pano_0001_000008.jpg"]}</t>
  </si>
  <si>
    <t>{"bbox": [[4492, 754, 1509, 811]]}</t>
  </si>
  <si>
    <t>MultiPolygon (((-82.33735733552201452 35.63514295592487713, -82.33736064184667214 35.63513919525897222, -82.33740481522376342 35.63516507782672704, -82.3374015088980542 35.63516883849261774, -82.33735733552201452 35.63514295592487713)))</t>
  </si>
  <si>
    <t>{"src": ["2022/07/13/TMX7316081502-000335/back/pano_0001_000064.jpg"]}</t>
  </si>
  <si>
    <t>{"bbox": [[4220, 2297, 405, 679]]}</t>
  </si>
  <si>
    <t>x1</t>
  </si>
  <si>
    <t>x2</t>
  </si>
  <si>
    <t>x3</t>
  </si>
  <si>
    <t>x4</t>
  </si>
  <si>
    <t>y1</t>
  </si>
  <si>
    <t>y2</t>
  </si>
  <si>
    <t>y3</t>
  </si>
  <si>
    <t>y4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</si>
  <si>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</si>
  <si>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</si>
  <si>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</si>
  <si>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</si>
  <si>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</si>
  <si>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</si>
  <si>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</si>
  <si>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</si>
  <si>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</si>
  <si>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Box 11</t>
  </si>
  <si>
    <t>MidPoint Tri1X</t>
  </si>
  <si>
    <t>MidPoint Tri1Y</t>
  </si>
  <si>
    <t>MidPoint Tri2X</t>
  </si>
  <si>
    <t>MidPoint Tri2Y</t>
  </si>
  <si>
    <t>MidPointX</t>
  </si>
  <si>
    <t xml:space="preserve">MidPointY </t>
  </si>
  <si>
    <t>Box 1</t>
  </si>
  <si>
    <t>Box 12</t>
  </si>
  <si>
    <t>Box 13</t>
  </si>
  <si>
    <t>Box 14</t>
  </si>
  <si>
    <t>Box 15</t>
  </si>
  <si>
    <t>BoxMidpointX</t>
  </si>
  <si>
    <t>BoxMidpointY</t>
  </si>
  <si>
    <t>cam X 1</t>
  </si>
  <si>
    <t>cam Y1</t>
  </si>
  <si>
    <t>cam X 2</t>
  </si>
  <si>
    <t>cam Y2</t>
  </si>
  <si>
    <t>(10,000/90)</t>
  </si>
  <si>
    <t>b1</t>
  </si>
  <si>
    <t>b2</t>
  </si>
  <si>
    <t>c1</t>
  </si>
  <si>
    <t>c2</t>
  </si>
  <si>
    <t>delamination 0059</t>
  </si>
  <si>
    <t>Distance Error(distance)</t>
  </si>
  <si>
    <t>Distance error(estimates meters)</t>
  </si>
  <si>
    <t>Actual Distance(m)(camera to box)</t>
  </si>
  <si>
    <t>No</t>
  </si>
  <si>
    <t>Yes</t>
  </si>
  <si>
    <t>Prediction within building box?</t>
  </si>
  <si>
    <t>Y Pixels:</t>
  </si>
  <si>
    <t>Predicted Distance</t>
  </si>
  <si>
    <t>Comments</t>
  </si>
  <si>
    <t>On the turn of a road</t>
  </si>
  <si>
    <t>&lt;--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</si>
</sst>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8"/>
      <color rgb="FF000000"/>
      <name val="Arial"/>
      <family val="2"/>
    </font>
    <font>
      <sz val="9.8000000000000007"/>
      <color rgb="FF242424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3" borderId="1" xfId="0" applyFont="1" applyFill="1" applyBorder="1"/>
    <xf numFmtId="0" fontId="5" fillId="0" borderId="2" xfId="0" applyFont="1" applyBorder="1"/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4" fillId="5" borderId="1" xfId="0" applyFont="1" applyFill="1" applyBorder="1"/>
    <xf numFmtId="0" fontId="4" fillId="6" borderId="1" xfId="0" applyFont="1" applyFill="1" applyBorder="1"/>
    <xf numFmtId="0" fontId="1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1" fillId="7" borderId="0" xfId="0" applyFont="1" applyFill="1"/>
    <xf numFmtId="0" fontId="0" fillId="7" borderId="0" xfId="0" applyFill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5" borderId="3" xfId="0" applyFont="1" applyFill="1" applyBorder="1"/>
    <xf numFmtId="0" fontId="1" fillId="4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" fillId="5" borderId="5" xfId="0" applyFont="1" applyFill="1" applyBorder="1"/>
    <xf numFmtId="0" fontId="1" fillId="4" borderId="5" xfId="0" applyFont="1" applyFill="1" applyBorder="1" applyAlignment="1">
      <alignment horizontal="right"/>
    </xf>
    <xf numFmtId="0" fontId="2" fillId="6" borderId="5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1" xfId="0" applyBorder="1"/>
    <xf numFmtId="0" fontId="1" fillId="4" borderId="1" xfId="0" applyFont="1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right"/>
    </xf>
    <xf numFmtId="0" fontId="6" fillId="4" borderId="1" xfId="0" applyFont="1" applyFill="1" applyBorder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/>
    <xf numFmtId="0" fontId="4" fillId="4" borderId="8" xfId="0" applyFont="1" applyFill="1" applyBorder="1"/>
    <xf numFmtId="0" fontId="6" fillId="0" borderId="0" xfId="0" applyFont="1"/>
    <xf numFmtId="0" fontId="9" fillId="0" borderId="0" xfId="0" applyFont="1"/>
    <xf numFmtId="0" fontId="0" fillId="9" borderId="0" xfId="0" applyFill="1"/>
    <xf numFmtId="0" fontId="4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Y Pixels and Meter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1.3627067491917574E-2"/>
          <c:y val="2.05850126288705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3.0613558184129461E-2"/>
                  <c:y val="-0.15894247162784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'Y vs Distance'!$D$2:$D$12</c:f>
              <c:numCache>
                <c:formatCode>General</c:formatCode>
                <c:ptCount val="11"/>
                <c:pt idx="1">
                  <c:v>150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  <c:pt idx="5">
                  <c:v>1000</c:v>
                </c:pt>
                <c:pt idx="6">
                  <c:v>1350</c:v>
                </c:pt>
                <c:pt idx="7">
                  <c:v>1550</c:v>
                </c:pt>
                <c:pt idx="8">
                  <c:v>1900</c:v>
                </c:pt>
                <c:pt idx="9">
                  <c:v>2000</c:v>
                </c:pt>
                <c:pt idx="10">
                  <c:v>2200</c:v>
                </c:pt>
              </c:numCache>
            </c:numRef>
          </c:xVal>
          <c:yVal>
            <c:numRef>
              <c:f>'Y vs Distance'!$E$2:$E$12</c:f>
              <c:numCache>
                <c:formatCode>General</c:formatCode>
                <c:ptCount val="11"/>
                <c:pt idx="1">
                  <c:v>0.24</c:v>
                </c:pt>
                <c:pt idx="2">
                  <c:v>0.4</c:v>
                </c:pt>
                <c:pt idx="3">
                  <c:v>0.6</c:v>
                </c:pt>
                <c:pt idx="4">
                  <c:v>0.75</c:v>
                </c:pt>
                <c:pt idx="5">
                  <c:v>1.65</c:v>
                </c:pt>
                <c:pt idx="6">
                  <c:v>2.4500000000000002</c:v>
                </c:pt>
                <c:pt idx="7">
                  <c:v>3.2</c:v>
                </c:pt>
                <c:pt idx="8">
                  <c:v>4.3</c:v>
                </c:pt>
                <c:pt idx="9">
                  <c:v>4.55</c:v>
                </c:pt>
                <c:pt idx="10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32-7846-BFEC-38A48737C88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 vs Distance'!$D$2:$D$12</c:f>
              <c:numCache>
                <c:formatCode>General</c:formatCode>
                <c:ptCount val="11"/>
                <c:pt idx="1">
                  <c:v>150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  <c:pt idx="5">
                  <c:v>1000</c:v>
                </c:pt>
                <c:pt idx="6">
                  <c:v>1350</c:v>
                </c:pt>
                <c:pt idx="7">
                  <c:v>1550</c:v>
                </c:pt>
                <c:pt idx="8">
                  <c:v>1900</c:v>
                </c:pt>
                <c:pt idx="9">
                  <c:v>2000</c:v>
                </c:pt>
                <c:pt idx="10">
                  <c:v>2200</c:v>
                </c:pt>
              </c:numCache>
            </c:numRef>
          </c:xVal>
          <c:yVal>
            <c:numRef>
              <c:f>'Y vs Distance'!$F$2:$F$12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32-7846-BFEC-38A48737C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808879"/>
        <c:axId val="1535810527"/>
      </c:scatterChart>
      <c:valAx>
        <c:axId val="153580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Pixels(y)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10527"/>
        <c:crosses val="autoZero"/>
        <c:crossBetween val="midCat"/>
      </c:valAx>
      <c:valAx>
        <c:axId val="15358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08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Sheet3!$E$3:$E$8</c:f>
              <c:numCache>
                <c:formatCode>General</c:formatCode>
                <c:ptCount val="6"/>
                <c:pt idx="0">
                  <c:v>4140</c:v>
                </c:pt>
                <c:pt idx="1">
                  <c:v>4856</c:v>
                </c:pt>
                <c:pt idx="2">
                  <c:v>3971</c:v>
                </c:pt>
                <c:pt idx="3">
                  <c:v>4700</c:v>
                </c:pt>
                <c:pt idx="4">
                  <c:v>3800</c:v>
                </c:pt>
                <c:pt idx="5">
                  <c:v>4227</c:v>
                </c:pt>
              </c:numCache>
            </c:numRef>
          </c:xVal>
          <c:yVal>
            <c:numRef>
              <c:f>Sheet3!$F$3:$F$8</c:f>
              <c:numCache>
                <c:formatCode>General</c:formatCode>
                <c:ptCount val="6"/>
                <c:pt idx="0">
                  <c:v>12.6712540220565</c:v>
                </c:pt>
                <c:pt idx="1">
                  <c:v>9.4659356073365508</c:v>
                </c:pt>
                <c:pt idx="2">
                  <c:v>11.2612985259978</c:v>
                </c:pt>
                <c:pt idx="3">
                  <c:v>8.7191634042008701</c:v>
                </c:pt>
                <c:pt idx="4">
                  <c:v>6.4609904067677197</c:v>
                </c:pt>
                <c:pt idx="5">
                  <c:v>10.6223453508126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42-2E44-8C10-D955B00DC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283551"/>
        <c:axId val="1571304047"/>
      </c:scatterChart>
      <c:valAx>
        <c:axId val="157128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304047"/>
        <c:crosses val="autoZero"/>
        <c:crossBetween val="midCat"/>
      </c:valAx>
      <c:valAx>
        <c:axId val="157130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8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4</xdr:row>
      <xdr:rowOff>31750</xdr:rowOff>
    </xdr:from>
    <xdr:to>
      <xdr:col>17</xdr:col>
      <xdr:colOff>139700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0C488-2DD2-BC04-88A3-C8AA8BAAA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17</xdr:row>
      <xdr:rowOff>133350</xdr:rowOff>
    </xdr:from>
    <xdr:to>
      <xdr:col>13</xdr:col>
      <xdr:colOff>552450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A2A19-F745-0D7C-229E-B26F618A9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39BB24-E954-5346-A31F-1DA1AB009CFE}">
  <we:reference id="1e10eb66-9ba2-46e3-84ee-57e2a49831f0" version="3.0.0.1" store="EXCatalog" storeType="EXCatalog"/>
  <we:alternateReferences>
    <we:reference id="WA104100404" version="3.0.0.1" store="en-US" storeType="OMEX"/>
  </we:alternateReferences>
  <we:properties>
    <we:property name="JDcoBixSQEQ0LyJpFAUDAiA1PStUWFU=" value="&quot;VHl6Qg==&quot;"/>
    <we:property name="JDcoBixSQEQ0LyJpFAUDAiA1PStUWFY=" value="&quot;VHt6Qg==&quot;"/>
    <we:property name="JDcoBixSQEQ0LyJpFAUDAiA1PStZR1U=" value="&quot;UAdjU2gLECZdd28=&quot;"/>
    <we:property name="JDcoBixSQEQ0LyJpFAUDAiA1PStZR1Y=" value="&quot;RA==&quot;"/>
    <we:property name="JDcoBixSQEQ0LyJpFAUDAiA1PTVZR1U=" value="&quot;UAZjU2gLECddd28=&quot;"/>
    <we:property name="JDcoBixSQEQ0LyJpFAUDAiA1PTVZR1Y=" value="&quot;UAFjW2MVckBA&quot;"/>
    <we:property name="JDcoBixSQEQ0LyJpFAUDAiA1PTdEWQ==" value="&quot;Rg==&quot;"/>
    <we:property name="JDcoBixSQEQ0LyJpFAUDAiA1PTdUUw==" value="&quot;RQ==&quot;"/>
    <we:property name="JDcoBixSQEQ0LyJpFAUDAiA1PTxfUw==" value="&quot;RA==&quot;"/>
    <we:property name="JDcoBixSQEQ0LyJpKAgF" value="&quot;UAFjU2E=&quot;"/>
    <we:property name="JDcoBixSQEQ0LyJpKgsXOSwp" value="&quot;RQ==&quot;"/>
    <we:property name="JDcoBixSQEQ0LyJpMQsdHSQlDjxC" value="&quot;UAFjW2MVckBA&quot;"/>
    <we:property name="Oyct" value="&quot;&quot;"/>
    <we:property name="UniqueID" value="&quot;2022791660070737595&quot;"/>
    <we:property name="ByorFDxDawEXIQ==" value="&quot;MxcA&quot;"/>
    <we:property name="ByorFDxDawocIQ==" value="&quot;RQ==&quot;"/>
    <we:property name="NzcmATJCFExKb3sHBQA=" value="&quot;UAxjVmg=&quot;"/>
    <we:property name="NzcmATJCFExKb3s7CAYZETcYFDhd" value="&quot;RXNpUWgFA11Ofg==&quot;"/>
    <we:property name="NzcmATJCFExKb3seBhgGFScrByo=" value="&quot;UABjVmg=&quot;"/>
    <we:property name="NzcmATJCFExKb3seBhgGFScrByoA" value="&quot;UANjVmg=&quot;"/>
    <we:property name="NzcmATJCFExKb3seBhgGFScrByoD" value="&quot;UAJjVmg=&quot;"/>
    <we:property name="NzcmATJCFExKb3seBhgGFScrByoC" value="&quot;UA1jVmg=&quot;"/>
  </we:properties>
  <we:bindings>
    <we:binding id="Var0" type="matrix" appref="{EB9C72C9-BF64-B94F-AA3D-EB1BB7660892}"/>
    <we:binding id="CracksrefEdit" type="matrix" appref="{CDC64A54-F60F-4A4B-AFCC-1598B84008A5}"/>
    <we:binding id="CracksWorker" type="matrix" appref="{1C8AACCD-45FA-984F-A702-0C4160BD2548}"/>
    <we:binding id="refEdit" type="matrix" appref="{02C6A867-7A99-4446-B8CC-5AE30A642BE6}"/>
    <we:binding id="Worker" type="matrix" appref="{2D53E8E3-3B6B-3340-8528-361E34578C9A}"/>
    <we:binding id="Obj" type="matrix" appref="{B52744DD-8F35-4F4F-BD9C-BA7ED60ACA2E}"/>
  </we:bindings>
  <we:snapshot xmlns:r="http://schemas.openxmlformats.org/officeDocument/2006/relationships"/>
</we:webextension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B24F-54D0-3543-96D3-F64A0B239FB6}">
  <dimension ref="A1:L25"/>
  <sheetViews>
    <sheetView zoomScale="139" workbookViewId="0">
      <selection activeCell="G1" sqref="G1:G1048576"/>
    </sheetView>
  </sheetViews>
  <sheetFormatPr baseColWidth="10" defaultColWidth="11" defaultRowHeight="16" x14ac:dyDescent="0.2"/>
  <cols>
    <col min="1" max="1" width="2.6640625" customWidth="1"/>
    <col min="3" max="3" width="10.83203125" style="21"/>
    <col min="4" max="4" width="10.83203125"/>
    <col min="5" max="5" width="16.5" customWidth="1"/>
    <col min="6" max="6" width="19" customWidth="1"/>
    <col min="8" max="8" width="11.33203125" bestFit="1" customWidth="1"/>
    <col min="10" max="10" width="15.33203125" customWidth="1"/>
    <col min="11" max="11" width="15" customWidth="1"/>
  </cols>
  <sheetData>
    <row r="1" spans="1:12" x14ac:dyDescent="0.2">
      <c r="A1" s="1" t="s">
        <v>0</v>
      </c>
      <c r="B1" s="1" t="s">
        <v>1</v>
      </c>
      <c r="C1" s="2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</row>
    <row r="2" spans="1:12" x14ac:dyDescent="0.2">
      <c r="A2" s="1" t="s">
        <v>11</v>
      </c>
      <c r="B2" s="1" t="s">
        <v>12</v>
      </c>
      <c r="C2" s="20">
        <v>4.8</v>
      </c>
      <c r="D2" s="1">
        <v>790</v>
      </c>
      <c r="E2" s="1">
        <v>1700</v>
      </c>
      <c r="F2" s="1">
        <v>240</v>
      </c>
      <c r="G2" s="1">
        <v>2.0099999999999998</v>
      </c>
      <c r="H2" s="1">
        <v>13.36318408</v>
      </c>
      <c r="I2" s="1">
        <v>16</v>
      </c>
      <c r="J2" s="1">
        <v>2.6368159200000001</v>
      </c>
      <c r="K2" s="2">
        <v>2.6368159200000001</v>
      </c>
      <c r="L2" s="3"/>
    </row>
    <row r="3" spans="1:12" x14ac:dyDescent="0.2">
      <c r="A3" s="1" t="s">
        <v>11</v>
      </c>
      <c r="B3" s="1" t="s">
        <v>13</v>
      </c>
      <c r="C3" s="20">
        <v>4.8</v>
      </c>
      <c r="D3" s="1">
        <v>225.47579999999999</v>
      </c>
      <c r="E3" s="1">
        <v>1274</v>
      </c>
      <c r="F3" s="1">
        <v>50</v>
      </c>
      <c r="G3" s="1">
        <v>2.0099999999999998</v>
      </c>
      <c r="H3" s="1">
        <v>13.719697630000001</v>
      </c>
      <c r="I3" s="1">
        <v>16.3</v>
      </c>
      <c r="J3" s="1">
        <v>2.5803023669999998</v>
      </c>
      <c r="K3" s="2">
        <v>2.5803023669999998</v>
      </c>
      <c r="L3" s="3"/>
    </row>
    <row r="4" spans="1:12" x14ac:dyDescent="0.2">
      <c r="A4" s="1" t="s">
        <v>11</v>
      </c>
      <c r="B4" s="1" t="s">
        <v>14</v>
      </c>
      <c r="C4" s="20">
        <v>4.8</v>
      </c>
      <c r="D4" s="1">
        <v>152.4</v>
      </c>
      <c r="E4" s="1">
        <v>1200</v>
      </c>
      <c r="F4" s="1">
        <v>42</v>
      </c>
      <c r="G4" s="1">
        <v>2.0099999999999998</v>
      </c>
      <c r="H4" s="1">
        <v>10.39829424</v>
      </c>
      <c r="I4" s="1">
        <v>13.5</v>
      </c>
      <c r="J4" s="1">
        <v>3.101705757</v>
      </c>
      <c r="K4" s="2">
        <v>3.101705757</v>
      </c>
      <c r="L4" s="3"/>
    </row>
    <row r="5" spans="1:12" x14ac:dyDescent="0.2">
      <c r="A5" s="1" t="s">
        <v>11</v>
      </c>
      <c r="B5" s="1" t="s">
        <v>15</v>
      </c>
      <c r="C5" s="20">
        <v>4.8</v>
      </c>
      <c r="D5" s="1">
        <v>762</v>
      </c>
      <c r="E5" s="1">
        <v>1500</v>
      </c>
      <c r="F5" s="1">
        <v>252</v>
      </c>
      <c r="G5" s="1">
        <v>2.0099999999999998</v>
      </c>
      <c r="H5" s="1">
        <v>10.8315565</v>
      </c>
      <c r="I5" s="1">
        <v>13.7</v>
      </c>
      <c r="J5" s="1">
        <v>2.8684434969999999</v>
      </c>
      <c r="K5" s="2">
        <v>2.8684434969999999</v>
      </c>
      <c r="L5" s="3"/>
    </row>
    <row r="6" spans="1:12" x14ac:dyDescent="0.2">
      <c r="A6" s="1" t="s">
        <v>16</v>
      </c>
      <c r="B6" s="1" t="s">
        <v>17</v>
      </c>
      <c r="C6" s="20">
        <v>4.8</v>
      </c>
      <c r="D6" s="1">
        <v>762</v>
      </c>
      <c r="E6" s="1">
        <v>1500</v>
      </c>
      <c r="F6" s="1">
        <v>336</v>
      </c>
      <c r="G6" s="1">
        <v>2.0099999999999998</v>
      </c>
      <c r="H6" s="1">
        <v>8.1236673770000003</v>
      </c>
      <c r="I6" s="1">
        <v>11.2</v>
      </c>
      <c r="J6" s="1">
        <v>3.0763326229999999</v>
      </c>
      <c r="K6" s="2">
        <v>3.0763326229999999</v>
      </c>
      <c r="L6" s="3"/>
    </row>
    <row r="7" spans="1:12" x14ac:dyDescent="0.2">
      <c r="A7" s="1" t="s">
        <v>18</v>
      </c>
      <c r="B7" s="2" t="s">
        <v>14</v>
      </c>
      <c r="C7" s="20">
        <v>4.8</v>
      </c>
      <c r="D7" s="1">
        <v>152.4</v>
      </c>
      <c r="E7" s="1">
        <v>1200</v>
      </c>
      <c r="F7" s="2">
        <v>18</v>
      </c>
      <c r="G7" s="1">
        <v>2.0099999999999998</v>
      </c>
      <c r="H7" s="1">
        <v>24.26268657</v>
      </c>
      <c r="I7" s="2">
        <v>29</v>
      </c>
      <c r="J7" s="1">
        <v>4.7373134329999997</v>
      </c>
      <c r="K7" s="2">
        <v>4.7373134329999997</v>
      </c>
      <c r="L7" s="4"/>
    </row>
    <row r="8" spans="1:12" x14ac:dyDescent="0.2">
      <c r="A8" s="1" t="s">
        <v>18</v>
      </c>
      <c r="B8" s="2" t="s">
        <v>12</v>
      </c>
      <c r="C8" s="20">
        <v>4.8</v>
      </c>
      <c r="D8" s="2">
        <v>790</v>
      </c>
      <c r="E8" s="2">
        <v>1700</v>
      </c>
      <c r="F8" s="2">
        <v>120</v>
      </c>
      <c r="G8" s="1">
        <v>2.0099999999999998</v>
      </c>
      <c r="H8" s="1">
        <v>26.72636816</v>
      </c>
      <c r="I8" s="2">
        <v>29</v>
      </c>
      <c r="J8" s="1">
        <v>2.2736318409999998</v>
      </c>
      <c r="K8" s="2">
        <v>2.2736318409999998</v>
      </c>
      <c r="L8" s="4"/>
    </row>
    <row r="9" spans="1:12" x14ac:dyDescent="0.2">
      <c r="A9" s="1" t="s">
        <v>18</v>
      </c>
      <c r="B9" s="1" t="s">
        <v>17</v>
      </c>
      <c r="C9" s="20">
        <v>4.8</v>
      </c>
      <c r="D9" s="2">
        <v>762</v>
      </c>
      <c r="E9" s="2">
        <v>1500</v>
      </c>
      <c r="F9" s="2">
        <v>90</v>
      </c>
      <c r="G9" s="1">
        <v>2.0099999999999998</v>
      </c>
      <c r="H9" s="1">
        <v>30.328358210000001</v>
      </c>
      <c r="I9" s="2">
        <v>33</v>
      </c>
      <c r="J9" s="1">
        <v>2.6716417909999999</v>
      </c>
      <c r="K9" s="2">
        <v>2.6716417909999999</v>
      </c>
      <c r="L9" s="4"/>
    </row>
    <row r="10" spans="1:12" x14ac:dyDescent="0.2">
      <c r="A10" s="2" t="s">
        <v>19</v>
      </c>
      <c r="B10" s="2" t="s">
        <v>14</v>
      </c>
      <c r="C10" s="20">
        <v>4.8</v>
      </c>
      <c r="D10" s="1">
        <v>152.4</v>
      </c>
      <c r="E10" s="1">
        <v>1200</v>
      </c>
      <c r="F10" s="2">
        <v>51</v>
      </c>
      <c r="G10" s="1">
        <v>2.0099999999999998</v>
      </c>
      <c r="H10" s="1">
        <v>8.5633011410000002</v>
      </c>
      <c r="I10" s="2">
        <v>12.3</v>
      </c>
      <c r="J10" s="1">
        <v>3.7366988590000001</v>
      </c>
      <c r="K10" s="2">
        <v>3.7366988590000001</v>
      </c>
      <c r="L10" s="4"/>
    </row>
    <row r="11" spans="1:12" x14ac:dyDescent="0.2">
      <c r="A11" s="2" t="s">
        <v>20</v>
      </c>
      <c r="B11" s="1" t="s">
        <v>17</v>
      </c>
      <c r="C11" s="20">
        <v>4.8</v>
      </c>
      <c r="D11" s="2">
        <v>762</v>
      </c>
      <c r="E11" s="2">
        <v>1500</v>
      </c>
      <c r="F11" s="2">
        <v>150</v>
      </c>
      <c r="G11" s="1">
        <v>2.0099999999999998</v>
      </c>
      <c r="H11" s="1">
        <v>18.197014930000002</v>
      </c>
      <c r="I11" s="2">
        <v>22</v>
      </c>
      <c r="J11" s="1">
        <v>3.802985075</v>
      </c>
      <c r="K11" s="2">
        <v>3.802985075</v>
      </c>
      <c r="L11" s="4"/>
    </row>
    <row r="12" spans="1:12" x14ac:dyDescent="0.2">
      <c r="A12" s="2" t="s">
        <v>21</v>
      </c>
      <c r="B12" s="1" t="s">
        <v>12</v>
      </c>
      <c r="C12" s="20">
        <v>4.8</v>
      </c>
      <c r="D12" s="1">
        <v>790</v>
      </c>
      <c r="E12" s="1">
        <v>1700</v>
      </c>
      <c r="F12" s="2">
        <v>250</v>
      </c>
      <c r="G12" s="1">
        <v>2.0099999999999998</v>
      </c>
      <c r="H12" s="1">
        <v>12.82865672</v>
      </c>
      <c r="I12" s="2">
        <v>15.9</v>
      </c>
      <c r="J12" s="1">
        <v>3.0713432840000001</v>
      </c>
      <c r="K12" s="2">
        <v>3.0713432840000001</v>
      </c>
      <c r="L12" s="4"/>
    </row>
    <row r="13" spans="1:12" x14ac:dyDescent="0.2">
      <c r="A13" s="2" t="s">
        <v>21</v>
      </c>
      <c r="B13" s="2" t="s">
        <v>14</v>
      </c>
      <c r="C13" s="20">
        <v>4.8</v>
      </c>
      <c r="D13" s="1">
        <v>152.4</v>
      </c>
      <c r="E13" s="1">
        <v>1200</v>
      </c>
      <c r="F13" s="2">
        <v>32</v>
      </c>
      <c r="G13" s="1">
        <v>2.0099999999999998</v>
      </c>
      <c r="H13" s="1">
        <v>13.647761190000001</v>
      </c>
      <c r="I13" s="2">
        <v>16.399999999999999</v>
      </c>
      <c r="J13" s="1">
        <v>2.7522388059999998</v>
      </c>
      <c r="K13" s="2">
        <v>2.7522388059999998</v>
      </c>
      <c r="L13" s="4"/>
    </row>
    <row r="14" spans="1:12" x14ac:dyDescent="0.2">
      <c r="A14" s="2" t="s">
        <v>21</v>
      </c>
      <c r="B14" s="1" t="s">
        <v>12</v>
      </c>
      <c r="C14" s="20">
        <v>4.8</v>
      </c>
      <c r="D14" s="1">
        <v>790</v>
      </c>
      <c r="E14" s="1">
        <v>1700</v>
      </c>
      <c r="F14" s="2">
        <v>165</v>
      </c>
      <c r="G14" s="1">
        <v>2.0099999999999998</v>
      </c>
      <c r="H14" s="1">
        <v>19.437358660000001</v>
      </c>
      <c r="I14" s="2">
        <v>16.3</v>
      </c>
      <c r="J14" s="1">
        <v>3.1373586609999999</v>
      </c>
      <c r="K14" s="2">
        <v>-3.1373586609999999</v>
      </c>
      <c r="L14" s="4"/>
    </row>
    <row r="15" spans="1:12" x14ac:dyDescent="0.2">
      <c r="A15" s="2" t="s">
        <v>22</v>
      </c>
      <c r="B15" s="1" t="s">
        <v>15</v>
      </c>
      <c r="C15" s="20">
        <v>4.8</v>
      </c>
      <c r="D15" s="1">
        <v>762</v>
      </c>
      <c r="E15" s="1">
        <v>1500</v>
      </c>
      <c r="F15" s="2">
        <v>100</v>
      </c>
      <c r="G15" s="1">
        <v>2.0099999999999998</v>
      </c>
      <c r="H15" s="1">
        <v>27.295522389999999</v>
      </c>
      <c r="I15" s="2">
        <v>29.3</v>
      </c>
      <c r="J15" s="1">
        <v>2.0044776120000001</v>
      </c>
      <c r="K15" s="2">
        <v>2.0044776120000001</v>
      </c>
      <c r="L15" s="4"/>
    </row>
    <row r="16" spans="1:12" x14ac:dyDescent="0.2">
      <c r="A16" s="2" t="s">
        <v>22</v>
      </c>
      <c r="B16" s="1" t="s">
        <v>17</v>
      </c>
      <c r="C16" s="20">
        <v>4.8</v>
      </c>
      <c r="D16" s="2">
        <v>762</v>
      </c>
      <c r="E16" s="2">
        <v>1500</v>
      </c>
      <c r="F16" s="2">
        <v>154</v>
      </c>
      <c r="G16" s="1">
        <v>2.0099999999999998</v>
      </c>
      <c r="H16" s="1">
        <v>17.72436519</v>
      </c>
      <c r="I16" s="2">
        <v>21.2</v>
      </c>
      <c r="J16" s="1">
        <v>3.4756348130000001</v>
      </c>
      <c r="K16" s="2">
        <v>3.4756348130000001</v>
      </c>
      <c r="L16" s="4"/>
    </row>
    <row r="17" spans="1:12" x14ac:dyDescent="0.2">
      <c r="A17" s="2" t="s">
        <v>23</v>
      </c>
      <c r="B17" s="2" t="s">
        <v>14</v>
      </c>
      <c r="C17" s="20">
        <v>4.8</v>
      </c>
      <c r="D17" s="1">
        <v>152.4</v>
      </c>
      <c r="E17" s="1">
        <v>1200</v>
      </c>
      <c r="F17" s="2">
        <v>82</v>
      </c>
      <c r="G17" s="1">
        <v>2.0099999999999998</v>
      </c>
      <c r="H17" s="1">
        <v>5.3259555880000002</v>
      </c>
      <c r="I17" s="2">
        <v>8.0500000000000007</v>
      </c>
      <c r="J17" s="1">
        <v>2.724044412</v>
      </c>
      <c r="K17" s="2">
        <v>2.724044412</v>
      </c>
      <c r="L17" s="4"/>
    </row>
    <row r="18" spans="1:12" x14ac:dyDescent="0.2">
      <c r="A18" s="2" t="s">
        <v>23</v>
      </c>
      <c r="B18" s="1" t="s">
        <v>15</v>
      </c>
      <c r="C18" s="20">
        <v>4.8</v>
      </c>
      <c r="D18" s="1">
        <v>762</v>
      </c>
      <c r="E18" s="1">
        <v>1500</v>
      </c>
      <c r="F18" s="2">
        <v>137</v>
      </c>
      <c r="G18" s="1">
        <v>2.0099999999999998</v>
      </c>
      <c r="H18" s="1">
        <v>19.923738969999999</v>
      </c>
      <c r="I18" s="2">
        <v>16.399999999999999</v>
      </c>
      <c r="J18" s="1">
        <v>3.5237389690000001</v>
      </c>
      <c r="K18" s="2">
        <v>-3.5237389690000001</v>
      </c>
      <c r="L18" s="4"/>
    </row>
    <row r="19" spans="1:12" x14ac:dyDescent="0.2">
      <c r="A19" s="2" t="s">
        <v>24</v>
      </c>
      <c r="B19" s="2" t="s">
        <v>25</v>
      </c>
      <c r="C19" s="20">
        <v>4.8</v>
      </c>
      <c r="D19" s="2"/>
      <c r="E19" s="2"/>
      <c r="F19" s="2"/>
      <c r="G19" s="1">
        <v>2.0099999999999998</v>
      </c>
      <c r="H19" s="1" t="e">
        <v>#DIV/0!</v>
      </c>
      <c r="I19" s="2"/>
      <c r="J19" s="2"/>
      <c r="K19" s="2" t="e">
        <v>#DIV/0!</v>
      </c>
      <c r="L19" s="4"/>
    </row>
    <row r="20" spans="1:12" x14ac:dyDescent="0.2">
      <c r="A20" s="2" t="s">
        <v>26</v>
      </c>
      <c r="B20" s="1" t="s">
        <v>13</v>
      </c>
      <c r="C20" s="20">
        <v>4.8</v>
      </c>
      <c r="D20" s="1">
        <v>225.47579999999999</v>
      </c>
      <c r="E20" s="1">
        <v>1274</v>
      </c>
      <c r="F20" s="2">
        <v>95</v>
      </c>
      <c r="G20" s="1">
        <v>2.0099999999999998</v>
      </c>
      <c r="H20" s="1">
        <v>7.220893491</v>
      </c>
      <c r="I20" s="2">
        <v>8.07</v>
      </c>
      <c r="J20" s="1">
        <v>0.84910650870000004</v>
      </c>
      <c r="K20" s="2">
        <v>0.84910650870000004</v>
      </c>
      <c r="L20" s="4"/>
    </row>
    <row r="21" spans="1:12" x14ac:dyDescent="0.2">
      <c r="A21" s="2"/>
      <c r="B21" s="2"/>
      <c r="C21" s="20"/>
      <c r="D21" s="2"/>
      <c r="E21" s="2"/>
      <c r="F21" s="2"/>
      <c r="G21" s="1"/>
      <c r="H21" s="2"/>
      <c r="I21" s="2"/>
      <c r="J21" s="2"/>
      <c r="K21" s="2"/>
    </row>
    <row r="22" spans="1:12" x14ac:dyDescent="0.2">
      <c r="A22" s="2"/>
      <c r="B22" s="2"/>
      <c r="C22" s="20"/>
      <c r="D22" s="2"/>
      <c r="E22" s="2"/>
      <c r="F22" s="2"/>
      <c r="G22" s="1"/>
      <c r="H22" s="2"/>
      <c r="I22" s="2"/>
      <c r="J22" s="2"/>
      <c r="K22" s="2"/>
    </row>
    <row r="23" spans="1:12" x14ac:dyDescent="0.2">
      <c r="A23" s="2"/>
      <c r="B23" s="2"/>
      <c r="C23" s="20"/>
      <c r="D23" s="2"/>
      <c r="E23" s="2"/>
      <c r="F23" s="2"/>
      <c r="G23" s="1"/>
      <c r="H23" s="2"/>
      <c r="I23" s="2"/>
      <c r="J23" s="2"/>
      <c r="K23" s="2"/>
    </row>
    <row r="24" spans="1:12" x14ac:dyDescent="0.2">
      <c r="A24" s="2"/>
      <c r="B24" s="2"/>
      <c r="C24" s="20"/>
      <c r="D24" s="2"/>
      <c r="E24" s="2"/>
      <c r="F24" s="2"/>
      <c r="G24" s="1"/>
      <c r="H24" s="2"/>
      <c r="I24" s="2" t="s">
        <v>27</v>
      </c>
      <c r="J24" s="2">
        <v>2.9457674570000001</v>
      </c>
      <c r="K24" s="2"/>
    </row>
    <row r="25" spans="1:12" x14ac:dyDescent="0.2">
      <c r="A25" s="2"/>
      <c r="B25" s="2"/>
      <c r="C25" s="20"/>
      <c r="D25" s="2"/>
      <c r="E25" s="2"/>
      <c r="F25" s="2"/>
      <c r="G25" s="1"/>
      <c r="H25" s="2"/>
      <c r="I25" s="2" t="s">
        <v>28</v>
      </c>
      <c r="J25" s="2">
        <v>0.81922548019999997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B9C72C9-BF64-B94F-AA3D-EB1BB7660892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ED51-9F05-CB47-8F97-FBCB5D102785}">
  <dimension ref="A1:P24"/>
  <sheetViews>
    <sheetView tabSelected="1" topLeftCell="F1" zoomScale="139" workbookViewId="0">
      <pane ySplit="1" topLeftCell="A2" activePane="bottomLeft" state="frozen"/>
      <selection pane="bottomLeft" activeCell="P14" sqref="P14"/>
    </sheetView>
  </sheetViews>
  <sheetFormatPr baseColWidth="10" defaultColWidth="11" defaultRowHeight="16" x14ac:dyDescent="0.2"/>
  <cols>
    <col min="1" max="1" width="13.5" customWidth="1"/>
    <col min="2" max="2" width="10.83203125" customWidth="1"/>
    <col min="3" max="3" width="11.5" customWidth="1"/>
    <col min="4" max="4" width="13.6640625" customWidth="1"/>
    <col min="5" max="5" width="15.5" customWidth="1"/>
    <col min="6" max="6" width="19" customWidth="1"/>
    <col min="7" max="7" width="14.1640625" customWidth="1"/>
    <col min="8" max="8" width="17.5" customWidth="1"/>
    <col min="9" max="9" width="15.5" customWidth="1"/>
    <col min="10" max="11" width="15" customWidth="1"/>
  </cols>
  <sheetData>
    <row r="1" spans="1:16" x14ac:dyDescent="0.2">
      <c r="A1" s="8" t="s">
        <v>0</v>
      </c>
      <c r="B1" s="16" t="s">
        <v>29</v>
      </c>
      <c r="C1" s="9" t="s">
        <v>30</v>
      </c>
      <c r="D1" s="9" t="s">
        <v>3</v>
      </c>
      <c r="E1" s="9" t="s">
        <v>31</v>
      </c>
      <c r="F1" s="17" t="s">
        <v>5</v>
      </c>
      <c r="G1" s="9" t="s">
        <v>6</v>
      </c>
      <c r="H1" s="9" t="s">
        <v>7</v>
      </c>
      <c r="I1" s="9" t="s">
        <v>8</v>
      </c>
      <c r="J1" s="10" t="s">
        <v>32</v>
      </c>
      <c r="K1" s="11" t="s">
        <v>33</v>
      </c>
      <c r="L1" s="1"/>
    </row>
    <row r="2" spans="1:16" x14ac:dyDescent="0.2">
      <c r="A2" s="22" t="s">
        <v>11</v>
      </c>
      <c r="B2" s="5" t="s">
        <v>12</v>
      </c>
      <c r="C2" s="12">
        <v>4.4000000000000004</v>
      </c>
      <c r="D2" s="12">
        <v>685.8</v>
      </c>
      <c r="E2" s="12">
        <f t="shared" ref="E2:E19" si="0">D2*3.45</f>
        <v>2366.0099999999998</v>
      </c>
      <c r="F2" s="18">
        <v>240</v>
      </c>
      <c r="G2" s="12">
        <v>2.0099999999999998</v>
      </c>
      <c r="H2" s="12">
        <f t="shared" ref="H2:H17" si="1">((C2*D2*E2)/(F2*G2))/1000</f>
        <v>14.799922253731342</v>
      </c>
      <c r="I2" s="12">
        <v>16</v>
      </c>
      <c r="J2" s="13">
        <f>ABS(I2-H2)</f>
        <v>1.2000777462686578</v>
      </c>
      <c r="K2" s="14">
        <f>ABS(J2)</f>
        <v>1.2000777462686578</v>
      </c>
      <c r="L2" s="1"/>
    </row>
    <row r="3" spans="1:16" x14ac:dyDescent="0.2">
      <c r="A3" s="22" t="s">
        <v>11</v>
      </c>
      <c r="B3" s="5" t="s">
        <v>13</v>
      </c>
      <c r="C3" s="12">
        <v>4.4000000000000004</v>
      </c>
      <c r="D3" s="12">
        <v>317</v>
      </c>
      <c r="E3" s="12">
        <f t="shared" si="0"/>
        <v>1093.6500000000001</v>
      </c>
      <c r="F3" s="18">
        <v>50</v>
      </c>
      <c r="G3" s="12">
        <v>2.0099999999999998</v>
      </c>
      <c r="H3" s="12">
        <f t="shared" si="1"/>
        <v>15.178338507462691</v>
      </c>
      <c r="I3" s="12">
        <v>16.3</v>
      </c>
      <c r="J3" s="13">
        <f t="shared" ref="J3:J17" si="2">I3-H3</f>
        <v>1.1216614925373101</v>
      </c>
      <c r="K3" s="14">
        <f t="shared" ref="K3:K17" si="3">ABS(J3)</f>
        <v>1.1216614925373101</v>
      </c>
      <c r="L3" s="1"/>
    </row>
    <row r="4" spans="1:16" x14ac:dyDescent="0.2">
      <c r="A4" s="22" t="s">
        <v>11</v>
      </c>
      <c r="B4" s="5" t="s">
        <v>14</v>
      </c>
      <c r="C4" s="12">
        <v>4.4000000000000004</v>
      </c>
      <c r="D4" s="12">
        <v>264</v>
      </c>
      <c r="E4" s="12">
        <f t="shared" si="0"/>
        <v>910.80000000000007</v>
      </c>
      <c r="F4" s="18">
        <v>42</v>
      </c>
      <c r="G4" s="12">
        <v>2.0099999999999998</v>
      </c>
      <c r="H4" s="12">
        <f t="shared" si="1"/>
        <v>12.532400852878469</v>
      </c>
      <c r="I4" s="12">
        <v>13.5</v>
      </c>
      <c r="J4" s="13">
        <f t="shared" si="2"/>
        <v>0.96759914712153083</v>
      </c>
      <c r="K4" s="14">
        <f t="shared" si="3"/>
        <v>0.96759914712153083</v>
      </c>
      <c r="L4" s="1"/>
    </row>
    <row r="5" spans="1:16" x14ac:dyDescent="0.2">
      <c r="A5" s="22" t="s">
        <v>11</v>
      </c>
      <c r="B5" s="5" t="s">
        <v>15</v>
      </c>
      <c r="C5" s="12">
        <v>4.4000000000000004</v>
      </c>
      <c r="D5" s="12">
        <v>625</v>
      </c>
      <c r="E5" s="12">
        <f t="shared" si="0"/>
        <v>2156.25</v>
      </c>
      <c r="F5" s="18">
        <v>235</v>
      </c>
      <c r="G5" s="12">
        <v>2.0099999999999998</v>
      </c>
      <c r="H5" s="12">
        <f t="shared" si="1"/>
        <v>12.553588440774851</v>
      </c>
      <c r="I5" s="12">
        <v>13.7</v>
      </c>
      <c r="J5" s="13">
        <f t="shared" si="2"/>
        <v>1.1464115592251485</v>
      </c>
      <c r="K5" s="14">
        <f t="shared" si="3"/>
        <v>1.1464115592251485</v>
      </c>
      <c r="L5" s="1"/>
    </row>
    <row r="6" spans="1:16" x14ac:dyDescent="0.2">
      <c r="A6" s="22" t="s">
        <v>16</v>
      </c>
      <c r="B6" s="5" t="s">
        <v>17</v>
      </c>
      <c r="C6" s="12">
        <v>4.4000000000000004</v>
      </c>
      <c r="D6" s="12">
        <v>660</v>
      </c>
      <c r="E6" s="12">
        <f t="shared" si="0"/>
        <v>2277</v>
      </c>
      <c r="F6" s="18">
        <v>336</v>
      </c>
      <c r="G6" s="12">
        <v>2.0099999999999998</v>
      </c>
      <c r="H6" s="12">
        <f t="shared" si="1"/>
        <v>9.7909381663113031</v>
      </c>
      <c r="I6" s="12">
        <v>11.2</v>
      </c>
      <c r="J6" s="13">
        <f t="shared" si="2"/>
        <v>1.4090618336886962</v>
      </c>
      <c r="K6" s="14">
        <f t="shared" si="3"/>
        <v>1.4090618336886962</v>
      </c>
      <c r="L6" s="1"/>
    </row>
    <row r="7" spans="1:16" x14ac:dyDescent="0.2">
      <c r="A7" s="22" t="s">
        <v>18</v>
      </c>
      <c r="B7" s="6" t="s">
        <v>14</v>
      </c>
      <c r="C7" s="12">
        <v>4.4000000000000004</v>
      </c>
      <c r="D7" s="12">
        <v>264</v>
      </c>
      <c r="E7" s="12">
        <f t="shared" si="0"/>
        <v>910.80000000000007</v>
      </c>
      <c r="F7" s="19">
        <v>18</v>
      </c>
      <c r="G7" s="12">
        <v>2.0099999999999998</v>
      </c>
      <c r="H7" s="12">
        <f t="shared" si="1"/>
        <v>29.24226865671643</v>
      </c>
      <c r="I7" s="15">
        <v>29</v>
      </c>
      <c r="J7" s="13">
        <f t="shared" si="2"/>
        <v>-0.24226865671642983</v>
      </c>
      <c r="K7" s="14">
        <f t="shared" si="3"/>
        <v>0.24226865671642983</v>
      </c>
      <c r="L7" s="2"/>
    </row>
    <row r="8" spans="1:16" x14ac:dyDescent="0.2">
      <c r="A8" s="22" t="s">
        <v>18</v>
      </c>
      <c r="B8" s="6" t="s">
        <v>12</v>
      </c>
      <c r="C8" s="12">
        <v>4.4000000000000004</v>
      </c>
      <c r="D8" s="12">
        <f>D2</f>
        <v>685.8</v>
      </c>
      <c r="E8" s="12">
        <f t="shared" si="0"/>
        <v>2366.0099999999998</v>
      </c>
      <c r="F8" s="19">
        <v>120</v>
      </c>
      <c r="G8" s="12">
        <v>2.0099999999999998</v>
      </c>
      <c r="H8" s="12">
        <f t="shared" si="1"/>
        <v>29.599844507462684</v>
      </c>
      <c r="I8" s="15">
        <v>29</v>
      </c>
      <c r="J8" s="13">
        <f t="shared" si="2"/>
        <v>-0.59984450746268436</v>
      </c>
      <c r="K8" s="14">
        <f t="shared" si="3"/>
        <v>0.59984450746268436</v>
      </c>
      <c r="L8" s="2"/>
    </row>
    <row r="9" spans="1:16" x14ac:dyDescent="0.2">
      <c r="A9" s="22" t="s">
        <v>18</v>
      </c>
      <c r="B9" s="5" t="s">
        <v>17</v>
      </c>
      <c r="C9" s="12">
        <v>4.4000000000000004</v>
      </c>
      <c r="D9" s="12">
        <f>D6</f>
        <v>660</v>
      </c>
      <c r="E9" s="12">
        <f t="shared" si="0"/>
        <v>2277</v>
      </c>
      <c r="F9" s="19">
        <v>96</v>
      </c>
      <c r="G9" s="12">
        <v>2.0099999999999998</v>
      </c>
      <c r="H9" s="12">
        <f t="shared" si="1"/>
        <v>34.268283582089566</v>
      </c>
      <c r="I9" s="15">
        <v>33</v>
      </c>
      <c r="J9" s="13">
        <f t="shared" si="2"/>
        <v>-1.2682835820895662</v>
      </c>
      <c r="K9" s="14">
        <f t="shared" si="3"/>
        <v>1.2682835820895662</v>
      </c>
      <c r="L9" s="2"/>
    </row>
    <row r="10" spans="1:16" x14ac:dyDescent="0.2">
      <c r="A10" s="23" t="s">
        <v>19</v>
      </c>
      <c r="B10" s="6" t="s">
        <v>14</v>
      </c>
      <c r="C10" s="12">
        <v>4.4000000000000004</v>
      </c>
      <c r="D10" s="12">
        <v>264</v>
      </c>
      <c r="E10" s="12">
        <f t="shared" si="0"/>
        <v>910.80000000000007</v>
      </c>
      <c r="F10" s="19">
        <v>51</v>
      </c>
      <c r="G10" s="12">
        <v>2.0099999999999998</v>
      </c>
      <c r="H10" s="12">
        <f t="shared" si="1"/>
        <v>10.320800702370503</v>
      </c>
      <c r="I10" s="15">
        <v>12.3</v>
      </c>
      <c r="J10" s="13">
        <f t="shared" si="2"/>
        <v>1.9791992976294974</v>
      </c>
      <c r="K10" s="14">
        <f t="shared" si="3"/>
        <v>1.9791992976294974</v>
      </c>
      <c r="L10" s="2"/>
      <c r="P10">
        <f>3071*0.00345</f>
        <v>10.594949999999999</v>
      </c>
    </row>
    <row r="11" spans="1:16" x14ac:dyDescent="0.2">
      <c r="A11" s="23" t="s">
        <v>20</v>
      </c>
      <c r="B11" s="5" t="s">
        <v>17</v>
      </c>
      <c r="C11" s="12">
        <v>4.4000000000000004</v>
      </c>
      <c r="D11" s="12">
        <f>D6</f>
        <v>660</v>
      </c>
      <c r="E11" s="12">
        <f t="shared" si="0"/>
        <v>2277</v>
      </c>
      <c r="F11" s="19">
        <v>150</v>
      </c>
      <c r="G11" s="12">
        <v>2.0099999999999998</v>
      </c>
      <c r="H11" s="12">
        <f t="shared" si="1"/>
        <v>21.931701492537321</v>
      </c>
      <c r="I11" s="15">
        <v>22</v>
      </c>
      <c r="J11" s="13">
        <f t="shared" si="2"/>
        <v>6.8298507462678515E-2</v>
      </c>
      <c r="K11" s="14">
        <f t="shared" si="3"/>
        <v>6.8298507462678515E-2</v>
      </c>
      <c r="L11" s="2"/>
    </row>
    <row r="12" spans="1:16" x14ac:dyDescent="0.2">
      <c r="A12" s="23" t="s">
        <v>21</v>
      </c>
      <c r="B12" s="5" t="s">
        <v>12</v>
      </c>
      <c r="C12" s="12">
        <v>4.4000000000000004</v>
      </c>
      <c r="D12" s="12">
        <f>D8</f>
        <v>685.8</v>
      </c>
      <c r="E12" s="12">
        <f t="shared" si="0"/>
        <v>2366.0099999999998</v>
      </c>
      <c r="F12" s="19">
        <v>250</v>
      </c>
      <c r="G12" s="12">
        <v>2.0099999999999998</v>
      </c>
      <c r="H12" s="12">
        <f t="shared" si="1"/>
        <v>14.20792536358209</v>
      </c>
      <c r="I12" s="15">
        <v>15.9</v>
      </c>
      <c r="J12" s="13">
        <f t="shared" si="2"/>
        <v>1.6920746364179102</v>
      </c>
      <c r="K12" s="14">
        <f t="shared" si="3"/>
        <v>1.6920746364179102</v>
      </c>
      <c r="L12" s="2"/>
      <c r="P12">
        <f>6400-4241</f>
        <v>2159</v>
      </c>
    </row>
    <row r="13" spans="1:16" x14ac:dyDescent="0.2">
      <c r="A13" s="23" t="s">
        <v>21</v>
      </c>
      <c r="B13" s="6" t="s">
        <v>14</v>
      </c>
      <c r="C13" s="12">
        <v>4.4000000000000004</v>
      </c>
      <c r="D13" s="12">
        <v>264</v>
      </c>
      <c r="E13" s="12">
        <f t="shared" si="0"/>
        <v>910.80000000000007</v>
      </c>
      <c r="F13" s="19">
        <v>32</v>
      </c>
      <c r="G13" s="12">
        <v>2.0099999999999998</v>
      </c>
      <c r="H13" s="12">
        <f t="shared" si="1"/>
        <v>16.448776119402993</v>
      </c>
      <c r="I13" s="15">
        <v>16.399999999999999</v>
      </c>
      <c r="J13" s="13">
        <f t="shared" si="2"/>
        <v>-4.8776119402994311E-2</v>
      </c>
      <c r="K13" s="14">
        <f t="shared" si="3"/>
        <v>4.8776119402994311E-2</v>
      </c>
      <c r="L13" s="2"/>
      <c r="P13">
        <f>0.0016*4241</f>
        <v>6.7856000000000005</v>
      </c>
    </row>
    <row r="14" spans="1:16" x14ac:dyDescent="0.2">
      <c r="A14" s="23" t="s">
        <v>21</v>
      </c>
      <c r="B14" s="5" t="s">
        <v>12</v>
      </c>
      <c r="C14" s="12">
        <v>4.4000000000000004</v>
      </c>
      <c r="D14" s="12">
        <f>D12</f>
        <v>685.8</v>
      </c>
      <c r="E14" s="12">
        <f t="shared" si="0"/>
        <v>2366.0099999999998</v>
      </c>
      <c r="F14" s="19">
        <v>165</v>
      </c>
      <c r="G14" s="12">
        <v>2.0099999999999998</v>
      </c>
      <c r="H14" s="12">
        <f t="shared" si="1"/>
        <v>21.527159641791044</v>
      </c>
      <c r="I14" s="15">
        <v>20.6</v>
      </c>
      <c r="J14" s="13">
        <f t="shared" si="2"/>
        <v>-0.92715964179104304</v>
      </c>
      <c r="K14" s="14">
        <f t="shared" si="3"/>
        <v>0.92715964179104304</v>
      </c>
      <c r="L14" s="2"/>
      <c r="M14" t="s">
        <v>34</v>
      </c>
    </row>
    <row r="15" spans="1:16" x14ac:dyDescent="0.2">
      <c r="A15" s="23" t="s">
        <v>22</v>
      </c>
      <c r="B15" s="5" t="s">
        <v>15</v>
      </c>
      <c r="C15" s="12">
        <v>4.4000000000000004</v>
      </c>
      <c r="D15" s="12">
        <v>625</v>
      </c>
      <c r="E15" s="12">
        <f t="shared" si="0"/>
        <v>2156.25</v>
      </c>
      <c r="F15" s="19">
        <v>100</v>
      </c>
      <c r="G15" s="12">
        <v>2.0099999999999998</v>
      </c>
      <c r="H15" s="12">
        <f t="shared" si="1"/>
        <v>29.500932835820898</v>
      </c>
      <c r="I15" s="15">
        <v>29.3</v>
      </c>
      <c r="J15" s="13">
        <f t="shared" si="2"/>
        <v>-0.20093283582089683</v>
      </c>
      <c r="K15" s="14">
        <f t="shared" si="3"/>
        <v>0.20093283582089683</v>
      </c>
      <c r="L15" s="2"/>
    </row>
    <row r="16" spans="1:16" x14ac:dyDescent="0.2">
      <c r="A16" s="23" t="s">
        <v>22</v>
      </c>
      <c r="B16" s="5" t="s">
        <v>17</v>
      </c>
      <c r="C16" s="12">
        <v>4.4000000000000004</v>
      </c>
      <c r="D16" s="12">
        <f>D6</f>
        <v>660</v>
      </c>
      <c r="E16" s="12">
        <f t="shared" si="0"/>
        <v>2277</v>
      </c>
      <c r="F16" s="19">
        <v>154</v>
      </c>
      <c r="G16" s="12">
        <v>2.0099999999999998</v>
      </c>
      <c r="H16" s="12">
        <f t="shared" si="1"/>
        <v>21.36204690831557</v>
      </c>
      <c r="I16" s="15">
        <v>21.2</v>
      </c>
      <c r="J16" s="13">
        <f t="shared" si="2"/>
        <v>-0.16204690831557045</v>
      </c>
      <c r="K16" s="14">
        <f t="shared" si="3"/>
        <v>0.16204690831557045</v>
      </c>
      <c r="L16" s="2"/>
    </row>
    <row r="17" spans="1:13" x14ac:dyDescent="0.2">
      <c r="A17" s="24" t="s">
        <v>23</v>
      </c>
      <c r="B17" s="25" t="s">
        <v>14</v>
      </c>
      <c r="C17" s="26">
        <v>4.4000000000000004</v>
      </c>
      <c r="D17" s="26">
        <v>264</v>
      </c>
      <c r="E17" s="26">
        <f t="shared" si="0"/>
        <v>910.80000000000007</v>
      </c>
      <c r="F17" s="27">
        <v>47</v>
      </c>
      <c r="G17" s="26">
        <v>2.0099999999999998</v>
      </c>
      <c r="H17" s="26">
        <f t="shared" si="1"/>
        <v>11.199166719593526</v>
      </c>
      <c r="I17" s="28">
        <v>13</v>
      </c>
      <c r="J17" s="29">
        <f t="shared" si="2"/>
        <v>1.8008332804064739</v>
      </c>
      <c r="K17" s="30">
        <f t="shared" si="3"/>
        <v>1.8008332804064739</v>
      </c>
      <c r="L17" s="2"/>
    </row>
    <row r="18" spans="1:13" s="38" customFormat="1" x14ac:dyDescent="0.2">
      <c r="A18" s="23" t="s">
        <v>23</v>
      </c>
      <c r="B18" s="5" t="s">
        <v>15</v>
      </c>
      <c r="C18" s="39">
        <v>4.4000000000000004</v>
      </c>
      <c r="D18" s="12">
        <v>625</v>
      </c>
      <c r="E18" s="39">
        <v>2101.0500000000002</v>
      </c>
      <c r="F18" s="40">
        <v>142</v>
      </c>
      <c r="G18" s="39">
        <v>2.0099999999999998</v>
      </c>
      <c r="H18" s="39">
        <f>((C18*D18*E18)/(F18*G18))/1000</f>
        <v>20.243457010721048</v>
      </c>
      <c r="I18" s="41">
        <v>20.7</v>
      </c>
      <c r="J18" s="42">
        <f>I18-H18</f>
        <v>0.45654298927895098</v>
      </c>
      <c r="K18" s="4">
        <f>ABS(J18)</f>
        <v>0.45654298927895098</v>
      </c>
      <c r="M18" s="4" t="s">
        <v>35</v>
      </c>
    </row>
    <row r="19" spans="1:13" x14ac:dyDescent="0.2">
      <c r="A19" s="31" t="s">
        <v>26</v>
      </c>
      <c r="B19" s="32" t="s">
        <v>13</v>
      </c>
      <c r="C19" s="33">
        <v>4.4000000000000004</v>
      </c>
      <c r="D19" s="33">
        <v>317</v>
      </c>
      <c r="E19" s="33">
        <f t="shared" si="0"/>
        <v>1093.6500000000001</v>
      </c>
      <c r="F19" s="34">
        <v>95</v>
      </c>
      <c r="G19" s="33">
        <v>2.0099999999999998</v>
      </c>
      <c r="H19" s="33">
        <f t="shared" ref="H19" si="4">((C19*D19*E19)/(F19*G19))/1000</f>
        <v>7.9885992144540481</v>
      </c>
      <c r="I19" s="35">
        <v>8.07</v>
      </c>
      <c r="J19" s="36">
        <f t="shared" ref="J19" si="5">I19-H19</f>
        <v>8.1400785545952203E-2</v>
      </c>
      <c r="K19" s="37">
        <f t="shared" ref="K19" si="6">ABS(J19)</f>
        <v>8.1400785545952203E-2</v>
      </c>
      <c r="L19" s="2"/>
    </row>
    <row r="22" spans="1:13" x14ac:dyDescent="0.2">
      <c r="D22">
        <f>AVERAGE(D2:D19)</f>
        <v>511.78888888888895</v>
      </c>
    </row>
    <row r="23" spans="1:13" x14ac:dyDescent="0.2">
      <c r="G23" t="s">
        <v>36</v>
      </c>
      <c r="I23" s="7" t="s">
        <v>37</v>
      </c>
      <c r="J23" s="7">
        <f>AVERAGE(K2:K19)</f>
        <v>0.85402630706566618</v>
      </c>
    </row>
    <row r="24" spans="1:13" x14ac:dyDescent="0.2">
      <c r="I24" s="7" t="s">
        <v>38</v>
      </c>
      <c r="J24" s="7">
        <f>STDEV(J2:J19)</f>
        <v>0.97449240170471885</v>
      </c>
    </row>
  </sheetData>
  <autoFilter ref="B1:B24" xr:uid="{D035ED51-9F05-CB47-8F97-FBCB5D102785}"/>
  <conditionalFormatting sqref="K2:K17 K19">
    <cfRule type="colorScale" priority="25">
      <colorScale>
        <cfvo type="min"/>
        <cfvo type="max"/>
        <color rgb="FFFCFCFF"/>
        <color rgb="FFF8696B"/>
      </colorScale>
    </cfRule>
  </conditionalFormatting>
  <conditionalFormatting sqref="K2:K19">
    <cfRule type="colorScale" priority="1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AA71-AA78-0C4B-A738-1168E7B4E47B}">
  <dimension ref="A1:L25"/>
  <sheetViews>
    <sheetView zoomScale="133" zoomScaleNormal="133" workbookViewId="0">
      <selection activeCell="G2" sqref="G2"/>
    </sheetView>
  </sheetViews>
  <sheetFormatPr baseColWidth="10" defaultColWidth="11" defaultRowHeight="16" x14ac:dyDescent="0.2"/>
  <cols>
    <col min="2" max="2" width="19" customWidth="1"/>
    <col min="3" max="3" width="11.83203125" customWidth="1"/>
    <col min="10" max="10" width="22.6640625" customWidth="1"/>
  </cols>
  <sheetData>
    <row r="1" spans="1:11" x14ac:dyDescent="0.2">
      <c r="A1" s="8" t="s">
        <v>0</v>
      </c>
      <c r="B1" s="16" t="s">
        <v>39</v>
      </c>
      <c r="C1" s="9" t="s">
        <v>46</v>
      </c>
      <c r="D1" s="9" t="s">
        <v>48</v>
      </c>
      <c r="E1" s="9" t="s">
        <v>49</v>
      </c>
      <c r="F1" s="17" t="s">
        <v>47</v>
      </c>
      <c r="G1" s="9" t="s">
        <v>7</v>
      </c>
      <c r="H1" s="9" t="s">
        <v>8</v>
      </c>
      <c r="I1" s="10" t="s">
        <v>32</v>
      </c>
      <c r="J1" s="11" t="s">
        <v>33</v>
      </c>
      <c r="K1" t="s">
        <v>51</v>
      </c>
    </row>
    <row r="2" spans="1:11" x14ac:dyDescent="0.2">
      <c r="A2" s="22" t="s">
        <v>11</v>
      </c>
      <c r="B2" s="5" t="s">
        <v>40</v>
      </c>
      <c r="C2" s="45">
        <v>6400</v>
      </c>
      <c r="D2" s="44">
        <v>4515</v>
      </c>
      <c r="E2" s="12">
        <v>118</v>
      </c>
      <c r="F2" s="18">
        <f>C2-((D2+(E2/2)))</f>
        <v>1826</v>
      </c>
      <c r="G2" s="12">
        <f>(0.00448*(F2-1125)) + 2</f>
        <v>5.1404800000000002</v>
      </c>
      <c r="H2" s="43">
        <v>9.6005456384234495</v>
      </c>
      <c r="I2" s="13">
        <f>ABS(H2-G2)</f>
        <v>4.4600656384234494</v>
      </c>
      <c r="J2" s="14">
        <f>ABS(I2)</f>
        <v>4.4600656384234494</v>
      </c>
      <c r="K2">
        <f>ABS(J2-5)</f>
        <v>0.53993436157655061</v>
      </c>
    </row>
    <row r="3" spans="1:11" x14ac:dyDescent="0.2">
      <c r="A3" s="22" t="s">
        <v>11</v>
      </c>
      <c r="B3" s="5" t="s">
        <v>41</v>
      </c>
      <c r="C3" s="45" t="s">
        <v>50</v>
      </c>
      <c r="D3" s="12"/>
      <c r="E3" s="12"/>
      <c r="F3" s="18" t="e">
        <f t="shared" ref="F3:F21" si="0">C3-((D3+(E3/2)))</f>
        <v>#VALUE!</v>
      </c>
      <c r="G3" s="12" t="e">
        <f t="shared" ref="G3:G21" si="1">(0.00448*(F3-1125)) + 2</f>
        <v>#VALUE!</v>
      </c>
      <c r="H3" s="12">
        <v>0</v>
      </c>
      <c r="I3" s="13" t="e">
        <f t="shared" ref="I3:I21" si="2">ABS(H3-G3)</f>
        <v>#VALUE!</v>
      </c>
      <c r="J3" s="14" t="e">
        <f t="shared" ref="J3:J5" si="3">ABS(I3)</f>
        <v>#VALUE!</v>
      </c>
      <c r="K3" t="e">
        <f t="shared" ref="K3:K21" si="4">ABS(J3-5)</f>
        <v>#VALUE!</v>
      </c>
    </row>
    <row r="4" spans="1:11" x14ac:dyDescent="0.2">
      <c r="A4" s="22" t="s">
        <v>11</v>
      </c>
      <c r="B4" s="5" t="s">
        <v>42</v>
      </c>
      <c r="C4" s="45">
        <v>6400</v>
      </c>
      <c r="D4" s="44">
        <v>4134</v>
      </c>
      <c r="E4" s="12">
        <v>145</v>
      </c>
      <c r="F4" s="18">
        <f t="shared" si="0"/>
        <v>2193.5</v>
      </c>
      <c r="G4" s="12">
        <f t="shared" si="1"/>
        <v>6.78688</v>
      </c>
      <c r="H4" s="12">
        <v>13.6175942670436</v>
      </c>
      <c r="I4" s="13">
        <f t="shared" si="2"/>
        <v>6.8307142670436001</v>
      </c>
      <c r="J4" s="14">
        <f t="shared" si="3"/>
        <v>6.8307142670436001</v>
      </c>
      <c r="K4">
        <f t="shared" si="4"/>
        <v>1.8307142670436001</v>
      </c>
    </row>
    <row r="5" spans="1:11" x14ac:dyDescent="0.2">
      <c r="A5" s="22" t="s">
        <v>11</v>
      </c>
      <c r="B5" s="5" t="s">
        <v>41</v>
      </c>
      <c r="C5" s="45" t="s">
        <v>50</v>
      </c>
      <c r="D5" s="44">
        <v>0</v>
      </c>
      <c r="E5" s="12"/>
      <c r="F5" s="18" t="e">
        <f t="shared" si="0"/>
        <v>#VALUE!</v>
      </c>
      <c r="G5" s="12" t="e">
        <f t="shared" si="1"/>
        <v>#VALUE!</v>
      </c>
      <c r="H5" s="12">
        <v>0</v>
      </c>
      <c r="I5" s="13" t="e">
        <f t="shared" si="2"/>
        <v>#VALUE!</v>
      </c>
      <c r="J5" s="14" t="e">
        <f t="shared" si="3"/>
        <v>#VALUE!</v>
      </c>
      <c r="K5" t="e">
        <f t="shared" si="4"/>
        <v>#VALUE!</v>
      </c>
    </row>
    <row r="6" spans="1:11" x14ac:dyDescent="0.2">
      <c r="A6" s="22" t="s">
        <v>16</v>
      </c>
      <c r="B6" s="5" t="s">
        <v>40</v>
      </c>
      <c r="C6" s="12">
        <v>6400</v>
      </c>
      <c r="D6" s="12">
        <v>4674</v>
      </c>
      <c r="E6" s="12">
        <v>91</v>
      </c>
      <c r="F6" s="18">
        <f t="shared" si="0"/>
        <v>1680.5</v>
      </c>
      <c r="G6" s="12">
        <f t="shared" si="1"/>
        <v>4.4886400000000002</v>
      </c>
      <c r="H6" s="12">
        <v>8.9340694696386507</v>
      </c>
      <c r="I6" s="13">
        <f t="shared" si="2"/>
        <v>4.4454294696386505</v>
      </c>
      <c r="J6" s="14">
        <f t="shared" ref="J6:J21" si="5">ABS(I6)</f>
        <v>4.4454294696386505</v>
      </c>
      <c r="K6">
        <f t="shared" si="4"/>
        <v>0.55457053036134951</v>
      </c>
    </row>
    <row r="7" spans="1:11" x14ac:dyDescent="0.2">
      <c r="A7" s="22" t="s">
        <v>16</v>
      </c>
      <c r="B7" s="5" t="s">
        <v>40</v>
      </c>
      <c r="C7" s="12">
        <v>6400</v>
      </c>
      <c r="D7" s="12">
        <v>4212</v>
      </c>
      <c r="E7" s="12">
        <v>256</v>
      </c>
      <c r="F7" s="18">
        <f t="shared" si="0"/>
        <v>2060</v>
      </c>
      <c r="G7" s="12">
        <f t="shared" si="1"/>
        <v>6.1887999999999996</v>
      </c>
      <c r="H7" s="43">
        <v>11.776217216402801</v>
      </c>
      <c r="I7" s="13">
        <f t="shared" si="2"/>
        <v>5.5874172164028009</v>
      </c>
      <c r="J7" s="14">
        <f t="shared" si="5"/>
        <v>5.5874172164028009</v>
      </c>
      <c r="K7">
        <f t="shared" si="4"/>
        <v>0.58741721640280087</v>
      </c>
    </row>
    <row r="8" spans="1:11" x14ac:dyDescent="0.2">
      <c r="A8" s="22" t="s">
        <v>16</v>
      </c>
      <c r="B8" s="5" t="s">
        <v>43</v>
      </c>
      <c r="C8" s="12">
        <v>6400</v>
      </c>
      <c r="D8" s="12">
        <v>4524</v>
      </c>
      <c r="E8" s="12">
        <v>379</v>
      </c>
      <c r="F8" s="18">
        <f t="shared" si="0"/>
        <v>1686.5</v>
      </c>
      <c r="G8" s="12">
        <f t="shared" si="1"/>
        <v>4.5155200000000004</v>
      </c>
      <c r="H8" s="12">
        <v>9.3812860512073595</v>
      </c>
      <c r="I8" s="13">
        <f t="shared" si="2"/>
        <v>4.8657660512073591</v>
      </c>
      <c r="J8" s="14">
        <f t="shared" si="5"/>
        <v>4.8657660512073591</v>
      </c>
      <c r="K8">
        <f t="shared" si="4"/>
        <v>0.13423394879264094</v>
      </c>
    </row>
    <row r="9" spans="1:11" x14ac:dyDescent="0.2">
      <c r="A9" s="22" t="s">
        <v>18</v>
      </c>
      <c r="B9" s="6" t="s">
        <v>40</v>
      </c>
      <c r="C9" s="12">
        <v>6400</v>
      </c>
      <c r="D9" s="12">
        <v>4982</v>
      </c>
      <c r="E9" s="12">
        <v>208</v>
      </c>
      <c r="F9" s="18">
        <f t="shared" si="0"/>
        <v>1314</v>
      </c>
      <c r="G9" s="12">
        <f t="shared" si="1"/>
        <v>2.8467199999999999</v>
      </c>
      <c r="H9" s="12">
        <v>7.4124107024624699</v>
      </c>
      <c r="I9" s="13">
        <f t="shared" si="2"/>
        <v>4.5656907024624704</v>
      </c>
      <c r="J9" s="14">
        <f t="shared" si="5"/>
        <v>4.5656907024624704</v>
      </c>
      <c r="K9">
        <f t="shared" si="4"/>
        <v>0.43430929753752956</v>
      </c>
    </row>
    <row r="10" spans="1:11" x14ac:dyDescent="0.2">
      <c r="A10" s="23" t="s">
        <v>19</v>
      </c>
      <c r="B10" s="5" t="s">
        <v>40</v>
      </c>
      <c r="C10" s="12">
        <v>6400</v>
      </c>
      <c r="D10" s="12">
        <v>4730</v>
      </c>
      <c r="E10" s="12">
        <v>444</v>
      </c>
      <c r="F10" s="18">
        <f t="shared" si="0"/>
        <v>1448</v>
      </c>
      <c r="G10" s="12">
        <f t="shared" si="1"/>
        <v>3.4470399999999999</v>
      </c>
      <c r="H10" s="12">
        <v>7.7314796769888199</v>
      </c>
      <c r="I10" s="13">
        <f t="shared" si="2"/>
        <v>4.2844396769888196</v>
      </c>
      <c r="J10" s="14">
        <f t="shared" si="5"/>
        <v>4.2844396769888196</v>
      </c>
      <c r="K10">
        <f t="shared" si="4"/>
        <v>0.71556032301118044</v>
      </c>
    </row>
    <row r="11" spans="1:11" x14ac:dyDescent="0.2">
      <c r="A11" s="23" t="s">
        <v>19</v>
      </c>
      <c r="B11" s="6" t="s">
        <v>41</v>
      </c>
      <c r="C11" s="45" t="s">
        <v>50</v>
      </c>
      <c r="D11" s="12">
        <v>0</v>
      </c>
      <c r="E11" s="12"/>
      <c r="F11" s="18" t="e">
        <f t="shared" si="0"/>
        <v>#VALUE!</v>
      </c>
      <c r="G11" s="12" t="e">
        <f t="shared" si="1"/>
        <v>#VALUE!</v>
      </c>
      <c r="H11" s="12">
        <v>0</v>
      </c>
      <c r="I11" s="13" t="e">
        <f t="shared" si="2"/>
        <v>#VALUE!</v>
      </c>
      <c r="J11" s="14" t="e">
        <f t="shared" si="5"/>
        <v>#VALUE!</v>
      </c>
      <c r="K11" t="e">
        <f t="shared" si="4"/>
        <v>#VALUE!</v>
      </c>
    </row>
    <row r="12" spans="1:11" x14ac:dyDescent="0.2">
      <c r="A12" s="23" t="s">
        <v>19</v>
      </c>
      <c r="B12" s="6" t="s">
        <v>41</v>
      </c>
      <c r="C12" s="45" t="s">
        <v>50</v>
      </c>
      <c r="D12" s="12">
        <v>0</v>
      </c>
      <c r="E12" s="12"/>
      <c r="F12" s="18" t="e">
        <f t="shared" si="0"/>
        <v>#VALUE!</v>
      </c>
      <c r="G12" s="12" t="e">
        <f t="shared" si="1"/>
        <v>#VALUE!</v>
      </c>
      <c r="H12" s="12">
        <v>0</v>
      </c>
      <c r="I12" s="13" t="e">
        <f t="shared" si="2"/>
        <v>#VALUE!</v>
      </c>
      <c r="J12" s="14" t="e">
        <f t="shared" si="5"/>
        <v>#VALUE!</v>
      </c>
      <c r="K12" t="e">
        <f t="shared" si="4"/>
        <v>#VALUE!</v>
      </c>
    </row>
    <row r="13" spans="1:11" x14ac:dyDescent="0.2">
      <c r="A13" s="23" t="s">
        <v>20</v>
      </c>
      <c r="B13" s="5" t="s">
        <v>40</v>
      </c>
      <c r="C13" s="12">
        <v>6400</v>
      </c>
      <c r="D13" s="12">
        <v>4093</v>
      </c>
      <c r="E13" s="12">
        <v>651</v>
      </c>
      <c r="F13" s="18">
        <f t="shared" si="0"/>
        <v>1981.5</v>
      </c>
      <c r="G13" s="12">
        <f t="shared" si="1"/>
        <v>5.8371199999999996</v>
      </c>
      <c r="H13" s="12">
        <v>12.123315629960301</v>
      </c>
      <c r="I13" s="13">
        <f t="shared" si="2"/>
        <v>6.286195629960301</v>
      </c>
      <c r="J13" s="14">
        <f t="shared" si="5"/>
        <v>6.286195629960301</v>
      </c>
      <c r="K13">
        <f t="shared" si="4"/>
        <v>1.286195629960301</v>
      </c>
    </row>
    <row r="14" spans="1:11" x14ac:dyDescent="0.2">
      <c r="A14" s="23" t="s">
        <v>21</v>
      </c>
      <c r="B14" s="5" t="s">
        <v>44</v>
      </c>
      <c r="C14" s="12">
        <v>6400</v>
      </c>
      <c r="D14" s="12">
        <v>5270</v>
      </c>
      <c r="E14" s="12">
        <v>176</v>
      </c>
      <c r="F14" s="18">
        <f t="shared" si="0"/>
        <v>1042</v>
      </c>
      <c r="G14" s="12">
        <f t="shared" si="1"/>
        <v>1.6281600000000001</v>
      </c>
      <c r="H14" s="12">
        <v>6.4551982023800401</v>
      </c>
      <c r="I14" s="13">
        <f t="shared" si="2"/>
        <v>4.8270382023800398</v>
      </c>
      <c r="J14" s="14">
        <f t="shared" si="5"/>
        <v>4.8270382023800398</v>
      </c>
      <c r="K14">
        <f t="shared" si="4"/>
        <v>0.17296179761996022</v>
      </c>
    </row>
    <row r="15" spans="1:11" x14ac:dyDescent="0.2">
      <c r="A15" s="23" t="s">
        <v>21</v>
      </c>
      <c r="B15" s="6" t="s">
        <v>44</v>
      </c>
      <c r="C15" s="12">
        <v>6400</v>
      </c>
      <c r="D15" s="12">
        <v>4797</v>
      </c>
      <c r="E15" s="12">
        <v>231</v>
      </c>
      <c r="F15" s="18">
        <f t="shared" si="0"/>
        <v>1487.5</v>
      </c>
      <c r="G15" s="12">
        <f t="shared" si="1"/>
        <v>3.6239999999999997</v>
      </c>
      <c r="H15" s="12">
        <v>7.7648513520261098</v>
      </c>
      <c r="I15" s="13">
        <f t="shared" si="2"/>
        <v>4.1408513520261101</v>
      </c>
      <c r="J15" s="14">
        <f t="shared" si="5"/>
        <v>4.1408513520261101</v>
      </c>
      <c r="K15">
        <f t="shared" si="4"/>
        <v>0.8591486479738899</v>
      </c>
    </row>
    <row r="16" spans="1:11" x14ac:dyDescent="0.2">
      <c r="A16" s="23" t="s">
        <v>22</v>
      </c>
      <c r="B16" s="5" t="s">
        <v>44</v>
      </c>
      <c r="C16" s="12">
        <v>6400</v>
      </c>
      <c r="D16" s="12">
        <v>4754</v>
      </c>
      <c r="E16" s="12">
        <v>268</v>
      </c>
      <c r="F16" s="18">
        <f t="shared" si="0"/>
        <v>1512</v>
      </c>
      <c r="G16" s="12">
        <f t="shared" si="1"/>
        <v>3.7337599999999997</v>
      </c>
      <c r="H16" s="12">
        <v>8.0870348072884006</v>
      </c>
      <c r="I16" s="13">
        <f t="shared" si="2"/>
        <v>4.3532748072884004</v>
      </c>
      <c r="J16" s="14">
        <f t="shared" si="5"/>
        <v>4.3532748072884004</v>
      </c>
      <c r="K16">
        <f t="shared" si="4"/>
        <v>0.64672519271159956</v>
      </c>
    </row>
    <row r="17" spans="1:12" x14ac:dyDescent="0.2">
      <c r="A17" s="23" t="s">
        <v>22</v>
      </c>
      <c r="B17" s="5" t="s">
        <v>44</v>
      </c>
      <c r="C17" s="12">
        <v>6400</v>
      </c>
      <c r="D17" s="12">
        <v>4287</v>
      </c>
      <c r="E17" s="12">
        <v>94</v>
      </c>
      <c r="F17" s="18">
        <f t="shared" si="0"/>
        <v>2066</v>
      </c>
      <c r="G17" s="12">
        <f t="shared" si="1"/>
        <v>6.2156799999999999</v>
      </c>
      <c r="H17" s="12">
        <v>11.995237308990999</v>
      </c>
      <c r="I17" s="13">
        <f t="shared" si="2"/>
        <v>5.7795573089909995</v>
      </c>
      <c r="J17" s="14">
        <f t="shared" si="5"/>
        <v>5.7795573089909995</v>
      </c>
      <c r="K17">
        <f t="shared" si="4"/>
        <v>0.77955730899099951</v>
      </c>
    </row>
    <row r="18" spans="1:12" x14ac:dyDescent="0.2">
      <c r="A18" s="23" t="s">
        <v>23</v>
      </c>
      <c r="B18" s="6" t="s">
        <v>45</v>
      </c>
      <c r="C18" s="12">
        <v>6400</v>
      </c>
      <c r="D18" s="12">
        <v>4492</v>
      </c>
      <c r="E18" s="12">
        <v>811</v>
      </c>
      <c r="F18" s="18">
        <f t="shared" si="0"/>
        <v>1502.5</v>
      </c>
      <c r="G18" s="12">
        <f t="shared" si="1"/>
        <v>3.6911999999999998</v>
      </c>
      <c r="H18" s="12">
        <v>7.9870479710492601</v>
      </c>
      <c r="I18" s="13">
        <f t="shared" si="2"/>
        <v>4.2958479710492607</v>
      </c>
      <c r="J18" s="14">
        <f t="shared" si="5"/>
        <v>4.2958479710492607</v>
      </c>
      <c r="K18">
        <f t="shared" si="4"/>
        <v>0.70415202895073925</v>
      </c>
    </row>
    <row r="19" spans="1:12" x14ac:dyDescent="0.2">
      <c r="A19" s="23" t="s">
        <v>26</v>
      </c>
      <c r="B19" s="5" t="s">
        <v>41</v>
      </c>
      <c r="C19" s="45" t="s">
        <v>50</v>
      </c>
      <c r="D19" s="12">
        <v>0</v>
      </c>
      <c r="E19" s="12"/>
      <c r="F19" s="18" t="e">
        <f t="shared" si="0"/>
        <v>#VALUE!</v>
      </c>
      <c r="G19" s="12" t="e">
        <f t="shared" si="1"/>
        <v>#VALUE!</v>
      </c>
      <c r="H19" s="12">
        <v>0</v>
      </c>
      <c r="I19" s="13" t="e">
        <f t="shared" si="2"/>
        <v>#VALUE!</v>
      </c>
      <c r="J19" s="14" t="e">
        <f t="shared" si="5"/>
        <v>#VALUE!</v>
      </c>
      <c r="K19" t="e">
        <f t="shared" si="4"/>
        <v>#VALUE!</v>
      </c>
    </row>
    <row r="20" spans="1:12" x14ac:dyDescent="0.2">
      <c r="A20" s="23" t="s">
        <v>26</v>
      </c>
      <c r="B20" s="5" t="s">
        <v>41</v>
      </c>
      <c r="C20" s="45" t="s">
        <v>50</v>
      </c>
      <c r="D20" s="12">
        <v>0</v>
      </c>
      <c r="E20" s="12"/>
      <c r="F20" s="18" t="e">
        <f t="shared" si="0"/>
        <v>#VALUE!</v>
      </c>
      <c r="G20" s="12" t="e">
        <f t="shared" si="1"/>
        <v>#VALUE!</v>
      </c>
      <c r="H20" s="12">
        <v>0</v>
      </c>
      <c r="I20" s="13" t="e">
        <f t="shared" si="2"/>
        <v>#VALUE!</v>
      </c>
      <c r="J20" s="14" t="e">
        <f t="shared" si="5"/>
        <v>#VALUE!</v>
      </c>
      <c r="K20" t="e">
        <f t="shared" si="4"/>
        <v>#VALUE!</v>
      </c>
    </row>
    <row r="21" spans="1:12" x14ac:dyDescent="0.2">
      <c r="A21" s="23" t="s">
        <v>26</v>
      </c>
      <c r="B21" s="5" t="s">
        <v>40</v>
      </c>
      <c r="C21" s="12">
        <v>6400</v>
      </c>
      <c r="D21" s="12">
        <v>4981</v>
      </c>
      <c r="E21" s="12">
        <v>928</v>
      </c>
      <c r="F21" s="18">
        <f t="shared" si="0"/>
        <v>955</v>
      </c>
      <c r="G21" s="12">
        <f t="shared" si="1"/>
        <v>1.2383999999999999</v>
      </c>
      <c r="H21" s="12">
        <v>6.4484214251900998</v>
      </c>
      <c r="I21" s="13">
        <f t="shared" si="2"/>
        <v>5.2100214251900994</v>
      </c>
      <c r="J21" s="14">
        <f t="shared" si="5"/>
        <v>5.2100214251900994</v>
      </c>
      <c r="K21">
        <f t="shared" si="4"/>
        <v>0.21002142519009936</v>
      </c>
    </row>
    <row r="24" spans="1:12" x14ac:dyDescent="0.2">
      <c r="J24" s="7" t="s">
        <v>37</v>
      </c>
      <c r="K24">
        <f>AVERAGE(J2,J4,J6,J7,J8,J9,J10,J13,J14,J15,J16,J17,J18,J21)</f>
        <v>4.9951649799323121</v>
      </c>
      <c r="L24">
        <f>AVERAGE(K2,K4,K6,K7,K8,K9,K10,K13,K14,K15,K16,K17,K18,K21)</f>
        <v>0.67539299829451716</v>
      </c>
    </row>
    <row r="25" spans="1:12" x14ac:dyDescent="0.2">
      <c r="J25" s="7" t="s">
        <v>38</v>
      </c>
      <c r="K25">
        <f>STDEV(J2,J4,J6,J7,J8,J9,J10,J13,J14,J15,J16,J17,J18,J21)</f>
        <v>0.83215417606542041</v>
      </c>
      <c r="L25">
        <f>STDEV(K2,K4,K6,K7,K8,K9,K10,K13,K14,K15,K16,K17,K18,K21)</f>
        <v>0.44862138392513501</v>
      </c>
    </row>
  </sheetData>
  <autoFilter ref="B1:B25" xr:uid="{8902AA71-AA78-0C4B-A738-1168E7B4E47B}"/>
  <conditionalFormatting sqref="J2:J21">
    <cfRule type="colorScale" priority="6">
      <colorScale>
        <cfvo type="min"/>
        <cfvo type="max"/>
        <color rgb="FFFCFCFF"/>
        <color rgb="FFF8696B"/>
      </colorScale>
    </cfRule>
  </conditionalFormatting>
  <conditionalFormatting sqref="J2 M9 J4 J13:J18 J21 J6:J10">
    <cfRule type="colorScale" priority="2">
      <colorScale>
        <cfvo type="min"/>
        <cfvo type="max"/>
        <color rgb="FFF8696B"/>
        <color rgb="FFFCFCFF"/>
      </colorScale>
    </cfRule>
  </conditionalFormatting>
  <conditionalFormatting sqref="M9 J2 J4 J13:J18 J21 J6:J1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CDC64A54-F60F-4A4B-AFCC-1598B84008A5}">
          <xm:f>Cracks!1:1048576</xm:f>
        </x15:webExtension>
        <x15:webExtension appRef="{1C8AACCD-45FA-984F-A702-0C4160BD2548}">
          <xm:f>Cracks!XFD1048550:XFD1048575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041C-E016-DD49-A39C-84946A37BE46}">
  <dimension ref="A1:M25"/>
  <sheetViews>
    <sheetView zoomScale="133" zoomScaleNormal="133" workbookViewId="0">
      <selection activeCell="J21" sqref="J21"/>
    </sheetView>
  </sheetViews>
  <sheetFormatPr baseColWidth="10" defaultColWidth="11" defaultRowHeight="16" x14ac:dyDescent="0.2"/>
  <cols>
    <col min="2" max="2" width="19" customWidth="1"/>
    <col min="12" max="12" width="22.6640625" customWidth="1"/>
  </cols>
  <sheetData>
    <row r="1" spans="1:12" x14ac:dyDescent="0.2">
      <c r="A1" s="8" t="s">
        <v>0</v>
      </c>
      <c r="B1" s="16" t="s">
        <v>39</v>
      </c>
      <c r="C1" s="9" t="s">
        <v>56</v>
      </c>
      <c r="D1" s="9" t="s">
        <v>57</v>
      </c>
      <c r="E1" s="9" t="s">
        <v>49</v>
      </c>
      <c r="F1" s="9" t="s">
        <v>58</v>
      </c>
      <c r="G1" s="9" t="s">
        <v>59</v>
      </c>
      <c r="H1" s="9" t="s">
        <v>60</v>
      </c>
      <c r="I1" s="9" t="s">
        <v>7</v>
      </c>
      <c r="J1" s="9" t="s">
        <v>8</v>
      </c>
      <c r="K1" s="10" t="s">
        <v>32</v>
      </c>
      <c r="L1" s="11" t="s">
        <v>33</v>
      </c>
    </row>
    <row r="2" spans="1:12" x14ac:dyDescent="0.2">
      <c r="A2" s="22" t="s">
        <v>11</v>
      </c>
      <c r="B2" s="5" t="s">
        <v>40</v>
      </c>
      <c r="C2" s="44">
        <v>4515</v>
      </c>
      <c r="D2" s="44">
        <v>2520</v>
      </c>
      <c r="E2" s="12">
        <v>118</v>
      </c>
      <c r="F2" s="12">
        <v>758</v>
      </c>
      <c r="G2" s="12">
        <f>(C2+D2)/2</f>
        <v>3517.5</v>
      </c>
      <c r="H2" s="12">
        <f>(E2+F2)/2</f>
        <v>438</v>
      </c>
      <c r="I2" s="12">
        <f>(SQRT((G2^2)+(H2^2)))*0.00345</f>
        <v>12.229094390044793</v>
      </c>
      <c r="J2" s="43">
        <v>9.6005456384234495</v>
      </c>
      <c r="K2" s="13">
        <f>ABS(J2-I2)</f>
        <v>2.6285487516213433</v>
      </c>
      <c r="L2" s="14">
        <f>ABS(K2)</f>
        <v>2.6285487516213433</v>
      </c>
    </row>
    <row r="3" spans="1:12" x14ac:dyDescent="0.2">
      <c r="A3" s="22" t="s">
        <v>11</v>
      </c>
      <c r="B3" s="5" t="s">
        <v>41</v>
      </c>
      <c r="C3" s="12"/>
      <c r="D3" s="12"/>
      <c r="E3" s="12"/>
      <c r="F3" s="12"/>
      <c r="G3" s="12">
        <f t="shared" ref="G3:G21" si="0">(C3+D3)/2</f>
        <v>0</v>
      </c>
      <c r="H3" s="12">
        <f t="shared" ref="H3:H21" si="1">(E3+F3)/2</f>
        <v>0</v>
      </c>
      <c r="I3" s="12">
        <f t="shared" ref="I3:I21" si="2">(SQRT((G3^2)+(H3^2)))*0.00345</f>
        <v>0</v>
      </c>
      <c r="J3" s="12">
        <v>0</v>
      </c>
      <c r="K3" s="13">
        <f t="shared" ref="K3:K21" si="3">ABS(J3-I3)</f>
        <v>0</v>
      </c>
      <c r="L3" s="14">
        <f t="shared" ref="L3:L21" si="4">ABS(K3)</f>
        <v>0</v>
      </c>
    </row>
    <row r="4" spans="1:12" x14ac:dyDescent="0.2">
      <c r="A4" s="22" t="s">
        <v>11</v>
      </c>
      <c r="B4" s="5" t="s">
        <v>42</v>
      </c>
      <c r="C4" s="44">
        <v>4134</v>
      </c>
      <c r="D4" s="44">
        <v>4256</v>
      </c>
      <c r="E4" s="12">
        <v>145</v>
      </c>
      <c r="F4" s="12">
        <v>1172</v>
      </c>
      <c r="G4" s="12">
        <f t="shared" si="0"/>
        <v>4195</v>
      </c>
      <c r="H4" s="12">
        <f t="shared" si="1"/>
        <v>658.5</v>
      </c>
      <c r="I4" s="12">
        <f t="shared" si="2"/>
        <v>14.649972061172166</v>
      </c>
      <c r="J4" s="12">
        <v>13.6175942670436</v>
      </c>
      <c r="K4" s="13">
        <f t="shared" si="3"/>
        <v>1.0323777941285659</v>
      </c>
      <c r="L4" s="14">
        <f t="shared" si="4"/>
        <v>1.0323777941285659</v>
      </c>
    </row>
    <row r="5" spans="1:12" x14ac:dyDescent="0.2">
      <c r="A5" s="22" t="s">
        <v>11</v>
      </c>
      <c r="B5" s="5" t="s">
        <v>41</v>
      </c>
      <c r="C5" s="44">
        <v>0</v>
      </c>
      <c r="D5" s="44"/>
      <c r="E5" s="12"/>
      <c r="F5" s="12"/>
      <c r="G5" s="12">
        <f t="shared" si="0"/>
        <v>0</v>
      </c>
      <c r="H5" s="12">
        <f t="shared" si="1"/>
        <v>0</v>
      </c>
      <c r="I5" s="12">
        <f t="shared" si="2"/>
        <v>0</v>
      </c>
      <c r="J5" s="12">
        <v>0</v>
      </c>
      <c r="K5" s="13">
        <f t="shared" si="3"/>
        <v>0</v>
      </c>
      <c r="L5" s="14">
        <f t="shared" si="4"/>
        <v>0</v>
      </c>
    </row>
    <row r="6" spans="1:12" x14ac:dyDescent="0.2">
      <c r="A6" s="22" t="s">
        <v>16</v>
      </c>
      <c r="B6" s="5" t="s">
        <v>40</v>
      </c>
      <c r="C6" s="12">
        <v>4674</v>
      </c>
      <c r="D6" s="12">
        <v>2454</v>
      </c>
      <c r="E6" s="12">
        <v>91</v>
      </c>
      <c r="F6" s="12">
        <v>183</v>
      </c>
      <c r="G6" s="12">
        <f t="shared" si="0"/>
        <v>3564</v>
      </c>
      <c r="H6" s="12">
        <f t="shared" si="1"/>
        <v>137</v>
      </c>
      <c r="I6" s="12">
        <f t="shared" si="2"/>
        <v>12.304880969050453</v>
      </c>
      <c r="J6" s="43">
        <v>11.776217216402801</v>
      </c>
      <c r="K6" s="13">
        <f t="shared" si="3"/>
        <v>0.52866375264765253</v>
      </c>
      <c r="L6" s="14">
        <f t="shared" si="4"/>
        <v>0.52866375264765253</v>
      </c>
    </row>
    <row r="7" spans="1:12" x14ac:dyDescent="0.2">
      <c r="A7" s="22" t="s">
        <v>16</v>
      </c>
      <c r="B7" s="5" t="s">
        <v>40</v>
      </c>
      <c r="C7" s="12">
        <v>4212</v>
      </c>
      <c r="D7" s="12">
        <v>1988</v>
      </c>
      <c r="E7" s="12">
        <v>256</v>
      </c>
      <c r="F7" s="12">
        <v>2072</v>
      </c>
      <c r="G7" s="12">
        <f t="shared" si="0"/>
        <v>3100</v>
      </c>
      <c r="H7" s="12">
        <f t="shared" si="1"/>
        <v>1164</v>
      </c>
      <c r="I7" s="12">
        <f t="shared" si="2"/>
        <v>11.424083098437265</v>
      </c>
      <c r="J7" s="12">
        <v>8.9340694696386507</v>
      </c>
      <c r="K7" s="13">
        <f t="shared" si="3"/>
        <v>2.4900136287986143</v>
      </c>
      <c r="L7" s="14">
        <f t="shared" si="4"/>
        <v>2.4900136287986143</v>
      </c>
    </row>
    <row r="8" spans="1:12" x14ac:dyDescent="0.2">
      <c r="A8" s="22" t="s">
        <v>16</v>
      </c>
      <c r="B8" s="5" t="s">
        <v>43</v>
      </c>
      <c r="C8" s="12">
        <v>4524</v>
      </c>
      <c r="D8" s="12">
        <v>4163</v>
      </c>
      <c r="E8" s="12">
        <v>379</v>
      </c>
      <c r="F8" s="12">
        <v>1253</v>
      </c>
      <c r="G8" s="12">
        <f t="shared" si="0"/>
        <v>4343.5</v>
      </c>
      <c r="H8" s="12">
        <f t="shared" si="1"/>
        <v>816</v>
      </c>
      <c r="I8" s="12">
        <f t="shared" si="2"/>
        <v>15.247223478247605</v>
      </c>
      <c r="J8" s="12">
        <v>9.3812860512073595</v>
      </c>
      <c r="K8" s="13">
        <f t="shared" si="3"/>
        <v>5.8659374270402456</v>
      </c>
      <c r="L8" s="14">
        <f t="shared" si="4"/>
        <v>5.8659374270402456</v>
      </c>
    </row>
    <row r="9" spans="1:12" x14ac:dyDescent="0.2">
      <c r="A9" s="22" t="s">
        <v>18</v>
      </c>
      <c r="B9" s="6" t="s">
        <v>40</v>
      </c>
      <c r="C9" s="12">
        <v>4982</v>
      </c>
      <c r="D9" s="12">
        <v>3637</v>
      </c>
      <c r="E9" s="12">
        <v>208</v>
      </c>
      <c r="F9" s="12">
        <v>2128</v>
      </c>
      <c r="G9" s="12">
        <f t="shared" si="0"/>
        <v>4309.5</v>
      </c>
      <c r="H9" s="12">
        <f t="shared" si="1"/>
        <v>1168</v>
      </c>
      <c r="I9" s="12">
        <f t="shared" si="2"/>
        <v>15.404168579012145</v>
      </c>
      <c r="J9" s="12">
        <v>7.4124107024624699</v>
      </c>
      <c r="K9" s="13">
        <f t="shared" si="3"/>
        <v>7.9917578765496753</v>
      </c>
      <c r="L9" s="14">
        <f t="shared" si="4"/>
        <v>7.9917578765496753</v>
      </c>
    </row>
    <row r="10" spans="1:12" x14ac:dyDescent="0.2">
      <c r="A10" s="23" t="s">
        <v>19</v>
      </c>
      <c r="B10" s="5" t="s">
        <v>40</v>
      </c>
      <c r="C10" s="12">
        <v>4730</v>
      </c>
      <c r="D10" s="12"/>
      <c r="E10" s="12">
        <v>444</v>
      </c>
      <c r="F10" s="12"/>
      <c r="G10" s="12">
        <f t="shared" si="0"/>
        <v>2365</v>
      </c>
      <c r="H10" s="12">
        <f t="shared" si="1"/>
        <v>222</v>
      </c>
      <c r="I10" s="12">
        <f t="shared" si="2"/>
        <v>8.1951182647049077</v>
      </c>
      <c r="J10" s="12">
        <v>7.7314796769888199</v>
      </c>
      <c r="K10" s="13">
        <f t="shared" si="3"/>
        <v>0.46363858771608779</v>
      </c>
      <c r="L10" s="14">
        <f t="shared" si="4"/>
        <v>0.46363858771608779</v>
      </c>
    </row>
    <row r="11" spans="1:12" x14ac:dyDescent="0.2">
      <c r="A11" s="23" t="s">
        <v>19</v>
      </c>
      <c r="B11" s="6" t="s">
        <v>41</v>
      </c>
      <c r="C11" s="12">
        <v>0</v>
      </c>
      <c r="D11" s="12"/>
      <c r="E11" s="12"/>
      <c r="F11" s="12"/>
      <c r="G11" s="12">
        <f t="shared" si="0"/>
        <v>0</v>
      </c>
      <c r="H11" s="12">
        <f t="shared" si="1"/>
        <v>0</v>
      </c>
      <c r="I11" s="12">
        <f t="shared" si="2"/>
        <v>0</v>
      </c>
      <c r="J11" s="12">
        <v>0</v>
      </c>
      <c r="K11" s="13">
        <f t="shared" si="3"/>
        <v>0</v>
      </c>
      <c r="L11" s="14">
        <f t="shared" si="4"/>
        <v>0</v>
      </c>
    </row>
    <row r="12" spans="1:12" x14ac:dyDescent="0.2">
      <c r="A12" s="23" t="s">
        <v>19</v>
      </c>
      <c r="B12" s="6" t="s">
        <v>41</v>
      </c>
      <c r="C12" s="12">
        <v>0</v>
      </c>
      <c r="D12" s="12"/>
      <c r="E12" s="12"/>
      <c r="F12" s="12"/>
      <c r="G12" s="12">
        <f t="shared" si="0"/>
        <v>0</v>
      </c>
      <c r="H12" s="12">
        <f t="shared" si="1"/>
        <v>0</v>
      </c>
      <c r="I12" s="12">
        <f t="shared" si="2"/>
        <v>0</v>
      </c>
      <c r="J12" s="12">
        <v>0</v>
      </c>
      <c r="K12" s="13">
        <f t="shared" si="3"/>
        <v>0</v>
      </c>
      <c r="L12" s="14">
        <f t="shared" si="4"/>
        <v>0</v>
      </c>
    </row>
    <row r="13" spans="1:12" x14ac:dyDescent="0.2">
      <c r="A13" s="23" t="s">
        <v>20</v>
      </c>
      <c r="B13" s="5" t="s">
        <v>40</v>
      </c>
      <c r="C13" s="12">
        <v>4093</v>
      </c>
      <c r="D13" s="12">
        <v>2206</v>
      </c>
      <c r="E13" s="12">
        <v>651</v>
      </c>
      <c r="F13" s="12">
        <v>2949</v>
      </c>
      <c r="G13" s="12">
        <f t="shared" si="0"/>
        <v>3149.5</v>
      </c>
      <c r="H13" s="12">
        <f t="shared" si="1"/>
        <v>1800</v>
      </c>
      <c r="I13" s="12">
        <f t="shared" si="2"/>
        <v>12.51515746407631</v>
      </c>
      <c r="J13" s="12">
        <v>12.123315629960301</v>
      </c>
      <c r="K13" s="13">
        <f t="shared" si="3"/>
        <v>0.39184183411600948</v>
      </c>
      <c r="L13" s="14">
        <f t="shared" si="4"/>
        <v>0.39184183411600948</v>
      </c>
    </row>
    <row r="14" spans="1:12" x14ac:dyDescent="0.2">
      <c r="A14" s="23" t="s">
        <v>21</v>
      </c>
      <c r="B14" s="5" t="s">
        <v>44</v>
      </c>
      <c r="C14" s="12">
        <v>5270</v>
      </c>
      <c r="D14" s="12">
        <v>629</v>
      </c>
      <c r="E14" s="12">
        <v>176</v>
      </c>
      <c r="F14" s="12">
        <v>1472</v>
      </c>
      <c r="G14" s="12">
        <f t="shared" si="0"/>
        <v>2949.5</v>
      </c>
      <c r="H14" s="12">
        <f t="shared" si="1"/>
        <v>824</v>
      </c>
      <c r="I14" s="12">
        <f t="shared" si="2"/>
        <v>10.565410957015587</v>
      </c>
      <c r="J14" s="12">
        <v>6.4551982023800401</v>
      </c>
      <c r="K14" s="13">
        <f t="shared" si="3"/>
        <v>4.1102127546355467</v>
      </c>
      <c r="L14" s="14">
        <f t="shared" si="4"/>
        <v>4.1102127546355467</v>
      </c>
    </row>
    <row r="15" spans="1:12" x14ac:dyDescent="0.2">
      <c r="A15" s="23" t="s">
        <v>21</v>
      </c>
      <c r="B15" s="6" t="s">
        <v>44</v>
      </c>
      <c r="C15" s="12">
        <v>4797</v>
      </c>
      <c r="D15" s="12">
        <v>2235</v>
      </c>
      <c r="E15" s="12">
        <v>231</v>
      </c>
      <c r="F15" s="12">
        <v>1921</v>
      </c>
      <c r="G15" s="12">
        <f t="shared" si="0"/>
        <v>3516</v>
      </c>
      <c r="H15" s="12">
        <f t="shared" si="1"/>
        <v>1076</v>
      </c>
      <c r="I15" s="12">
        <f t="shared" si="2"/>
        <v>12.685510666898672</v>
      </c>
      <c r="J15" s="12">
        <v>7.7648513520261098</v>
      </c>
      <c r="K15" s="13">
        <f t="shared" si="3"/>
        <v>4.9206593148725624</v>
      </c>
      <c r="L15" s="14">
        <f t="shared" si="4"/>
        <v>4.9206593148725624</v>
      </c>
    </row>
    <row r="16" spans="1:12" x14ac:dyDescent="0.2">
      <c r="A16" s="23" t="s">
        <v>22</v>
      </c>
      <c r="B16" s="5" t="s">
        <v>44</v>
      </c>
      <c r="C16" s="12">
        <v>4754</v>
      </c>
      <c r="D16" s="12">
        <v>2184</v>
      </c>
      <c r="E16" s="12">
        <v>268</v>
      </c>
      <c r="F16" s="12">
        <v>2472</v>
      </c>
      <c r="G16" s="12">
        <f t="shared" si="0"/>
        <v>3469</v>
      </c>
      <c r="H16" s="12">
        <f t="shared" si="1"/>
        <v>1370</v>
      </c>
      <c r="I16" s="12">
        <f t="shared" si="2"/>
        <v>12.867556996279442</v>
      </c>
      <c r="J16" s="12">
        <v>8.0870348072884006</v>
      </c>
      <c r="K16" s="13">
        <f t="shared" si="3"/>
        <v>4.780522188991041</v>
      </c>
      <c r="L16" s="14">
        <f t="shared" si="4"/>
        <v>4.780522188991041</v>
      </c>
    </row>
    <row r="17" spans="1:13" x14ac:dyDescent="0.2">
      <c r="A17" s="23" t="s">
        <v>22</v>
      </c>
      <c r="B17" s="5" t="s">
        <v>44</v>
      </c>
      <c r="C17" s="12">
        <v>4287</v>
      </c>
      <c r="D17" s="12">
        <v>2536</v>
      </c>
      <c r="E17" s="12">
        <v>94</v>
      </c>
      <c r="F17" s="12">
        <v>1462</v>
      </c>
      <c r="G17" s="12">
        <f t="shared" si="0"/>
        <v>3411.5</v>
      </c>
      <c r="H17" s="12">
        <f t="shared" si="1"/>
        <v>778</v>
      </c>
      <c r="I17" s="12">
        <f t="shared" si="2"/>
        <v>12.071853313208582</v>
      </c>
      <c r="J17" s="12">
        <v>11.995237308990999</v>
      </c>
      <c r="K17" s="13">
        <f t="shared" si="3"/>
        <v>7.6616004217582301E-2</v>
      </c>
      <c r="L17" s="14">
        <f t="shared" si="4"/>
        <v>7.6616004217582301E-2</v>
      </c>
    </row>
    <row r="18" spans="1:13" x14ac:dyDescent="0.2">
      <c r="A18" s="23" t="s">
        <v>23</v>
      </c>
      <c r="B18" s="6" t="s">
        <v>45</v>
      </c>
      <c r="C18" s="12">
        <v>4492</v>
      </c>
      <c r="D18" s="12">
        <v>754</v>
      </c>
      <c r="E18" s="12">
        <v>811</v>
      </c>
      <c r="F18" s="12">
        <v>1509</v>
      </c>
      <c r="G18" s="12">
        <f t="shared" si="0"/>
        <v>2623</v>
      </c>
      <c r="H18" s="12">
        <f t="shared" si="1"/>
        <v>1160</v>
      </c>
      <c r="I18" s="12">
        <f t="shared" si="2"/>
        <v>9.8947834449521928</v>
      </c>
      <c r="J18" s="12">
        <v>7.9870479710492601</v>
      </c>
      <c r="K18" s="13">
        <f t="shared" si="3"/>
        <v>1.9077354739029326</v>
      </c>
      <c r="L18" s="14">
        <f t="shared" si="4"/>
        <v>1.9077354739029326</v>
      </c>
    </row>
    <row r="19" spans="1:13" x14ac:dyDescent="0.2">
      <c r="A19" s="23" t="s">
        <v>26</v>
      </c>
      <c r="B19" s="5" t="s">
        <v>41</v>
      </c>
      <c r="C19" s="12">
        <v>0</v>
      </c>
      <c r="D19" s="12"/>
      <c r="E19" s="12"/>
      <c r="F19" s="12"/>
      <c r="G19" s="12">
        <f t="shared" si="0"/>
        <v>0</v>
      </c>
      <c r="H19" s="12">
        <f t="shared" si="1"/>
        <v>0</v>
      </c>
      <c r="I19" s="12">
        <f t="shared" si="2"/>
        <v>0</v>
      </c>
      <c r="J19" s="12">
        <v>0</v>
      </c>
      <c r="K19" s="13">
        <f t="shared" si="3"/>
        <v>0</v>
      </c>
      <c r="L19" s="14">
        <f t="shared" si="4"/>
        <v>0</v>
      </c>
    </row>
    <row r="20" spans="1:13" x14ac:dyDescent="0.2">
      <c r="A20" s="23" t="s">
        <v>26</v>
      </c>
      <c r="B20" s="5" t="s">
        <v>41</v>
      </c>
      <c r="C20" s="12">
        <v>0</v>
      </c>
      <c r="D20" s="12"/>
      <c r="E20" s="12"/>
      <c r="F20" s="12"/>
      <c r="G20" s="12">
        <f t="shared" si="0"/>
        <v>0</v>
      </c>
      <c r="H20" s="12">
        <f t="shared" si="1"/>
        <v>0</v>
      </c>
      <c r="I20" s="12">
        <f t="shared" si="2"/>
        <v>0</v>
      </c>
      <c r="J20" s="12">
        <v>0</v>
      </c>
      <c r="K20" s="13">
        <f t="shared" si="3"/>
        <v>0</v>
      </c>
      <c r="L20" s="14">
        <f t="shared" si="4"/>
        <v>0</v>
      </c>
    </row>
    <row r="21" spans="1:13" x14ac:dyDescent="0.2">
      <c r="A21" s="23" t="s">
        <v>26</v>
      </c>
      <c r="B21" s="5" t="s">
        <v>40</v>
      </c>
      <c r="C21" s="12">
        <v>4981</v>
      </c>
      <c r="D21" s="12">
        <v>3497</v>
      </c>
      <c r="E21" s="12">
        <v>928</v>
      </c>
      <c r="F21" s="12">
        <v>2276</v>
      </c>
      <c r="G21" s="12">
        <f t="shared" si="0"/>
        <v>4239</v>
      </c>
      <c r="H21" s="12">
        <f t="shared" si="1"/>
        <v>1602</v>
      </c>
      <c r="I21" s="12">
        <f t="shared" si="2"/>
        <v>15.634068130608233</v>
      </c>
      <c r="J21" s="12">
        <v>6.4484214251900998</v>
      </c>
      <c r="K21" s="13">
        <f t="shared" si="3"/>
        <v>9.185646705418133</v>
      </c>
      <c r="L21" s="14">
        <f t="shared" si="4"/>
        <v>9.185646705418133</v>
      </c>
    </row>
    <row r="24" spans="1:13" x14ac:dyDescent="0.2">
      <c r="L24" s="7" t="s">
        <v>37</v>
      </c>
      <c r="M24" t="e">
        <f>AVERAGE(#REF!,#REF!,#REF!,#REF!,#REF!,#REF!,#REF!,#REF!,#REF!,#REF!,#REF!,#REF!,#REF!,#REF!)</f>
        <v>#REF!</v>
      </c>
    </row>
    <row r="25" spans="1:13" x14ac:dyDescent="0.2">
      <c r="L25" s="7" t="s">
        <v>38</v>
      </c>
      <c r="M25" t="e">
        <f>STDEV(#REF!,#REF!,#REF!,#REF!,#REF!,#REF!,#REF!,#REF!,#REF!,#REF!,#REF!,#REF!,#REF!,#REF!)</f>
        <v>#REF!</v>
      </c>
    </row>
  </sheetData>
  <autoFilter ref="B1:B25" xr:uid="{8902AA71-AA78-0C4B-A738-1168E7B4E47B}"/>
  <conditionalFormatting sqref="L2:L21">
    <cfRule type="colorScale" priority="3">
      <colorScale>
        <cfvo type="min"/>
        <cfvo type="max"/>
        <color rgb="FFFCFCFF"/>
        <color rgb="FFF8696B"/>
      </colorScale>
    </cfRule>
  </conditionalFormatting>
  <conditionalFormatting sqref="N9 L2 L4 L13:L18 L21 L6:L10">
    <cfRule type="colorScale" priority="2">
      <colorScale>
        <cfvo type="min"/>
        <cfvo type="max"/>
        <color rgb="FFF8696B"/>
        <color rgb="FFFCFCFF"/>
      </colorScale>
    </cfRule>
  </conditionalFormatting>
  <conditionalFormatting sqref="N9 L2 L4 L13:L18 L21 L6:L1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7BBB-9591-4E42-913F-148F8A95CBB4}">
  <dimension ref="A1:O45"/>
  <sheetViews>
    <sheetView zoomScale="133" zoomScaleNormal="133" workbookViewId="0">
      <selection activeCell="M25" sqref="M25"/>
    </sheetView>
  </sheetViews>
  <sheetFormatPr baseColWidth="10" defaultColWidth="11" defaultRowHeight="16" x14ac:dyDescent="0.2"/>
  <cols>
    <col min="2" max="2" width="19" customWidth="1"/>
    <col min="3" max="3" width="18.33203125" customWidth="1"/>
    <col min="4" max="4" width="15.33203125" customWidth="1"/>
    <col min="5" max="5" width="12.33203125" customWidth="1"/>
    <col min="6" max="6" width="14" customWidth="1"/>
    <col min="9" max="10" width="12.33203125" bestFit="1" customWidth="1"/>
    <col min="11" max="11" width="16.5" customWidth="1"/>
    <col min="12" max="12" width="17.33203125" customWidth="1"/>
  </cols>
  <sheetData>
    <row r="1" spans="1:14" x14ac:dyDescent="0.2">
      <c r="A1" s="8" t="s">
        <v>0</v>
      </c>
      <c r="B1" s="16" t="s">
        <v>39</v>
      </c>
      <c r="C1" s="9" t="s">
        <v>147</v>
      </c>
      <c r="D1" s="9" t="s">
        <v>148</v>
      </c>
      <c r="E1" s="9" t="s">
        <v>149</v>
      </c>
      <c r="F1" s="9" t="s">
        <v>150</v>
      </c>
      <c r="G1" s="9" t="s">
        <v>151</v>
      </c>
      <c r="H1" s="9" t="s">
        <v>152</v>
      </c>
      <c r="I1" s="9" t="s">
        <v>7</v>
      </c>
      <c r="J1" s="9" t="s">
        <v>161</v>
      </c>
      <c r="K1" s="8" t="s">
        <v>159</v>
      </c>
      <c r="L1" s="50" t="s">
        <v>164</v>
      </c>
      <c r="N1" s="54" t="s">
        <v>167</v>
      </c>
    </row>
    <row r="2" spans="1:14" x14ac:dyDescent="0.2">
      <c r="A2" s="22" t="s">
        <v>11</v>
      </c>
      <c r="B2" s="5" t="s">
        <v>40</v>
      </c>
      <c r="C2">
        <v>-82.331406188139653</v>
      </c>
      <c r="D2" s="44">
        <v>35.629269766211252</v>
      </c>
      <c r="E2" s="12">
        <v>-82.331503120072298</v>
      </c>
      <c r="F2" s="12">
        <v>35.629301648655002</v>
      </c>
      <c r="G2" s="12">
        <v>-82.331404122266093</v>
      </c>
      <c r="H2" s="12">
        <v>35.629270750442601</v>
      </c>
      <c r="I2" s="12">
        <v>9.6005456384234495</v>
      </c>
      <c r="J2" s="51">
        <v>9.4659356073365508</v>
      </c>
      <c r="K2" s="13">
        <f>ABS(J2-I2)</f>
        <v>0.13461003108689873</v>
      </c>
      <c r="L2" s="43" t="s">
        <v>163</v>
      </c>
    </row>
    <row r="3" spans="1:14" x14ac:dyDescent="0.2">
      <c r="A3" s="22" t="s">
        <v>11</v>
      </c>
      <c r="B3" s="5" t="s">
        <v>42</v>
      </c>
      <c r="C3" s="44">
        <v>-82.331397155975893</v>
      </c>
      <c r="D3">
        <v>35.629227015774447</v>
      </c>
      <c r="E3" s="12">
        <v>-82.331389400198304</v>
      </c>
      <c r="F3" s="12">
        <v>35.629221306393298</v>
      </c>
      <c r="G3" s="12">
        <v>-82.332676241541094</v>
      </c>
      <c r="H3" s="12">
        <v>35.629713061369998</v>
      </c>
      <c r="I3" s="12">
        <v>13.6175942670436</v>
      </c>
      <c r="J3" s="51">
        <v>12.6712540220565</v>
      </c>
      <c r="K3" s="13">
        <f t="shared" ref="K3:K19" si="0">ABS(J3-I3)</f>
        <v>0.94634024498710012</v>
      </c>
      <c r="L3" s="43" t="s">
        <v>162</v>
      </c>
    </row>
    <row r="4" spans="1:14" x14ac:dyDescent="0.2">
      <c r="A4" s="22" t="s">
        <v>16</v>
      </c>
      <c r="B4" s="5" t="s">
        <v>40</v>
      </c>
      <c r="C4" s="12">
        <v>-82.332589882064013</v>
      </c>
      <c r="D4" s="12">
        <v>35.629685871824506</v>
      </c>
      <c r="E4" s="12">
        <v>-82.332676438000306</v>
      </c>
      <c r="F4" s="12">
        <v>35.629713052560398</v>
      </c>
      <c r="G4" s="12">
        <v>-82.332583470528505</v>
      </c>
      <c r="H4" s="12">
        <v>35.6296861655999</v>
      </c>
      <c r="I4" s="12">
        <v>8.9340694696386507</v>
      </c>
      <c r="J4" s="51">
        <v>8.4008274617892802</v>
      </c>
      <c r="K4" s="13">
        <f t="shared" si="0"/>
        <v>0.53324200784937048</v>
      </c>
      <c r="L4" s="43" t="s">
        <v>162</v>
      </c>
    </row>
    <row r="5" spans="1:14" x14ac:dyDescent="0.2">
      <c r="A5" s="22" t="s">
        <v>16</v>
      </c>
      <c r="B5" s="5" t="s">
        <v>40</v>
      </c>
      <c r="C5">
        <v>-82.332557293516828</v>
      </c>
      <c r="D5">
        <v>35.629683601224649</v>
      </c>
      <c r="E5" s="12">
        <v>-82.332676277523603</v>
      </c>
      <c r="F5" s="12">
        <v>35.629713004572103</v>
      </c>
      <c r="G5" s="12">
        <v>-82.332551060209497</v>
      </c>
      <c r="H5" s="12">
        <v>35.629684468064603</v>
      </c>
      <c r="I5" s="12">
        <v>11.776217216402801</v>
      </c>
      <c r="J5" s="51">
        <v>11.2612985259978</v>
      </c>
      <c r="K5" s="13">
        <f t="shared" si="0"/>
        <v>0.51491869040500049</v>
      </c>
      <c r="L5" s="43" t="s">
        <v>162</v>
      </c>
    </row>
    <row r="6" spans="1:14" x14ac:dyDescent="0.2">
      <c r="A6" s="22" t="s">
        <v>16</v>
      </c>
      <c r="B6" s="5" t="s">
        <v>43</v>
      </c>
      <c r="C6" s="12">
        <v>-82.332598415810878</v>
      </c>
      <c r="D6" s="12">
        <v>35.629666752989564</v>
      </c>
      <c r="E6" s="12">
        <v>-82.332676241541094</v>
      </c>
      <c r="F6" s="12">
        <v>35.629713061369998</v>
      </c>
      <c r="G6" s="12">
        <v>-82.332593922284801</v>
      </c>
      <c r="H6" s="12">
        <v>35.6296617548185</v>
      </c>
      <c r="I6" s="12">
        <v>9.3812860512073506</v>
      </c>
      <c r="J6" s="51">
        <v>8.7191634042008701</v>
      </c>
      <c r="K6" s="13">
        <f t="shared" si="0"/>
        <v>0.66212264700648049</v>
      </c>
      <c r="L6" s="43" t="s">
        <v>163</v>
      </c>
    </row>
    <row r="7" spans="1:14" x14ac:dyDescent="0.2">
      <c r="A7" s="22" t="s">
        <v>18</v>
      </c>
      <c r="B7" s="6" t="s">
        <v>40</v>
      </c>
      <c r="C7" s="12">
        <v>-82.332904297432862</v>
      </c>
      <c r="D7" s="12">
        <v>35.629778762936127</v>
      </c>
      <c r="E7" s="12">
        <v>-82.332951465280601</v>
      </c>
      <c r="F7" s="12">
        <v>35.629822442892802</v>
      </c>
      <c r="G7" s="12">
        <v>-82.332898768213198</v>
      </c>
      <c r="H7" s="12">
        <v>35.629771332690098</v>
      </c>
      <c r="I7" s="12">
        <v>7.4124107024624699</v>
      </c>
      <c r="J7" s="51">
        <v>6.4609904067677197</v>
      </c>
      <c r="K7" s="13">
        <f t="shared" si="0"/>
        <v>0.95142029569475017</v>
      </c>
      <c r="L7" s="43" t="s">
        <v>162</v>
      </c>
    </row>
    <row r="8" spans="1:14" ht="21" hidden="1" customHeight="1" x14ac:dyDescent="0.2">
      <c r="A8" s="23" t="s">
        <v>19</v>
      </c>
      <c r="B8" s="5" t="s">
        <v>40</v>
      </c>
      <c r="C8" s="12">
        <v>-82.333369114815071</v>
      </c>
      <c r="D8">
        <v>35.630450661435546</v>
      </c>
      <c r="E8" s="12"/>
      <c r="F8" s="12"/>
      <c r="G8" s="12"/>
      <c r="H8" s="12"/>
      <c r="I8" s="12"/>
      <c r="J8" s="12"/>
      <c r="K8" s="13">
        <f t="shared" si="0"/>
        <v>0</v>
      </c>
      <c r="L8" s="43">
        <f t="shared" ref="L8:L18" si="1">K8*100000</f>
        <v>0</v>
      </c>
      <c r="M8">
        <f>0.0000512853676095165/0.00345</f>
        <v>1.486532394478739E-2</v>
      </c>
    </row>
    <row r="9" spans="1:14" hidden="1" x14ac:dyDescent="0.2">
      <c r="A9" s="23" t="s">
        <v>19</v>
      </c>
      <c r="B9" s="6" t="s">
        <v>41</v>
      </c>
      <c r="C9" s="12"/>
      <c r="D9" s="12"/>
      <c r="E9" s="12"/>
      <c r="F9" s="12"/>
      <c r="G9" s="12"/>
      <c r="H9" s="12"/>
      <c r="I9" s="12"/>
      <c r="J9" s="12"/>
      <c r="K9" s="13">
        <f t="shared" si="0"/>
        <v>0</v>
      </c>
      <c r="L9" s="43">
        <f t="shared" si="1"/>
        <v>0</v>
      </c>
    </row>
    <row r="10" spans="1:14" hidden="1" x14ac:dyDescent="0.2">
      <c r="A10" s="23" t="s">
        <v>19</v>
      </c>
      <c r="B10" s="6" t="s">
        <v>41</v>
      </c>
      <c r="C10" s="12"/>
      <c r="D10" s="12"/>
      <c r="E10" s="12"/>
      <c r="F10" s="12"/>
      <c r="G10" s="12"/>
      <c r="H10" s="12"/>
      <c r="I10" s="12"/>
      <c r="J10" s="12"/>
      <c r="K10" s="13">
        <f t="shared" si="0"/>
        <v>0</v>
      </c>
      <c r="L10" s="43">
        <f t="shared" si="1"/>
        <v>0</v>
      </c>
    </row>
    <row r="11" spans="1:14" x14ac:dyDescent="0.2">
      <c r="A11" s="23" t="s">
        <v>20</v>
      </c>
      <c r="B11" s="5" t="s">
        <v>40</v>
      </c>
      <c r="C11">
        <v>-82.334337452014907</v>
      </c>
      <c r="D11" s="12">
        <v>35.632042366794792</v>
      </c>
      <c r="E11" s="12">
        <v>-82.334395013200194</v>
      </c>
      <c r="F11" s="12">
        <v>35.6321257805279</v>
      </c>
      <c r="G11" s="12">
        <v>-82.334331705436597</v>
      </c>
      <c r="H11" s="12">
        <v>35.632029510879597</v>
      </c>
      <c r="I11" s="12">
        <v>12.123315629960301</v>
      </c>
      <c r="J11" s="51">
        <v>10.6223453508126</v>
      </c>
      <c r="K11" s="13">
        <f t="shared" si="0"/>
        <v>1.5009702791477011</v>
      </c>
      <c r="L11" s="43" t="s">
        <v>163</v>
      </c>
    </row>
    <row r="12" spans="1:14" x14ac:dyDescent="0.2">
      <c r="A12" s="23" t="s">
        <v>21</v>
      </c>
      <c r="B12" s="5" t="s">
        <v>44</v>
      </c>
      <c r="C12" s="12">
        <v>-82.335348401593393</v>
      </c>
      <c r="D12" s="12">
        <v>35.633860250726897</v>
      </c>
      <c r="E12" s="12">
        <v>-82.335292099296495</v>
      </c>
      <c r="F12" s="12">
        <v>35.633874429778402</v>
      </c>
      <c r="G12" s="12">
        <v>-82.335359792887303</v>
      </c>
      <c r="H12" s="12">
        <v>35.633856239881197</v>
      </c>
      <c r="I12" s="12">
        <v>6.4551982023800401</v>
      </c>
      <c r="J12" s="51">
        <v>5.3367549937868404</v>
      </c>
      <c r="K12" s="13">
        <f t="shared" si="0"/>
        <v>1.1184432085931997</v>
      </c>
      <c r="L12" s="43" t="s">
        <v>162</v>
      </c>
    </row>
    <row r="13" spans="1:14" x14ac:dyDescent="0.2">
      <c r="A13" s="23" t="s">
        <v>21</v>
      </c>
      <c r="B13" s="6" t="s">
        <v>44</v>
      </c>
      <c r="C13" s="12">
        <v>-82.3353708740066</v>
      </c>
      <c r="D13" s="12">
        <v>35.633876158751903</v>
      </c>
      <c r="E13" s="12">
        <v>-82.335292054012797</v>
      </c>
      <c r="F13" s="12">
        <v>35.633874420937602</v>
      </c>
      <c r="G13" s="12">
        <v>-82.335377727488705</v>
      </c>
      <c r="H13" s="12">
        <v>35.633871994726</v>
      </c>
      <c r="I13" s="12">
        <v>7.7648513520261098</v>
      </c>
      <c r="J13" s="51">
        <v>7.1420150920982097</v>
      </c>
      <c r="K13" s="13">
        <f t="shared" si="0"/>
        <v>0.62283625992790004</v>
      </c>
      <c r="L13" s="43" t="s">
        <v>163</v>
      </c>
    </row>
    <row r="14" spans="1:14" x14ac:dyDescent="0.2">
      <c r="A14" s="23" t="s">
        <v>22</v>
      </c>
      <c r="B14" s="5" t="s">
        <v>44</v>
      </c>
      <c r="C14" s="12">
        <v>-82.334973957022271</v>
      </c>
      <c r="D14" s="12">
        <v>35.63385548648742</v>
      </c>
      <c r="E14" s="12">
        <v>-82.334894021820503</v>
      </c>
      <c r="F14" s="12">
        <v>35.633845810734798</v>
      </c>
      <c r="G14" s="12">
        <v>-82.334982729801396</v>
      </c>
      <c r="H14" s="12">
        <v>35.633854062069403</v>
      </c>
      <c r="I14" s="12">
        <v>8.0870348072884006</v>
      </c>
      <c r="J14" s="51">
        <v>7.3199002926133003</v>
      </c>
      <c r="K14" s="13">
        <f t="shared" si="0"/>
        <v>0.7671345146751003</v>
      </c>
      <c r="L14" s="43" t="s">
        <v>163</v>
      </c>
    </row>
    <row r="15" spans="1:14" x14ac:dyDescent="0.2">
      <c r="A15" s="23" t="s">
        <v>22</v>
      </c>
      <c r="B15" s="5" t="s">
        <v>44</v>
      </c>
      <c r="C15" s="12">
        <v>-82.335016978021443</v>
      </c>
      <c r="D15" s="12">
        <v>35.633858238244912</v>
      </c>
      <c r="E15" s="12">
        <v>-82.334894021820503</v>
      </c>
      <c r="F15" s="12">
        <v>35.633845810734798</v>
      </c>
      <c r="G15" s="12">
        <v>-82.335025895113802</v>
      </c>
      <c r="H15" s="12">
        <v>35.633855704552502</v>
      </c>
      <c r="I15" s="12">
        <v>11.9952373089909</v>
      </c>
      <c r="J15" s="51">
        <v>11.22243709974</v>
      </c>
      <c r="K15" s="13">
        <f t="shared" si="0"/>
        <v>0.77280020925089943</v>
      </c>
      <c r="L15" s="43" t="s">
        <v>162</v>
      </c>
    </row>
    <row r="16" spans="1:14" x14ac:dyDescent="0.2">
      <c r="A16" s="23" t="s">
        <v>23</v>
      </c>
      <c r="B16" s="6" t="s">
        <v>45</v>
      </c>
      <c r="C16" s="12">
        <v>-82.335595480085217</v>
      </c>
      <c r="D16" s="12">
        <v>35.633769864861598</v>
      </c>
      <c r="E16" s="12">
        <v>-82.335679732439502</v>
      </c>
      <c r="F16" s="12">
        <v>35.633786621527797</v>
      </c>
      <c r="G16" s="12">
        <v>-82.335593789692595</v>
      </c>
      <c r="H16" s="12">
        <v>35.633802727197697</v>
      </c>
      <c r="I16" s="12">
        <v>7.9870479710492601</v>
      </c>
      <c r="J16" s="51">
        <v>7.8543186730557899</v>
      </c>
      <c r="K16" s="13">
        <v>3.6499014196363202</v>
      </c>
      <c r="L16" s="43" t="s">
        <v>162</v>
      </c>
      <c r="M16" t="s">
        <v>169</v>
      </c>
      <c r="N16" t="s">
        <v>168</v>
      </c>
    </row>
    <row r="17" spans="1:12" hidden="1" x14ac:dyDescent="0.2">
      <c r="A17" s="23" t="s">
        <v>26</v>
      </c>
      <c r="B17" s="5" t="s">
        <v>41</v>
      </c>
      <c r="C17" s="12"/>
      <c r="D17" s="12"/>
      <c r="E17" s="12"/>
      <c r="F17" s="12"/>
      <c r="G17" s="12"/>
      <c r="H17" s="12"/>
      <c r="I17" s="12"/>
      <c r="J17" s="12"/>
      <c r="K17" s="13">
        <f t="shared" si="0"/>
        <v>0</v>
      </c>
      <c r="L17" s="43">
        <f t="shared" si="1"/>
        <v>0</v>
      </c>
    </row>
    <row r="18" spans="1:12" hidden="1" x14ac:dyDescent="0.2">
      <c r="A18" s="23" t="s">
        <v>26</v>
      </c>
      <c r="B18" s="5" t="s">
        <v>41</v>
      </c>
      <c r="C18" s="12"/>
      <c r="D18" s="12"/>
      <c r="E18" s="12"/>
      <c r="F18" s="12"/>
      <c r="G18" s="12"/>
      <c r="H18" s="12"/>
      <c r="I18" s="12"/>
      <c r="J18" s="12"/>
      <c r="K18" s="13">
        <f t="shared" si="0"/>
        <v>0</v>
      </c>
      <c r="L18" s="43">
        <f t="shared" si="1"/>
        <v>0</v>
      </c>
    </row>
    <row r="19" spans="1:12" x14ac:dyDescent="0.2">
      <c r="A19" s="23" t="s">
        <v>26</v>
      </c>
      <c r="B19" s="5" t="s">
        <v>40</v>
      </c>
      <c r="C19" s="12">
        <v>-82.339442039986523</v>
      </c>
      <c r="D19" s="12">
        <v>35.636925726907549</v>
      </c>
      <c r="E19" s="12">
        <v>-82.339439218564195</v>
      </c>
      <c r="F19" s="12">
        <v>35.636974260530401</v>
      </c>
      <c r="G19" s="12">
        <v>-82.339446601231103</v>
      </c>
      <c r="H19" s="12">
        <v>35.636916454983798</v>
      </c>
      <c r="I19" s="12">
        <v>6.4484214251900998</v>
      </c>
      <c r="J19" s="51">
        <v>5.3905691302702801</v>
      </c>
      <c r="K19" s="13">
        <f t="shared" si="0"/>
        <v>1.0578522949198197</v>
      </c>
      <c r="L19" s="43" t="s">
        <v>163</v>
      </c>
    </row>
    <row r="21" spans="1:12" x14ac:dyDescent="0.2">
      <c r="J21" s="7" t="s">
        <v>37</v>
      </c>
      <c r="K21">
        <f>AVERAGE(K2,K3,K4,K5,K6,K7,K11,K12,K13,K14,K15,K16,K19)</f>
        <v>1.017891700244657</v>
      </c>
    </row>
    <row r="22" spans="1:12" x14ac:dyDescent="0.2">
      <c r="J22" s="7" t="s">
        <v>38</v>
      </c>
      <c r="K22">
        <f>STDEV(K2,K3,K4,K5,K6,K7,K11,K12,K13,K14,K15,K16,K19)</f>
        <v>0.85905610483113615</v>
      </c>
    </row>
    <row r="40" spans="11:15" x14ac:dyDescent="0.2">
      <c r="N40">
        <v>100000</v>
      </c>
    </row>
    <row r="41" spans="11:15" x14ac:dyDescent="0.2">
      <c r="N41" s="47" t="e">
        <f>13.6175942670436/L41</f>
        <v>#DIV/0!</v>
      </c>
    </row>
    <row r="42" spans="11:15" x14ac:dyDescent="0.2">
      <c r="N42" t="e">
        <f>N40-N41</f>
        <v>#DIV/0!</v>
      </c>
    </row>
    <row r="43" spans="11:15" x14ac:dyDescent="0.2">
      <c r="O43">
        <v>100000</v>
      </c>
    </row>
    <row r="44" spans="11:15" x14ac:dyDescent="0.2">
      <c r="K44">
        <f>SQRT((I42-G42)^2+(J42-H42)^2)</f>
        <v>0</v>
      </c>
      <c r="L44">
        <v>1.20511170253362E-4</v>
      </c>
      <c r="O44" t="e">
        <f>11.9417158032757/K44</f>
        <v>#DIV/0!</v>
      </c>
    </row>
    <row r="45" spans="11:15" x14ac:dyDescent="0.2">
      <c r="K45" t="e">
        <f>K44*N41</f>
        <v>#DIV/0!</v>
      </c>
      <c r="O45" t="e">
        <f>O43-O44</f>
        <v>#DIV/0!</v>
      </c>
    </row>
  </sheetData>
  <autoFilter ref="A1:K19" xr:uid="{41783311-D67F-EA45-9CE0-C29F441FDF0B}"/>
  <conditionalFormatting sqref="N7">
    <cfRule type="colorScale" priority="4">
      <colorScale>
        <cfvo type="min"/>
        <cfvo type="max"/>
        <color rgb="FFF8696B"/>
        <color rgb="FFFCFCFF"/>
      </colorScale>
    </cfRule>
  </conditionalFormatting>
  <conditionalFormatting sqref="N7">
    <cfRule type="colorScale" priority="3">
      <colorScale>
        <cfvo type="min"/>
        <cfvo type="max"/>
        <color rgb="FFFCFCFF"/>
        <color rgb="FFF8696B"/>
      </colorScale>
    </cfRule>
  </conditionalFormatting>
  <conditionalFormatting sqref="K2:K19">
    <cfRule type="colorScale" priority="2">
      <colorScale>
        <cfvo type="min"/>
        <cfvo type="max"/>
        <color rgb="FFF8696B"/>
        <color rgb="FFFCFCFF"/>
      </colorScale>
    </cfRule>
  </conditionalFormatting>
  <conditionalFormatting sqref="K2:K1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3311-D67F-EA45-9CE0-C29F441FDF0B}">
  <dimension ref="A1:O45"/>
  <sheetViews>
    <sheetView zoomScale="133" zoomScaleNormal="133" workbookViewId="0">
      <selection activeCell="I2" sqref="I2:I19"/>
    </sheetView>
  </sheetViews>
  <sheetFormatPr baseColWidth="10" defaultColWidth="11" defaultRowHeight="16" x14ac:dyDescent="0.2"/>
  <cols>
    <col min="2" max="2" width="19" customWidth="1"/>
    <col min="3" max="3" width="14.5" customWidth="1"/>
    <col min="4" max="4" width="13.1640625" customWidth="1"/>
    <col min="5" max="5" width="12.33203125" customWidth="1"/>
    <col min="6" max="6" width="14" customWidth="1"/>
    <col min="9" max="10" width="12.33203125" bestFit="1" customWidth="1"/>
    <col min="11" max="11" width="16.5" customWidth="1"/>
    <col min="12" max="12" width="17.33203125" customWidth="1"/>
  </cols>
  <sheetData>
    <row r="1" spans="1:13" x14ac:dyDescent="0.2">
      <c r="A1" s="8" t="s">
        <v>0</v>
      </c>
      <c r="B1" s="16" t="s">
        <v>39</v>
      </c>
      <c r="C1" s="9" t="s">
        <v>147</v>
      </c>
      <c r="D1" s="9" t="s">
        <v>148</v>
      </c>
      <c r="E1" s="9" t="s">
        <v>149</v>
      </c>
      <c r="F1" s="9" t="s">
        <v>150</v>
      </c>
      <c r="G1" s="9" t="s">
        <v>151</v>
      </c>
      <c r="H1" s="9" t="s">
        <v>152</v>
      </c>
      <c r="I1" s="9" t="s">
        <v>7</v>
      </c>
      <c r="J1" s="9" t="s">
        <v>8</v>
      </c>
      <c r="K1" s="8" t="s">
        <v>159</v>
      </c>
      <c r="L1" s="50" t="s">
        <v>160</v>
      </c>
    </row>
    <row r="2" spans="1:13" x14ac:dyDescent="0.2">
      <c r="A2" s="22" t="s">
        <v>11</v>
      </c>
      <c r="B2" s="5" t="s">
        <v>40</v>
      </c>
      <c r="C2">
        <v>-82.331406188139653</v>
      </c>
      <c r="D2" s="44">
        <v>35.629269766211252</v>
      </c>
      <c r="E2" s="12">
        <v>-82.331404122266093</v>
      </c>
      <c r="F2" s="12">
        <v>35.629270750442601</v>
      </c>
      <c r="G2" s="12">
        <v>-82.331503120072298</v>
      </c>
      <c r="H2" s="12">
        <v>35.629301648655002</v>
      </c>
      <c r="I2" s="12">
        <f>SQRT((G2-E2)^2+(H2-F2)^2)</f>
        <v>1.037075945291152E-4</v>
      </c>
      <c r="J2" s="12">
        <f>SQRT((E2-C2)^2+(F2-D2)^2)</f>
        <v>2.2883498227403935E-6</v>
      </c>
      <c r="K2" s="13">
        <f>ABS(J2-I2)</f>
        <v>1.0141924470637481E-4</v>
      </c>
      <c r="L2" s="43">
        <f>K2*100000</f>
        <v>10.14192447063748</v>
      </c>
    </row>
    <row r="3" spans="1:13" x14ac:dyDescent="0.2">
      <c r="A3" s="22" t="s">
        <v>11</v>
      </c>
      <c r="B3" s="5" t="s">
        <v>42</v>
      </c>
      <c r="C3" s="44">
        <v>-82.331397155975893</v>
      </c>
      <c r="D3">
        <v>35.629227015774447</v>
      </c>
      <c r="E3" s="12">
        <v>-82.331389400198304</v>
      </c>
      <c r="F3" s="12">
        <v>35.629221306393298</v>
      </c>
      <c r="G3" s="12">
        <v>-82.332676241541094</v>
      </c>
      <c r="H3" s="12">
        <v>35.629713061369998</v>
      </c>
      <c r="I3" s="12">
        <f t="shared" ref="I3:I19" si="0">SQRT((G3-E3)^2+(H3-F3)^2)</f>
        <v>1.377600667327696E-3</v>
      </c>
      <c r="J3" s="12">
        <f t="shared" ref="J3:J19" si="1">SQRT((E3-C3)^2+(F3-D3)^2)</f>
        <v>9.6306344081628481E-6</v>
      </c>
      <c r="K3" s="13">
        <f t="shared" ref="K3:K19" si="2">ABS(J3-I3)</f>
        <v>1.3679700329195332E-3</v>
      </c>
      <c r="L3" s="43">
        <f t="shared" ref="L3:L19" si="3">K3*100000</f>
        <v>136.79700329195333</v>
      </c>
    </row>
    <row r="4" spans="1:13" x14ac:dyDescent="0.2">
      <c r="A4" s="22" t="s">
        <v>16</v>
      </c>
      <c r="B4" s="5" t="s">
        <v>40</v>
      </c>
      <c r="C4" s="12">
        <v>-82.332589882064013</v>
      </c>
      <c r="D4" s="12">
        <v>35.629685871824506</v>
      </c>
      <c r="E4" s="12">
        <v>-82.332676438000306</v>
      </c>
      <c r="F4" s="12">
        <v>35.629713052560398</v>
      </c>
      <c r="G4" s="12">
        <v>-82.332583470528505</v>
      </c>
      <c r="H4" s="12">
        <v>35.6296861655999</v>
      </c>
      <c r="I4" s="12">
        <f t="shared" si="0"/>
        <v>9.677737058769768E-5</v>
      </c>
      <c r="J4" s="12">
        <f t="shared" si="1"/>
        <v>9.0723329474868712E-5</v>
      </c>
      <c r="K4" s="13">
        <f t="shared" si="2"/>
        <v>6.0540411128289683E-6</v>
      </c>
      <c r="L4" s="43">
        <f t="shared" si="3"/>
        <v>0.60540411128289684</v>
      </c>
    </row>
    <row r="5" spans="1:13" x14ac:dyDescent="0.2">
      <c r="A5" s="22" t="s">
        <v>16</v>
      </c>
      <c r="B5" s="5" t="s">
        <v>40</v>
      </c>
      <c r="C5">
        <v>-82.332557293516828</v>
      </c>
      <c r="D5">
        <v>35.629683601224649</v>
      </c>
      <c r="E5" s="12">
        <v>-82.332676277523603</v>
      </c>
      <c r="F5" s="12">
        <v>35.629713004572103</v>
      </c>
      <c r="G5" s="12">
        <v>-82.332551060209497</v>
      </c>
      <c r="H5" s="12">
        <v>35.629684468064603</v>
      </c>
      <c r="I5" s="12">
        <f t="shared" si="0"/>
        <v>1.284278319229952E-4</v>
      </c>
      <c r="J5" s="12">
        <f t="shared" si="1"/>
        <v>1.2256325187357548E-4</v>
      </c>
      <c r="K5" s="13">
        <f t="shared" si="2"/>
        <v>5.8645800494197206E-6</v>
      </c>
      <c r="L5" s="43">
        <f t="shared" si="3"/>
        <v>0.58645800494197209</v>
      </c>
    </row>
    <row r="6" spans="1:13" x14ac:dyDescent="0.2">
      <c r="A6" s="22" t="s">
        <v>16</v>
      </c>
      <c r="B6" s="5" t="s">
        <v>43</v>
      </c>
      <c r="C6" s="12">
        <v>-82.332598415810878</v>
      </c>
      <c r="D6" s="12">
        <v>35.629666752989564</v>
      </c>
      <c r="E6" s="12">
        <v>-82.332676241541094</v>
      </c>
      <c r="F6" s="12">
        <v>35.629713061369998</v>
      </c>
      <c r="G6" s="12">
        <v>-82.332593922284801</v>
      </c>
      <c r="H6" s="12">
        <v>35.6296617548185</v>
      </c>
      <c r="I6" s="12">
        <f t="shared" si="0"/>
        <v>9.6999083414743968E-5</v>
      </c>
      <c r="J6" s="12">
        <f t="shared" si="1"/>
        <v>9.0561086466523045E-5</v>
      </c>
      <c r="K6" s="13">
        <f t="shared" si="2"/>
        <v>6.4379969482209235E-6</v>
      </c>
      <c r="L6" s="43">
        <f t="shared" si="3"/>
        <v>0.64379969482209232</v>
      </c>
    </row>
    <row r="7" spans="1:13" x14ac:dyDescent="0.2">
      <c r="A7" s="22" t="s">
        <v>18</v>
      </c>
      <c r="B7" s="6" t="s">
        <v>40</v>
      </c>
      <c r="C7" s="12">
        <v>-82.332904297432862</v>
      </c>
      <c r="D7" s="12">
        <v>35.629778762936127</v>
      </c>
      <c r="E7" s="12">
        <v>-82.332951465280601</v>
      </c>
      <c r="F7" s="12">
        <v>35.629822442892802</v>
      </c>
      <c r="G7" s="12">
        <v>-82.332898768213198</v>
      </c>
      <c r="H7" s="12">
        <v>35.629771332690098</v>
      </c>
      <c r="I7" s="12">
        <f t="shared" si="0"/>
        <v>7.3411400568345074E-5</v>
      </c>
      <c r="J7" s="12">
        <f t="shared" si="1"/>
        <v>6.4286425282277697E-5</v>
      </c>
      <c r="K7" s="13">
        <f t="shared" si="2"/>
        <v>9.1249752860673766E-6</v>
      </c>
      <c r="L7" s="43">
        <f t="shared" si="3"/>
        <v>0.91249752860673761</v>
      </c>
    </row>
    <row r="8" spans="1:13" ht="21" hidden="1" customHeight="1" x14ac:dyDescent="0.2">
      <c r="A8" s="23" t="s">
        <v>19</v>
      </c>
      <c r="B8" s="5" t="s">
        <v>40</v>
      </c>
      <c r="C8" s="12">
        <v>-82.333369114815071</v>
      </c>
      <c r="D8">
        <v>35.630450661435546</v>
      </c>
      <c r="E8" s="12"/>
      <c r="F8" s="12"/>
      <c r="G8" s="12"/>
      <c r="H8" s="12"/>
      <c r="I8" s="12">
        <f t="shared" si="0"/>
        <v>0</v>
      </c>
      <c r="J8" s="12">
        <f t="shared" si="1"/>
        <v>89.712388688148181</v>
      </c>
      <c r="K8" s="13">
        <f t="shared" si="2"/>
        <v>89.712388688148181</v>
      </c>
      <c r="L8" s="43">
        <f t="shared" si="3"/>
        <v>8971238.8688148186</v>
      </c>
      <c r="M8">
        <f>0.0000512853676095165/0.00345</f>
        <v>1.486532394478739E-2</v>
      </c>
    </row>
    <row r="9" spans="1:13" hidden="1" x14ac:dyDescent="0.2">
      <c r="A9" s="23" t="s">
        <v>19</v>
      </c>
      <c r="B9" s="6" t="s">
        <v>41</v>
      </c>
      <c r="C9" s="12"/>
      <c r="D9" s="12"/>
      <c r="E9" s="12"/>
      <c r="F9" s="12"/>
      <c r="G9" s="12"/>
      <c r="H9" s="12"/>
      <c r="I9" s="12">
        <f t="shared" si="0"/>
        <v>0</v>
      </c>
      <c r="J9" s="12">
        <f t="shared" si="1"/>
        <v>0</v>
      </c>
      <c r="K9" s="13">
        <f t="shared" si="2"/>
        <v>0</v>
      </c>
      <c r="L9" s="43">
        <f t="shared" si="3"/>
        <v>0</v>
      </c>
    </row>
    <row r="10" spans="1:13" hidden="1" x14ac:dyDescent="0.2">
      <c r="A10" s="23" t="s">
        <v>19</v>
      </c>
      <c r="B10" s="6" t="s">
        <v>41</v>
      </c>
      <c r="C10" s="12"/>
      <c r="D10" s="12"/>
      <c r="E10" s="12"/>
      <c r="F10" s="12"/>
      <c r="G10" s="12"/>
      <c r="H10" s="12"/>
      <c r="I10" s="12">
        <f t="shared" si="0"/>
        <v>0</v>
      </c>
      <c r="J10" s="12">
        <f t="shared" si="1"/>
        <v>0</v>
      </c>
      <c r="K10" s="13">
        <f t="shared" si="2"/>
        <v>0</v>
      </c>
      <c r="L10" s="43">
        <f t="shared" si="3"/>
        <v>0</v>
      </c>
    </row>
    <row r="11" spans="1:13" x14ac:dyDescent="0.2">
      <c r="A11" s="23" t="s">
        <v>20</v>
      </c>
      <c r="B11" s="5" t="s">
        <v>40</v>
      </c>
      <c r="C11">
        <v>-82.334337452014907</v>
      </c>
      <c r="D11" s="12">
        <v>35.632042366794792</v>
      </c>
      <c r="E11" s="12">
        <v>-82.334395013200194</v>
      </c>
      <c r="F11" s="12">
        <v>35.6321257805279</v>
      </c>
      <c r="G11" s="12">
        <v>-82.334331705436597</v>
      </c>
      <c r="H11" s="12">
        <v>35.632029510879597</v>
      </c>
      <c r="I11" s="12">
        <f t="shared" si="0"/>
        <v>1.1522030253382118E-4</v>
      </c>
      <c r="J11" s="12">
        <f t="shared" si="1"/>
        <v>1.0134663745119143E-4</v>
      </c>
      <c r="K11" s="13">
        <f t="shared" si="2"/>
        <v>1.3873665082629751E-5</v>
      </c>
      <c r="L11" s="43">
        <f t="shared" si="3"/>
        <v>1.3873665082629751</v>
      </c>
    </row>
    <row r="12" spans="1:13" x14ac:dyDescent="0.2">
      <c r="A12" s="23" t="s">
        <v>21</v>
      </c>
      <c r="B12" s="5" t="s">
        <v>44</v>
      </c>
      <c r="C12" s="12">
        <v>-82.335348401593393</v>
      </c>
      <c r="D12" s="12">
        <v>35.633860250726897</v>
      </c>
      <c r="E12" s="12">
        <v>-82.335292099296495</v>
      </c>
      <c r="F12" s="12">
        <v>35.633874429778402</v>
      </c>
      <c r="G12" s="12">
        <v>-82.335359792887303</v>
      </c>
      <c r="H12" s="12">
        <v>35.633856239881197</v>
      </c>
      <c r="I12" s="12">
        <f t="shared" si="0"/>
        <v>7.0094897080471779E-5</v>
      </c>
      <c r="J12" s="12">
        <f t="shared" si="1"/>
        <v>5.8060262981737891E-5</v>
      </c>
      <c r="K12" s="13">
        <f t="shared" si="2"/>
        <v>1.2034634098733889E-5</v>
      </c>
      <c r="L12" s="43">
        <f t="shared" si="3"/>
        <v>1.203463409873389</v>
      </c>
    </row>
    <row r="13" spans="1:13" x14ac:dyDescent="0.2">
      <c r="A13" s="23" t="s">
        <v>21</v>
      </c>
      <c r="B13" s="6" t="s">
        <v>44</v>
      </c>
      <c r="C13" s="12">
        <v>-82.3353708740066</v>
      </c>
      <c r="D13" s="12">
        <v>35.633876158751903</v>
      </c>
      <c r="E13" s="12">
        <v>-82.335292054012797</v>
      </c>
      <c r="F13" s="12">
        <v>35.633874420937602</v>
      </c>
      <c r="G13" s="12">
        <v>-82.335377727488705</v>
      </c>
      <c r="H13" s="12">
        <v>35.633871994726</v>
      </c>
      <c r="I13" s="12">
        <f t="shared" si="0"/>
        <v>8.5707823312337967E-5</v>
      </c>
      <c r="J13" s="12">
        <f t="shared" si="1"/>
        <v>7.883914904178119E-5</v>
      </c>
      <c r="K13" s="13">
        <f t="shared" si="2"/>
        <v>6.8686742705567768E-6</v>
      </c>
      <c r="L13" s="43">
        <f t="shared" si="3"/>
        <v>0.68686742705567772</v>
      </c>
    </row>
    <row r="14" spans="1:13" x14ac:dyDescent="0.2">
      <c r="A14" s="23" t="s">
        <v>22</v>
      </c>
      <c r="B14" s="5" t="s">
        <v>44</v>
      </c>
      <c r="C14" s="12">
        <v>-82.334973957022271</v>
      </c>
      <c r="D14" s="12">
        <v>35.63385548648742</v>
      </c>
      <c r="E14" s="12">
        <v>-82.334894021820503</v>
      </c>
      <c r="F14" s="12">
        <v>35.633845810734798</v>
      </c>
      <c r="G14" s="12">
        <v>-82.334982729801396</v>
      </c>
      <c r="H14" s="12">
        <v>35.633854062069403</v>
      </c>
      <c r="I14" s="12">
        <f t="shared" si="0"/>
        <v>8.9090910854860506E-5</v>
      </c>
      <c r="J14" s="12">
        <f t="shared" si="1"/>
        <v>8.0518672806325562E-5</v>
      </c>
      <c r="K14" s="13">
        <f t="shared" si="2"/>
        <v>8.5722380485349435E-6</v>
      </c>
      <c r="L14" s="43">
        <f t="shared" si="3"/>
        <v>0.85722380485349436</v>
      </c>
    </row>
    <row r="15" spans="1:13" x14ac:dyDescent="0.2">
      <c r="A15" s="23" t="s">
        <v>22</v>
      </c>
      <c r="B15" s="5" t="s">
        <v>44</v>
      </c>
      <c r="C15" s="12">
        <v>-82.335016978021443</v>
      </c>
      <c r="D15" s="12">
        <v>35.633858238244912</v>
      </c>
      <c r="E15" s="12">
        <v>-82.334894021820503</v>
      </c>
      <c r="F15" s="12">
        <v>35.633845810734798</v>
      </c>
      <c r="G15" s="12">
        <v>-82.335025895113802</v>
      </c>
      <c r="H15" s="12">
        <v>35.633855704552502</v>
      </c>
      <c r="I15" s="12">
        <f t="shared" si="0"/>
        <v>1.3224391522565255E-4</v>
      </c>
      <c r="J15" s="12">
        <f t="shared" si="1"/>
        <v>1.2358264585783942E-4</v>
      </c>
      <c r="K15" s="13">
        <f t="shared" si="2"/>
        <v>8.6612693678131338E-6</v>
      </c>
      <c r="L15" s="43">
        <f t="shared" si="3"/>
        <v>0.86612693678131336</v>
      </c>
    </row>
    <row r="16" spans="1:13" x14ac:dyDescent="0.2">
      <c r="A16" s="23" t="s">
        <v>23</v>
      </c>
      <c r="B16" s="6" t="s">
        <v>45</v>
      </c>
      <c r="C16" s="12">
        <v>-82.335595480085217</v>
      </c>
      <c r="D16" s="12">
        <v>35.633769864861598</v>
      </c>
      <c r="E16" s="12">
        <v>-82.335679732439502</v>
      </c>
      <c r="F16" s="12">
        <v>35.633786621527797</v>
      </c>
      <c r="G16" s="12">
        <v>-82.335593789692595</v>
      </c>
      <c r="H16" s="12">
        <v>35.633802727197697</v>
      </c>
      <c r="I16" s="12">
        <f t="shared" si="0"/>
        <v>8.7438826323249733E-5</v>
      </c>
      <c r="J16" s="12">
        <f t="shared" si="1"/>
        <v>8.5902532352334217E-5</v>
      </c>
      <c r="K16" s="13">
        <f t="shared" si="2"/>
        <v>1.5362939709155155E-6</v>
      </c>
      <c r="L16" s="43">
        <f t="shared" si="3"/>
        <v>0.15362939709155154</v>
      </c>
    </row>
    <row r="17" spans="1:12" hidden="1" x14ac:dyDescent="0.2">
      <c r="A17" s="23" t="s">
        <v>26</v>
      </c>
      <c r="B17" s="5" t="s">
        <v>41</v>
      </c>
      <c r="C17" s="12"/>
      <c r="D17" s="12"/>
      <c r="E17" s="12"/>
      <c r="F17" s="12"/>
      <c r="G17" s="12"/>
      <c r="H17" s="12"/>
      <c r="I17" s="12">
        <f t="shared" si="0"/>
        <v>0</v>
      </c>
      <c r="J17" s="12">
        <f t="shared" si="1"/>
        <v>0</v>
      </c>
      <c r="K17" s="13">
        <f t="shared" si="2"/>
        <v>0</v>
      </c>
      <c r="L17" s="43">
        <f t="shared" si="3"/>
        <v>0</v>
      </c>
    </row>
    <row r="18" spans="1:12" hidden="1" x14ac:dyDescent="0.2">
      <c r="A18" s="23" t="s">
        <v>26</v>
      </c>
      <c r="B18" s="5" t="s">
        <v>41</v>
      </c>
      <c r="C18" s="12"/>
      <c r="D18" s="12"/>
      <c r="E18" s="12"/>
      <c r="F18" s="12"/>
      <c r="G18" s="12"/>
      <c r="H18" s="12"/>
      <c r="I18" s="12">
        <f t="shared" si="0"/>
        <v>0</v>
      </c>
      <c r="J18" s="12">
        <f t="shared" si="1"/>
        <v>0</v>
      </c>
      <c r="K18" s="13">
        <f t="shared" si="2"/>
        <v>0</v>
      </c>
      <c r="L18" s="43">
        <f t="shared" si="3"/>
        <v>0</v>
      </c>
    </row>
    <row r="19" spans="1:12" x14ac:dyDescent="0.2">
      <c r="A19" s="23" t="s">
        <v>26</v>
      </c>
      <c r="B19" s="5" t="s">
        <v>40</v>
      </c>
      <c r="C19" s="12">
        <v>-82.339442039986523</v>
      </c>
      <c r="D19" s="12">
        <v>35.636925726907549</v>
      </c>
      <c r="E19" s="12">
        <v>-82.339439218564195</v>
      </c>
      <c r="F19" s="12">
        <v>35.636974260530401</v>
      </c>
      <c r="G19" s="12">
        <v>-82.339446601231103</v>
      </c>
      <c r="H19" s="12">
        <v>35.636916454983798</v>
      </c>
      <c r="I19" s="12">
        <f t="shared" si="0"/>
        <v>5.8275080341582644E-5</v>
      </c>
      <c r="J19" s="12">
        <f t="shared" si="1"/>
        <v>4.861556305452915E-5</v>
      </c>
      <c r="K19" s="13">
        <f t="shared" si="2"/>
        <v>9.6595172870534937E-6</v>
      </c>
      <c r="L19" s="43">
        <f t="shared" si="3"/>
        <v>0.9659517287053494</v>
      </c>
    </row>
    <row r="21" spans="1:12" x14ac:dyDescent="0.2">
      <c r="J21" s="7" t="s">
        <v>37</v>
      </c>
      <c r="K21">
        <f>AVERAGE(K3,K2,K4,K5,K6,K8,K7,K11,K12,K13,K15,K14,K16,K19)</f>
        <v>6.408139054665094</v>
      </c>
    </row>
    <row r="22" spans="1:12" x14ac:dyDescent="0.2">
      <c r="J22" s="7" t="s">
        <v>38</v>
      </c>
      <c r="K22">
        <f>STDEV(K2,K3,K4,K5,K6,K7,K8,K11,K12,K13,K14,K15,K16,K19)</f>
        <v>23.976612386626478</v>
      </c>
    </row>
    <row r="23" spans="1:12" ht="23" x14ac:dyDescent="0.25">
      <c r="G23" s="49" t="s">
        <v>153</v>
      </c>
    </row>
    <row r="24" spans="1:12" x14ac:dyDescent="0.2">
      <c r="D24">
        <v>-82.332676438000306</v>
      </c>
    </row>
    <row r="25" spans="1:12" x14ac:dyDescent="0.2">
      <c r="B25">
        <f>B26*100000</f>
        <v>8.7438826323249739</v>
      </c>
    </row>
    <row r="26" spans="1:12" x14ac:dyDescent="0.2">
      <c r="B26" s="12">
        <v>8.7438826323249733E-5</v>
      </c>
    </row>
    <row r="27" spans="1:12" x14ac:dyDescent="0.2">
      <c r="C27">
        <f>6.4484214251901/D27</f>
        <v>110654.86975551679</v>
      </c>
      <c r="D27" s="12">
        <f>0.0000582750803415826</f>
        <v>5.8275080341582603E-5</v>
      </c>
      <c r="G27" s="12">
        <f>-82.3313894001983*(10000/90)</f>
        <v>-9147.9321555775896</v>
      </c>
      <c r="H27" s="12">
        <f>35.6292213063933*(10000/90)</f>
        <v>3958.8023673770331</v>
      </c>
      <c r="I27" s="12">
        <f>-82.3326762415411*(10000/90)</f>
        <v>-9148.0751379490102</v>
      </c>
      <c r="J27" s="12">
        <f>35.62971306137*(10000/90)</f>
        <v>3958.8570068188887</v>
      </c>
      <c r="K27">
        <f>SQRT((G27-I27)^2+(H27-J27)^2)</f>
        <v>0.15306674081384916</v>
      </c>
    </row>
    <row r="28" spans="1:12" x14ac:dyDescent="0.2">
      <c r="C28">
        <v>110654.86975551679</v>
      </c>
      <c r="D28">
        <f>C28*D27</f>
        <v>6.4484214251900998</v>
      </c>
      <c r="G28" s="44">
        <f>-82.3313971559759*(10000/90)</f>
        <v>-9147.9330173306571</v>
      </c>
      <c r="H28">
        <f>35.6292270157744*(10000/90)</f>
        <v>3958.8030017527108</v>
      </c>
      <c r="I28" s="12">
        <f>-82.3313894001983*(10000/90)</f>
        <v>-9147.9321555775896</v>
      </c>
      <c r="J28" s="12">
        <f>35.6292213063933*(10000/90)</f>
        <v>3958.8023673770331</v>
      </c>
      <c r="K28">
        <f>SQRT((G28-I28)^2+(H28-J28)^2)</f>
        <v>1.0700704882441628E-3</v>
      </c>
    </row>
    <row r="30" spans="1:12" x14ac:dyDescent="0.2">
      <c r="G30">
        <f>10000/90</f>
        <v>111.11111111111111</v>
      </c>
    </row>
    <row r="31" spans="1:12" x14ac:dyDescent="0.2">
      <c r="B31" t="s">
        <v>154</v>
      </c>
      <c r="C31" t="s">
        <v>155</v>
      </c>
      <c r="D31" t="s">
        <v>156</v>
      </c>
      <c r="E31" t="s">
        <v>157</v>
      </c>
    </row>
    <row r="32" spans="1:12" x14ac:dyDescent="0.2">
      <c r="B32" s="44"/>
      <c r="D32" s="12"/>
      <c r="E32" s="12"/>
      <c r="F32" s="12"/>
    </row>
    <row r="33" spans="2:15" x14ac:dyDescent="0.2">
      <c r="B33" s="44">
        <f>-82.3313971559759</f>
        <v>-82.331397155975907</v>
      </c>
      <c r="C33">
        <v>35.629227015774447</v>
      </c>
      <c r="D33" s="12">
        <v>-82.331389400198304</v>
      </c>
      <c r="E33" s="12">
        <v>35.629221306393298</v>
      </c>
      <c r="F33" s="12">
        <v>-82.331389400198304</v>
      </c>
      <c r="G33" s="12">
        <v>35.629221306393298</v>
      </c>
      <c r="H33" s="12">
        <v>-82.332676241541094</v>
      </c>
      <c r="I33" s="12">
        <v>35.629713061369998</v>
      </c>
    </row>
    <row r="34" spans="2:15" x14ac:dyDescent="0.2">
      <c r="B34">
        <f>B33*1111139</f>
        <v>-91481626.304493919</v>
      </c>
      <c r="C34">
        <f t="shared" ref="C34:I34" si="4">C33*1111139</f>
        <v>39589023.677080601</v>
      </c>
      <c r="D34">
        <f t="shared" si="4"/>
        <v>-91481617.68674694</v>
      </c>
      <c r="E34">
        <f t="shared" si="4"/>
        <v>39589017.333164543</v>
      </c>
      <c r="F34">
        <f t="shared" si="4"/>
        <v>-91481617.68674694</v>
      </c>
      <c r="G34">
        <f t="shared" si="4"/>
        <v>39589017.333164543</v>
      </c>
      <c r="H34">
        <f t="shared" si="4"/>
        <v>-91483047.546349734</v>
      </c>
      <c r="I34">
        <f t="shared" si="4"/>
        <v>39589563.741297595</v>
      </c>
    </row>
    <row r="35" spans="2:15" x14ac:dyDescent="0.2">
      <c r="I35">
        <v>3.4499999999999999E-3</v>
      </c>
    </row>
    <row r="36" spans="2:15" x14ac:dyDescent="0.2">
      <c r="F36">
        <f>SQRT((F34-H34)^2+(G34-I34)^2)</f>
        <v>1530.7058279003352</v>
      </c>
      <c r="K36">
        <f>SQRT((E41-G41)^2+(F41-H41)^2)</f>
        <v>89.710083555122367</v>
      </c>
    </row>
    <row r="37" spans="2:15" x14ac:dyDescent="0.2">
      <c r="F37">
        <v>1.0700704914792466E-3</v>
      </c>
      <c r="K37">
        <f>K36*1111139</f>
        <v>99680372.531355113</v>
      </c>
    </row>
    <row r="38" spans="2:15" x14ac:dyDescent="0.2">
      <c r="F38">
        <f>F36-F37</f>
        <v>1530.7047578298436</v>
      </c>
    </row>
    <row r="40" spans="2:15" x14ac:dyDescent="0.2">
      <c r="E40" t="s">
        <v>158</v>
      </c>
      <c r="G40" t="s">
        <v>118</v>
      </c>
      <c r="H40" t="s">
        <v>122</v>
      </c>
      <c r="I40" t="s">
        <v>118</v>
      </c>
      <c r="J40" t="s">
        <v>123</v>
      </c>
      <c r="N40">
        <v>100000</v>
      </c>
    </row>
    <row r="41" spans="2:15" x14ac:dyDescent="0.2">
      <c r="G41">
        <v>-82.331389400198304</v>
      </c>
      <c r="H41">
        <v>35.629221306393298</v>
      </c>
      <c r="I41">
        <v>-82.331503071244498</v>
      </c>
      <c r="J41">
        <v>35.629301625240402</v>
      </c>
      <c r="K41" s="47">
        <f>SQRT((I41-G41)^2+(J41-H41)^2)</f>
        <v>1.3918413682181317E-4</v>
      </c>
      <c r="L41" s="47">
        <v>1.3918413680541101E-4</v>
      </c>
      <c r="N41" s="47">
        <f>13.6175942670436/L41</f>
        <v>97838.69469321733</v>
      </c>
    </row>
    <row r="42" spans="2:15" x14ac:dyDescent="0.2">
      <c r="G42">
        <v>-82.331409173074704</v>
      </c>
      <c r="H42">
        <v>35.629226044901301</v>
      </c>
      <c r="I42">
        <v>-82.331503052449307</v>
      </c>
      <c r="J42">
        <v>35.629301606830801</v>
      </c>
      <c r="K42" s="47">
        <f>K41*100000</f>
        <v>13.918413682181317</v>
      </c>
      <c r="L42" s="47">
        <v>13.6175942670436</v>
      </c>
      <c r="N42">
        <f>N40-N41</f>
        <v>2161.3053067826695</v>
      </c>
    </row>
    <row r="43" spans="2:15" x14ac:dyDescent="0.2">
      <c r="O43">
        <v>100000</v>
      </c>
    </row>
    <row r="44" spans="2:15" x14ac:dyDescent="0.2">
      <c r="K44">
        <f>SQRT((I42-G42)^2+(J42-H42)^2)</f>
        <v>1.2051117029345925E-4</v>
      </c>
      <c r="L44">
        <v>1.20511170253362E-4</v>
      </c>
      <c r="O44">
        <f>11.9417158032757/K44</f>
        <v>99092.190161262071</v>
      </c>
    </row>
    <row r="45" spans="2:15" x14ac:dyDescent="0.2">
      <c r="K45">
        <f>K44*N41</f>
        <v>11.790655597464081</v>
      </c>
      <c r="O45">
        <f>O43-O44</f>
        <v>907.80983873792866</v>
      </c>
    </row>
  </sheetData>
  <autoFilter ref="A1:K19" xr:uid="{41783311-D67F-EA45-9CE0-C29F441FDF0B}"/>
  <conditionalFormatting sqref="N7">
    <cfRule type="colorScale" priority="6">
      <colorScale>
        <cfvo type="min"/>
        <cfvo type="max"/>
        <color rgb="FFF8696B"/>
        <color rgb="FFFCFCFF"/>
      </colorScale>
    </cfRule>
  </conditionalFormatting>
  <conditionalFormatting sqref="N7">
    <cfRule type="colorScale" priority="5">
      <colorScale>
        <cfvo type="min"/>
        <cfvo type="max"/>
        <color rgb="FFFCFCFF"/>
        <color rgb="FFF8696B"/>
      </colorScale>
    </cfRule>
  </conditionalFormatting>
  <conditionalFormatting sqref="K2:K19">
    <cfRule type="colorScale" priority="4">
      <colorScale>
        <cfvo type="min"/>
        <cfvo type="max"/>
        <color rgb="FFF8696B"/>
        <color rgb="FFFCFCFF"/>
      </colorScale>
    </cfRule>
  </conditionalFormatting>
  <conditionalFormatting sqref="K2:K19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02C6A867-7A99-4446-B8CC-5AE30A642BE6}">
          <xm:f>'Cracks (3)'!1:1048576</xm:f>
        </x15:webExtension>
        <x15:webExtension appRef="{2D53E8E3-3B6B-3340-8528-361E34578C9A}">
          <xm:f>'Cracks (3)'!XFD1048550:XFD1048575</xm:f>
        </x15:webExtension>
        <x15:webExtension appRef="{B52744DD-8F35-4F4F-BD9C-BA7ED60ACA2E}">
          <xm:f>'Cracks (3)'!$I$41</xm:f>
        </x15:webExtension>
      </x15:webExtens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6394-BC44-834F-9A9A-AE5C3C0C3F1A}">
  <dimension ref="A2:V17"/>
  <sheetViews>
    <sheetView workbookViewId="0">
      <selection activeCell="C25" sqref="C25"/>
    </sheetView>
  </sheetViews>
  <sheetFormatPr baseColWidth="10" defaultRowHeight="16" x14ac:dyDescent="0.2"/>
  <cols>
    <col min="2" max="2" width="14" customWidth="1"/>
    <col min="10" max="11" width="14.5" customWidth="1"/>
    <col min="12" max="12" width="13.33203125" customWidth="1"/>
    <col min="13" max="13" width="12.83203125" customWidth="1"/>
    <col min="14" max="14" width="16" customWidth="1"/>
    <col min="15" max="15" width="24" customWidth="1"/>
    <col min="18" max="18" width="16.1640625" customWidth="1"/>
    <col min="19" max="19" width="71.1640625" customWidth="1"/>
  </cols>
  <sheetData>
    <row r="2" spans="1:22" x14ac:dyDescent="0.2"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</row>
    <row r="3" spans="1:22" x14ac:dyDescent="0.2">
      <c r="A3" t="s">
        <v>142</v>
      </c>
      <c r="B3">
        <v>-82.339430016345801</v>
      </c>
      <c r="C3">
        <v>-82.339448972851002</v>
      </c>
      <c r="D3">
        <v>-82.339454063631393</v>
      </c>
      <c r="E3">
        <v>-82.339435107119996</v>
      </c>
      <c r="F3">
        <v>35.6369138008099</v>
      </c>
      <c r="G3">
        <v>35.636911355294103</v>
      </c>
      <c r="H3">
        <v>35.636937653005198</v>
      </c>
      <c r="I3">
        <v>35.636940098521002</v>
      </c>
      <c r="J3">
        <f>(B3+C3+E3)/3</f>
        <v>-82.339438032105591</v>
      </c>
      <c r="K3">
        <f>(F3+G3+I3)/3</f>
        <v>35.636921751541671</v>
      </c>
      <c r="L3">
        <f>(C3+D3+E3)/3</f>
        <v>-82.339446047867455</v>
      </c>
      <c r="M3">
        <f>(G3+H3+I3)/3</f>
        <v>35.636929702273427</v>
      </c>
      <c r="N3">
        <f>(J3+L3)/2</f>
        <v>-82.339442039986523</v>
      </c>
      <c r="O3">
        <f>(K3+M3)/2</f>
        <v>35.636925726907549</v>
      </c>
      <c r="P3" t="s">
        <v>71</v>
      </c>
      <c r="Q3" t="s">
        <v>72</v>
      </c>
      <c r="R3" s="48" t="s">
        <v>73</v>
      </c>
      <c r="S3" t="s">
        <v>74</v>
      </c>
      <c r="T3">
        <v>741</v>
      </c>
      <c r="U3" s="46">
        <v>5.10681275045499E-10</v>
      </c>
      <c r="V3" s="46">
        <v>9.1799046669744505E-5</v>
      </c>
    </row>
    <row r="4" spans="1:22" x14ac:dyDescent="0.2">
      <c r="A4" t="s">
        <v>126</v>
      </c>
      <c r="B4">
        <v>-82.331399103890902</v>
      </c>
      <c r="C4">
        <v>-82.331404485575703</v>
      </c>
      <c r="D4">
        <v>-82.331413272388602</v>
      </c>
      <c r="E4">
        <v>-82.331407890703503</v>
      </c>
      <c r="F4">
        <v>35.629272872984998</v>
      </c>
      <c r="G4">
        <v>35.629263349699698</v>
      </c>
      <c r="H4">
        <v>35.629266659437498</v>
      </c>
      <c r="I4">
        <v>35.629276182722798</v>
      </c>
      <c r="J4">
        <f t="shared" ref="J4:J17" si="0">(B4+C4+E4)/3</f>
        <v>-82.33140382672336</v>
      </c>
      <c r="K4">
        <f t="shared" ref="K4:K17" si="1">(F4+G4+I4)/3</f>
        <v>35.629270801802498</v>
      </c>
      <c r="L4">
        <f t="shared" ref="L4:L17" si="2">(C4+D4+E4)/3</f>
        <v>-82.331408549555945</v>
      </c>
      <c r="M4">
        <f t="shared" ref="M4:M17" si="3">(G4+H4+I4)/3</f>
        <v>35.629268730619998</v>
      </c>
      <c r="N4">
        <f t="shared" ref="N4:N17" si="4">(J4+L4)/2</f>
        <v>-82.331406188139653</v>
      </c>
      <c r="O4">
        <f t="shared" ref="O4:O17" si="5">(K4+M4)/2</f>
        <v>35.629269766211252</v>
      </c>
      <c r="P4" t="s">
        <v>71</v>
      </c>
      <c r="Q4" t="s">
        <v>76</v>
      </c>
      <c r="R4" s="48" t="s">
        <v>77</v>
      </c>
      <c r="S4" t="s">
        <v>78</v>
      </c>
      <c r="T4">
        <v>717</v>
      </c>
      <c r="U4" s="46">
        <v>1.0140865924768099E-10</v>
      </c>
      <c r="V4" s="46">
        <v>4.0656402459843099E-5</v>
      </c>
    </row>
    <row r="5" spans="1:22" x14ac:dyDescent="0.2">
      <c r="A5" t="s">
        <v>127</v>
      </c>
      <c r="B5">
        <v>-82.331385977069004</v>
      </c>
      <c r="C5">
        <v>-82.331397537530094</v>
      </c>
      <c r="D5">
        <v>-82.331408334883207</v>
      </c>
      <c r="E5">
        <v>-82.331396774421506</v>
      </c>
      <c r="F5">
        <v>35.629235210799699</v>
      </c>
      <c r="G5">
        <v>35.629214753696097</v>
      </c>
      <c r="H5">
        <v>35.629218820749202</v>
      </c>
      <c r="I5">
        <v>35.629239277852797</v>
      </c>
      <c r="J5">
        <f t="shared" si="0"/>
        <v>-82.331393429673525</v>
      </c>
      <c r="K5">
        <f t="shared" si="1"/>
        <v>35.629229747449529</v>
      </c>
      <c r="L5">
        <f t="shared" si="2"/>
        <v>-82.33140088227826</v>
      </c>
      <c r="M5">
        <f t="shared" si="3"/>
        <v>35.629224284099365</v>
      </c>
      <c r="N5">
        <f t="shared" si="4"/>
        <v>-82.331397155975893</v>
      </c>
      <c r="O5">
        <f t="shared" si="5"/>
        <v>35.629227015774447</v>
      </c>
      <c r="P5" t="s">
        <v>80</v>
      </c>
      <c r="R5" s="48" t="s">
        <v>77</v>
      </c>
      <c r="S5" t="s">
        <v>81</v>
      </c>
      <c r="T5">
        <v>717</v>
      </c>
      <c r="U5" s="46">
        <v>2.67846189672127E-10</v>
      </c>
      <c r="V5" s="46">
        <v>7.0071059323657803E-5</v>
      </c>
    </row>
    <row r="6" spans="1:22" x14ac:dyDescent="0.2">
      <c r="A6" t="s">
        <v>128</v>
      </c>
      <c r="B6">
        <v>-82.332581355017794</v>
      </c>
      <c r="C6">
        <v>-82.332588131553507</v>
      </c>
      <c r="D6">
        <v>-82.332615476604502</v>
      </c>
      <c r="E6">
        <v>-82.332608700067993</v>
      </c>
      <c r="F6">
        <v>35.629668648114603</v>
      </c>
      <c r="G6">
        <v>35.629655478924199</v>
      </c>
      <c r="H6">
        <v>35.629664857864597</v>
      </c>
      <c r="I6">
        <v>35.629678027054901</v>
      </c>
      <c r="J6">
        <f t="shared" si="0"/>
        <v>-82.33259272887976</v>
      </c>
      <c r="K6">
        <f t="shared" si="1"/>
        <v>35.629667384697903</v>
      </c>
      <c r="L6">
        <f t="shared" si="2"/>
        <v>-82.332604102741996</v>
      </c>
      <c r="M6">
        <f t="shared" si="3"/>
        <v>35.629666121281225</v>
      </c>
      <c r="N6">
        <f t="shared" si="4"/>
        <v>-82.332598415810878</v>
      </c>
      <c r="O6">
        <f t="shared" si="5"/>
        <v>35.629666752989564</v>
      </c>
      <c r="P6" t="s">
        <v>83</v>
      </c>
      <c r="Q6" t="s">
        <v>84</v>
      </c>
      <c r="R6" s="48" t="s">
        <v>85</v>
      </c>
      <c r="S6" t="s">
        <v>86</v>
      </c>
      <c r="T6">
        <v>715</v>
      </c>
      <c r="U6" s="46">
        <v>4.2359715735074102E-10</v>
      </c>
      <c r="V6" s="46">
        <v>8.7438388868740294E-5</v>
      </c>
    </row>
    <row r="7" spans="1:22" x14ac:dyDescent="0.2">
      <c r="A7" t="s">
        <v>129</v>
      </c>
      <c r="B7">
        <v>-82.332580284843004</v>
      </c>
      <c r="C7">
        <v>-82.3325925990397</v>
      </c>
      <c r="D7">
        <v>-82.332599479285307</v>
      </c>
      <c r="E7">
        <v>-82.332587165088199</v>
      </c>
      <c r="F7">
        <v>35.629696657313602</v>
      </c>
      <c r="G7">
        <v>35.629672726514897</v>
      </c>
      <c r="H7">
        <v>35.629675086335403</v>
      </c>
      <c r="I7">
        <v>35.629699017134101</v>
      </c>
      <c r="J7">
        <f t="shared" si="0"/>
        <v>-82.332586682990296</v>
      </c>
      <c r="K7">
        <f t="shared" si="1"/>
        <v>35.629689466987536</v>
      </c>
      <c r="L7">
        <f t="shared" si="2"/>
        <v>-82.33259308113773</v>
      </c>
      <c r="M7">
        <f t="shared" si="3"/>
        <v>35.62968227666147</v>
      </c>
      <c r="N7">
        <f t="shared" si="4"/>
        <v>-82.332589882064013</v>
      </c>
      <c r="O7">
        <f t="shared" si="5"/>
        <v>35.629685871824506</v>
      </c>
      <c r="P7" t="s">
        <v>71</v>
      </c>
      <c r="Q7" t="s">
        <v>76</v>
      </c>
      <c r="R7" s="48" t="s">
        <v>85</v>
      </c>
      <c r="S7" t="s">
        <v>88</v>
      </c>
      <c r="T7">
        <v>715</v>
      </c>
      <c r="U7" s="46">
        <v>1.9372237147763299E-10</v>
      </c>
      <c r="V7" s="46">
        <v>6.8373858054267806E-5</v>
      </c>
    </row>
    <row r="8" spans="1:22" x14ac:dyDescent="0.2">
      <c r="A8" t="s">
        <v>130</v>
      </c>
      <c r="B8">
        <v>-82.332546924961505</v>
      </c>
      <c r="C8">
        <v>-82.332548306661593</v>
      </c>
      <c r="D8">
        <v>-82.332567662072194</v>
      </c>
      <c r="E8">
        <v>-82.332566280372006</v>
      </c>
      <c r="F8">
        <v>35.629681624478003</v>
      </c>
      <c r="G8">
        <v>35.629678939350697</v>
      </c>
      <c r="H8">
        <v>35.629685577971301</v>
      </c>
      <c r="I8">
        <v>35.6296882630986</v>
      </c>
      <c r="J8">
        <f t="shared" si="0"/>
        <v>-82.332553837331702</v>
      </c>
      <c r="K8">
        <f t="shared" si="1"/>
        <v>35.629682942309095</v>
      </c>
      <c r="L8">
        <f t="shared" si="2"/>
        <v>-82.33256074970194</v>
      </c>
      <c r="M8">
        <f t="shared" si="3"/>
        <v>35.629684260140202</v>
      </c>
      <c r="N8">
        <f t="shared" si="4"/>
        <v>-82.332557293516828</v>
      </c>
      <c r="O8">
        <f t="shared" si="5"/>
        <v>35.629683601224649</v>
      </c>
      <c r="P8" t="s">
        <v>71</v>
      </c>
      <c r="Q8" t="s">
        <v>76</v>
      </c>
      <c r="R8" s="48" t="s">
        <v>85</v>
      </c>
      <c r="S8" t="s">
        <v>90</v>
      </c>
      <c r="T8">
        <v>715</v>
      </c>
      <c r="U8" s="46">
        <v>6.0708771343342895E-11</v>
      </c>
      <c r="V8" s="46">
        <v>4.6964014538580002E-5</v>
      </c>
    </row>
    <row r="9" spans="1:22" x14ac:dyDescent="0.2">
      <c r="A9" t="s">
        <v>131</v>
      </c>
      <c r="B9">
        <v>-82.332892860855196</v>
      </c>
      <c r="C9">
        <v>-82.332906984562101</v>
      </c>
      <c r="D9">
        <v>-82.332915734011095</v>
      </c>
      <c r="E9">
        <v>-82.332901610303296</v>
      </c>
      <c r="F9">
        <v>35.629784756716802</v>
      </c>
      <c r="G9">
        <v>35.629767886698303</v>
      </c>
      <c r="H9">
        <v>35.629772769155501</v>
      </c>
      <c r="I9">
        <v>35.6297896391739</v>
      </c>
      <c r="J9">
        <f t="shared" si="0"/>
        <v>-82.332900485240202</v>
      </c>
      <c r="K9">
        <f t="shared" si="1"/>
        <v>35.629780760863007</v>
      </c>
      <c r="L9">
        <f t="shared" si="2"/>
        <v>-82.332908109625507</v>
      </c>
      <c r="M9">
        <f t="shared" si="3"/>
        <v>35.62977676500924</v>
      </c>
      <c r="N9">
        <f t="shared" si="4"/>
        <v>-82.332904297432862</v>
      </c>
      <c r="O9">
        <f t="shared" si="5"/>
        <v>35.629778762936127</v>
      </c>
      <c r="P9" t="s">
        <v>71</v>
      </c>
      <c r="Q9" t="s">
        <v>76</v>
      </c>
      <c r="R9" s="48" t="s">
        <v>92</v>
      </c>
      <c r="S9" t="s">
        <v>93</v>
      </c>
      <c r="T9">
        <v>714</v>
      </c>
      <c r="U9" s="46">
        <v>2.1645973902195599E-10</v>
      </c>
      <c r="V9" s="46">
        <v>6.4042568801267298E-5</v>
      </c>
    </row>
    <row r="10" spans="1:22" x14ac:dyDescent="0.2">
      <c r="A10" t="s">
        <v>132</v>
      </c>
      <c r="B10">
        <v>-82.333363460014496</v>
      </c>
      <c r="C10">
        <v>-82.333366439200006</v>
      </c>
      <c r="D10">
        <v>-82.333374769616199</v>
      </c>
      <c r="E10">
        <v>-82.333371790429894</v>
      </c>
      <c r="F10">
        <v>35.630440597408999</v>
      </c>
      <c r="G10">
        <v>35.630439806649697</v>
      </c>
      <c r="H10">
        <v>35.6304607254621</v>
      </c>
      <c r="I10">
        <v>35.630461516221402</v>
      </c>
      <c r="J10">
        <f t="shared" si="0"/>
        <v>-82.333367229881461</v>
      </c>
      <c r="K10">
        <f t="shared" si="1"/>
        <v>35.630447306760033</v>
      </c>
      <c r="L10">
        <f t="shared" si="2"/>
        <v>-82.333370999748695</v>
      </c>
      <c r="M10">
        <f t="shared" si="3"/>
        <v>35.630454016111067</v>
      </c>
      <c r="N10">
        <f t="shared" si="4"/>
        <v>-82.333369114815071</v>
      </c>
      <c r="O10">
        <f t="shared" si="5"/>
        <v>35.630450661435546</v>
      </c>
      <c r="P10" t="s">
        <v>71</v>
      </c>
      <c r="Q10" t="s">
        <v>76</v>
      </c>
      <c r="R10" s="48" t="s">
        <v>95</v>
      </c>
      <c r="S10" t="s">
        <v>96</v>
      </c>
      <c r="T10">
        <v>711</v>
      </c>
      <c r="U10" s="46">
        <v>6.9121597334742494E-11</v>
      </c>
      <c r="V10" s="46">
        <v>5.1197679171959799E-5</v>
      </c>
    </row>
    <row r="11" spans="1:22" x14ac:dyDescent="0.2">
      <c r="A11" t="s">
        <v>133</v>
      </c>
      <c r="B11">
        <v>-82.3343036418986</v>
      </c>
      <c r="C11">
        <v>-82.334342158950903</v>
      </c>
      <c r="D11">
        <v>-82.334371262142895</v>
      </c>
      <c r="E11">
        <v>-82.334332745073098</v>
      </c>
      <c r="F11">
        <v>35.632034319371101</v>
      </c>
      <c r="G11">
        <v>35.632013873173698</v>
      </c>
      <c r="H11">
        <v>35.632050414218597</v>
      </c>
      <c r="I11">
        <v>35.632070860415801</v>
      </c>
      <c r="J11">
        <f t="shared" si="0"/>
        <v>-82.334326181974191</v>
      </c>
      <c r="K11">
        <f t="shared" si="1"/>
        <v>35.632039684320205</v>
      </c>
      <c r="L11">
        <f t="shared" si="2"/>
        <v>-82.334348722055623</v>
      </c>
      <c r="M11">
        <f t="shared" si="3"/>
        <v>35.632045049269372</v>
      </c>
      <c r="N11">
        <f t="shared" si="4"/>
        <v>-82.334337452014907</v>
      </c>
      <c r="O11">
        <f t="shared" si="5"/>
        <v>35.632042366794792</v>
      </c>
      <c r="P11" t="s">
        <v>71</v>
      </c>
      <c r="Q11" t="s">
        <v>72</v>
      </c>
      <c r="R11" s="48" t="s">
        <v>98</v>
      </c>
      <c r="S11" t="s">
        <v>99</v>
      </c>
      <c r="T11">
        <v>709</v>
      </c>
      <c r="U11" s="46">
        <v>2.0022525859530999E-9</v>
      </c>
      <c r="V11">
        <v>1.8064390198997999E-4</v>
      </c>
    </row>
    <row r="12" spans="1:22" x14ac:dyDescent="0.2">
      <c r="A12" t="s">
        <v>134</v>
      </c>
      <c r="B12">
        <v>-82.335352547310805</v>
      </c>
      <c r="C12">
        <v>-82.335352132434707</v>
      </c>
      <c r="D12">
        <v>-82.335344255875896</v>
      </c>
      <c r="E12">
        <v>-82.335344670752093</v>
      </c>
      <c r="F12">
        <v>35.633854144864998</v>
      </c>
      <c r="G12">
        <v>35.633866532397498</v>
      </c>
      <c r="H12">
        <v>35.633866356588797</v>
      </c>
      <c r="I12">
        <v>35.633853969056297</v>
      </c>
      <c r="J12">
        <f t="shared" si="0"/>
        <v>-82.335349783499211</v>
      </c>
      <c r="K12">
        <f t="shared" si="1"/>
        <v>35.633858215439602</v>
      </c>
      <c r="L12">
        <f t="shared" si="2"/>
        <v>-82.335347019687561</v>
      </c>
      <c r="M12">
        <f t="shared" si="3"/>
        <v>35.6338622860142</v>
      </c>
      <c r="N12">
        <f t="shared" si="4"/>
        <v>-82.335348401593393</v>
      </c>
      <c r="O12">
        <f t="shared" si="5"/>
        <v>35.633860250726897</v>
      </c>
      <c r="P12" t="s">
        <v>101</v>
      </c>
      <c r="Q12" t="s">
        <v>76</v>
      </c>
      <c r="R12" s="48" t="s">
        <v>102</v>
      </c>
      <c r="S12" t="s">
        <v>103</v>
      </c>
      <c r="T12">
        <v>722</v>
      </c>
      <c r="U12" s="46">
        <v>9.7543306765146502E-11</v>
      </c>
      <c r="V12" s="46">
        <v>4.0545997216649398E-5</v>
      </c>
    </row>
    <row r="13" spans="1:22" x14ac:dyDescent="0.2">
      <c r="A13" t="s">
        <v>135</v>
      </c>
      <c r="B13">
        <v>-82.335378296498803</v>
      </c>
      <c r="C13">
        <v>-82.335377618599694</v>
      </c>
      <c r="D13">
        <v>-82.335363451514397</v>
      </c>
      <c r="E13">
        <v>-82.335364129413506</v>
      </c>
      <c r="F13">
        <v>35.633866196376502</v>
      </c>
      <c r="G13">
        <v>35.633886437341097</v>
      </c>
      <c r="H13">
        <v>35.633886121127297</v>
      </c>
      <c r="I13">
        <v>35.633865880162702</v>
      </c>
      <c r="J13">
        <f t="shared" si="0"/>
        <v>-82.335373348170663</v>
      </c>
      <c r="K13">
        <f t="shared" si="1"/>
        <v>35.633872837960105</v>
      </c>
      <c r="L13">
        <f t="shared" si="2"/>
        <v>-82.335368399842537</v>
      </c>
      <c r="M13">
        <f t="shared" si="3"/>
        <v>35.633879479543701</v>
      </c>
      <c r="N13">
        <f t="shared" si="4"/>
        <v>-82.3353708740066</v>
      </c>
      <c r="O13">
        <f t="shared" si="5"/>
        <v>35.633876158751903</v>
      </c>
      <c r="P13" t="s">
        <v>101</v>
      </c>
      <c r="Q13" t="s">
        <v>76</v>
      </c>
      <c r="R13" s="48" t="s">
        <v>102</v>
      </c>
      <c r="S13" t="s">
        <v>105</v>
      </c>
      <c r="T13">
        <v>722</v>
      </c>
      <c r="U13" s="46">
        <v>2.8694557840935798E-10</v>
      </c>
      <c r="V13" s="46">
        <v>6.8845854433619502E-5</v>
      </c>
    </row>
    <row r="14" spans="1:22" x14ac:dyDescent="0.2">
      <c r="A14" t="s">
        <v>143</v>
      </c>
      <c r="B14">
        <v>-82.334984367447902</v>
      </c>
      <c r="C14">
        <v>-82.334980806668497</v>
      </c>
      <c r="D14">
        <v>-82.334963546596697</v>
      </c>
      <c r="E14">
        <v>-82.334967107376002</v>
      </c>
      <c r="F14">
        <v>35.633843280041397</v>
      </c>
      <c r="G14">
        <v>35.633869269001401</v>
      </c>
      <c r="H14">
        <v>35.633867692933499</v>
      </c>
      <c r="I14">
        <v>35.633841703973403</v>
      </c>
      <c r="J14">
        <f t="shared" si="0"/>
        <v>-82.334977427164134</v>
      </c>
      <c r="K14">
        <f t="shared" si="1"/>
        <v>35.633851417672069</v>
      </c>
      <c r="L14">
        <f t="shared" si="2"/>
        <v>-82.334970486880394</v>
      </c>
      <c r="M14">
        <f t="shared" si="3"/>
        <v>35.63385955530277</v>
      </c>
      <c r="N14">
        <f t="shared" si="4"/>
        <v>-82.334973957022271</v>
      </c>
      <c r="O14">
        <f t="shared" si="5"/>
        <v>35.63385548648742</v>
      </c>
      <c r="P14" t="s">
        <v>101</v>
      </c>
      <c r="Q14" t="s">
        <v>76</v>
      </c>
      <c r="R14" s="48" t="s">
        <v>107</v>
      </c>
      <c r="S14" t="s">
        <v>108</v>
      </c>
      <c r="T14">
        <v>719</v>
      </c>
      <c r="U14" s="46">
        <v>4.5429260353557698E-10</v>
      </c>
      <c r="V14" s="46">
        <v>8.7127278900613305E-5</v>
      </c>
    </row>
    <row r="15" spans="1:22" x14ac:dyDescent="0.2">
      <c r="A15" t="s">
        <v>144</v>
      </c>
      <c r="B15">
        <v>-82.335022529089102</v>
      </c>
      <c r="C15">
        <v>-82.335019088345007</v>
      </c>
      <c r="D15">
        <v>-82.335011426953798</v>
      </c>
      <c r="E15">
        <v>-82.335014867697893</v>
      </c>
      <c r="F15">
        <v>35.633846031605003</v>
      </c>
      <c r="G15">
        <v>35.633871144466198</v>
      </c>
      <c r="H15">
        <v>35.633870444884899</v>
      </c>
      <c r="I15">
        <v>35.633845332023597</v>
      </c>
      <c r="J15">
        <f t="shared" si="0"/>
        <v>-82.335018828377329</v>
      </c>
      <c r="K15">
        <f t="shared" si="1"/>
        <v>35.63385416936493</v>
      </c>
      <c r="L15">
        <f t="shared" si="2"/>
        <v>-82.335015127665557</v>
      </c>
      <c r="M15">
        <f t="shared" si="3"/>
        <v>35.633862307124893</v>
      </c>
      <c r="N15">
        <f t="shared" si="4"/>
        <v>-82.335016978021443</v>
      </c>
      <c r="O15">
        <f t="shared" si="5"/>
        <v>35.633858238244912</v>
      </c>
      <c r="P15" t="s">
        <v>101</v>
      </c>
      <c r="Q15" t="s">
        <v>76</v>
      </c>
      <c r="R15" s="48" t="s">
        <v>107</v>
      </c>
      <c r="S15" t="s">
        <v>110</v>
      </c>
      <c r="T15">
        <v>719</v>
      </c>
      <c r="U15" s="46">
        <v>1.95086613530293E-10</v>
      </c>
      <c r="V15" s="46">
        <v>6.6081481638587906E-5</v>
      </c>
    </row>
    <row r="16" spans="1:22" x14ac:dyDescent="0.2">
      <c r="A16" t="s">
        <v>145</v>
      </c>
      <c r="B16">
        <v>-82.335568116923</v>
      </c>
      <c r="C16">
        <v>-82.335575496481496</v>
      </c>
      <c r="D16">
        <v>-82.3356228432487</v>
      </c>
      <c r="E16">
        <v>-82.335615463688299</v>
      </c>
      <c r="F16">
        <v>35.633766473882801</v>
      </c>
      <c r="G16">
        <v>35.633754232763003</v>
      </c>
      <c r="H16">
        <v>35.633773255840403</v>
      </c>
      <c r="I16">
        <v>35.633785496960201</v>
      </c>
      <c r="J16">
        <f t="shared" si="0"/>
        <v>-82.335586359030927</v>
      </c>
      <c r="K16">
        <f t="shared" si="1"/>
        <v>35.63376873453533</v>
      </c>
      <c r="L16">
        <f t="shared" si="2"/>
        <v>-82.335604601139508</v>
      </c>
      <c r="M16">
        <f t="shared" si="3"/>
        <v>35.633770995187867</v>
      </c>
      <c r="N16">
        <f t="shared" si="4"/>
        <v>-82.335595480085217</v>
      </c>
      <c r="O16">
        <f t="shared" si="5"/>
        <v>35.633769864861598</v>
      </c>
      <c r="P16" t="s">
        <v>112</v>
      </c>
      <c r="Q16" t="s">
        <v>72</v>
      </c>
      <c r="R16" s="48" t="s">
        <v>113</v>
      </c>
      <c r="S16" t="s">
        <v>114</v>
      </c>
      <c r="T16">
        <v>721</v>
      </c>
      <c r="U16" s="46">
        <v>7.1986505645327198E-10</v>
      </c>
      <c r="V16">
        <v>1.30637758809864E-4</v>
      </c>
    </row>
    <row r="17" spans="1:22" x14ac:dyDescent="0.2">
      <c r="A17" t="s">
        <v>146</v>
      </c>
      <c r="B17">
        <v>-82.337357335522</v>
      </c>
      <c r="C17">
        <v>-82.337360641846601</v>
      </c>
      <c r="D17">
        <v>-82.337404815223707</v>
      </c>
      <c r="E17">
        <v>-82.337401508897997</v>
      </c>
      <c r="F17">
        <v>35.635142955924799</v>
      </c>
      <c r="G17">
        <v>35.635139195258901</v>
      </c>
      <c r="H17">
        <v>35.635165077826699</v>
      </c>
      <c r="I17">
        <v>35.635168838492604</v>
      </c>
      <c r="J17">
        <f t="shared" si="0"/>
        <v>-82.337373162088866</v>
      </c>
      <c r="K17">
        <f t="shared" si="1"/>
        <v>35.635150329892099</v>
      </c>
      <c r="L17">
        <f t="shared" si="2"/>
        <v>-82.337388988656087</v>
      </c>
      <c r="M17">
        <f t="shared" si="3"/>
        <v>35.635157703859399</v>
      </c>
      <c r="N17">
        <f t="shared" si="4"/>
        <v>-82.337381075372477</v>
      </c>
      <c r="O17">
        <f t="shared" si="5"/>
        <v>35.635154016875745</v>
      </c>
      <c r="P17" t="s">
        <v>71</v>
      </c>
      <c r="Q17" t="s">
        <v>76</v>
      </c>
      <c r="R17" s="48" t="s">
        <v>116</v>
      </c>
      <c r="S17" t="s">
        <v>117</v>
      </c>
      <c r="T17">
        <v>730</v>
      </c>
      <c r="U17" s="46">
        <v>2.5170265871565701E-10</v>
      </c>
      <c r="V17">
        <v>1.1241007295932E-4</v>
      </c>
    </row>
  </sheetData>
  <autoFilter ref="A2:V18" xr:uid="{420B6394-BC44-834F-9A9A-AE5C3C0C3F1A}"/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689A-5875-0E4F-8F2E-FC221C9CFD88}">
  <dimension ref="B2:T12"/>
  <sheetViews>
    <sheetView topLeftCell="B1" zoomScale="85" workbookViewId="0">
      <selection activeCell="T17" sqref="T17"/>
    </sheetView>
  </sheetViews>
  <sheetFormatPr baseColWidth="10" defaultRowHeight="16" x14ac:dyDescent="0.2"/>
  <cols>
    <col min="2" max="2" width="21.5" bestFit="1" customWidth="1"/>
    <col min="19" max="19" width="22" customWidth="1"/>
  </cols>
  <sheetData>
    <row r="2" spans="2:20" x14ac:dyDescent="0.2">
      <c r="B2" s="52"/>
    </row>
    <row r="3" spans="2:20" x14ac:dyDescent="0.2">
      <c r="B3" s="52"/>
      <c r="C3">
        <v>0</v>
      </c>
      <c r="D3">
        <v>150</v>
      </c>
      <c r="E3">
        <v>0.24</v>
      </c>
    </row>
    <row r="4" spans="2:20" x14ac:dyDescent="0.2">
      <c r="B4" s="52"/>
      <c r="C4">
        <v>0</v>
      </c>
      <c r="D4">
        <v>300</v>
      </c>
      <c r="E4">
        <v>0.4</v>
      </c>
    </row>
    <row r="5" spans="2:20" x14ac:dyDescent="0.2">
      <c r="B5" s="52"/>
      <c r="C5">
        <v>0</v>
      </c>
      <c r="D5">
        <v>500</v>
      </c>
      <c r="E5">
        <v>0.6</v>
      </c>
    </row>
    <row r="6" spans="2:20" ht="19" x14ac:dyDescent="0.2">
      <c r="B6" s="52"/>
      <c r="C6">
        <v>0</v>
      </c>
      <c r="D6">
        <v>700</v>
      </c>
      <c r="E6">
        <v>0.75</v>
      </c>
    </row>
    <row r="7" spans="2:20" x14ac:dyDescent="0.2">
      <c r="B7" s="52"/>
      <c r="C7">
        <v>0</v>
      </c>
      <c r="D7">
        <v>1000</v>
      </c>
      <c r="E7">
        <v>1.65</v>
      </c>
    </row>
    <row r="8" spans="2:20" x14ac:dyDescent="0.2">
      <c r="B8" s="52"/>
      <c r="C8">
        <v>0</v>
      </c>
      <c r="D8">
        <v>1350</v>
      </c>
      <c r="E8">
        <v>2.4500000000000002</v>
      </c>
      <c r="S8" s="53" t="s">
        <v>165</v>
      </c>
      <c r="T8" s="53">
        <v>1810</v>
      </c>
    </row>
    <row r="9" spans="2:20" x14ac:dyDescent="0.2">
      <c r="B9" s="52"/>
      <c r="C9">
        <v>0</v>
      </c>
      <c r="D9">
        <v>1550</v>
      </c>
      <c r="E9">
        <v>3.2</v>
      </c>
    </row>
    <row r="10" spans="2:20" x14ac:dyDescent="0.2">
      <c r="B10" s="52"/>
      <c r="C10">
        <v>0</v>
      </c>
      <c r="D10">
        <v>1900</v>
      </c>
      <c r="E10">
        <v>4.3</v>
      </c>
    </row>
    <row r="11" spans="2:20" x14ac:dyDescent="0.2">
      <c r="B11" s="52"/>
      <c r="C11">
        <v>0</v>
      </c>
      <c r="D11">
        <v>2000</v>
      </c>
      <c r="E11">
        <v>4.55</v>
      </c>
      <c r="S11" s="53" t="s">
        <v>166</v>
      </c>
      <c r="T11" s="53">
        <f>((-4)*(10^(-10))*(T8^3))+((2)*(10^(-6))*(T8^2)-((0.0004)*T8)+0.2986)</f>
        <v>3.7549035999999991</v>
      </c>
    </row>
    <row r="12" spans="2:20" x14ac:dyDescent="0.2">
      <c r="C12">
        <v>0</v>
      </c>
      <c r="D12">
        <v>2200</v>
      </c>
      <c r="E12">
        <v>5.2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D4A0-0B74-CD4E-9E84-69C7EFF6849C}">
  <dimension ref="D3:F8"/>
  <sheetViews>
    <sheetView topLeftCell="A15" zoomScale="150" workbookViewId="0">
      <selection activeCell="F19" sqref="F19"/>
    </sheetView>
  </sheetViews>
  <sheetFormatPr baseColWidth="10" defaultRowHeight="16" x14ac:dyDescent="0.2"/>
  <sheetData>
    <row r="3" spans="4:6" x14ac:dyDescent="0.2">
      <c r="D3">
        <v>0</v>
      </c>
      <c r="E3">
        <v>4140</v>
      </c>
      <c r="F3" s="51">
        <v>12.6712540220565</v>
      </c>
    </row>
    <row r="4" spans="4:6" x14ac:dyDescent="0.2">
      <c r="E4">
        <v>4856</v>
      </c>
      <c r="F4" s="51">
        <v>9.4659356073365508</v>
      </c>
    </row>
    <row r="5" spans="4:6" x14ac:dyDescent="0.2">
      <c r="E5">
        <v>3971</v>
      </c>
      <c r="F5" s="51">
        <v>11.2612985259978</v>
      </c>
    </row>
    <row r="6" spans="4:6" x14ac:dyDescent="0.2">
      <c r="E6">
        <v>4700</v>
      </c>
      <c r="F6" s="51">
        <v>8.7191634042008701</v>
      </c>
    </row>
    <row r="7" spans="4:6" x14ac:dyDescent="0.2">
      <c r="E7">
        <v>3800</v>
      </c>
      <c r="F7" s="51">
        <v>6.4609904067677197</v>
      </c>
    </row>
    <row r="8" spans="4:6" x14ac:dyDescent="0.2">
      <c r="E8">
        <v>4227</v>
      </c>
      <c r="F8" s="51">
        <v>10.6223453508126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C0A4-BDF7-9A47-8344-960C02C0445A}">
  <dimension ref="B2:P34"/>
  <sheetViews>
    <sheetView workbookViewId="0">
      <selection activeCell="C38" sqref="C38"/>
    </sheetView>
  </sheetViews>
  <sheetFormatPr baseColWidth="10" defaultRowHeight="16" x14ac:dyDescent="0.2"/>
  <cols>
    <col min="3" max="3" width="224.6640625" customWidth="1"/>
  </cols>
  <sheetData>
    <row r="2" spans="2:15" x14ac:dyDescent="0.2">
      <c r="B2">
        <v>9.6005456384234495</v>
      </c>
    </row>
    <row r="5" spans="2:15" x14ac:dyDescent="0.2">
      <c r="B5">
        <v>2191</v>
      </c>
      <c r="C5">
        <f>B5*0.00345</f>
        <v>7.5589500000000003</v>
      </c>
      <c r="D5">
        <f>C5+2</f>
        <v>9.5589499999999994</v>
      </c>
      <c r="E5">
        <f>B2-D5</f>
        <v>4.1595638423450154E-2</v>
      </c>
    </row>
    <row r="6" spans="2:15" x14ac:dyDescent="0.2">
      <c r="M6">
        <v>3.4499999999999999E-3</v>
      </c>
    </row>
    <row r="8" spans="2:15" x14ac:dyDescent="0.2">
      <c r="C8" t="s">
        <v>52</v>
      </c>
      <c r="D8" t="s">
        <v>53</v>
      </c>
      <c r="E8" t="s">
        <v>54</v>
      </c>
      <c r="F8" t="s">
        <v>55</v>
      </c>
    </row>
    <row r="9" spans="2:15" x14ac:dyDescent="0.2">
      <c r="C9">
        <v>4515</v>
      </c>
      <c r="D9">
        <v>2520</v>
      </c>
      <c r="E9">
        <v>118</v>
      </c>
      <c r="F9">
        <v>758</v>
      </c>
      <c r="H9">
        <f>(C9+D9)/2</f>
        <v>3517.5</v>
      </c>
      <c r="I9">
        <f>(E9+F9)/2</f>
        <v>438</v>
      </c>
      <c r="K9">
        <f>SQRT((H9^2)+(I9^2))</f>
        <v>3544.6650405926935</v>
      </c>
      <c r="M9">
        <f>K9*M6</f>
        <v>12.229094390044793</v>
      </c>
      <c r="O9">
        <f>M9-B2</f>
        <v>2.6285487516213433</v>
      </c>
    </row>
    <row r="16" spans="2:15" x14ac:dyDescent="0.2">
      <c r="H16">
        <v>95</v>
      </c>
      <c r="I16" t="s">
        <v>61</v>
      </c>
      <c r="M16">
        <v>74.63</v>
      </c>
      <c r="O16">
        <v>14.99</v>
      </c>
    </row>
    <row r="17" spans="3:16" x14ac:dyDescent="0.2">
      <c r="M17">
        <v>4.59</v>
      </c>
      <c r="O17">
        <v>8.99</v>
      </c>
    </row>
    <row r="18" spans="3:16" x14ac:dyDescent="0.2">
      <c r="M18">
        <v>1.0625</v>
      </c>
      <c r="O18">
        <v>2.0699999999999998</v>
      </c>
    </row>
    <row r="19" spans="3:16" x14ac:dyDescent="0.2">
      <c r="C19" t="s">
        <v>62</v>
      </c>
      <c r="M19">
        <f>M16-M17</f>
        <v>70.039999999999992</v>
      </c>
      <c r="O19">
        <f>SUM(O16:O18)</f>
        <v>26.05</v>
      </c>
    </row>
    <row r="20" spans="3:16" x14ac:dyDescent="0.2">
      <c r="C20" t="s">
        <v>70</v>
      </c>
      <c r="M20">
        <f>M19*M18</f>
        <v>74.41749999999999</v>
      </c>
      <c r="O20">
        <f>O19*0.0625</f>
        <v>1.628125</v>
      </c>
    </row>
    <row r="21" spans="3:16" x14ac:dyDescent="0.2">
      <c r="C21" t="s">
        <v>75</v>
      </c>
    </row>
    <row r="22" spans="3:16" x14ac:dyDescent="0.2">
      <c r="C22" t="s">
        <v>79</v>
      </c>
    </row>
    <row r="23" spans="3:16" x14ac:dyDescent="0.2">
      <c r="C23" t="s">
        <v>82</v>
      </c>
      <c r="M23">
        <f>76.26-4.59</f>
        <v>71.67</v>
      </c>
      <c r="N23">
        <f>M23/4</f>
        <v>17.9175</v>
      </c>
      <c r="O23">
        <f>N23*3</f>
        <v>53.752499999999998</v>
      </c>
      <c r="P23">
        <f>O23+M17</f>
        <v>58.342500000000001</v>
      </c>
    </row>
    <row r="24" spans="3:16" x14ac:dyDescent="0.2">
      <c r="C24" t="s">
        <v>87</v>
      </c>
    </row>
    <row r="25" spans="3:16" x14ac:dyDescent="0.2">
      <c r="C25" t="s">
        <v>89</v>
      </c>
    </row>
    <row r="26" spans="3:16" x14ac:dyDescent="0.2">
      <c r="C26" t="s">
        <v>91</v>
      </c>
    </row>
    <row r="27" spans="3:16" x14ac:dyDescent="0.2">
      <c r="C27" t="s">
        <v>94</v>
      </c>
    </row>
    <row r="28" spans="3:16" x14ac:dyDescent="0.2">
      <c r="C28" t="s">
        <v>97</v>
      </c>
    </row>
    <row r="29" spans="3:16" x14ac:dyDescent="0.2">
      <c r="C29" t="s">
        <v>100</v>
      </c>
    </row>
    <row r="30" spans="3:16" x14ac:dyDescent="0.2">
      <c r="C30" t="s">
        <v>104</v>
      </c>
    </row>
    <row r="31" spans="3:16" x14ac:dyDescent="0.2">
      <c r="C31" t="s">
        <v>106</v>
      </c>
    </row>
    <row r="32" spans="3:16" x14ac:dyDescent="0.2">
      <c r="C32" t="s">
        <v>109</v>
      </c>
    </row>
    <row r="33" spans="3:3" x14ac:dyDescent="0.2">
      <c r="C33" t="s">
        <v>111</v>
      </c>
    </row>
    <row r="34" spans="3:3" x14ac:dyDescent="0.2">
      <c r="C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InitialAsset</vt:lpstr>
      <vt:lpstr>UpdatedAsset</vt:lpstr>
      <vt:lpstr>Cracks</vt:lpstr>
      <vt:lpstr>Cracks (2)</vt:lpstr>
      <vt:lpstr>Cracks (4)</vt:lpstr>
      <vt:lpstr>Cracks (3)</vt:lpstr>
      <vt:lpstr>Box Coordinates</vt:lpstr>
      <vt:lpstr>Y vs Distance</vt:lpstr>
      <vt:lpstr>Sheet3</vt:lpstr>
      <vt:lpstr>Box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Kashvi Singh</cp:lastModifiedBy>
  <cp:revision/>
  <dcterms:created xsi:type="dcterms:W3CDTF">2022-07-28T20:58:07Z</dcterms:created>
  <dcterms:modified xsi:type="dcterms:W3CDTF">2022-10-01T03:36:25Z</dcterms:modified>
  <cp:category/>
  <cp:contentStatus/>
</cp:coreProperties>
</file>