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inkso2\Documents\"/>
    </mc:Choice>
  </mc:AlternateContent>
  <bookViews>
    <workbookView xWindow="0" yWindow="0" windowWidth="25200" windowHeight="11880"/>
  </bookViews>
  <sheets>
    <sheet name="Sheet1" sheetId="1" r:id="rId1"/>
  </sheets>
  <definedNames>
    <definedName name="_xlnm._FilterDatabase" localSheetId="0" hidden="1">Sheet1!$C$1:$C$226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2" i="1" l="1"/>
  <c r="O101" i="1"/>
  <c r="N102" i="1"/>
  <c r="N101" i="1"/>
  <c r="Q117" i="1"/>
  <c r="Q116" i="1"/>
  <c r="P117" i="1"/>
  <c r="P116" i="1"/>
  <c r="O117" i="1"/>
  <c r="O116" i="1"/>
  <c r="N117" i="1"/>
  <c r="N116" i="1"/>
  <c r="Q115" i="1"/>
  <c r="Q114" i="1"/>
  <c r="P115" i="1"/>
  <c r="P114" i="1"/>
  <c r="O115" i="1"/>
  <c r="O114" i="1"/>
  <c r="N115" i="1"/>
  <c r="N114" i="1"/>
  <c r="Q113" i="1"/>
  <c r="Q112" i="1"/>
  <c r="P113" i="1"/>
  <c r="P112" i="1"/>
  <c r="O113" i="1"/>
  <c r="O112" i="1"/>
  <c r="N113" i="1"/>
  <c r="N112" i="1"/>
  <c r="Q111" i="1"/>
  <c r="Q110" i="1"/>
  <c r="P111" i="1"/>
  <c r="P110" i="1"/>
  <c r="O111" i="1"/>
  <c r="O110" i="1"/>
  <c r="N111" i="1"/>
  <c r="N110" i="1"/>
  <c r="Q126" i="1"/>
  <c r="Q125" i="1"/>
  <c r="P126" i="1"/>
  <c r="P125" i="1"/>
  <c r="O126" i="1"/>
  <c r="O125" i="1"/>
  <c r="N126" i="1"/>
  <c r="N125" i="1"/>
  <c r="Q124" i="1"/>
  <c r="Q123" i="1"/>
  <c r="P124" i="1"/>
  <c r="P123" i="1"/>
  <c r="O124" i="1"/>
  <c r="O123" i="1"/>
  <c r="N124" i="1"/>
  <c r="N123" i="1"/>
  <c r="Q122" i="1"/>
  <c r="Q121" i="1"/>
  <c r="P122" i="1"/>
  <c r="P121" i="1"/>
  <c r="O122" i="1"/>
  <c r="O121" i="1"/>
  <c r="N122" i="1"/>
  <c r="N121" i="1"/>
  <c r="Q120" i="1"/>
  <c r="Q119" i="1"/>
  <c r="P120" i="1"/>
  <c r="P119" i="1"/>
  <c r="O120" i="1"/>
  <c r="O119" i="1"/>
  <c r="N120" i="1"/>
  <c r="N119" i="1"/>
  <c r="Q135" i="1"/>
  <c r="Q134" i="1"/>
  <c r="P135" i="1"/>
  <c r="P134" i="1"/>
  <c r="O135" i="1"/>
  <c r="O134" i="1"/>
  <c r="N135" i="1"/>
  <c r="N134" i="1"/>
  <c r="Q133" i="1"/>
  <c r="Q132" i="1"/>
  <c r="P133" i="1"/>
  <c r="P132" i="1"/>
  <c r="O133" i="1"/>
  <c r="O132" i="1"/>
  <c r="N133" i="1"/>
  <c r="N132" i="1"/>
  <c r="Q131" i="1"/>
  <c r="Q130" i="1"/>
  <c r="P131" i="1"/>
  <c r="P130" i="1"/>
  <c r="O131" i="1"/>
  <c r="O130" i="1"/>
  <c r="N131" i="1"/>
  <c r="N130" i="1"/>
  <c r="Q129" i="1"/>
  <c r="Q128" i="1"/>
  <c r="P129" i="1"/>
  <c r="P128" i="1"/>
  <c r="O129" i="1"/>
  <c r="O128" i="1"/>
  <c r="N129" i="1"/>
  <c r="N128" i="1"/>
  <c r="Q144" i="1"/>
  <c r="Q143" i="1"/>
  <c r="P144" i="1"/>
  <c r="P143" i="1"/>
  <c r="O144" i="1"/>
  <c r="O143" i="1"/>
  <c r="N144" i="1"/>
  <c r="N143" i="1"/>
  <c r="Q142" i="1"/>
  <c r="Q141" i="1"/>
  <c r="P142" i="1"/>
  <c r="P141" i="1"/>
  <c r="O142" i="1"/>
  <c r="O141" i="1"/>
  <c r="N142" i="1"/>
  <c r="N141" i="1"/>
  <c r="Q140" i="1"/>
  <c r="Q139" i="1"/>
  <c r="P140" i="1"/>
  <c r="P139" i="1"/>
  <c r="O140" i="1"/>
  <c r="O139" i="1"/>
  <c r="N140" i="1"/>
  <c r="N139" i="1"/>
  <c r="Q138" i="1"/>
  <c r="Q137" i="1"/>
  <c r="P138" i="1"/>
  <c r="P137" i="1"/>
  <c r="O138" i="1"/>
  <c r="O137" i="1"/>
  <c r="N138" i="1"/>
  <c r="N137" i="1"/>
  <c r="Q153" i="1"/>
  <c r="Q152" i="1"/>
  <c r="P153" i="1"/>
  <c r="P152" i="1"/>
  <c r="O153" i="1"/>
  <c r="O152" i="1"/>
  <c r="N153" i="1"/>
  <c r="N152" i="1"/>
  <c r="Q151" i="1"/>
  <c r="Q150" i="1"/>
  <c r="P151" i="1"/>
  <c r="P150" i="1"/>
  <c r="O151" i="1"/>
  <c r="O150" i="1"/>
  <c r="N151" i="1"/>
  <c r="N150" i="1"/>
  <c r="Q149" i="1"/>
  <c r="Q148" i="1"/>
  <c r="P149" i="1"/>
  <c r="P148" i="1"/>
  <c r="O149" i="1"/>
  <c r="O148" i="1"/>
  <c r="N149" i="1"/>
  <c r="N148" i="1"/>
  <c r="Q147" i="1"/>
  <c r="Q146" i="1"/>
  <c r="P147" i="1"/>
  <c r="P146" i="1"/>
  <c r="O147" i="1"/>
  <c r="O146" i="1"/>
  <c r="N147" i="1"/>
  <c r="N146" i="1"/>
  <c r="Q162" i="1"/>
  <c r="Q161" i="1"/>
  <c r="P162" i="1"/>
  <c r="P161" i="1"/>
  <c r="O162" i="1"/>
  <c r="O161" i="1"/>
  <c r="N162" i="1"/>
  <c r="N161" i="1"/>
  <c r="Q160" i="1"/>
  <c r="Q159" i="1"/>
  <c r="P160" i="1"/>
  <c r="P159" i="1"/>
  <c r="O160" i="1"/>
  <c r="O159" i="1"/>
  <c r="N160" i="1"/>
  <c r="N159" i="1"/>
  <c r="Q158" i="1"/>
  <c r="Q157" i="1"/>
  <c r="P158" i="1"/>
  <c r="P157" i="1"/>
  <c r="O158" i="1"/>
  <c r="O157" i="1"/>
  <c r="N158" i="1"/>
  <c r="N157" i="1"/>
  <c r="Q156" i="1"/>
  <c r="Q155" i="1"/>
  <c r="P156" i="1"/>
  <c r="P155" i="1"/>
  <c r="O156" i="1"/>
  <c r="O155" i="1"/>
  <c r="N156" i="1"/>
  <c r="N155" i="1"/>
  <c r="Q171" i="1"/>
  <c r="Q170" i="1"/>
  <c r="P171" i="1"/>
  <c r="P170" i="1"/>
  <c r="O171" i="1"/>
  <c r="O170" i="1"/>
  <c r="N171" i="1"/>
  <c r="N170" i="1"/>
  <c r="Q169" i="1"/>
  <c r="Q168" i="1"/>
  <c r="P169" i="1"/>
  <c r="P168" i="1"/>
  <c r="O169" i="1"/>
  <c r="O168" i="1"/>
  <c r="N169" i="1"/>
  <c r="N168" i="1"/>
  <c r="Q167" i="1"/>
  <c r="Q166" i="1"/>
  <c r="P167" i="1"/>
  <c r="P166" i="1"/>
  <c r="O167" i="1"/>
  <c r="O166" i="1"/>
  <c r="N167" i="1"/>
  <c r="N166" i="1"/>
  <c r="Q165" i="1"/>
  <c r="Q164" i="1"/>
  <c r="P165" i="1"/>
  <c r="P164" i="1"/>
  <c r="O165" i="1"/>
  <c r="O164" i="1"/>
  <c r="N165" i="1"/>
  <c r="N164" i="1"/>
  <c r="Q180" i="1"/>
  <c r="Q179" i="1"/>
  <c r="P180" i="1"/>
  <c r="P179" i="1"/>
  <c r="O180" i="1"/>
  <c r="O179" i="1"/>
  <c r="N180" i="1"/>
  <c r="N179" i="1"/>
  <c r="Q178" i="1"/>
  <c r="Q177" i="1"/>
  <c r="P178" i="1"/>
  <c r="P177" i="1"/>
  <c r="O178" i="1"/>
  <c r="O177" i="1"/>
  <c r="N178" i="1"/>
  <c r="N177" i="1"/>
  <c r="Q176" i="1"/>
  <c r="Q175" i="1"/>
  <c r="P176" i="1"/>
  <c r="P175" i="1"/>
  <c r="O176" i="1"/>
  <c r="O175" i="1"/>
  <c r="N176" i="1"/>
  <c r="N175" i="1"/>
  <c r="Q174" i="1"/>
  <c r="Q173" i="1"/>
  <c r="P174" i="1"/>
  <c r="P173" i="1"/>
  <c r="O174" i="1"/>
  <c r="O173" i="1"/>
  <c r="N174" i="1"/>
  <c r="N173" i="1"/>
  <c r="Q189" i="1"/>
  <c r="Q188" i="1"/>
  <c r="P189" i="1"/>
  <c r="P188" i="1"/>
  <c r="O189" i="1"/>
  <c r="O188" i="1"/>
  <c r="N189" i="1"/>
  <c r="N188" i="1"/>
  <c r="Q187" i="1"/>
  <c r="Q186" i="1"/>
  <c r="P187" i="1"/>
  <c r="P186" i="1"/>
  <c r="O187" i="1"/>
  <c r="O186" i="1"/>
  <c r="N187" i="1"/>
  <c r="N186" i="1"/>
  <c r="Q185" i="1"/>
  <c r="Q184" i="1"/>
  <c r="P185" i="1"/>
  <c r="P184" i="1"/>
  <c r="O185" i="1"/>
  <c r="O184" i="1"/>
  <c r="N185" i="1"/>
  <c r="N184" i="1"/>
  <c r="Q183" i="1"/>
  <c r="Q182" i="1"/>
  <c r="P183" i="1"/>
  <c r="P182" i="1"/>
  <c r="O183" i="1"/>
  <c r="O182" i="1"/>
  <c r="N183" i="1"/>
  <c r="N182" i="1"/>
  <c r="Q198" i="1"/>
  <c r="Q197" i="1"/>
  <c r="P198" i="1"/>
  <c r="P197" i="1"/>
  <c r="O198" i="1"/>
  <c r="O197" i="1"/>
  <c r="N198" i="1"/>
  <c r="N197" i="1"/>
  <c r="Q196" i="1"/>
  <c r="Q195" i="1"/>
  <c r="P196" i="1"/>
  <c r="P195" i="1"/>
  <c r="O196" i="1"/>
  <c r="O195" i="1"/>
  <c r="N196" i="1"/>
  <c r="N195" i="1"/>
  <c r="Q194" i="1"/>
  <c r="Q193" i="1"/>
  <c r="P194" i="1"/>
  <c r="P193" i="1"/>
  <c r="O194" i="1"/>
  <c r="O193" i="1"/>
  <c r="N194" i="1"/>
  <c r="N193" i="1"/>
  <c r="Q192" i="1"/>
  <c r="Q191" i="1"/>
  <c r="P192" i="1"/>
  <c r="P191" i="1"/>
  <c r="O192" i="1"/>
  <c r="O191" i="1"/>
  <c r="N192" i="1"/>
  <c r="N191" i="1"/>
  <c r="Q207" i="1"/>
  <c r="Q206" i="1"/>
  <c r="P207" i="1"/>
  <c r="P206" i="1"/>
  <c r="O207" i="1"/>
  <c r="O206" i="1"/>
  <c r="N207" i="1"/>
  <c r="N206" i="1"/>
  <c r="Q205" i="1"/>
  <c r="Q204" i="1"/>
  <c r="P205" i="1"/>
  <c r="P204" i="1"/>
  <c r="O205" i="1"/>
  <c r="O204" i="1"/>
  <c r="N205" i="1"/>
  <c r="N204" i="1"/>
  <c r="Q203" i="1"/>
  <c r="Q202" i="1"/>
  <c r="P203" i="1"/>
  <c r="P202" i="1"/>
  <c r="O203" i="1"/>
  <c r="O202" i="1"/>
  <c r="N203" i="1"/>
  <c r="N202" i="1"/>
  <c r="Q201" i="1"/>
  <c r="Q200" i="1"/>
  <c r="P201" i="1"/>
  <c r="P200" i="1"/>
  <c r="O201" i="1"/>
  <c r="O200" i="1"/>
  <c r="N201" i="1"/>
  <c r="N200" i="1"/>
  <c r="Q216" i="1"/>
  <c r="Q215" i="1"/>
  <c r="P216" i="1"/>
  <c r="P215" i="1"/>
  <c r="O216" i="1"/>
  <c r="O215" i="1"/>
  <c r="N216" i="1"/>
  <c r="N215" i="1"/>
  <c r="Q214" i="1"/>
  <c r="Q213" i="1"/>
  <c r="P214" i="1"/>
  <c r="P213" i="1"/>
  <c r="O214" i="1"/>
  <c r="O213" i="1"/>
  <c r="N214" i="1"/>
  <c r="N213" i="1"/>
  <c r="Q212" i="1"/>
  <c r="Q211" i="1"/>
  <c r="P212" i="1"/>
  <c r="P211" i="1"/>
  <c r="O212" i="1"/>
  <c r="O211" i="1"/>
  <c r="N212" i="1"/>
  <c r="N211" i="1"/>
  <c r="Q210" i="1"/>
  <c r="Q209" i="1"/>
  <c r="P210" i="1"/>
  <c r="P209" i="1"/>
  <c r="O210" i="1"/>
  <c r="O209" i="1"/>
  <c r="N210" i="1"/>
  <c r="N209" i="1"/>
  <c r="Q225" i="1"/>
  <c r="Q224" i="1"/>
  <c r="P225" i="1"/>
  <c r="P224" i="1"/>
  <c r="O225" i="1"/>
  <c r="O224" i="1"/>
  <c r="N225" i="1"/>
  <c r="N224" i="1"/>
  <c r="Q223" i="1"/>
  <c r="Q222" i="1"/>
  <c r="P223" i="1"/>
  <c r="P222" i="1"/>
  <c r="O223" i="1"/>
  <c r="O222" i="1"/>
  <c r="N223" i="1"/>
  <c r="N222" i="1"/>
  <c r="Q221" i="1"/>
  <c r="Q220" i="1"/>
  <c r="P221" i="1"/>
  <c r="P220" i="1"/>
  <c r="O221" i="1"/>
  <c r="O220" i="1"/>
  <c r="N221" i="1"/>
  <c r="N220" i="1"/>
  <c r="Q219" i="1"/>
  <c r="Q218" i="1"/>
  <c r="P219" i="1"/>
  <c r="P218" i="1"/>
  <c r="O219" i="1"/>
  <c r="O218" i="1"/>
  <c r="N219" i="1"/>
  <c r="N218" i="1"/>
  <c r="M225" i="1"/>
  <c r="M224" i="1"/>
  <c r="L225" i="1"/>
  <c r="L224" i="1"/>
  <c r="M223" i="1"/>
  <c r="M222" i="1"/>
  <c r="L223" i="1"/>
  <c r="L222" i="1"/>
  <c r="M221" i="1"/>
  <c r="M220" i="1"/>
  <c r="L221" i="1"/>
  <c r="L220" i="1"/>
  <c r="M219" i="1"/>
  <c r="M218" i="1"/>
  <c r="L219" i="1"/>
  <c r="L218" i="1"/>
  <c r="M216" i="1"/>
  <c r="M215" i="1"/>
  <c r="L216" i="1"/>
  <c r="L215" i="1"/>
  <c r="M214" i="1"/>
  <c r="M213" i="1"/>
  <c r="L214" i="1"/>
  <c r="L213" i="1"/>
  <c r="M212" i="1"/>
  <c r="M211" i="1"/>
  <c r="L212" i="1"/>
  <c r="L211" i="1"/>
  <c r="M210" i="1"/>
  <c r="M209" i="1"/>
  <c r="L210" i="1"/>
  <c r="L209" i="1"/>
  <c r="M207" i="1"/>
  <c r="M206" i="1"/>
  <c r="L207" i="1"/>
  <c r="L206" i="1"/>
  <c r="M205" i="1"/>
  <c r="M204" i="1"/>
  <c r="L205" i="1"/>
  <c r="L204" i="1"/>
  <c r="M203" i="1"/>
  <c r="M202" i="1"/>
  <c r="L203" i="1"/>
  <c r="L202" i="1"/>
  <c r="M201" i="1"/>
  <c r="M200" i="1"/>
  <c r="L201" i="1"/>
  <c r="L200" i="1"/>
  <c r="M198" i="1"/>
  <c r="M197" i="1"/>
  <c r="L198" i="1"/>
  <c r="L197" i="1"/>
  <c r="M196" i="1"/>
  <c r="M195" i="1"/>
  <c r="L196" i="1"/>
  <c r="L195" i="1"/>
  <c r="M194" i="1"/>
  <c r="M193" i="1"/>
  <c r="L194" i="1"/>
  <c r="L193" i="1"/>
  <c r="M192" i="1"/>
  <c r="M191" i="1"/>
  <c r="L192" i="1"/>
  <c r="L191" i="1"/>
  <c r="M189" i="1"/>
  <c r="M188" i="1"/>
  <c r="L189" i="1"/>
  <c r="L188" i="1"/>
  <c r="M187" i="1"/>
  <c r="M186" i="1"/>
  <c r="L187" i="1"/>
  <c r="L186" i="1"/>
  <c r="M185" i="1"/>
  <c r="M184" i="1"/>
  <c r="L185" i="1"/>
  <c r="L184" i="1"/>
  <c r="M183" i="1"/>
  <c r="M182" i="1"/>
  <c r="L183" i="1"/>
  <c r="L182" i="1"/>
  <c r="M180" i="1"/>
  <c r="M179" i="1"/>
  <c r="L180" i="1"/>
  <c r="L179" i="1"/>
  <c r="M178" i="1"/>
  <c r="M177" i="1"/>
  <c r="L178" i="1"/>
  <c r="L177" i="1"/>
  <c r="M176" i="1"/>
  <c r="M175" i="1"/>
  <c r="L176" i="1"/>
  <c r="L175" i="1"/>
  <c r="M174" i="1"/>
  <c r="M173" i="1"/>
  <c r="L174" i="1"/>
  <c r="L173" i="1"/>
  <c r="M171" i="1"/>
  <c r="M170" i="1"/>
  <c r="L171" i="1"/>
  <c r="L170" i="1"/>
  <c r="M169" i="1"/>
  <c r="M168" i="1"/>
  <c r="L169" i="1"/>
  <c r="L168" i="1"/>
  <c r="M167" i="1"/>
  <c r="M166" i="1"/>
  <c r="L167" i="1"/>
  <c r="L166" i="1"/>
  <c r="M165" i="1"/>
  <c r="M164" i="1"/>
  <c r="L165" i="1"/>
  <c r="L164" i="1"/>
  <c r="M162" i="1"/>
  <c r="M161" i="1"/>
  <c r="L162" i="1"/>
  <c r="L161" i="1"/>
  <c r="M160" i="1"/>
  <c r="M159" i="1"/>
  <c r="L160" i="1"/>
  <c r="L159" i="1"/>
  <c r="M158" i="1"/>
  <c r="M157" i="1"/>
  <c r="L158" i="1"/>
  <c r="L157" i="1"/>
  <c r="M156" i="1"/>
  <c r="M155" i="1"/>
  <c r="L156" i="1"/>
  <c r="L155" i="1"/>
  <c r="M153" i="1"/>
  <c r="M152" i="1"/>
  <c r="L153" i="1"/>
  <c r="L152" i="1"/>
  <c r="M151" i="1"/>
  <c r="M150" i="1"/>
  <c r="L151" i="1"/>
  <c r="L150" i="1"/>
  <c r="M149" i="1"/>
  <c r="M148" i="1"/>
  <c r="L149" i="1"/>
  <c r="L148" i="1"/>
  <c r="M147" i="1"/>
  <c r="M146" i="1"/>
  <c r="L147" i="1"/>
  <c r="L146" i="1"/>
  <c r="M144" i="1"/>
  <c r="M143" i="1"/>
  <c r="L144" i="1"/>
  <c r="L143" i="1"/>
  <c r="M142" i="1"/>
  <c r="M141" i="1"/>
  <c r="L142" i="1"/>
  <c r="L141" i="1"/>
  <c r="M140" i="1"/>
  <c r="M139" i="1"/>
  <c r="L140" i="1"/>
  <c r="L139" i="1"/>
  <c r="M138" i="1"/>
  <c r="M137" i="1"/>
  <c r="L138" i="1"/>
  <c r="L137" i="1"/>
  <c r="M135" i="1"/>
  <c r="M134" i="1"/>
  <c r="L135" i="1"/>
  <c r="L134" i="1"/>
  <c r="M133" i="1"/>
  <c r="M132" i="1"/>
  <c r="L133" i="1"/>
  <c r="L132" i="1"/>
  <c r="M131" i="1"/>
  <c r="M130" i="1"/>
  <c r="L131" i="1"/>
  <c r="L130" i="1"/>
  <c r="M129" i="1"/>
  <c r="M128" i="1"/>
  <c r="L129" i="1"/>
  <c r="L128" i="1"/>
  <c r="M126" i="1"/>
  <c r="M125" i="1"/>
  <c r="L126" i="1"/>
  <c r="L125" i="1"/>
  <c r="M124" i="1"/>
  <c r="M123" i="1"/>
  <c r="L124" i="1"/>
  <c r="L123" i="1"/>
  <c r="M122" i="1"/>
  <c r="M121" i="1"/>
  <c r="L122" i="1"/>
  <c r="L121" i="1"/>
  <c r="M120" i="1"/>
  <c r="M119" i="1"/>
  <c r="L120" i="1"/>
  <c r="L119" i="1"/>
  <c r="M117" i="1"/>
  <c r="M116" i="1"/>
  <c r="L117" i="1"/>
  <c r="L116" i="1"/>
  <c r="M115" i="1"/>
  <c r="M114" i="1"/>
  <c r="L115" i="1"/>
  <c r="L114" i="1"/>
  <c r="M113" i="1"/>
  <c r="M112" i="1"/>
  <c r="L113" i="1"/>
  <c r="L112" i="1"/>
  <c r="M111" i="1"/>
  <c r="M110" i="1"/>
  <c r="L111" i="1"/>
  <c r="L110" i="1"/>
  <c r="M108" i="1"/>
  <c r="M107" i="1"/>
  <c r="L108" i="1"/>
  <c r="L107" i="1"/>
  <c r="M106" i="1"/>
  <c r="M105" i="1"/>
  <c r="L106" i="1"/>
  <c r="L105" i="1"/>
  <c r="M104" i="1"/>
  <c r="M103" i="1"/>
  <c r="L104" i="1"/>
  <c r="L103" i="1"/>
  <c r="M102" i="1"/>
  <c r="M101" i="1"/>
  <c r="L102" i="1"/>
  <c r="L101" i="1"/>
  <c r="M99" i="1"/>
  <c r="M98" i="1"/>
  <c r="L99" i="1"/>
  <c r="L98" i="1"/>
  <c r="M97" i="1"/>
  <c r="M96" i="1"/>
  <c r="L97" i="1"/>
  <c r="L96" i="1"/>
  <c r="M95" i="1"/>
  <c r="M94" i="1"/>
  <c r="L95" i="1"/>
  <c r="L94" i="1"/>
  <c r="M93" i="1"/>
  <c r="M92" i="1"/>
  <c r="L93" i="1"/>
  <c r="L92" i="1"/>
  <c r="M90" i="1"/>
  <c r="M89" i="1"/>
  <c r="L90" i="1"/>
  <c r="L89" i="1"/>
  <c r="M88" i="1"/>
  <c r="M87" i="1"/>
  <c r="L88" i="1"/>
  <c r="L87" i="1"/>
  <c r="M86" i="1"/>
  <c r="M85" i="1"/>
  <c r="L86" i="1"/>
  <c r="L85" i="1"/>
  <c r="M84" i="1"/>
  <c r="M83" i="1"/>
  <c r="L84" i="1"/>
  <c r="L83" i="1"/>
  <c r="M81" i="1"/>
  <c r="M80" i="1"/>
  <c r="L81" i="1"/>
  <c r="L80" i="1"/>
  <c r="M79" i="1"/>
  <c r="M78" i="1"/>
  <c r="L79" i="1"/>
  <c r="L78" i="1"/>
  <c r="M77" i="1"/>
  <c r="M76" i="1"/>
  <c r="L77" i="1"/>
  <c r="L76" i="1"/>
  <c r="M75" i="1"/>
  <c r="M74" i="1"/>
  <c r="L75" i="1"/>
  <c r="L74" i="1"/>
  <c r="M72" i="1"/>
  <c r="M71" i="1"/>
  <c r="L72" i="1"/>
  <c r="L71" i="1"/>
  <c r="M70" i="1"/>
  <c r="M69" i="1"/>
  <c r="L70" i="1"/>
  <c r="L69" i="1"/>
  <c r="M68" i="1"/>
  <c r="M67" i="1"/>
  <c r="L68" i="1"/>
  <c r="L67" i="1"/>
  <c r="M66" i="1"/>
  <c r="M65" i="1"/>
  <c r="L66" i="1"/>
  <c r="L65" i="1"/>
  <c r="M63" i="1"/>
  <c r="M62" i="1"/>
  <c r="L63" i="1"/>
  <c r="L62" i="1"/>
  <c r="M61" i="1"/>
  <c r="M60" i="1"/>
  <c r="L61" i="1"/>
  <c r="L60" i="1"/>
  <c r="M59" i="1"/>
  <c r="M58" i="1"/>
  <c r="L59" i="1"/>
  <c r="L58" i="1"/>
  <c r="M57" i="1"/>
  <c r="M56" i="1"/>
  <c r="L57" i="1"/>
  <c r="L56" i="1"/>
  <c r="M54" i="1"/>
  <c r="M53" i="1"/>
  <c r="L54" i="1"/>
  <c r="L53" i="1"/>
  <c r="M52" i="1"/>
  <c r="M51" i="1"/>
  <c r="L52" i="1"/>
  <c r="L51" i="1"/>
  <c r="M50" i="1"/>
  <c r="M49" i="1"/>
  <c r="L50" i="1"/>
  <c r="L49" i="1"/>
  <c r="M48" i="1"/>
  <c r="M47" i="1"/>
  <c r="L48" i="1"/>
  <c r="L47" i="1"/>
  <c r="M45" i="1"/>
  <c r="M44" i="1"/>
  <c r="L45" i="1"/>
  <c r="L44" i="1"/>
  <c r="M43" i="1"/>
  <c r="M42" i="1"/>
  <c r="L43" i="1"/>
  <c r="L42" i="1"/>
  <c r="M41" i="1"/>
  <c r="M40" i="1"/>
  <c r="L41" i="1"/>
  <c r="L40" i="1"/>
  <c r="M39" i="1"/>
  <c r="M38" i="1"/>
  <c r="L39" i="1"/>
  <c r="L38" i="1"/>
  <c r="M36" i="1"/>
  <c r="M35" i="1"/>
  <c r="L36" i="1"/>
  <c r="L35" i="1"/>
  <c r="M34" i="1"/>
  <c r="M33" i="1"/>
  <c r="L34" i="1"/>
  <c r="L33" i="1"/>
  <c r="M32" i="1"/>
  <c r="M31" i="1"/>
  <c r="L32" i="1"/>
  <c r="L31" i="1"/>
  <c r="M30" i="1"/>
  <c r="M29" i="1"/>
  <c r="L30" i="1"/>
  <c r="L29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J207" i="1"/>
  <c r="J206" i="1"/>
  <c r="J205" i="1"/>
  <c r="J204" i="1"/>
  <c r="J203" i="1"/>
  <c r="J202" i="1"/>
  <c r="J201" i="1"/>
  <c r="J200" i="1"/>
  <c r="J191" i="1"/>
  <c r="J192" i="1"/>
  <c r="J193" i="1"/>
  <c r="J194" i="1"/>
  <c r="J195" i="1"/>
  <c r="J196" i="1"/>
  <c r="J197" i="1"/>
  <c r="J198" i="1"/>
  <c r="J173" i="1"/>
  <c r="J174" i="1"/>
  <c r="J175" i="1"/>
  <c r="J176" i="1"/>
  <c r="J177" i="1"/>
  <c r="J178" i="1"/>
  <c r="J179" i="1"/>
  <c r="J180" i="1"/>
  <c r="J171" i="1"/>
  <c r="J170" i="1"/>
  <c r="J169" i="1"/>
  <c r="J168" i="1"/>
  <c r="J167" i="1"/>
  <c r="J166" i="1"/>
  <c r="J165" i="1"/>
  <c r="J164" i="1"/>
  <c r="J155" i="1"/>
  <c r="J156" i="1"/>
  <c r="J157" i="1"/>
  <c r="J158" i="1"/>
  <c r="J159" i="1"/>
  <c r="J160" i="1"/>
  <c r="J161" i="1"/>
  <c r="J162" i="1"/>
  <c r="J153" i="1"/>
  <c r="J152" i="1"/>
  <c r="J151" i="1"/>
  <c r="J150" i="1"/>
  <c r="J149" i="1"/>
  <c r="J148" i="1"/>
  <c r="J147" i="1"/>
  <c r="J146" i="1"/>
  <c r="J135" i="1"/>
  <c r="J134" i="1"/>
  <c r="J133" i="1"/>
  <c r="J132" i="1"/>
  <c r="J131" i="1"/>
  <c r="J130" i="1"/>
  <c r="J129" i="1"/>
  <c r="J128" i="1"/>
  <c r="J117" i="1"/>
  <c r="J116" i="1"/>
  <c r="J115" i="1"/>
  <c r="J114" i="1"/>
  <c r="J113" i="1"/>
  <c r="J112" i="1"/>
  <c r="J111" i="1"/>
  <c r="J110" i="1"/>
  <c r="J101" i="1"/>
  <c r="J102" i="1"/>
  <c r="J103" i="1"/>
  <c r="J104" i="1"/>
  <c r="J105" i="1"/>
  <c r="J106" i="1"/>
  <c r="J107" i="1"/>
  <c r="J108" i="1"/>
  <c r="J99" i="1"/>
  <c r="J98" i="1"/>
  <c r="J97" i="1"/>
  <c r="J96" i="1"/>
  <c r="J95" i="1"/>
  <c r="J94" i="1"/>
  <c r="J93" i="1"/>
  <c r="J92" i="1"/>
  <c r="J83" i="1"/>
  <c r="J84" i="1"/>
  <c r="J85" i="1"/>
  <c r="J86" i="1"/>
  <c r="J87" i="1"/>
  <c r="J88" i="1"/>
  <c r="J89" i="1"/>
  <c r="J90" i="1"/>
  <c r="J81" i="1"/>
  <c r="J80" i="1"/>
  <c r="J79" i="1"/>
  <c r="J78" i="1"/>
  <c r="J77" i="1"/>
  <c r="J76" i="1"/>
  <c r="J75" i="1"/>
  <c r="J74" i="1"/>
  <c r="J65" i="1"/>
  <c r="J66" i="1"/>
  <c r="J67" i="1"/>
  <c r="J68" i="1"/>
  <c r="J69" i="1"/>
  <c r="J70" i="1"/>
  <c r="J71" i="1"/>
  <c r="J72" i="1"/>
  <c r="J63" i="1"/>
  <c r="J62" i="1"/>
  <c r="J61" i="1"/>
  <c r="J60" i="1"/>
  <c r="J59" i="1"/>
  <c r="J58" i="1"/>
  <c r="J57" i="1"/>
  <c r="J56" i="1"/>
  <c r="J47" i="1"/>
  <c r="J48" i="1"/>
  <c r="J49" i="1"/>
  <c r="J50" i="1"/>
  <c r="J51" i="1"/>
  <c r="J52" i="1"/>
  <c r="J53" i="1"/>
  <c r="J54" i="1"/>
  <c r="J45" i="1"/>
  <c r="J44" i="1"/>
  <c r="J43" i="1"/>
  <c r="J42" i="1"/>
  <c r="J41" i="1"/>
  <c r="J40" i="1"/>
  <c r="J39" i="1"/>
  <c r="J38" i="1"/>
  <c r="J29" i="1"/>
  <c r="J30" i="1"/>
  <c r="J31" i="1"/>
  <c r="J32" i="1"/>
  <c r="J33" i="1"/>
  <c r="J34" i="1"/>
  <c r="J35" i="1"/>
  <c r="J36" i="1"/>
  <c r="J27" i="1"/>
  <c r="J26" i="1"/>
  <c r="J25" i="1"/>
  <c r="J24" i="1"/>
  <c r="J23" i="1"/>
  <c r="J22" i="1"/>
  <c r="J21" i="1"/>
  <c r="J20" i="1"/>
  <c r="J9" i="1"/>
  <c r="J8" i="1"/>
  <c r="J7" i="1"/>
  <c r="J6" i="1"/>
  <c r="J5" i="1"/>
  <c r="J4" i="1"/>
  <c r="J3" i="1"/>
  <c r="J2" i="1"/>
  <c r="G220" i="1"/>
  <c r="G211" i="1"/>
  <c r="G202" i="1"/>
  <c r="G193" i="1"/>
  <c r="G184" i="1"/>
  <c r="G175" i="1"/>
  <c r="G166" i="1"/>
  <c r="G157" i="1"/>
  <c r="G148" i="1"/>
  <c r="G139" i="1"/>
  <c r="G130" i="1"/>
  <c r="G121" i="1"/>
  <c r="G112" i="1"/>
  <c r="G103" i="1"/>
  <c r="G94" i="1"/>
  <c r="G85" i="1"/>
  <c r="G76" i="1"/>
  <c r="G67" i="1"/>
  <c r="G58" i="1"/>
  <c r="G49" i="1"/>
  <c r="G40" i="1"/>
  <c r="G31" i="1"/>
  <c r="G22" i="1"/>
  <c r="G13" i="1"/>
  <c r="G4" i="1"/>
  <c r="G218" i="1"/>
  <c r="G209" i="1"/>
  <c r="G200" i="1"/>
  <c r="G191" i="1"/>
  <c r="G182" i="1"/>
  <c r="G173" i="1"/>
  <c r="G164" i="1"/>
  <c r="G155" i="1"/>
  <c r="G146" i="1"/>
  <c r="G137" i="1"/>
  <c r="G128" i="1"/>
  <c r="G119" i="1"/>
  <c r="G110" i="1"/>
  <c r="G101" i="1"/>
  <c r="G92" i="1"/>
  <c r="G83" i="1"/>
  <c r="G74" i="1"/>
  <c r="G65" i="1"/>
  <c r="G56" i="1"/>
  <c r="G47" i="1"/>
  <c r="G38" i="1"/>
  <c r="G29" i="1"/>
  <c r="G20" i="1"/>
  <c r="G11" i="1"/>
  <c r="G2" i="1"/>
  <c r="F224" i="1"/>
  <c r="F223" i="1"/>
  <c r="F222" i="1"/>
  <c r="F221" i="1"/>
  <c r="F220" i="1"/>
  <c r="F215" i="1"/>
  <c r="F214" i="1"/>
  <c r="F213" i="1"/>
  <c r="F212" i="1"/>
  <c r="F211" i="1"/>
  <c r="F206" i="1"/>
  <c r="F205" i="1"/>
  <c r="F204" i="1"/>
  <c r="F203" i="1"/>
  <c r="F202" i="1"/>
  <c r="F197" i="1"/>
  <c r="F196" i="1"/>
  <c r="F195" i="1"/>
  <c r="F194" i="1"/>
  <c r="F193" i="1"/>
  <c r="F188" i="1"/>
  <c r="F187" i="1"/>
  <c r="F186" i="1"/>
  <c r="F185" i="1"/>
  <c r="F184" i="1"/>
  <c r="F179" i="1"/>
  <c r="F178" i="1"/>
  <c r="F177" i="1"/>
  <c r="F176" i="1"/>
  <c r="F175" i="1"/>
  <c r="F170" i="1"/>
  <c r="F169" i="1"/>
  <c r="F168" i="1"/>
  <c r="F167" i="1"/>
  <c r="F166" i="1"/>
  <c r="F161" i="1"/>
  <c r="F160" i="1"/>
  <c r="F159" i="1"/>
  <c r="F158" i="1"/>
  <c r="F157" i="1"/>
  <c r="F152" i="1"/>
  <c r="F151" i="1"/>
  <c r="F150" i="1"/>
  <c r="F149" i="1"/>
  <c r="F148" i="1"/>
  <c r="F143" i="1"/>
  <c r="F142" i="1"/>
  <c r="F141" i="1"/>
  <c r="F140" i="1"/>
  <c r="F139" i="1"/>
  <c r="F134" i="1"/>
  <c r="F133" i="1"/>
  <c r="F132" i="1"/>
  <c r="F131" i="1"/>
  <c r="F130" i="1"/>
  <c r="F125" i="1"/>
  <c r="F124" i="1"/>
  <c r="F123" i="1"/>
  <c r="F122" i="1"/>
  <c r="F121" i="1"/>
  <c r="F116" i="1"/>
  <c r="F115" i="1"/>
  <c r="F114" i="1"/>
  <c r="F113" i="1"/>
  <c r="F112" i="1"/>
  <c r="F107" i="1"/>
  <c r="F106" i="1"/>
  <c r="F105" i="1"/>
  <c r="F104" i="1"/>
  <c r="F103" i="1"/>
  <c r="F98" i="1"/>
  <c r="F97" i="1"/>
  <c r="F96" i="1"/>
  <c r="F95" i="1"/>
  <c r="F94" i="1"/>
  <c r="F89" i="1"/>
  <c r="F88" i="1"/>
  <c r="F87" i="1"/>
  <c r="F86" i="1"/>
  <c r="F85" i="1"/>
  <c r="F80" i="1"/>
  <c r="F79" i="1"/>
  <c r="F78" i="1"/>
  <c r="F77" i="1"/>
  <c r="F76" i="1"/>
  <c r="F71" i="1"/>
  <c r="F70" i="1"/>
  <c r="F69" i="1"/>
  <c r="F68" i="1"/>
  <c r="F67" i="1"/>
  <c r="F62" i="1"/>
  <c r="F61" i="1"/>
  <c r="F60" i="1"/>
  <c r="F59" i="1"/>
  <c r="F58" i="1"/>
  <c r="F53" i="1"/>
  <c r="F52" i="1"/>
  <c r="F51" i="1"/>
  <c r="F50" i="1"/>
  <c r="F49" i="1"/>
  <c r="F44" i="1"/>
  <c r="F43" i="1"/>
  <c r="F42" i="1"/>
  <c r="F41" i="1"/>
  <c r="F40" i="1"/>
  <c r="F35" i="1"/>
  <c r="F34" i="1"/>
  <c r="F33" i="1"/>
  <c r="F32" i="1"/>
  <c r="F31" i="1"/>
  <c r="F26" i="1"/>
  <c r="F25" i="1"/>
  <c r="F24" i="1"/>
  <c r="F23" i="1"/>
  <c r="F22" i="1"/>
  <c r="F17" i="1"/>
  <c r="F16" i="1"/>
  <c r="F15" i="1"/>
  <c r="F14" i="1"/>
  <c r="F13" i="1"/>
  <c r="F8" i="1"/>
  <c r="F7" i="1"/>
  <c r="F6" i="1"/>
  <c r="F5" i="1"/>
  <c r="F4" i="1"/>
</calcChain>
</file>

<file path=xl/comments1.xml><?xml version="1.0" encoding="utf-8"?>
<comments xmlns="http://schemas.openxmlformats.org/spreadsheetml/2006/main">
  <authors>
    <author>Hinkson, Kasia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gss, right to marry, region info only
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same as 2010
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According to ACS, based on census, .2%, not 2%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Hinkson, Kasia:</t>
        </r>
        <r>
          <rPr>
            <sz val="9"/>
            <color indexed="81"/>
            <rFont val="Tahoma"/>
            <family val="2"/>
          </rPr>
          <t xml:space="preserve">
from pew https://www.pewforum.org/religious-landscape-study/compare/views-about-homosexuality/by/state/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Hinkson, Kasia:</t>
        </r>
        <r>
          <rPr>
            <sz val="9"/>
            <color indexed="81"/>
            <rFont val="Tahoma"/>
            <family val="2"/>
          </rPr>
          <t xml:space="preserve">
from american values atlas http://ava.prri.org/#lgbt/2015/States/lgbtdis/2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american values, does discrimination exist http://ava.prri.org/#discrimination/2016/States/lgdis/1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Hinkson, Kasia:</t>
        </r>
        <r>
          <rPr>
            <sz val="9"/>
            <color indexed="81"/>
            <rFont val="Tahoma"/>
            <family val="2"/>
          </rPr>
          <t xml:space="preserve">
from american values atlas http://ava.prri.org/#lgbt/2017/States/lgbtdis/2
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Hinkson, Kasia:</t>
        </r>
        <r>
          <rPr>
            <sz val="9"/>
            <color indexed="81"/>
            <rFont val="Tahoma"/>
            <family val="2"/>
          </rPr>
          <t xml:space="preserve">
from american values atlas
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According to ACS, &lt;.1% (2/6748)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According to ACS, .2%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According to ACS, .3%</t>
        </r>
      </text>
    </comment>
    <comment ref="F41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ACS, .2</t>
        </r>
      </text>
    </comment>
    <comment ref="F50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ACS, .1
</t>
        </r>
      </text>
    </comment>
    <comment ref="F59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ACS, .1
</t>
        </r>
      </text>
    </comment>
    <comment ref="G74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gss, right to marry, region info only
</t>
        </r>
      </text>
    </comment>
    <comment ref="G110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gss, right to marry, region info only
</t>
        </r>
      </text>
    </comment>
    <comment ref="J218" authorId="0" shapeId="0">
      <text>
        <r>
          <rPr>
            <b/>
            <sz val="9"/>
            <color indexed="81"/>
            <rFont val="Tahoma"/>
            <charset val="1"/>
          </rPr>
          <t>Hinkson, Kasia:</t>
        </r>
        <r>
          <rPr>
            <sz val="9"/>
            <color indexed="81"/>
            <rFont val="Tahoma"/>
            <charset val="1"/>
          </rPr>
          <t xml:space="preserve">
IPUMS doesn't have it (its all indeterminate, which in all other states isn't counted)</t>
        </r>
      </text>
    </comment>
  </commentList>
</comments>
</file>

<file path=xl/sharedStrings.xml><?xml version="1.0" encoding="utf-8"?>
<sst xmlns="http://schemas.openxmlformats.org/spreadsheetml/2006/main" count="467" uniqueCount="51">
  <si>
    <t>State</t>
  </si>
  <si>
    <t>Time</t>
  </si>
  <si>
    <t>Year</t>
  </si>
  <si>
    <t>lgbt_rep</t>
  </si>
  <si>
    <t>tot_pop</t>
  </si>
  <si>
    <t>lgbt_pop</t>
  </si>
  <si>
    <t>lgbt_att</t>
  </si>
  <si>
    <t>AL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</si>
  <si>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</si>
  <si>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</si>
  <si>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</si>
  <si>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</si>
  <si>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</si>
  <si>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</si>
  <si>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</si>
  <si>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</si>
  <si>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</si>
  <si>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AK</t>
  </si>
  <si>
    <t>AZ</t>
  </si>
  <si>
    <t>FL</t>
  </si>
  <si>
    <t>GA</t>
  </si>
  <si>
    <t>ID</t>
  </si>
  <si>
    <t>IN</t>
  </si>
  <si>
    <t>KS</t>
  </si>
  <si>
    <t>KY</t>
  </si>
  <si>
    <t>LA</t>
  </si>
  <si>
    <t>MI</t>
  </si>
  <si>
    <t>MO</t>
  </si>
  <si>
    <t>MS</t>
  </si>
  <si>
    <t>MT</t>
  </si>
  <si>
    <t>NE</t>
  </si>
  <si>
    <t>ND</t>
  </si>
  <si>
    <t>OH</t>
  </si>
  <si>
    <t>OK</t>
  </si>
  <si>
    <t>PA</t>
  </si>
  <si>
    <t>SC</t>
  </si>
  <si>
    <t>SD</t>
  </si>
  <si>
    <t>TX</t>
  </si>
  <si>
    <t>VA</t>
  </si>
  <si>
    <t>WV</t>
  </si>
  <si>
    <t>WY</t>
  </si>
  <si>
    <t>church_att</t>
  </si>
  <si>
    <t>dem_vote</t>
  </si>
  <si>
    <t>urban_pop</t>
  </si>
  <si>
    <t>edu_hs</t>
  </si>
  <si>
    <t>edu_scol</t>
  </si>
  <si>
    <t>edu_col</t>
  </si>
  <si>
    <t>inc25</t>
  </si>
  <si>
    <t>inc45</t>
  </si>
  <si>
    <t>inc100</t>
  </si>
  <si>
    <t>inc200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</si>
</sst>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" fontId="1" fillId="0" borderId="0" xfId="0" applyNumberFormat="1" applyFont="1" applyBorder="1" applyAlignment="1" applyProtection="1">
      <alignment horizontal="right"/>
      <protection locked="0"/>
    </xf>
    <xf numFmtId="4" fontId="1" fillId="0" borderId="0" xfId="0" applyNumberFormat="1" applyFont="1" applyBorder="1"/>
    <xf numFmtId="4" fontId="2" fillId="0" borderId="0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26"/>
  <sheetViews>
    <sheetView tabSelected="1" workbookViewId="0">
      <pane ySplit="1" topLeftCell="A83" activePane="bottomLeft" state="frozen"/>
      <selection pane="bottomLeft" activeCell="O94" sqref="O94"/>
    </sheetView>
  </sheetViews>
  <sheetFormatPr defaultRowHeight="15" x14ac:dyDescent="0.25"/>
  <cols>
    <col min="1" max="4" width="9.140625" style="1"/>
    <col min="5" max="6" width="12.28515625" style="1" bestFit="1" customWidth="1"/>
    <col min="7" max="7" width="9.140625" style="1"/>
    <col min="8" max="8" width="10.28515625" bestFit="1" customWidth="1"/>
    <col min="9" max="9" width="10" bestFit="1" customWidth="1"/>
    <col min="10" max="10" width="10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</row>
    <row r="2" spans="1:17" x14ac:dyDescent="0.25">
      <c r="A2" s="1" t="s">
        <v>7</v>
      </c>
      <c r="B2" s="1" t="s">
        <v>8</v>
      </c>
      <c r="C2" s="1">
        <v>2010</v>
      </c>
      <c r="D2" s="1">
        <v>1</v>
      </c>
      <c r="E2" s="2">
        <v>4785448</v>
      </c>
      <c r="F2" s="2">
        <v>6582</v>
      </c>
      <c r="G2" s="1">
        <f>(13+19)/127</f>
        <v>0.25196850393700787</v>
      </c>
      <c r="H2" s="5">
        <v>0.46</v>
      </c>
      <c r="I2" s="5">
        <v>42.1</v>
      </c>
      <c r="J2">
        <f>10.4+10.5+46</f>
        <v>66.900000000000006</v>
      </c>
      <c r="K2">
        <v>31.2</v>
      </c>
      <c r="L2">
        <f>12.7+5.4</f>
        <v>18.100000000000001</v>
      </c>
      <c r="M2">
        <f>10.6+6.2</f>
        <v>16.8</v>
      </c>
    </row>
    <row r="3" spans="1:17" x14ac:dyDescent="0.25">
      <c r="A3" s="1" t="s">
        <v>7</v>
      </c>
      <c r="B3" s="1" t="s">
        <v>9</v>
      </c>
      <c r="C3" s="1">
        <v>2011</v>
      </c>
      <c r="D3" s="1">
        <v>1</v>
      </c>
      <c r="E3" s="2">
        <v>4798834</v>
      </c>
      <c r="H3" s="5">
        <v>0.44</v>
      </c>
      <c r="J3">
        <f>11.2+8.8+42.7</f>
        <v>62.7</v>
      </c>
      <c r="K3">
        <v>32.299999999999997</v>
      </c>
      <c r="L3">
        <f>13.2+5.4</f>
        <v>18.600000000000001</v>
      </c>
      <c r="M3">
        <f>9.8+6</f>
        <v>15.8</v>
      </c>
    </row>
    <row r="4" spans="1:17" x14ac:dyDescent="0.25">
      <c r="A4" s="1" t="s">
        <v>7</v>
      </c>
      <c r="B4" s="1" t="s">
        <v>10</v>
      </c>
      <c r="C4" s="1">
        <v>2012</v>
      </c>
      <c r="D4" s="1">
        <v>1</v>
      </c>
      <c r="E4" s="2">
        <v>4815564</v>
      </c>
      <c r="F4" s="3">
        <f>E4*0.03</f>
        <v>144466.91999999998</v>
      </c>
      <c r="G4" s="1">
        <f>(12+23)/115</f>
        <v>0.30434782608695654</v>
      </c>
      <c r="H4" s="5">
        <v>0.45</v>
      </c>
      <c r="I4" s="5">
        <v>0.38</v>
      </c>
      <c r="J4">
        <f>2.5+53.4</f>
        <v>55.9</v>
      </c>
      <c r="K4">
        <v>32.700000000000003</v>
      </c>
      <c r="L4">
        <f>13.2+5.7</f>
        <v>18.899999999999999</v>
      </c>
      <c r="M4">
        <f>10.2+6.2</f>
        <v>16.399999999999999</v>
      </c>
    </row>
    <row r="5" spans="1:17" x14ac:dyDescent="0.25">
      <c r="A5" s="1" t="s">
        <v>7</v>
      </c>
      <c r="B5" s="1" t="s">
        <v>11</v>
      </c>
      <c r="C5" s="1">
        <v>2013</v>
      </c>
      <c r="D5" s="1">
        <v>1</v>
      </c>
      <c r="E5" s="2">
        <v>4830460</v>
      </c>
      <c r="F5" s="3">
        <f>E5*0.02</f>
        <v>96609.2</v>
      </c>
      <c r="H5" s="5">
        <v>0.45</v>
      </c>
      <c r="J5">
        <f>2.6+54</f>
        <v>56.6</v>
      </c>
      <c r="K5">
        <v>32.200000000000003</v>
      </c>
      <c r="L5">
        <f>13.1+6.1</f>
        <v>19.2</v>
      </c>
      <c r="M5">
        <f>10.8+6.4</f>
        <v>17.200000000000003</v>
      </c>
    </row>
    <row r="6" spans="1:17" x14ac:dyDescent="0.25">
      <c r="A6" s="1" t="s">
        <v>7</v>
      </c>
      <c r="B6" s="1" t="s">
        <v>12</v>
      </c>
      <c r="C6" s="1">
        <v>2014</v>
      </c>
      <c r="D6" s="1">
        <v>1</v>
      </c>
      <c r="E6" s="2">
        <v>4842481</v>
      </c>
      <c r="F6" s="3">
        <f>E6*0.03</f>
        <v>145274.43</v>
      </c>
      <c r="G6" s="5">
        <v>0.41</v>
      </c>
      <c r="H6" s="5">
        <v>0.45</v>
      </c>
      <c r="I6" s="5">
        <v>36</v>
      </c>
      <c r="J6">
        <f>2.6+53.9</f>
        <v>56.5</v>
      </c>
      <c r="K6">
        <v>33.6</v>
      </c>
      <c r="L6">
        <f>13+6</f>
        <v>19</v>
      </c>
      <c r="M6">
        <f>10.6+6.3</f>
        <v>16.899999999999999</v>
      </c>
    </row>
    <row r="7" spans="1:17" x14ac:dyDescent="0.25">
      <c r="A7" s="1" t="s">
        <v>7</v>
      </c>
      <c r="B7" s="1" t="s">
        <v>13</v>
      </c>
      <c r="C7" s="1">
        <v>2015</v>
      </c>
      <c r="D7" s="1">
        <v>1</v>
      </c>
      <c r="E7" s="2">
        <v>4853160</v>
      </c>
      <c r="F7" s="3">
        <f>E7*0.03</f>
        <v>145594.79999999999</v>
      </c>
      <c r="G7" s="5">
        <v>0.56999999999999995</v>
      </c>
      <c r="H7" s="5">
        <v>0.45</v>
      </c>
      <c r="J7">
        <f>2.6+53.9</f>
        <v>56.5</v>
      </c>
      <c r="K7">
        <v>32.700000000000003</v>
      </c>
      <c r="L7">
        <f>13.2+6.2</f>
        <v>19.399999999999999</v>
      </c>
      <c r="M7">
        <f>11.2+6.6</f>
        <v>17.799999999999997</v>
      </c>
    </row>
    <row r="8" spans="1:17" x14ac:dyDescent="0.25">
      <c r="A8" s="1" t="s">
        <v>7</v>
      </c>
      <c r="B8" s="1" t="s">
        <v>14</v>
      </c>
      <c r="C8" s="1">
        <v>2016</v>
      </c>
      <c r="D8" s="1">
        <v>1</v>
      </c>
      <c r="E8" s="2">
        <v>4864745</v>
      </c>
      <c r="F8" s="3">
        <f>E8*0.03</f>
        <v>145942.35</v>
      </c>
      <c r="G8" s="5">
        <v>0.53</v>
      </c>
      <c r="H8" s="5">
        <v>0.4</v>
      </c>
      <c r="I8" s="5">
        <v>0.34</v>
      </c>
      <c r="J8">
        <f>2.7+54.1</f>
        <v>56.800000000000004</v>
      </c>
      <c r="K8">
        <v>32.4</v>
      </c>
      <c r="L8">
        <f>13+6.3</f>
        <v>19.3</v>
      </c>
      <c r="M8">
        <f>11.5+7</f>
        <v>18.5</v>
      </c>
    </row>
    <row r="9" spans="1:17" x14ac:dyDescent="0.25">
      <c r="A9" s="1" t="s">
        <v>7</v>
      </c>
      <c r="B9" s="1" t="s">
        <v>15</v>
      </c>
      <c r="C9" s="1">
        <v>2017</v>
      </c>
      <c r="D9" s="1">
        <v>1</v>
      </c>
      <c r="E9" s="2">
        <v>4875120</v>
      </c>
      <c r="F9" s="3">
        <v>117000</v>
      </c>
      <c r="G9" s="5">
        <v>0.57999999999999996</v>
      </c>
      <c r="J9">
        <f>2.7+54</f>
        <v>56.7</v>
      </c>
      <c r="K9">
        <v>32.5</v>
      </c>
      <c r="L9">
        <f>13.1+6.6</f>
        <v>19.7</v>
      </c>
      <c r="M9">
        <f>11.5+7.4</f>
        <v>18.899999999999999</v>
      </c>
    </row>
    <row r="10" spans="1:17" x14ac:dyDescent="0.25">
      <c r="A10" s="1" t="s">
        <v>7</v>
      </c>
      <c r="B10" s="1" t="s">
        <v>16</v>
      </c>
      <c r="C10" s="1">
        <v>2018</v>
      </c>
      <c r="D10" s="1">
        <v>2</v>
      </c>
      <c r="E10" s="2">
        <v>4887871</v>
      </c>
      <c r="F10" s="4">
        <v>117739</v>
      </c>
      <c r="G10" s="5">
        <v>0.59</v>
      </c>
      <c r="I10">
        <v>40.4</v>
      </c>
    </row>
    <row r="11" spans="1:17" x14ac:dyDescent="0.25">
      <c r="A11" s="1" t="s">
        <v>17</v>
      </c>
      <c r="B11" s="1" t="s">
        <v>8</v>
      </c>
      <c r="C11" s="1">
        <v>2010</v>
      </c>
      <c r="D11" s="1">
        <v>0</v>
      </c>
      <c r="E11" s="2">
        <v>713906</v>
      </c>
      <c r="F11" s="2">
        <v>1228</v>
      </c>
      <c r="G11" s="1">
        <f>(49+48)/313</f>
        <v>0.30990415335463256</v>
      </c>
      <c r="H11" s="5">
        <v>0.22</v>
      </c>
      <c r="I11" s="5">
        <v>38.299999999999997</v>
      </c>
      <c r="J11" s="5">
        <v>28</v>
      </c>
      <c r="K11" s="5">
        <v>27.9</v>
      </c>
      <c r="L11">
        <f>14.8+5.1</f>
        <v>19.899999999999999</v>
      </c>
      <c r="M11">
        <f>11+6.1</f>
        <v>17.100000000000001</v>
      </c>
    </row>
    <row r="12" spans="1:17" x14ac:dyDescent="0.25">
      <c r="A12" s="1" t="s">
        <v>17</v>
      </c>
      <c r="B12" s="1" t="s">
        <v>9</v>
      </c>
      <c r="C12" s="1">
        <v>2011</v>
      </c>
      <c r="D12" s="1">
        <v>0</v>
      </c>
      <c r="E12" s="2">
        <v>722038</v>
      </c>
      <c r="F12" s="2"/>
      <c r="H12" s="5">
        <v>0.23</v>
      </c>
      <c r="J12">
        <v>20.6</v>
      </c>
      <c r="K12" s="5">
        <v>30.6</v>
      </c>
      <c r="L12">
        <f>14.1+4.2</f>
        <v>18.3</v>
      </c>
      <c r="M12">
        <f>8.8+5.2</f>
        <v>14</v>
      </c>
    </row>
    <row r="13" spans="1:17" x14ac:dyDescent="0.25">
      <c r="A13" s="1" t="s">
        <v>17</v>
      </c>
      <c r="B13" s="1" t="s">
        <v>10</v>
      </c>
      <c r="C13" s="1">
        <v>2012</v>
      </c>
      <c r="D13" s="1">
        <v>0</v>
      </c>
      <c r="E13" s="2">
        <v>730399</v>
      </c>
      <c r="F13" s="3">
        <f>0.03*E13</f>
        <v>21911.969999999998</v>
      </c>
      <c r="G13" s="1">
        <f>(59+52)/307</f>
        <v>0.36156351791530944</v>
      </c>
      <c r="H13" s="5">
        <v>0.27</v>
      </c>
      <c r="I13" s="5">
        <v>0.41</v>
      </c>
      <c r="J13" s="5">
        <v>18.8</v>
      </c>
      <c r="K13" s="5">
        <v>30.3</v>
      </c>
      <c r="L13">
        <f>14.4+4.6</f>
        <v>19</v>
      </c>
      <c r="M13">
        <f>8.7+5</f>
        <v>13.7</v>
      </c>
    </row>
    <row r="14" spans="1:17" x14ac:dyDescent="0.25">
      <c r="A14" s="1" t="s">
        <v>17</v>
      </c>
      <c r="B14" s="1" t="s">
        <v>11</v>
      </c>
      <c r="C14" s="1">
        <v>2013</v>
      </c>
      <c r="D14" s="1">
        <v>0</v>
      </c>
      <c r="E14" s="3">
        <v>737045</v>
      </c>
      <c r="F14" s="3">
        <f>E14*0.03</f>
        <v>22111.35</v>
      </c>
      <c r="H14" s="5">
        <v>0.32</v>
      </c>
      <c r="J14">
        <v>19.399999999999999</v>
      </c>
      <c r="K14" s="5">
        <v>30.5</v>
      </c>
      <c r="L14">
        <f>14.3+4.3</f>
        <v>18.600000000000001</v>
      </c>
      <c r="M14">
        <f>9.4+4.8</f>
        <v>14.2</v>
      </c>
    </row>
    <row r="15" spans="1:17" x14ac:dyDescent="0.25">
      <c r="A15" s="1" t="s">
        <v>17</v>
      </c>
      <c r="B15" s="1" t="s">
        <v>12</v>
      </c>
      <c r="C15" s="1">
        <v>2014</v>
      </c>
      <c r="D15" s="1">
        <v>0</v>
      </c>
      <c r="E15" s="2">
        <v>736307</v>
      </c>
      <c r="F15" s="3">
        <f>E15*0.04</f>
        <v>29452.28</v>
      </c>
      <c r="G15" s="5">
        <v>0.62</v>
      </c>
      <c r="H15" s="5">
        <v>0.25</v>
      </c>
      <c r="I15" s="5">
        <v>45</v>
      </c>
      <c r="J15" s="5">
        <v>19</v>
      </c>
      <c r="K15" s="5">
        <v>31.1</v>
      </c>
      <c r="L15">
        <f>13.5+4.9</f>
        <v>18.399999999999999</v>
      </c>
      <c r="M15">
        <f>10.4+4.9</f>
        <v>15.3</v>
      </c>
    </row>
    <row r="16" spans="1:17" x14ac:dyDescent="0.25">
      <c r="A16" s="1" t="s">
        <v>17</v>
      </c>
      <c r="B16" s="1" t="s">
        <v>13</v>
      </c>
      <c r="C16" s="1">
        <v>2015</v>
      </c>
      <c r="D16" s="1">
        <v>0</v>
      </c>
      <c r="E16" s="2">
        <v>737547</v>
      </c>
      <c r="F16" s="3">
        <f>E16*0.03</f>
        <v>22126.41</v>
      </c>
      <c r="G16" s="5">
        <v>0.73</v>
      </c>
      <c r="H16" s="5">
        <v>0.28000000000000003</v>
      </c>
      <c r="J16">
        <v>20.7</v>
      </c>
      <c r="K16" s="5">
        <v>31.6</v>
      </c>
      <c r="L16">
        <f>14.4+4.7</f>
        <v>19.100000000000001</v>
      </c>
      <c r="M16">
        <f>9.9+5.7</f>
        <v>15.600000000000001</v>
      </c>
    </row>
    <row r="17" spans="1:13" x14ac:dyDescent="0.25">
      <c r="A17" s="1" t="s">
        <v>17</v>
      </c>
      <c r="B17" s="1" t="s">
        <v>14</v>
      </c>
      <c r="C17" s="1">
        <v>2016</v>
      </c>
      <c r="D17" s="1">
        <v>0</v>
      </c>
      <c r="E17" s="2">
        <v>741504</v>
      </c>
      <c r="F17" s="3">
        <f>E17*0.03</f>
        <v>22245.119999999999</v>
      </c>
      <c r="G17" s="5">
        <v>0.46</v>
      </c>
      <c r="H17" s="5">
        <v>0.21</v>
      </c>
      <c r="I17" s="5">
        <v>0.37</v>
      </c>
      <c r="J17" s="5">
        <v>20.9</v>
      </c>
      <c r="K17" s="5">
        <v>31.8</v>
      </c>
      <c r="L17">
        <f>13.6+4.8</f>
        <v>18.399999999999999</v>
      </c>
      <c r="M17">
        <f>9.7+5.3</f>
        <v>15</v>
      </c>
    </row>
    <row r="18" spans="1:13" x14ac:dyDescent="0.25">
      <c r="A18" s="1" t="s">
        <v>17</v>
      </c>
      <c r="B18" s="1" t="s">
        <v>15</v>
      </c>
      <c r="C18" s="1">
        <v>2017</v>
      </c>
      <c r="D18" s="1">
        <v>0</v>
      </c>
      <c r="E18" s="2">
        <v>739786</v>
      </c>
      <c r="F18" s="3">
        <v>21000</v>
      </c>
      <c r="G18" s="5">
        <v>0.65</v>
      </c>
      <c r="J18">
        <v>19.8</v>
      </c>
      <c r="K18" s="5">
        <v>31.4</v>
      </c>
      <c r="L18">
        <f>13+5</f>
        <v>18</v>
      </c>
      <c r="M18">
        <f>10.2+5.5</f>
        <v>15.7</v>
      </c>
    </row>
    <row r="19" spans="1:13" x14ac:dyDescent="0.25">
      <c r="A19" s="1" t="s">
        <v>17</v>
      </c>
      <c r="B19" s="1" t="s">
        <v>16</v>
      </c>
      <c r="C19" s="1">
        <v>2018</v>
      </c>
      <c r="D19" s="1">
        <v>0</v>
      </c>
      <c r="E19" s="2">
        <v>737438</v>
      </c>
      <c r="F19" s="4">
        <v>20484</v>
      </c>
      <c r="G19" s="5">
        <v>0.68</v>
      </c>
      <c r="I19">
        <v>44.5</v>
      </c>
    </row>
    <row r="20" spans="1:13" x14ac:dyDescent="0.25">
      <c r="A20" s="1" t="s">
        <v>18</v>
      </c>
      <c r="B20" s="1" t="s">
        <v>8</v>
      </c>
      <c r="C20" s="1">
        <v>2010</v>
      </c>
      <c r="D20" s="1">
        <v>6</v>
      </c>
      <c r="E20" s="2">
        <v>6407774</v>
      </c>
      <c r="F20" s="2">
        <v>15817</v>
      </c>
      <c r="G20" s="1">
        <f>(19+16)/125</f>
        <v>0.28000000000000003</v>
      </c>
      <c r="H20" s="5">
        <v>0.3</v>
      </c>
      <c r="I20" s="5">
        <v>42.2</v>
      </c>
      <c r="J20">
        <f>2.1+2.5+74.73</f>
        <v>79.33</v>
      </c>
      <c r="K20">
        <v>27.4</v>
      </c>
      <c r="L20">
        <f>14.5+5.9</f>
        <v>20.399999999999999</v>
      </c>
      <c r="M20">
        <f>12.4+7.2</f>
        <v>19.600000000000001</v>
      </c>
    </row>
    <row r="21" spans="1:13" x14ac:dyDescent="0.25">
      <c r="A21" s="1" t="s">
        <v>18</v>
      </c>
      <c r="B21" s="1" t="s">
        <v>9</v>
      </c>
      <c r="C21" s="1">
        <v>2011</v>
      </c>
      <c r="D21" s="1">
        <v>6</v>
      </c>
      <c r="E21" s="2">
        <v>6473497</v>
      </c>
      <c r="H21" s="5">
        <v>0.3</v>
      </c>
      <c r="J21">
        <f>2.6+1.8+75</f>
        <v>79.400000000000006</v>
      </c>
      <c r="K21">
        <v>27.6</v>
      </c>
      <c r="L21">
        <f>14.5+5.9</f>
        <v>20.399999999999999</v>
      </c>
      <c r="M21">
        <f>12+7.1</f>
        <v>19.100000000000001</v>
      </c>
    </row>
    <row r="22" spans="1:13" x14ac:dyDescent="0.25">
      <c r="A22" s="1" t="s">
        <v>18</v>
      </c>
      <c r="B22" s="1" t="s">
        <v>10</v>
      </c>
      <c r="C22" s="1">
        <v>2012</v>
      </c>
      <c r="D22" s="1">
        <v>4</v>
      </c>
      <c r="E22" s="2">
        <v>6556629</v>
      </c>
      <c r="F22" s="3">
        <f>E22*0.04</f>
        <v>262265.16000000003</v>
      </c>
      <c r="G22" s="1">
        <f>(27+22)/148</f>
        <v>0.33108108108108109</v>
      </c>
      <c r="H22" s="5">
        <v>0.31</v>
      </c>
      <c r="I22" s="5">
        <v>0.45</v>
      </c>
      <c r="J22">
        <f>15.1+20.8+50.2</f>
        <v>86.1</v>
      </c>
      <c r="K22">
        <v>27.4</v>
      </c>
      <c r="L22">
        <f>14.4+5.9</f>
        <v>20.3</v>
      </c>
      <c r="M22">
        <f>12.2+7.3</f>
        <v>19.5</v>
      </c>
    </row>
    <row r="23" spans="1:13" x14ac:dyDescent="0.25">
      <c r="A23" s="1" t="s">
        <v>18</v>
      </c>
      <c r="B23" s="1" t="s">
        <v>11</v>
      </c>
      <c r="C23" s="1">
        <v>2013</v>
      </c>
      <c r="D23" s="1">
        <v>3</v>
      </c>
      <c r="E23" s="2">
        <v>6634999</v>
      </c>
      <c r="F23" s="3">
        <f>E23*0.04</f>
        <v>265399.96000000002</v>
      </c>
      <c r="H23" s="5">
        <v>0.3</v>
      </c>
      <c r="J23">
        <f>15.1+21.2+50.8</f>
        <v>87.1</v>
      </c>
      <c r="K23">
        <v>27.4</v>
      </c>
      <c r="L23">
        <f>14.1+6.2</f>
        <v>20.3</v>
      </c>
      <c r="M23">
        <f>12.5+7.7</f>
        <v>20.2</v>
      </c>
    </row>
    <row r="24" spans="1:13" x14ac:dyDescent="0.25">
      <c r="A24" s="1" t="s">
        <v>18</v>
      </c>
      <c r="B24" s="1" t="s">
        <v>12</v>
      </c>
      <c r="C24" s="1">
        <v>2014</v>
      </c>
      <c r="D24" s="1">
        <v>2</v>
      </c>
      <c r="E24" s="2">
        <v>6733840</v>
      </c>
      <c r="F24" s="3">
        <f>E24*0.04</f>
        <v>269353.59999999998</v>
      </c>
      <c r="G24" s="5">
        <v>0.63</v>
      </c>
      <c r="H24" s="5">
        <v>0.33</v>
      </c>
      <c r="I24" s="5">
        <v>42</v>
      </c>
      <c r="J24">
        <f>14.7+21.3+50.9</f>
        <v>86.9</v>
      </c>
      <c r="K24">
        <v>27.8</v>
      </c>
      <c r="L24">
        <f>14.2+6.2</f>
        <v>20.399999999999999</v>
      </c>
      <c r="M24">
        <f>12.8+7.7</f>
        <v>20.5</v>
      </c>
    </row>
    <row r="25" spans="1:13" x14ac:dyDescent="0.25">
      <c r="A25" s="1" t="s">
        <v>18</v>
      </c>
      <c r="B25" s="1" t="s">
        <v>13</v>
      </c>
      <c r="C25" s="1">
        <v>2015</v>
      </c>
      <c r="D25" s="1">
        <v>1</v>
      </c>
      <c r="E25" s="2">
        <v>6833596</v>
      </c>
      <c r="F25" s="3">
        <f>E25*0.04</f>
        <v>273343.84000000003</v>
      </c>
      <c r="G25" s="5">
        <v>0.72</v>
      </c>
      <c r="H25" s="5">
        <v>0.28999999999999998</v>
      </c>
      <c r="J25">
        <f>14.8+21.6+50.6</f>
        <v>87</v>
      </c>
      <c r="K25">
        <v>27.5</v>
      </c>
      <c r="L25">
        <f>14.1+6.4</f>
        <v>20.5</v>
      </c>
      <c r="M25">
        <f>13.1+7.8</f>
        <v>20.9</v>
      </c>
    </row>
    <row r="26" spans="1:13" x14ac:dyDescent="0.25">
      <c r="A26" s="1" t="s">
        <v>18</v>
      </c>
      <c r="B26" s="1" t="s">
        <v>14</v>
      </c>
      <c r="C26" s="1">
        <v>2016</v>
      </c>
      <c r="D26" s="1">
        <v>3</v>
      </c>
      <c r="E26" s="2">
        <v>6945452</v>
      </c>
      <c r="F26" s="3">
        <f>E26*0.04</f>
        <v>277818.08</v>
      </c>
      <c r="G26" s="5">
        <v>0.59</v>
      </c>
      <c r="H26" s="5">
        <v>0.26</v>
      </c>
      <c r="I26" s="5">
        <v>0.45</v>
      </c>
      <c r="J26">
        <f>15.3+21.4+51</f>
        <v>87.7</v>
      </c>
      <c r="K26">
        <v>27.6</v>
      </c>
      <c r="L26">
        <f>14.3+6.4</f>
        <v>20.700000000000003</v>
      </c>
      <c r="M26">
        <f>13.3+8.3</f>
        <v>21.6</v>
      </c>
    </row>
    <row r="27" spans="1:13" x14ac:dyDescent="0.25">
      <c r="A27" s="1" t="s">
        <v>18</v>
      </c>
      <c r="B27" s="1" t="s">
        <v>15</v>
      </c>
      <c r="C27" s="1">
        <v>2017</v>
      </c>
      <c r="D27" s="1">
        <v>4</v>
      </c>
      <c r="E27" s="2">
        <v>7048876</v>
      </c>
      <c r="F27" s="3">
        <v>242000</v>
      </c>
      <c r="G27" s="5">
        <v>0.73</v>
      </c>
      <c r="J27">
        <f>14.9+21.4+51.3</f>
        <v>87.6</v>
      </c>
      <c r="K27">
        <v>27.9</v>
      </c>
      <c r="L27">
        <f>14.2+6.4</f>
        <v>20.6</v>
      </c>
      <c r="M27">
        <f>13.7+8.4</f>
        <v>22.1</v>
      </c>
    </row>
    <row r="28" spans="1:13" x14ac:dyDescent="0.25">
      <c r="A28" s="1" t="s">
        <v>18</v>
      </c>
      <c r="B28" s="1" t="s">
        <v>16</v>
      </c>
      <c r="C28" s="1">
        <v>2018</v>
      </c>
      <c r="D28" s="1">
        <v>5</v>
      </c>
      <c r="E28" s="2">
        <v>7171646</v>
      </c>
      <c r="F28" s="4">
        <v>248805</v>
      </c>
      <c r="G28" s="5">
        <v>0.68</v>
      </c>
      <c r="I28">
        <v>41.8</v>
      </c>
    </row>
    <row r="29" spans="1:13" x14ac:dyDescent="0.25">
      <c r="A29" s="1" t="s">
        <v>19</v>
      </c>
      <c r="B29" s="1" t="s">
        <v>8</v>
      </c>
      <c r="C29" s="1">
        <v>2010</v>
      </c>
      <c r="D29" s="1">
        <v>0</v>
      </c>
      <c r="E29" s="2">
        <v>18845785</v>
      </c>
      <c r="F29" s="2">
        <v>48496</v>
      </c>
      <c r="G29" s="1">
        <f>(51+72)/458</f>
        <v>0.26855895196506552</v>
      </c>
      <c r="H29" s="5">
        <v>0.33</v>
      </c>
      <c r="I29" s="5">
        <v>47.7</v>
      </c>
      <c r="J29">
        <f>5+35.2+51.2</f>
        <v>91.4</v>
      </c>
      <c r="K29">
        <v>31.3</v>
      </c>
      <c r="L29">
        <f>12.3+6.7</f>
        <v>19</v>
      </c>
      <c r="M29">
        <f>13.4+7.5</f>
        <v>20.9</v>
      </c>
    </row>
    <row r="30" spans="1:13" x14ac:dyDescent="0.25">
      <c r="A30" s="1" t="s">
        <v>19</v>
      </c>
      <c r="B30" s="1" t="s">
        <v>9</v>
      </c>
      <c r="C30" s="1">
        <v>2011</v>
      </c>
      <c r="D30" s="1">
        <v>0</v>
      </c>
      <c r="E30" s="2">
        <v>19093352</v>
      </c>
      <c r="H30" s="5">
        <v>0.33</v>
      </c>
      <c r="J30">
        <f>5+33.2+53</f>
        <v>91.2</v>
      </c>
      <c r="K30">
        <v>32</v>
      </c>
      <c r="L30">
        <f>12.3+6.9</f>
        <v>19.200000000000003</v>
      </c>
      <c r="M30">
        <f>12.9+7.4</f>
        <v>20.3</v>
      </c>
    </row>
    <row r="31" spans="1:13" x14ac:dyDescent="0.25">
      <c r="A31" s="1" t="s">
        <v>19</v>
      </c>
      <c r="B31" s="1" t="s">
        <v>10</v>
      </c>
      <c r="C31" s="1">
        <v>2012</v>
      </c>
      <c r="D31" s="1">
        <v>2</v>
      </c>
      <c r="E31" s="2">
        <v>19326230</v>
      </c>
      <c r="F31" s="3">
        <f>E31*0.03</f>
        <v>579786.9</v>
      </c>
      <c r="G31" s="1">
        <f>(44+63)/423</f>
        <v>0.25295508274231676</v>
      </c>
      <c r="H31" s="5">
        <v>0.31</v>
      </c>
      <c r="I31" s="5">
        <v>0.5</v>
      </c>
      <c r="J31">
        <f>3+31+57</f>
        <v>91</v>
      </c>
      <c r="K31">
        <v>31.8</v>
      </c>
      <c r="L31">
        <f>12.2+7.1</f>
        <v>19.299999999999997</v>
      </c>
      <c r="M31">
        <f>13.6+7.8</f>
        <v>21.4</v>
      </c>
    </row>
    <row r="32" spans="1:13" x14ac:dyDescent="0.25">
      <c r="A32" s="1" t="s">
        <v>19</v>
      </c>
      <c r="B32" s="1" t="s">
        <v>11</v>
      </c>
      <c r="C32" s="1">
        <v>2013</v>
      </c>
      <c r="D32" s="1">
        <v>2</v>
      </c>
      <c r="E32" s="2">
        <v>19563166</v>
      </c>
      <c r="F32" s="3">
        <f>E32*0.04</f>
        <v>782526.64</v>
      </c>
      <c r="H32" s="5">
        <v>0.35</v>
      </c>
      <c r="J32">
        <f>3+31.2+57</f>
        <v>91.2</v>
      </c>
      <c r="K32">
        <v>31.3</v>
      </c>
      <c r="L32">
        <f>12.1+7.5</f>
        <v>19.600000000000001</v>
      </c>
      <c r="M32">
        <f>14.1+8.2</f>
        <v>22.299999999999997</v>
      </c>
    </row>
    <row r="33" spans="1:13" x14ac:dyDescent="0.25">
      <c r="A33" s="1" t="s">
        <v>19</v>
      </c>
      <c r="B33" s="1" t="s">
        <v>12</v>
      </c>
      <c r="C33" s="1">
        <v>2014</v>
      </c>
      <c r="D33" s="1">
        <v>1</v>
      </c>
      <c r="E33" s="2">
        <v>19860330</v>
      </c>
      <c r="F33" s="3">
        <f>E33*0.04</f>
        <v>794413.20000000007</v>
      </c>
      <c r="G33" s="5">
        <v>0.64</v>
      </c>
      <c r="H33" s="5">
        <v>0.31</v>
      </c>
      <c r="I33" s="5">
        <v>47</v>
      </c>
      <c r="J33">
        <f>3+31.1+57.3</f>
        <v>91.4</v>
      </c>
      <c r="K33">
        <v>31.4</v>
      </c>
      <c r="L33">
        <f>12.1+7.7</f>
        <v>19.8</v>
      </c>
      <c r="M33">
        <f>14.2+8.4</f>
        <v>22.6</v>
      </c>
    </row>
    <row r="34" spans="1:13" x14ac:dyDescent="0.25">
      <c r="A34" s="1" t="s">
        <v>19</v>
      </c>
      <c r="B34" s="1" t="s">
        <v>13</v>
      </c>
      <c r="C34" s="1">
        <v>2015</v>
      </c>
      <c r="D34" s="1">
        <v>1</v>
      </c>
      <c r="E34" s="2">
        <v>20224249</v>
      </c>
      <c r="F34" s="3">
        <f>E34*0.04</f>
        <v>808969.96</v>
      </c>
      <c r="G34" s="5">
        <v>0.7</v>
      </c>
      <c r="H34" s="5">
        <v>0.3</v>
      </c>
      <c r="J34">
        <f>3+31.1+57.1</f>
        <v>91.2</v>
      </c>
      <c r="K34">
        <v>30.9</v>
      </c>
      <c r="L34">
        <f>12.1+7.8</f>
        <v>19.899999999999999</v>
      </c>
      <c r="M34">
        <f>14.8+8.8</f>
        <v>23.6</v>
      </c>
    </row>
    <row r="35" spans="1:13" x14ac:dyDescent="0.25">
      <c r="A35" s="1" t="s">
        <v>19</v>
      </c>
      <c r="B35" s="1" t="s">
        <v>14</v>
      </c>
      <c r="C35" s="1">
        <v>2016</v>
      </c>
      <c r="D35" s="1">
        <v>2</v>
      </c>
      <c r="E35" s="2">
        <v>20629982</v>
      </c>
      <c r="F35" s="3">
        <f>E35*0.04</f>
        <v>825199.28</v>
      </c>
      <c r="G35" s="5">
        <v>0.56999999999999995</v>
      </c>
      <c r="H35" s="5">
        <v>0.28000000000000003</v>
      </c>
      <c r="I35" s="5">
        <v>0.48</v>
      </c>
      <c r="J35">
        <f>3.1+31.4+57</f>
        <v>91.5</v>
      </c>
      <c r="K35">
        <v>30.9</v>
      </c>
      <c r="L35">
        <f>11.9+7.8</f>
        <v>19.7</v>
      </c>
      <c r="M35">
        <f>15+9</f>
        <v>24</v>
      </c>
    </row>
    <row r="36" spans="1:13" x14ac:dyDescent="0.25">
      <c r="A36" s="1" t="s">
        <v>19</v>
      </c>
      <c r="B36" s="1" t="s">
        <v>15</v>
      </c>
      <c r="C36" s="1">
        <v>2017</v>
      </c>
      <c r="D36" s="1">
        <v>2</v>
      </c>
      <c r="E36" s="2">
        <v>20976812</v>
      </c>
      <c r="F36" s="3">
        <v>772000</v>
      </c>
      <c r="G36" s="5">
        <v>0.71</v>
      </c>
      <c r="J36">
        <f>3.1+31.3+57.1</f>
        <v>91.5</v>
      </c>
      <c r="K36">
        <v>30.7</v>
      </c>
      <c r="L36">
        <f>11.8+8</f>
        <v>19.8</v>
      </c>
      <c r="M36">
        <f>15.5+9.3</f>
        <v>24.8</v>
      </c>
    </row>
    <row r="37" spans="1:13" x14ac:dyDescent="0.25">
      <c r="A37" s="1" t="s">
        <v>19</v>
      </c>
      <c r="B37" s="1" t="s">
        <v>16</v>
      </c>
      <c r="C37" s="1">
        <v>2018</v>
      </c>
      <c r="D37" s="1">
        <v>2</v>
      </c>
      <c r="E37" s="2">
        <v>21299325</v>
      </c>
      <c r="F37" s="4">
        <v>785231</v>
      </c>
      <c r="G37" s="5">
        <v>0.68</v>
      </c>
      <c r="I37">
        <v>49.2</v>
      </c>
    </row>
    <row r="38" spans="1:13" x14ac:dyDescent="0.25">
      <c r="A38" s="1" t="s">
        <v>20</v>
      </c>
      <c r="B38" s="1" t="s">
        <v>8</v>
      </c>
      <c r="C38" s="1">
        <v>2010</v>
      </c>
      <c r="D38" s="1">
        <v>2</v>
      </c>
      <c r="E38" s="2">
        <v>9711810</v>
      </c>
      <c r="F38" s="2">
        <v>21318</v>
      </c>
      <c r="G38" s="1">
        <f>(51+72)/458</f>
        <v>0.26855895196506552</v>
      </c>
      <c r="H38" s="5">
        <v>0.39</v>
      </c>
      <c r="I38" s="5">
        <v>43.1</v>
      </c>
      <c r="J38">
        <f>2.4+43.5+18.3</f>
        <v>64.2</v>
      </c>
      <c r="K38">
        <v>28.7</v>
      </c>
      <c r="L38">
        <f>11.9+4.8</f>
        <v>16.7</v>
      </c>
      <c r="M38">
        <f>12.7+7.4</f>
        <v>20.100000000000001</v>
      </c>
    </row>
    <row r="39" spans="1:13" x14ac:dyDescent="0.25">
      <c r="A39" s="1" t="s">
        <v>20</v>
      </c>
      <c r="B39" s="1" t="s">
        <v>9</v>
      </c>
      <c r="C39" s="1">
        <v>2011</v>
      </c>
      <c r="D39" s="1">
        <v>2</v>
      </c>
      <c r="E39" s="2">
        <v>9801578</v>
      </c>
      <c r="H39" s="5">
        <v>0.39</v>
      </c>
      <c r="J39">
        <f>3.6+36.1+20.2</f>
        <v>59.900000000000006</v>
      </c>
      <c r="K39">
        <v>30.6</v>
      </c>
      <c r="L39">
        <f>12.3+4.6</f>
        <v>16.899999999999999</v>
      </c>
      <c r="M39">
        <f>11.7+7</f>
        <v>18.7</v>
      </c>
    </row>
    <row r="40" spans="1:13" x14ac:dyDescent="0.25">
      <c r="A40" s="1" t="s">
        <v>20</v>
      </c>
      <c r="B40" s="1" t="s">
        <v>10</v>
      </c>
      <c r="C40" s="1">
        <v>2012</v>
      </c>
      <c r="D40" s="1">
        <v>3</v>
      </c>
      <c r="E40" s="2">
        <v>9901496</v>
      </c>
      <c r="F40" s="3">
        <f>E40*0.04</f>
        <v>396059.84</v>
      </c>
      <c r="G40" s="1">
        <f>(44+63)/423</f>
        <v>0.25295508274231676</v>
      </c>
      <c r="H40" s="5">
        <v>0.38</v>
      </c>
      <c r="I40" s="5">
        <v>0.45</v>
      </c>
      <c r="J40">
        <f>2.7+34+27</f>
        <v>63.7</v>
      </c>
      <c r="K40">
        <v>29.4</v>
      </c>
      <c r="L40">
        <f>12.5+4.9</f>
        <v>17.399999999999999</v>
      </c>
      <c r="M40">
        <f>12.6+7.6</f>
        <v>20.2</v>
      </c>
    </row>
    <row r="41" spans="1:13" x14ac:dyDescent="0.25">
      <c r="A41" s="1" t="s">
        <v>20</v>
      </c>
      <c r="B41" s="1" t="s">
        <v>11</v>
      </c>
      <c r="C41" s="1">
        <v>2013</v>
      </c>
      <c r="D41" s="1">
        <v>3</v>
      </c>
      <c r="E41" s="2">
        <v>9973326</v>
      </c>
      <c r="F41" s="3">
        <f>E41*0.03</f>
        <v>299199.77999999997</v>
      </c>
      <c r="H41" s="5">
        <v>0.41</v>
      </c>
      <c r="J41">
        <f>2.7+35.1+26.9</f>
        <v>64.7</v>
      </c>
      <c r="K41">
        <v>28.9</v>
      </c>
      <c r="L41">
        <f>12.6+5.2</f>
        <v>17.8</v>
      </c>
      <c r="M41">
        <f>13+8</f>
        <v>21</v>
      </c>
    </row>
    <row r="42" spans="1:13" x14ac:dyDescent="0.25">
      <c r="A42" s="1" t="s">
        <v>20</v>
      </c>
      <c r="B42" s="1" t="s">
        <v>12</v>
      </c>
      <c r="C42" s="1">
        <v>2014</v>
      </c>
      <c r="D42" s="1">
        <v>3</v>
      </c>
      <c r="E42" s="2">
        <v>10069001</v>
      </c>
      <c r="F42" s="3">
        <f>E42*0.04</f>
        <v>402760.04000000004</v>
      </c>
      <c r="G42" s="5">
        <v>0.55000000000000004</v>
      </c>
      <c r="H42" s="5">
        <v>0.39</v>
      </c>
      <c r="I42" s="5">
        <v>45</v>
      </c>
      <c r="J42">
        <f>2.6+35.1+27.1</f>
        <v>64.800000000000011</v>
      </c>
      <c r="K42">
        <v>29.1</v>
      </c>
      <c r="L42">
        <f>12.4+5</f>
        <v>17.399999999999999</v>
      </c>
      <c r="M42">
        <f>13+8.2</f>
        <v>21.2</v>
      </c>
    </row>
    <row r="43" spans="1:13" x14ac:dyDescent="0.25">
      <c r="A43" s="1" t="s">
        <v>20</v>
      </c>
      <c r="B43" s="1" t="s">
        <v>13</v>
      </c>
      <c r="C43" s="1">
        <v>2015</v>
      </c>
      <c r="D43" s="1">
        <v>3</v>
      </c>
      <c r="E43" s="2">
        <v>10181111</v>
      </c>
      <c r="F43" s="3">
        <f>E43*0.04</f>
        <v>407244.44</v>
      </c>
      <c r="G43" s="5">
        <v>0.66</v>
      </c>
      <c r="H43" s="5">
        <v>0.4</v>
      </c>
      <c r="J43">
        <f>2.6+36+26.5</f>
        <v>65.099999999999994</v>
      </c>
      <c r="K43">
        <v>29.1</v>
      </c>
      <c r="L43">
        <f>12.5+5.2</f>
        <v>17.7</v>
      </c>
      <c r="M43">
        <f>13.5+8.5</f>
        <v>22</v>
      </c>
    </row>
    <row r="44" spans="1:13" x14ac:dyDescent="0.25">
      <c r="A44" s="1" t="s">
        <v>20</v>
      </c>
      <c r="B44" s="1" t="s">
        <v>14</v>
      </c>
      <c r="C44" s="1">
        <v>2016</v>
      </c>
      <c r="D44" s="1">
        <v>5</v>
      </c>
      <c r="E44" s="2">
        <v>10304763</v>
      </c>
      <c r="F44" s="3">
        <f>E44*0.04</f>
        <v>412190.52</v>
      </c>
      <c r="G44" s="5">
        <v>0.62</v>
      </c>
      <c r="H44" s="5">
        <v>0.34</v>
      </c>
      <c r="I44" s="5">
        <v>0.46</v>
      </c>
      <c r="J44">
        <f>2.6+36.3+26.5</f>
        <v>65.400000000000006</v>
      </c>
      <c r="K44">
        <v>28.7</v>
      </c>
      <c r="L44">
        <f>12.2+5.5</f>
        <v>17.7</v>
      </c>
      <c r="M44">
        <f>14+8.9</f>
        <v>22.9</v>
      </c>
    </row>
    <row r="45" spans="1:13" x14ac:dyDescent="0.25">
      <c r="A45" s="1" t="s">
        <v>20</v>
      </c>
      <c r="B45" s="1" t="s">
        <v>15</v>
      </c>
      <c r="C45" s="1">
        <v>2017</v>
      </c>
      <c r="D45" s="1">
        <v>5</v>
      </c>
      <c r="E45" s="2">
        <v>10413055</v>
      </c>
      <c r="F45" s="3">
        <v>356000</v>
      </c>
      <c r="G45" s="5">
        <v>0.65</v>
      </c>
      <c r="J45">
        <f>2.6+36.3+26.8</f>
        <v>65.7</v>
      </c>
      <c r="K45">
        <v>28.9</v>
      </c>
      <c r="L45">
        <f>12.1+5.8</f>
        <v>17.899999999999999</v>
      </c>
      <c r="M45">
        <f>14.2+9</f>
        <v>23.2</v>
      </c>
    </row>
    <row r="46" spans="1:13" x14ac:dyDescent="0.25">
      <c r="A46" s="1" t="s">
        <v>20</v>
      </c>
      <c r="B46" s="1" t="s">
        <v>16</v>
      </c>
      <c r="C46" s="1">
        <v>2018</v>
      </c>
      <c r="D46" s="1">
        <v>5</v>
      </c>
      <c r="E46" s="2">
        <v>10519475</v>
      </c>
      <c r="F46" s="4">
        <v>360618</v>
      </c>
      <c r="G46" s="5">
        <v>0.65</v>
      </c>
      <c r="I46">
        <v>48.8</v>
      </c>
    </row>
    <row r="47" spans="1:13" x14ac:dyDescent="0.25">
      <c r="A47" s="1" t="s">
        <v>21</v>
      </c>
      <c r="B47" s="1" t="s">
        <v>8</v>
      </c>
      <c r="C47" s="1">
        <v>2010</v>
      </c>
      <c r="D47" s="1">
        <v>1</v>
      </c>
      <c r="E47" s="2">
        <v>1570773</v>
      </c>
      <c r="F47" s="2">
        <v>2042</v>
      </c>
      <c r="G47" s="1">
        <f>(19+16)/125</f>
        <v>0.28000000000000003</v>
      </c>
      <c r="H47" s="5">
        <v>0.31</v>
      </c>
      <c r="I47" s="5">
        <v>32.9</v>
      </c>
      <c r="J47">
        <f>10.4+10.7+10.7</f>
        <v>31.8</v>
      </c>
      <c r="K47">
        <v>29.7</v>
      </c>
      <c r="L47">
        <f>13.9+5.7</f>
        <v>19.600000000000001</v>
      </c>
      <c r="M47">
        <f>11.5+5.2</f>
        <v>16.7</v>
      </c>
    </row>
    <row r="48" spans="1:13" x14ac:dyDescent="0.25">
      <c r="A48" s="1" t="s">
        <v>21</v>
      </c>
      <c r="B48" s="1" t="s">
        <v>9</v>
      </c>
      <c r="C48" s="1">
        <v>2011</v>
      </c>
      <c r="D48" s="1">
        <v>1</v>
      </c>
      <c r="E48" s="2">
        <v>1583828</v>
      </c>
      <c r="H48" s="5">
        <v>0.36</v>
      </c>
      <c r="J48">
        <f>8.9+7.6+8.5</f>
        <v>25</v>
      </c>
      <c r="K48">
        <v>30</v>
      </c>
      <c r="L48">
        <f>14.5+6.3</f>
        <v>20.8</v>
      </c>
      <c r="M48">
        <f>11.2+4.9</f>
        <v>16.100000000000001</v>
      </c>
    </row>
    <row r="49" spans="1:13" x14ac:dyDescent="0.25">
      <c r="A49" s="1" t="s">
        <v>21</v>
      </c>
      <c r="B49" s="1" t="s">
        <v>10</v>
      </c>
      <c r="C49" s="1">
        <v>2012</v>
      </c>
      <c r="D49" s="1">
        <v>1</v>
      </c>
      <c r="E49" s="2">
        <v>1595441</v>
      </c>
      <c r="F49" s="3">
        <f>E49*0.03</f>
        <v>47863.229999999996</v>
      </c>
      <c r="G49" s="1">
        <f>(27+22)/148</f>
        <v>0.33108108108108109</v>
      </c>
      <c r="H49" s="5">
        <v>0.39</v>
      </c>
      <c r="I49" s="5">
        <v>0.33</v>
      </c>
      <c r="J49">
        <f>15.1+5.5+32.1</f>
        <v>52.7</v>
      </c>
      <c r="K49">
        <v>30.8</v>
      </c>
      <c r="L49">
        <f>14.7+6.1</f>
        <v>20.799999999999997</v>
      </c>
      <c r="M49">
        <f>11.4+5.5</f>
        <v>16.899999999999999</v>
      </c>
    </row>
    <row r="50" spans="1:13" x14ac:dyDescent="0.25">
      <c r="A50" s="1" t="s">
        <v>21</v>
      </c>
      <c r="B50" s="1" t="s">
        <v>11</v>
      </c>
      <c r="C50" s="1">
        <v>2013</v>
      </c>
      <c r="D50" s="1">
        <v>1</v>
      </c>
      <c r="E50" s="2">
        <v>1611530</v>
      </c>
      <c r="F50" s="3">
        <f>E50*0.02</f>
        <v>32230.600000000002</v>
      </c>
      <c r="H50" s="5">
        <v>0.37</v>
      </c>
      <c r="J50">
        <f>14.8+5.6+33</f>
        <v>53.4</v>
      </c>
      <c r="K50">
        <v>30.1</v>
      </c>
      <c r="L50">
        <f>13.6+6.7</f>
        <v>20.3</v>
      </c>
      <c r="M50">
        <f>12.1+5.7</f>
        <v>17.8</v>
      </c>
    </row>
    <row r="51" spans="1:13" x14ac:dyDescent="0.25">
      <c r="A51" s="1" t="s">
        <v>21</v>
      </c>
      <c r="B51" s="1" t="s">
        <v>12</v>
      </c>
      <c r="C51" s="1">
        <v>2014</v>
      </c>
      <c r="D51" s="1">
        <v>1</v>
      </c>
      <c r="E51" s="2">
        <v>1631479</v>
      </c>
      <c r="F51" s="3">
        <f>E51*0.02</f>
        <v>32629.58</v>
      </c>
      <c r="G51" s="5">
        <v>0.59</v>
      </c>
      <c r="H51" s="5">
        <v>0.33</v>
      </c>
      <c r="I51" s="5">
        <v>39</v>
      </c>
      <c r="J51">
        <f>14.7+5.3+32.9</f>
        <v>52.9</v>
      </c>
      <c r="K51">
        <v>30.2</v>
      </c>
      <c r="L51">
        <f>14.3+6.8</f>
        <v>21.1</v>
      </c>
      <c r="M51">
        <f>11.4+5.4</f>
        <v>16.8</v>
      </c>
    </row>
    <row r="52" spans="1:13" x14ac:dyDescent="0.25">
      <c r="A52" s="1" t="s">
        <v>21</v>
      </c>
      <c r="B52" s="1" t="s">
        <v>13</v>
      </c>
      <c r="C52" s="1">
        <v>2015</v>
      </c>
      <c r="D52" s="1">
        <v>1</v>
      </c>
      <c r="E52" s="2">
        <v>1651523</v>
      </c>
      <c r="F52" s="3">
        <f>E52*0.03</f>
        <v>49545.689999999995</v>
      </c>
      <c r="G52" s="5">
        <v>0.7</v>
      </c>
      <c r="H52" s="5">
        <v>0.36</v>
      </c>
      <c r="J52">
        <f>14.6+5.4+33.7</f>
        <v>53.7</v>
      </c>
      <c r="K52">
        <v>30</v>
      </c>
      <c r="L52">
        <f>14.9+6.9</f>
        <v>21.8</v>
      </c>
      <c r="M52">
        <f>11.9+5.5</f>
        <v>17.399999999999999</v>
      </c>
    </row>
    <row r="53" spans="1:13" x14ac:dyDescent="0.25">
      <c r="A53" s="1" t="s">
        <v>21</v>
      </c>
      <c r="B53" s="1" t="s">
        <v>14</v>
      </c>
      <c r="C53" s="1">
        <v>2016</v>
      </c>
      <c r="D53" s="1">
        <v>1</v>
      </c>
      <c r="E53" s="2">
        <v>1682930</v>
      </c>
      <c r="F53" s="3">
        <f>E53*0.03</f>
        <v>50487.9</v>
      </c>
      <c r="G53" s="5">
        <v>0.56000000000000005</v>
      </c>
      <c r="H53" s="5">
        <v>0.33</v>
      </c>
      <c r="I53" s="5">
        <v>0.27</v>
      </c>
      <c r="J53">
        <f>14.1+5.9+34</f>
        <v>54</v>
      </c>
      <c r="K53">
        <v>30.8</v>
      </c>
      <c r="L53">
        <f>13.4+6.7</f>
        <v>20.100000000000001</v>
      </c>
      <c r="M53">
        <f>12.6+6</f>
        <v>18.600000000000001</v>
      </c>
    </row>
    <row r="54" spans="1:13" x14ac:dyDescent="0.25">
      <c r="A54" s="1" t="s">
        <v>21</v>
      </c>
      <c r="B54" s="1" t="s">
        <v>15</v>
      </c>
      <c r="C54" s="1">
        <v>2017</v>
      </c>
      <c r="D54" s="1">
        <v>1</v>
      </c>
      <c r="E54" s="2">
        <v>1718904</v>
      </c>
      <c r="F54" s="3">
        <v>36000</v>
      </c>
      <c r="G54" s="5">
        <v>0.68</v>
      </c>
      <c r="J54">
        <f>14.1+6+33.8</f>
        <v>53.9</v>
      </c>
      <c r="K54">
        <v>29.9</v>
      </c>
      <c r="L54">
        <f>14.2+7.1</f>
        <v>21.299999999999997</v>
      </c>
      <c r="M54">
        <f>12.7+5.7</f>
        <v>18.399999999999999</v>
      </c>
    </row>
    <row r="55" spans="1:13" x14ac:dyDescent="0.25">
      <c r="A55" s="1" t="s">
        <v>21</v>
      </c>
      <c r="B55" s="1" t="s">
        <v>16</v>
      </c>
      <c r="C55" s="1">
        <v>2018</v>
      </c>
      <c r="D55" s="1">
        <v>1</v>
      </c>
      <c r="E55" s="2">
        <v>1754208</v>
      </c>
      <c r="F55" s="4">
        <v>36603</v>
      </c>
      <c r="G55" s="5">
        <v>0.68</v>
      </c>
      <c r="I55">
        <v>38.200000000000003</v>
      </c>
    </row>
    <row r="56" spans="1:13" x14ac:dyDescent="0.25">
      <c r="A56" s="1" t="s">
        <v>22</v>
      </c>
      <c r="B56" s="1" t="s">
        <v>8</v>
      </c>
      <c r="C56" s="1">
        <v>2010</v>
      </c>
      <c r="D56" s="1">
        <v>0</v>
      </c>
      <c r="E56" s="2">
        <v>6490436</v>
      </c>
      <c r="F56" s="2">
        <v>11074</v>
      </c>
      <c r="G56" s="1">
        <f>(56+62)/353</f>
        <v>0.33427762039660058</v>
      </c>
      <c r="H56" s="5">
        <v>0.35</v>
      </c>
      <c r="I56" s="5">
        <v>40</v>
      </c>
      <c r="J56">
        <f>7.1+29.7+30.2</f>
        <v>67</v>
      </c>
      <c r="K56">
        <v>34.9</v>
      </c>
      <c r="L56">
        <f>11.4+5.3</f>
        <v>16.7</v>
      </c>
      <c r="M56">
        <f>10.3+5.7</f>
        <v>16</v>
      </c>
    </row>
    <row r="57" spans="1:13" x14ac:dyDescent="0.25">
      <c r="A57" s="1" t="s">
        <v>22</v>
      </c>
      <c r="B57" s="1" t="s">
        <v>9</v>
      </c>
      <c r="C57" s="1">
        <v>2011</v>
      </c>
      <c r="D57" s="1">
        <v>0</v>
      </c>
      <c r="E57" s="2">
        <v>6516045</v>
      </c>
      <c r="H57" s="5">
        <v>0.37</v>
      </c>
      <c r="J57">
        <f>8+26.3+30.4</f>
        <v>64.699999999999989</v>
      </c>
      <c r="K57">
        <v>36</v>
      </c>
      <c r="L57">
        <f>11.9+5.6</f>
        <v>17.5</v>
      </c>
      <c r="M57">
        <f>9.6+5.4</f>
        <v>15</v>
      </c>
    </row>
    <row r="58" spans="1:13" x14ac:dyDescent="0.25">
      <c r="A58" s="1" t="s">
        <v>22</v>
      </c>
      <c r="B58" s="1" t="s">
        <v>10</v>
      </c>
      <c r="C58" s="1">
        <v>2012</v>
      </c>
      <c r="D58" s="1">
        <v>0</v>
      </c>
      <c r="E58" s="2">
        <v>6537640</v>
      </c>
      <c r="F58" s="3">
        <f>E58*0.04</f>
        <v>261505.6</v>
      </c>
      <c r="G58" s="1">
        <f>(51+55)/326</f>
        <v>0.32515337423312884</v>
      </c>
      <c r="H58" s="5">
        <v>0.34</v>
      </c>
      <c r="I58" s="5">
        <v>0.44</v>
      </c>
      <c r="J58">
        <f>18.6+43.6</f>
        <v>62.2</v>
      </c>
      <c r="K58">
        <v>35.5</v>
      </c>
      <c r="L58">
        <f>11.6+5.7</f>
        <v>17.3</v>
      </c>
      <c r="M58">
        <f>10.2+5.7</f>
        <v>15.899999999999999</v>
      </c>
    </row>
    <row r="59" spans="1:13" x14ac:dyDescent="0.25">
      <c r="A59" s="1" t="s">
        <v>22</v>
      </c>
      <c r="B59" s="1" t="s">
        <v>11</v>
      </c>
      <c r="C59" s="1">
        <v>2013</v>
      </c>
      <c r="D59" s="1">
        <v>0</v>
      </c>
      <c r="E59" s="2">
        <v>6568367</v>
      </c>
      <c r="F59" s="3">
        <f>E59*0.04</f>
        <v>262734.68</v>
      </c>
      <c r="H59" s="5">
        <v>0.36</v>
      </c>
      <c r="J59">
        <f>18.9+43.8</f>
        <v>62.699999999999996</v>
      </c>
      <c r="K59">
        <v>35.1</v>
      </c>
      <c r="L59">
        <f>11.9+5.9</f>
        <v>17.8</v>
      </c>
      <c r="M59">
        <f>10.5+6</f>
        <v>16.5</v>
      </c>
    </row>
    <row r="60" spans="1:13" x14ac:dyDescent="0.25">
      <c r="A60" s="1" t="s">
        <v>22</v>
      </c>
      <c r="B60" s="1" t="s">
        <v>12</v>
      </c>
      <c r="C60" s="1">
        <v>2014</v>
      </c>
      <c r="D60" s="1">
        <v>0</v>
      </c>
      <c r="E60" s="2">
        <v>6593533</v>
      </c>
      <c r="F60" s="3">
        <f>E60*0.04</f>
        <v>263741.32</v>
      </c>
      <c r="G60" s="5">
        <v>0.54</v>
      </c>
      <c r="H60" s="5">
        <v>0.35</v>
      </c>
      <c r="I60" s="5">
        <v>38.1</v>
      </c>
      <c r="J60">
        <f>18.9+43.7</f>
        <v>62.6</v>
      </c>
      <c r="K60">
        <v>35.299999999999997</v>
      </c>
      <c r="L60">
        <f>11.9+6.1</f>
        <v>18</v>
      </c>
      <c r="M60">
        <f>10.9+6.2</f>
        <v>17.100000000000001</v>
      </c>
    </row>
    <row r="61" spans="1:13" x14ac:dyDescent="0.25">
      <c r="A61" s="1" t="s">
        <v>22</v>
      </c>
      <c r="B61" s="1" t="s">
        <v>13</v>
      </c>
      <c r="C61" s="1">
        <v>2015</v>
      </c>
      <c r="D61" s="1">
        <v>0</v>
      </c>
      <c r="E61" s="2">
        <v>6608296</v>
      </c>
      <c r="F61" s="3">
        <f>E61*0.04</f>
        <v>264331.84000000003</v>
      </c>
      <c r="G61" s="5">
        <v>0.7</v>
      </c>
      <c r="H61" s="5">
        <v>0.35</v>
      </c>
      <c r="J61">
        <f>18.9+43.4</f>
        <v>62.3</v>
      </c>
      <c r="K61">
        <v>35.200000000000003</v>
      </c>
      <c r="L61">
        <f>11.7+6.2</f>
        <v>17.899999999999999</v>
      </c>
      <c r="M61">
        <f>11.2+6.3</f>
        <v>17.5</v>
      </c>
    </row>
    <row r="62" spans="1:13" x14ac:dyDescent="0.25">
      <c r="A62" s="1" t="s">
        <v>22</v>
      </c>
      <c r="B62" s="1" t="s">
        <v>14</v>
      </c>
      <c r="C62" s="1">
        <v>2016</v>
      </c>
      <c r="D62" s="1">
        <v>0</v>
      </c>
      <c r="E62" s="2">
        <v>6633344</v>
      </c>
      <c r="F62" s="3">
        <f>E62*0.04</f>
        <v>265333.76000000001</v>
      </c>
      <c r="G62" s="5">
        <v>0.56000000000000005</v>
      </c>
      <c r="H62" s="5">
        <v>0.31</v>
      </c>
      <c r="I62" s="5">
        <v>0.38</v>
      </c>
      <c r="J62">
        <f>19+42.9</f>
        <v>61.9</v>
      </c>
      <c r="K62">
        <v>35.1</v>
      </c>
      <c r="L62">
        <f>11.7+6.3</f>
        <v>18</v>
      </c>
      <c r="M62">
        <f>11.5+6.4</f>
        <v>17.899999999999999</v>
      </c>
    </row>
    <row r="63" spans="1:13" x14ac:dyDescent="0.25">
      <c r="A63" s="1" t="s">
        <v>22</v>
      </c>
      <c r="B63" s="1" t="s">
        <v>15</v>
      </c>
      <c r="C63" s="1">
        <v>2017</v>
      </c>
      <c r="D63" s="1">
        <v>0</v>
      </c>
      <c r="E63" s="2">
        <v>6660082</v>
      </c>
      <c r="F63" s="3">
        <v>229000</v>
      </c>
      <c r="G63" s="5">
        <v>0.66</v>
      </c>
      <c r="J63">
        <f>19+43.3</f>
        <v>62.3</v>
      </c>
      <c r="K63">
        <v>34.4</v>
      </c>
      <c r="L63">
        <f>11.3+6.5</f>
        <v>17.8</v>
      </c>
      <c r="M63">
        <f>12+6.7</f>
        <v>18.7</v>
      </c>
    </row>
    <row r="64" spans="1:13" x14ac:dyDescent="0.25">
      <c r="A64" s="1" t="s">
        <v>22</v>
      </c>
      <c r="B64" s="1" t="s">
        <v>16</v>
      </c>
      <c r="C64" s="1">
        <v>2018</v>
      </c>
      <c r="D64" s="1">
        <v>1</v>
      </c>
      <c r="E64" s="2">
        <v>6691878</v>
      </c>
      <c r="F64" s="4">
        <v>230569</v>
      </c>
      <c r="G64" s="5">
        <v>0.65</v>
      </c>
      <c r="I64">
        <v>45.1</v>
      </c>
    </row>
    <row r="65" spans="1:13" x14ac:dyDescent="0.25">
      <c r="A65" s="1" t="s">
        <v>23</v>
      </c>
      <c r="B65" s="1" t="s">
        <v>8</v>
      </c>
      <c r="C65" s="1">
        <v>2010</v>
      </c>
      <c r="D65" s="1">
        <v>0</v>
      </c>
      <c r="E65" s="2">
        <v>2858213</v>
      </c>
      <c r="F65" s="2">
        <v>4009</v>
      </c>
      <c r="G65" s="1">
        <f>(18+16)/113</f>
        <v>0.30088495575221241</v>
      </c>
      <c r="H65" s="5">
        <v>0.37</v>
      </c>
      <c r="I65" s="5">
        <v>32.1</v>
      </c>
      <c r="J65">
        <f>6.3+10.8+28.3</f>
        <v>45.400000000000006</v>
      </c>
      <c r="K65">
        <v>31</v>
      </c>
      <c r="L65">
        <f>12.9+5.6</f>
        <v>18.5</v>
      </c>
      <c r="M65">
        <f>13.3+6.9</f>
        <v>20.200000000000003</v>
      </c>
    </row>
    <row r="66" spans="1:13" x14ac:dyDescent="0.25">
      <c r="A66" s="1" t="s">
        <v>23</v>
      </c>
      <c r="B66" s="1" t="s">
        <v>9</v>
      </c>
      <c r="C66" s="1">
        <v>2011</v>
      </c>
      <c r="D66" s="1">
        <v>0</v>
      </c>
      <c r="E66" s="2">
        <v>2869035</v>
      </c>
      <c r="H66" s="5">
        <v>0.36</v>
      </c>
      <c r="J66">
        <f>6.3+10.1+27.4</f>
        <v>43.8</v>
      </c>
      <c r="K66">
        <v>31.5</v>
      </c>
      <c r="L66">
        <f>13.5+5.7</f>
        <v>19.2</v>
      </c>
      <c r="M66">
        <f>12.6+6.4</f>
        <v>19</v>
      </c>
    </row>
    <row r="67" spans="1:13" x14ac:dyDescent="0.25">
      <c r="A67" s="1" t="s">
        <v>23</v>
      </c>
      <c r="B67" s="1" t="s">
        <v>10</v>
      </c>
      <c r="C67" s="1">
        <v>2012</v>
      </c>
      <c r="D67" s="1">
        <v>0</v>
      </c>
      <c r="E67" s="2">
        <v>2885361</v>
      </c>
      <c r="F67" s="3">
        <f>E67*0.04</f>
        <v>115414.44</v>
      </c>
      <c r="G67" s="1">
        <f>(22+20)/116</f>
        <v>0.36206896551724138</v>
      </c>
      <c r="H67" s="5">
        <v>0.36</v>
      </c>
      <c r="I67" s="5">
        <v>0.38</v>
      </c>
      <c r="J67">
        <f>3.5+7.1+31.6</f>
        <v>42.2</v>
      </c>
      <c r="K67">
        <v>31.6</v>
      </c>
      <c r="L67">
        <f>13.6+5.8</f>
        <v>19.399999999999999</v>
      </c>
      <c r="M67">
        <f>12.9+6.7</f>
        <v>19.600000000000001</v>
      </c>
    </row>
    <row r="68" spans="1:13" x14ac:dyDescent="0.25">
      <c r="A68" s="1" t="s">
        <v>23</v>
      </c>
      <c r="B68" s="1" t="s">
        <v>11</v>
      </c>
      <c r="C68" s="1">
        <v>2013</v>
      </c>
      <c r="D68" s="1">
        <v>0</v>
      </c>
      <c r="E68" s="2">
        <v>2893510</v>
      </c>
      <c r="F68" s="3">
        <f>E68*0.03</f>
        <v>86805.3</v>
      </c>
      <c r="H68" s="5">
        <v>0.38</v>
      </c>
      <c r="J68">
        <f>3.2+7.2+31.8</f>
        <v>42.2</v>
      </c>
      <c r="K68">
        <v>30.9</v>
      </c>
      <c r="L68">
        <f>13.2+6</f>
        <v>19.2</v>
      </c>
      <c r="M68">
        <f>13.2+7.1</f>
        <v>20.299999999999997</v>
      </c>
    </row>
    <row r="69" spans="1:13" x14ac:dyDescent="0.25">
      <c r="A69" s="1" t="s">
        <v>23</v>
      </c>
      <c r="B69" s="1" t="s">
        <v>12</v>
      </c>
      <c r="C69" s="1">
        <v>2014</v>
      </c>
      <c r="D69" s="1">
        <v>0</v>
      </c>
      <c r="E69" s="2">
        <v>2900896</v>
      </c>
      <c r="F69" s="3">
        <f>E69*0.03</f>
        <v>87026.87999999999</v>
      </c>
      <c r="G69" s="5">
        <v>0.56999999999999995</v>
      </c>
      <c r="H69" s="5">
        <v>0.32</v>
      </c>
      <c r="I69" s="5">
        <v>46</v>
      </c>
      <c r="J69">
        <f>3.3+7.3+32.6</f>
        <v>43.2</v>
      </c>
      <c r="K69">
        <v>31.9</v>
      </c>
      <c r="L69">
        <f>12.7+6.2</f>
        <v>18.899999999999999</v>
      </c>
      <c r="M69">
        <f>13.5+7.4</f>
        <v>20.9</v>
      </c>
    </row>
    <row r="70" spans="1:13" x14ac:dyDescent="0.25">
      <c r="A70" s="1" t="s">
        <v>23</v>
      </c>
      <c r="B70" s="1" t="s">
        <v>13</v>
      </c>
      <c r="C70" s="1">
        <v>2015</v>
      </c>
      <c r="D70" s="1">
        <v>0</v>
      </c>
      <c r="E70" s="2">
        <v>2909502</v>
      </c>
      <c r="F70" s="3">
        <f>E70*0.03</f>
        <v>87285.06</v>
      </c>
      <c r="G70" s="5">
        <v>0.68</v>
      </c>
      <c r="H70" s="5">
        <v>0.36</v>
      </c>
      <c r="J70">
        <f>3.1+7.5+32.4</f>
        <v>43</v>
      </c>
      <c r="K70">
        <v>31.3</v>
      </c>
      <c r="L70">
        <f>13.1+6.2</f>
        <v>19.3</v>
      </c>
      <c r="M70">
        <f>13.9+7.3</f>
        <v>21.2</v>
      </c>
    </row>
    <row r="71" spans="1:13" x14ac:dyDescent="0.25">
      <c r="A71" s="1" t="s">
        <v>23</v>
      </c>
      <c r="B71" s="1" t="s">
        <v>14</v>
      </c>
      <c r="C71" s="1">
        <v>2016</v>
      </c>
      <c r="D71" s="1">
        <v>0</v>
      </c>
      <c r="E71" s="2">
        <v>2911263</v>
      </c>
      <c r="F71" s="3">
        <f>E71*0.03</f>
        <v>87337.89</v>
      </c>
      <c r="G71" s="5">
        <v>0.6</v>
      </c>
      <c r="H71" s="5">
        <v>0.32</v>
      </c>
      <c r="I71" s="5">
        <v>0.36</v>
      </c>
      <c r="J71">
        <f>3.4+7.4+32.9</f>
        <v>43.7</v>
      </c>
      <c r="K71">
        <v>31</v>
      </c>
      <c r="L71">
        <f>13.1+6.4</f>
        <v>19.5</v>
      </c>
      <c r="M71">
        <f>14.2+7.7</f>
        <v>21.9</v>
      </c>
    </row>
    <row r="72" spans="1:13" x14ac:dyDescent="0.25">
      <c r="A72" s="1" t="s">
        <v>23</v>
      </c>
      <c r="B72" s="1" t="s">
        <v>15</v>
      </c>
      <c r="C72" s="1">
        <v>2017</v>
      </c>
      <c r="D72" s="1">
        <v>0</v>
      </c>
      <c r="E72" s="2">
        <v>2910689</v>
      </c>
      <c r="F72" s="3">
        <v>73000</v>
      </c>
      <c r="G72" s="5">
        <v>0.67</v>
      </c>
      <c r="J72">
        <f>3.6+7.9+32.9</f>
        <v>44.4</v>
      </c>
      <c r="K72">
        <v>30.2</v>
      </c>
      <c r="L72">
        <f>12.7+6.6</f>
        <v>19.299999999999997</v>
      </c>
      <c r="M72">
        <f>14.6+8</f>
        <v>22.6</v>
      </c>
    </row>
    <row r="73" spans="1:13" x14ac:dyDescent="0.25">
      <c r="A73" s="1" t="s">
        <v>23</v>
      </c>
      <c r="B73" s="1" t="s">
        <v>16</v>
      </c>
      <c r="C73" s="1">
        <v>2018</v>
      </c>
      <c r="D73" s="1">
        <v>2</v>
      </c>
      <c r="E73" s="2">
        <v>2911505</v>
      </c>
      <c r="F73" s="4">
        <v>72783</v>
      </c>
      <c r="G73" s="5">
        <v>0.7</v>
      </c>
      <c r="I73">
        <v>48</v>
      </c>
    </row>
    <row r="74" spans="1:13" x14ac:dyDescent="0.25">
      <c r="A74" s="1" t="s">
        <v>24</v>
      </c>
      <c r="B74" s="1" t="s">
        <v>8</v>
      </c>
      <c r="C74" s="1">
        <v>2010</v>
      </c>
      <c r="D74" s="1">
        <v>0</v>
      </c>
      <c r="E74" s="2">
        <v>4348200</v>
      </c>
      <c r="F74" s="2">
        <v>7195</v>
      </c>
      <c r="G74" s="1">
        <f>(13+19)/127</f>
        <v>0.25196850393700787</v>
      </c>
      <c r="H74" s="5">
        <v>0.4</v>
      </c>
      <c r="I74" s="5">
        <v>44.2</v>
      </c>
      <c r="J74">
        <f>5.8+6.1+18.5</f>
        <v>30.4</v>
      </c>
      <c r="K74">
        <v>33.6</v>
      </c>
      <c r="L74">
        <f>11.3+5.1</f>
        <v>16.399999999999999</v>
      </c>
      <c r="M74">
        <f>9.7+6.4</f>
        <v>16.100000000000001</v>
      </c>
    </row>
    <row r="75" spans="1:13" x14ac:dyDescent="0.25">
      <c r="A75" s="1" t="s">
        <v>24</v>
      </c>
      <c r="B75" s="1" t="s">
        <v>9</v>
      </c>
      <c r="C75" s="1">
        <v>2011</v>
      </c>
      <c r="D75" s="1">
        <v>0</v>
      </c>
      <c r="E75" s="2">
        <v>4369488</v>
      </c>
      <c r="H75" s="5">
        <v>0.39</v>
      </c>
      <c r="J75">
        <f>5.3+6.3+17.9</f>
        <v>29.5</v>
      </c>
      <c r="K75">
        <v>34</v>
      </c>
      <c r="L75">
        <f>11.8+5.1</f>
        <v>16.899999999999999</v>
      </c>
      <c r="M75">
        <f>9+6.5</f>
        <v>15.5</v>
      </c>
    </row>
    <row r="76" spans="1:13" x14ac:dyDescent="0.25">
      <c r="A76" s="1" t="s">
        <v>24</v>
      </c>
      <c r="B76" s="1" t="s">
        <v>10</v>
      </c>
      <c r="C76" s="1">
        <v>2012</v>
      </c>
      <c r="D76" s="1">
        <v>0</v>
      </c>
      <c r="E76" s="2">
        <v>4386381</v>
      </c>
      <c r="F76" s="3">
        <f>E76*0.04</f>
        <v>175455.24</v>
      </c>
      <c r="G76" s="1">
        <f>(12+23)/115</f>
        <v>0.30434782608695654</v>
      </c>
      <c r="H76" s="5">
        <v>0.38</v>
      </c>
      <c r="I76" s="5">
        <v>0.38</v>
      </c>
      <c r="J76">
        <f>6.2+10.9+22.8</f>
        <v>39.900000000000006</v>
      </c>
      <c r="K76">
        <v>34.299999999999997</v>
      </c>
      <c r="L76">
        <f>11.7+5.1</f>
        <v>16.799999999999997</v>
      </c>
      <c r="M76">
        <f>9.7+6.6</f>
        <v>16.299999999999997</v>
      </c>
    </row>
    <row r="77" spans="1:13" x14ac:dyDescent="0.25">
      <c r="A77" s="1" t="s">
        <v>24</v>
      </c>
      <c r="B77" s="1" t="s">
        <v>11</v>
      </c>
      <c r="C77" s="1">
        <v>2013</v>
      </c>
      <c r="D77" s="1">
        <v>0</v>
      </c>
      <c r="E77" s="2">
        <v>4404817</v>
      </c>
      <c r="F77" s="3">
        <f>E77*0.04</f>
        <v>176192.68</v>
      </c>
      <c r="H77" s="5">
        <v>0.39</v>
      </c>
      <c r="J77">
        <f>6.7+11.1+23</f>
        <v>40.799999999999997</v>
      </c>
      <c r="K77">
        <v>33.1</v>
      </c>
      <c r="L77">
        <f>11.7+5.4</f>
        <v>17.100000000000001</v>
      </c>
      <c r="M77">
        <f>10.2+7.3</f>
        <v>17.5</v>
      </c>
    </row>
    <row r="78" spans="1:13" x14ac:dyDescent="0.25">
      <c r="A78" s="1" t="s">
        <v>24</v>
      </c>
      <c r="B78" s="1" t="s">
        <v>12</v>
      </c>
      <c r="C78" s="1">
        <v>2014</v>
      </c>
      <c r="D78" s="1">
        <v>0</v>
      </c>
      <c r="E78" s="2">
        <v>4414483</v>
      </c>
      <c r="F78" s="3">
        <f>E78*0.04</f>
        <v>176579.32</v>
      </c>
      <c r="G78" s="5">
        <v>0.44</v>
      </c>
      <c r="H78" s="5">
        <v>0.4</v>
      </c>
      <c r="I78" s="5">
        <v>41</v>
      </c>
      <c r="J78">
        <f>6.4+11+23.2</f>
        <v>40.599999999999994</v>
      </c>
      <c r="K78">
        <v>33.299999999999997</v>
      </c>
      <c r="L78">
        <f>11.6+5.8</f>
        <v>17.399999999999999</v>
      </c>
      <c r="M78">
        <f>10.1+7.4</f>
        <v>17.5</v>
      </c>
    </row>
    <row r="79" spans="1:13" x14ac:dyDescent="0.25">
      <c r="A79" s="1" t="s">
        <v>24</v>
      </c>
      <c r="B79" s="1" t="s">
        <v>13</v>
      </c>
      <c r="C79" s="1">
        <v>2015</v>
      </c>
      <c r="D79" s="1">
        <v>0</v>
      </c>
      <c r="E79" s="2">
        <v>4425999</v>
      </c>
      <c r="F79" s="3">
        <f>E79*0.03</f>
        <v>132779.97</v>
      </c>
      <c r="G79" s="5">
        <v>0.63</v>
      </c>
      <c r="H79" s="5">
        <v>0.39</v>
      </c>
      <c r="J79">
        <f>6.7+11.2+23.2</f>
        <v>41.099999999999994</v>
      </c>
      <c r="K79">
        <v>34</v>
      </c>
      <c r="L79">
        <f>11.6+5.7</f>
        <v>17.3</v>
      </c>
      <c r="M79">
        <f>10.4+7.5</f>
        <v>17.899999999999999</v>
      </c>
    </row>
    <row r="80" spans="1:13" x14ac:dyDescent="0.25">
      <c r="A80" s="1" t="s">
        <v>24</v>
      </c>
      <c r="B80" s="1" t="s">
        <v>14</v>
      </c>
      <c r="C80" s="1">
        <v>2016</v>
      </c>
      <c r="D80" s="1">
        <v>0</v>
      </c>
      <c r="E80" s="2">
        <v>4438229</v>
      </c>
      <c r="F80" s="3">
        <f>E80*0.03</f>
        <v>133146.87</v>
      </c>
      <c r="G80" s="5">
        <v>0.61</v>
      </c>
      <c r="H80" s="5">
        <v>0.36</v>
      </c>
      <c r="I80" s="5">
        <v>0.33</v>
      </c>
      <c r="J80">
        <f>6.6+11.6+23.3</f>
        <v>41.5</v>
      </c>
      <c r="K80">
        <v>32.9</v>
      </c>
      <c r="L80">
        <f>11.8+6.2</f>
        <v>18</v>
      </c>
      <c r="M80">
        <f>10.9+7.6</f>
        <v>18.5</v>
      </c>
    </row>
    <row r="81" spans="1:13" x14ac:dyDescent="0.25">
      <c r="A81" s="1" t="s">
        <v>24</v>
      </c>
      <c r="B81" s="1" t="s">
        <v>15</v>
      </c>
      <c r="C81" s="1">
        <v>2017</v>
      </c>
      <c r="D81" s="1">
        <v>0</v>
      </c>
      <c r="E81" s="2">
        <v>4453874</v>
      </c>
      <c r="F81" s="3">
        <v>117000</v>
      </c>
      <c r="G81" s="5">
        <v>0.64</v>
      </c>
      <c r="J81">
        <f>6.8+11.6+23.3</f>
        <v>41.7</v>
      </c>
      <c r="K81">
        <v>33.6</v>
      </c>
      <c r="L81">
        <f>11.8+5.9</f>
        <v>17.700000000000003</v>
      </c>
      <c r="M81">
        <f>11+7.8</f>
        <v>18.8</v>
      </c>
    </row>
    <row r="82" spans="1:13" x14ac:dyDescent="0.25">
      <c r="A82" s="1" t="s">
        <v>24</v>
      </c>
      <c r="B82" s="1" t="s">
        <v>16</v>
      </c>
      <c r="C82" s="1">
        <v>2018</v>
      </c>
      <c r="D82" s="1">
        <v>0</v>
      </c>
      <c r="E82" s="2">
        <v>4468402</v>
      </c>
      <c r="F82" s="4">
        <v>117625</v>
      </c>
      <c r="G82" s="5">
        <v>0.59</v>
      </c>
      <c r="I82">
        <v>38</v>
      </c>
    </row>
    <row r="83" spans="1:13" x14ac:dyDescent="0.25">
      <c r="A83" s="1" t="s">
        <v>25</v>
      </c>
      <c r="B83" s="1" t="s">
        <v>8</v>
      </c>
      <c r="C83" s="1">
        <v>2010</v>
      </c>
      <c r="D83" s="1">
        <v>0</v>
      </c>
      <c r="E83" s="2">
        <v>4544532</v>
      </c>
      <c r="F83" s="2">
        <v>8076</v>
      </c>
      <c r="G83" s="1">
        <f>(14+28)/216</f>
        <v>0.19444444444444445</v>
      </c>
      <c r="H83" s="5">
        <v>0.44</v>
      </c>
      <c r="I83" s="5">
        <v>37.700000000000003</v>
      </c>
      <c r="J83">
        <f>10.3+23.5+27.4</f>
        <v>61.199999999999996</v>
      </c>
      <c r="K83">
        <v>32.700000000000003</v>
      </c>
      <c r="L83">
        <f>11.9+3.7</f>
        <v>15.600000000000001</v>
      </c>
      <c r="M83">
        <f>10.7+5.5</f>
        <v>16.2</v>
      </c>
    </row>
    <row r="84" spans="1:13" x14ac:dyDescent="0.25">
      <c r="A84" s="1" t="s">
        <v>25</v>
      </c>
      <c r="B84" s="1" t="s">
        <v>9</v>
      </c>
      <c r="C84" s="1">
        <v>2011</v>
      </c>
      <c r="D84" s="1">
        <v>0</v>
      </c>
      <c r="E84" s="2">
        <v>4575184</v>
      </c>
      <c r="H84" s="5">
        <v>0.44</v>
      </c>
      <c r="J84">
        <f>12.3+22.1+28</f>
        <v>62.400000000000006</v>
      </c>
      <c r="K84">
        <v>33.4</v>
      </c>
      <c r="L84">
        <f>12.8+3.6</f>
        <v>16.400000000000002</v>
      </c>
      <c r="M84">
        <f>10.1+5.4</f>
        <v>15.5</v>
      </c>
    </row>
    <row r="85" spans="1:13" x14ac:dyDescent="0.25">
      <c r="A85" s="1" t="s">
        <v>25</v>
      </c>
      <c r="B85" s="1" t="s">
        <v>10</v>
      </c>
      <c r="C85" s="1">
        <v>2012</v>
      </c>
      <c r="D85" s="1">
        <v>0</v>
      </c>
      <c r="E85" s="2">
        <v>4600814</v>
      </c>
      <c r="F85" s="3">
        <f>E85*0.03</f>
        <v>138024.41999999998</v>
      </c>
      <c r="G85" s="1">
        <f>(24+23)/201</f>
        <v>0.23383084577114427</v>
      </c>
      <c r="H85" s="5">
        <v>0.43</v>
      </c>
      <c r="I85" s="5">
        <v>0.41</v>
      </c>
      <c r="J85">
        <f>13.3+21.4+27.1</f>
        <v>61.800000000000004</v>
      </c>
      <c r="K85">
        <v>33.1</v>
      </c>
      <c r="L85">
        <f>12.7+3.8</f>
        <v>16.5</v>
      </c>
      <c r="M85">
        <f>10.6+5.7</f>
        <v>16.3</v>
      </c>
    </row>
    <row r="86" spans="1:13" x14ac:dyDescent="0.25">
      <c r="A86" s="1" t="s">
        <v>25</v>
      </c>
      <c r="B86" s="1" t="s">
        <v>11</v>
      </c>
      <c r="C86" s="1">
        <v>2013</v>
      </c>
      <c r="D86" s="1">
        <v>0</v>
      </c>
      <c r="E86" s="2">
        <v>4624577</v>
      </c>
      <c r="F86" s="3">
        <f>E86*0.02</f>
        <v>92491.540000000008</v>
      </c>
      <c r="H86" s="5">
        <v>0.46</v>
      </c>
      <c r="J86">
        <f>14+21.8+27.4</f>
        <v>63.199999999999996</v>
      </c>
      <c r="K86">
        <v>32.6</v>
      </c>
      <c r="L86">
        <f>13+3.9</f>
        <v>16.899999999999999</v>
      </c>
      <c r="M86">
        <f>11.1+6.1</f>
        <v>17.2</v>
      </c>
    </row>
    <row r="87" spans="1:13" x14ac:dyDescent="0.25">
      <c r="A87" s="1" t="s">
        <v>25</v>
      </c>
      <c r="B87" s="1" t="s">
        <v>12</v>
      </c>
      <c r="C87" s="1">
        <v>2014</v>
      </c>
      <c r="D87" s="1">
        <v>0</v>
      </c>
      <c r="E87" s="2">
        <v>4644204</v>
      </c>
      <c r="F87" s="3">
        <f>E87*0.04</f>
        <v>185768.16</v>
      </c>
      <c r="G87" s="5">
        <v>0.53</v>
      </c>
      <c r="H87" s="5">
        <v>0.46</v>
      </c>
      <c r="I87" s="5">
        <v>42</v>
      </c>
      <c r="J87">
        <f>13.9+21.9+27.3</f>
        <v>63.099999999999994</v>
      </c>
      <c r="K87">
        <v>33.299999999999997</v>
      </c>
      <c r="L87">
        <f>13+4</f>
        <v>17</v>
      </c>
      <c r="M87">
        <f>11.4+6.2</f>
        <v>17.600000000000001</v>
      </c>
    </row>
    <row r="88" spans="1:13" x14ac:dyDescent="0.25">
      <c r="A88" s="1" t="s">
        <v>25</v>
      </c>
      <c r="B88" s="1" t="s">
        <v>13</v>
      </c>
      <c r="C88" s="1">
        <v>2015</v>
      </c>
      <c r="D88" s="1">
        <v>0</v>
      </c>
      <c r="E88" s="2">
        <v>4664851</v>
      </c>
      <c r="F88" s="3">
        <f>E88*0.03</f>
        <v>139945.53</v>
      </c>
      <c r="G88" s="5">
        <v>0.64</v>
      </c>
      <c r="H88" s="5">
        <v>0.44</v>
      </c>
      <c r="J88">
        <f>14.2+21.8+27.3</f>
        <v>63.3</v>
      </c>
      <c r="K88">
        <v>33.5</v>
      </c>
      <c r="L88">
        <f>12.7+4.5</f>
        <v>17.2</v>
      </c>
      <c r="M88">
        <f>11.7+6.5</f>
        <v>18.2</v>
      </c>
    </row>
    <row r="89" spans="1:13" x14ac:dyDescent="0.25">
      <c r="A89" s="1" t="s">
        <v>25</v>
      </c>
      <c r="B89" s="1" t="s">
        <v>14</v>
      </c>
      <c r="C89" s="1">
        <v>2016</v>
      </c>
      <c r="D89" s="1">
        <v>0</v>
      </c>
      <c r="E89" s="2">
        <v>4678215</v>
      </c>
      <c r="F89" s="3">
        <f>E89*0.04</f>
        <v>187128.6</v>
      </c>
      <c r="G89" s="5">
        <v>0.5</v>
      </c>
      <c r="H89" s="5">
        <v>0.38</v>
      </c>
      <c r="I89" s="5">
        <v>0.38</v>
      </c>
      <c r="J89">
        <f>14.7+21.7+27.3</f>
        <v>63.7</v>
      </c>
      <c r="K89">
        <v>33.200000000000003</v>
      </c>
      <c r="L89">
        <f>12.6+4.4</f>
        <v>17</v>
      </c>
      <c r="M89">
        <f>12.1+6.8</f>
        <v>18.899999999999999</v>
      </c>
    </row>
    <row r="90" spans="1:13" x14ac:dyDescent="0.25">
      <c r="A90" s="1" t="s">
        <v>25</v>
      </c>
      <c r="B90" s="1" t="s">
        <v>15</v>
      </c>
      <c r="C90" s="1">
        <v>2017</v>
      </c>
      <c r="D90" s="1">
        <v>0</v>
      </c>
      <c r="E90" s="2">
        <v>4670818</v>
      </c>
      <c r="F90" s="3">
        <v>139000</v>
      </c>
      <c r="G90" s="5">
        <v>0.61</v>
      </c>
      <c r="J90">
        <f>14.5+21.5+27.3</f>
        <v>63.3</v>
      </c>
      <c r="K90">
        <v>33</v>
      </c>
      <c r="L90">
        <f>12.9+4.5</f>
        <v>17.399999999999999</v>
      </c>
      <c r="M90">
        <f>12.1+6.9</f>
        <v>19</v>
      </c>
    </row>
    <row r="91" spans="1:13" x14ac:dyDescent="0.25">
      <c r="A91" s="1" t="s">
        <v>25</v>
      </c>
      <c r="B91" s="1" t="s">
        <v>16</v>
      </c>
      <c r="C91" s="1">
        <v>2018</v>
      </c>
      <c r="D91" s="1">
        <v>0</v>
      </c>
      <c r="E91" s="2">
        <v>4659978</v>
      </c>
      <c r="F91" s="4">
        <v>138998</v>
      </c>
      <c r="G91" s="5">
        <v>0.67</v>
      </c>
      <c r="I91">
        <v>40.4</v>
      </c>
    </row>
    <row r="92" spans="1:13" x14ac:dyDescent="0.25">
      <c r="A92" s="1" t="s">
        <v>26</v>
      </c>
      <c r="B92" s="1" t="s">
        <v>8</v>
      </c>
      <c r="C92" s="1">
        <v>2010</v>
      </c>
      <c r="D92" s="1">
        <v>0</v>
      </c>
      <c r="E92" s="2">
        <v>9877535</v>
      </c>
      <c r="F92" s="2">
        <v>14598</v>
      </c>
      <c r="G92" s="1">
        <f>(56+62)/353</f>
        <v>0.33427762039660058</v>
      </c>
      <c r="H92" s="5">
        <v>0.32</v>
      </c>
      <c r="I92" s="5">
        <v>39.9</v>
      </c>
      <c r="J92">
        <f>8.7+32.3+24.8</f>
        <v>65.8</v>
      </c>
      <c r="K92">
        <v>33.4</v>
      </c>
      <c r="L92">
        <f>13.2+6.2</f>
        <v>19.399999999999999</v>
      </c>
      <c r="M92">
        <f>11.1+6.6</f>
        <v>17.7</v>
      </c>
    </row>
    <row r="93" spans="1:13" x14ac:dyDescent="0.25">
      <c r="A93" s="1" t="s">
        <v>26</v>
      </c>
      <c r="B93" s="1" t="s">
        <v>9</v>
      </c>
      <c r="C93" s="1">
        <v>2011</v>
      </c>
      <c r="D93" s="1">
        <v>0</v>
      </c>
      <c r="E93" s="2">
        <v>9881521</v>
      </c>
      <c r="H93" s="5">
        <v>0.3</v>
      </c>
      <c r="J93">
        <f>9.4+31.9+24.1</f>
        <v>65.400000000000006</v>
      </c>
      <c r="K93">
        <v>34.1</v>
      </c>
      <c r="L93">
        <f>13.2+6.2</f>
        <v>19.399999999999999</v>
      </c>
      <c r="M93">
        <f>11+6.8</f>
        <v>17.8</v>
      </c>
    </row>
    <row r="94" spans="1:13" x14ac:dyDescent="0.25">
      <c r="A94" s="1" t="s">
        <v>26</v>
      </c>
      <c r="B94" s="1" t="s">
        <v>10</v>
      </c>
      <c r="C94" s="1">
        <v>2012</v>
      </c>
      <c r="D94" s="1">
        <v>0</v>
      </c>
      <c r="E94" s="2">
        <v>9896930</v>
      </c>
      <c r="F94" s="3">
        <f>E94*0.04</f>
        <v>395877.2</v>
      </c>
      <c r="G94" s="1">
        <f>(51+55)/326</f>
        <v>0.32515337423312884</v>
      </c>
      <c r="H94" s="5">
        <v>0.28999999999999998</v>
      </c>
      <c r="I94" s="5">
        <v>0.54</v>
      </c>
      <c r="J94">
        <f>5.8+21.2+33.5</f>
        <v>60.5</v>
      </c>
      <c r="K94">
        <v>34</v>
      </c>
      <c r="L94">
        <f>13.4+6.5</f>
        <v>19.899999999999999</v>
      </c>
      <c r="M94">
        <f>11.2+6.8</f>
        <v>18</v>
      </c>
    </row>
    <row r="95" spans="1:13" x14ac:dyDescent="0.25">
      <c r="A95" s="1" t="s">
        <v>26</v>
      </c>
      <c r="B95" s="1" t="s">
        <v>11</v>
      </c>
      <c r="C95" s="1">
        <v>2013</v>
      </c>
      <c r="D95" s="1">
        <v>0</v>
      </c>
      <c r="E95" s="2">
        <v>9913349</v>
      </c>
      <c r="F95" s="3">
        <f>E95*0.03</f>
        <v>297400.46999999997</v>
      </c>
      <c r="H95" s="5">
        <v>0.32</v>
      </c>
      <c r="J95">
        <f>5.5+21.3+34.1</f>
        <v>60.900000000000006</v>
      </c>
      <c r="K95">
        <v>32.9</v>
      </c>
      <c r="L95">
        <f>13.4+6.9</f>
        <v>20.3</v>
      </c>
      <c r="M95">
        <f>11.7+7.2</f>
        <v>18.899999999999999</v>
      </c>
    </row>
    <row r="96" spans="1:13" x14ac:dyDescent="0.25">
      <c r="A96" s="1" t="s">
        <v>26</v>
      </c>
      <c r="B96" s="1" t="s">
        <v>12</v>
      </c>
      <c r="C96" s="1">
        <v>2014</v>
      </c>
      <c r="D96" s="1">
        <v>2</v>
      </c>
      <c r="E96" s="2">
        <v>9930589</v>
      </c>
      <c r="F96" s="3">
        <f>E96*0.04</f>
        <v>397223.56</v>
      </c>
      <c r="G96" s="5">
        <v>0.62</v>
      </c>
      <c r="H96" s="5">
        <v>0.32</v>
      </c>
      <c r="I96" s="5">
        <v>47</v>
      </c>
      <c r="J96">
        <f>5.6+21.4+34</f>
        <v>61</v>
      </c>
      <c r="K96">
        <v>33.4</v>
      </c>
      <c r="L96">
        <f>13.2+7</f>
        <v>20.2</v>
      </c>
      <c r="M96">
        <f>11.8+7.5</f>
        <v>19.3</v>
      </c>
    </row>
    <row r="97" spans="1:17" x14ac:dyDescent="0.25">
      <c r="A97" s="1" t="s">
        <v>26</v>
      </c>
      <c r="B97" s="1" t="s">
        <v>13</v>
      </c>
      <c r="C97" s="1">
        <v>2015</v>
      </c>
      <c r="D97" s="1">
        <v>2</v>
      </c>
      <c r="E97" s="2">
        <v>9932573</v>
      </c>
      <c r="F97" s="3">
        <f>E97*0.04</f>
        <v>397302.92</v>
      </c>
      <c r="G97" s="5">
        <v>0.71</v>
      </c>
      <c r="H97" s="5">
        <v>0.3</v>
      </c>
      <c r="J97">
        <f>5.4+21.4+33.9</f>
        <v>60.699999999999996</v>
      </c>
      <c r="K97">
        <v>33.200000000000003</v>
      </c>
      <c r="L97">
        <f>13.4+7</f>
        <v>20.399999999999999</v>
      </c>
      <c r="M97">
        <f>12.2+7.6</f>
        <v>19.799999999999997</v>
      </c>
    </row>
    <row r="98" spans="1:17" x14ac:dyDescent="0.25">
      <c r="A98" s="1" t="s">
        <v>26</v>
      </c>
      <c r="B98" s="1" t="s">
        <v>14</v>
      </c>
      <c r="C98" s="1">
        <v>2016</v>
      </c>
      <c r="D98" s="1">
        <v>3</v>
      </c>
      <c r="E98" s="2">
        <v>9951890</v>
      </c>
      <c r="F98" s="3">
        <f>E98*0.04</f>
        <v>398075.60000000003</v>
      </c>
      <c r="G98" s="5">
        <v>0.6</v>
      </c>
      <c r="H98" s="5">
        <v>0.27</v>
      </c>
      <c r="I98" s="5">
        <v>0.47</v>
      </c>
      <c r="J98">
        <f>5.3+21.5+34.5</f>
        <v>61.3</v>
      </c>
      <c r="K98">
        <v>33.5</v>
      </c>
      <c r="L98">
        <f>13.1+7.1</f>
        <v>20.2</v>
      </c>
      <c r="M98">
        <f>12.4+7.9</f>
        <v>20.3</v>
      </c>
    </row>
    <row r="99" spans="1:17" x14ac:dyDescent="0.25">
      <c r="A99" s="1" t="s">
        <v>26</v>
      </c>
      <c r="B99" s="1" t="s">
        <v>15</v>
      </c>
      <c r="C99" s="1">
        <v>2017</v>
      </c>
      <c r="D99" s="1">
        <v>3</v>
      </c>
      <c r="E99" s="2">
        <v>9976447</v>
      </c>
      <c r="F99" s="3">
        <v>311000</v>
      </c>
      <c r="G99" s="5">
        <v>0.7</v>
      </c>
      <c r="J99">
        <f>5+21.9+34.5</f>
        <v>61.4</v>
      </c>
      <c r="K99">
        <v>32.799999999999997</v>
      </c>
      <c r="L99">
        <f>13+7.2</f>
        <v>20.2</v>
      </c>
      <c r="M99">
        <f>12.8+8.1</f>
        <v>20.9</v>
      </c>
    </row>
    <row r="100" spans="1:17" x14ac:dyDescent="0.25">
      <c r="A100" s="1" t="s">
        <v>26</v>
      </c>
      <c r="B100" s="1" t="s">
        <v>16</v>
      </c>
      <c r="C100" s="1">
        <v>2018</v>
      </c>
      <c r="D100" s="1">
        <v>3</v>
      </c>
      <c r="E100" s="2">
        <v>9995915</v>
      </c>
      <c r="F100" s="4">
        <v>313250</v>
      </c>
      <c r="G100" s="5">
        <v>0.7</v>
      </c>
      <c r="I100">
        <v>53.3</v>
      </c>
    </row>
    <row r="101" spans="1:17" x14ac:dyDescent="0.25">
      <c r="A101" s="1" t="s">
        <v>27</v>
      </c>
      <c r="B101" s="1" t="s">
        <v>8</v>
      </c>
      <c r="C101" s="1">
        <v>2010</v>
      </c>
      <c r="D101" s="1">
        <v>3</v>
      </c>
      <c r="E101" s="2">
        <v>5995976</v>
      </c>
      <c r="F101" s="2">
        <v>10557</v>
      </c>
      <c r="G101" s="1">
        <f>(18+16)/113</f>
        <v>0.30088495575221241</v>
      </c>
      <c r="H101" s="5">
        <v>0.36</v>
      </c>
      <c r="I101" s="5">
        <v>40.6</v>
      </c>
      <c r="J101">
        <f>12.6+35.2+13.1</f>
        <v>60.900000000000006</v>
      </c>
      <c r="K101">
        <v>33.9</v>
      </c>
      <c r="L101">
        <f>11.9+4.9</f>
        <v>16.8</v>
      </c>
      <c r="M101">
        <f>11.3+6.5</f>
        <v>17.8</v>
      </c>
      <c r="N101">
        <f>5.5+4.4+4.9+5.6</f>
        <v>20.399999999999999</v>
      </c>
      <c r="O101">
        <f>5.1+5.4+5.3+5</f>
        <v>20.8</v>
      </c>
    </row>
    <row r="102" spans="1:17" x14ac:dyDescent="0.25">
      <c r="A102" s="1" t="s">
        <v>27</v>
      </c>
      <c r="B102" s="1" t="s">
        <v>9</v>
      </c>
      <c r="C102" s="1">
        <v>2011</v>
      </c>
      <c r="D102" s="1">
        <v>3</v>
      </c>
      <c r="E102" s="2">
        <v>6009641</v>
      </c>
      <c r="H102" s="5">
        <v>0.37</v>
      </c>
      <c r="J102">
        <f>13.9+31.8+12.3</f>
        <v>58</v>
      </c>
      <c r="K102">
        <v>34.1</v>
      </c>
      <c r="L102">
        <f>12.4+4.9</f>
        <v>17.3</v>
      </c>
      <c r="M102">
        <f>10.9+6.5</f>
        <v>17.399999999999999</v>
      </c>
      <c r="N102">
        <f>5.8+4.6+4.9+5.1</f>
        <v>20.399999999999999</v>
      </c>
      <c r="O102">
        <f>5+5.3+4.9+5.1</f>
        <v>20.3</v>
      </c>
    </row>
    <row r="103" spans="1:17" x14ac:dyDescent="0.25">
      <c r="A103" s="1" t="s">
        <v>27</v>
      </c>
      <c r="B103" s="1" t="s">
        <v>10</v>
      </c>
      <c r="C103" s="1">
        <v>2012</v>
      </c>
      <c r="D103" s="1">
        <v>2</v>
      </c>
      <c r="E103" s="2">
        <v>6024081</v>
      </c>
      <c r="F103" s="3">
        <f>E103*0.03</f>
        <v>180722.43</v>
      </c>
      <c r="G103" s="1">
        <f>(22+20)/116</f>
        <v>0.36206896551724138</v>
      </c>
      <c r="H103" s="5">
        <v>0.34</v>
      </c>
      <c r="I103" s="5">
        <v>0.44</v>
      </c>
      <c r="J103">
        <f>4.8+21.8+33.6</f>
        <v>60.2</v>
      </c>
      <c r="K103">
        <v>34.5</v>
      </c>
      <c r="L103">
        <f>12.5+5</f>
        <v>17.5</v>
      </c>
      <c r="M103">
        <f>11+6.5</f>
        <v>17.5</v>
      </c>
    </row>
    <row r="104" spans="1:17" x14ac:dyDescent="0.25">
      <c r="A104" s="1" t="s">
        <v>27</v>
      </c>
      <c r="B104" s="1" t="s">
        <v>11</v>
      </c>
      <c r="C104" s="1">
        <v>2013</v>
      </c>
      <c r="D104" s="1">
        <v>2</v>
      </c>
      <c r="E104" s="2">
        <v>6040658</v>
      </c>
      <c r="F104" s="3">
        <f>E104*0.03</f>
        <v>181219.74</v>
      </c>
      <c r="H104" s="5">
        <v>0.36</v>
      </c>
      <c r="J104">
        <f>4.5+22.1+33.7</f>
        <v>60.300000000000004</v>
      </c>
      <c r="K104">
        <v>34.200000000000003</v>
      </c>
      <c r="L104">
        <f>12.2+5.4</f>
        <v>17.600000000000001</v>
      </c>
      <c r="M104">
        <f>12+6.9</f>
        <v>18.899999999999999</v>
      </c>
    </row>
    <row r="105" spans="1:17" x14ac:dyDescent="0.25">
      <c r="A105" s="1" t="s">
        <v>27</v>
      </c>
      <c r="B105" s="1" t="s">
        <v>12</v>
      </c>
      <c r="C105" s="1">
        <v>2014</v>
      </c>
      <c r="D105" s="1">
        <v>1</v>
      </c>
      <c r="E105" s="2">
        <v>6056293</v>
      </c>
      <c r="F105" s="3">
        <f>E105*0.03</f>
        <v>181688.78999999998</v>
      </c>
      <c r="G105" s="5">
        <v>0.56999999999999995</v>
      </c>
      <c r="H105" s="5">
        <v>0.34</v>
      </c>
      <c r="I105" s="5">
        <v>36.6</v>
      </c>
      <c r="J105">
        <f>4.4+22+34.1</f>
        <v>60.5</v>
      </c>
      <c r="K105">
        <v>33.799999999999997</v>
      </c>
      <c r="L105">
        <f>12.6+5.6</f>
        <v>18.2</v>
      </c>
      <c r="M105">
        <f>12+7.1</f>
        <v>19.100000000000001</v>
      </c>
    </row>
    <row r="106" spans="1:17" x14ac:dyDescent="0.25">
      <c r="A106" s="1" t="s">
        <v>27</v>
      </c>
      <c r="B106" s="1" t="s">
        <v>13</v>
      </c>
      <c r="C106" s="1">
        <v>2015</v>
      </c>
      <c r="D106" s="1">
        <v>1</v>
      </c>
      <c r="E106" s="2">
        <v>6071745</v>
      </c>
      <c r="F106" s="3">
        <f>E106*0.03</f>
        <v>182152.35</v>
      </c>
      <c r="G106" s="5">
        <v>0.66</v>
      </c>
      <c r="H106" s="5">
        <v>0.34</v>
      </c>
      <c r="J106">
        <f>4.4+22.3+34.2</f>
        <v>60.900000000000006</v>
      </c>
      <c r="K106">
        <v>33.6</v>
      </c>
      <c r="L106">
        <f>12.3+5.5</f>
        <v>17.8</v>
      </c>
      <c r="M106">
        <f>12.2+7.4</f>
        <v>19.600000000000001</v>
      </c>
    </row>
    <row r="107" spans="1:17" x14ac:dyDescent="0.25">
      <c r="A107" s="1" t="s">
        <v>27</v>
      </c>
      <c r="B107" s="1" t="s">
        <v>14</v>
      </c>
      <c r="C107" s="1">
        <v>2016</v>
      </c>
      <c r="D107" s="1">
        <v>2</v>
      </c>
      <c r="E107" s="2">
        <v>6087203</v>
      </c>
      <c r="F107" s="3">
        <f>E107*0.04</f>
        <v>243488.12</v>
      </c>
      <c r="G107" s="5">
        <v>0.59</v>
      </c>
      <c r="H107" s="5">
        <v>0.33</v>
      </c>
      <c r="I107" s="5">
        <v>0.38</v>
      </c>
      <c r="J107">
        <f>4.4+22.6+34.6</f>
        <v>61.6</v>
      </c>
      <c r="K107">
        <v>33.5</v>
      </c>
      <c r="L107">
        <f>12.3+5.9</f>
        <v>18.200000000000003</v>
      </c>
      <c r="M107">
        <f>12.5+7.5</f>
        <v>20</v>
      </c>
    </row>
    <row r="108" spans="1:17" x14ac:dyDescent="0.25">
      <c r="A108" s="1" t="s">
        <v>27</v>
      </c>
      <c r="B108" s="1" t="s">
        <v>15</v>
      </c>
      <c r="C108" s="1">
        <v>2017</v>
      </c>
      <c r="D108" s="1">
        <v>2</v>
      </c>
      <c r="E108" s="2">
        <v>6108612</v>
      </c>
      <c r="F108" s="3">
        <v>180000</v>
      </c>
      <c r="G108" s="5">
        <v>0.65</v>
      </c>
      <c r="J108">
        <f>4.3+22.5+35.2</f>
        <v>62</v>
      </c>
      <c r="K108">
        <v>33.200000000000003</v>
      </c>
      <c r="L108">
        <f>12.1+5.9</f>
        <v>18</v>
      </c>
      <c r="M108">
        <f>12.8+7.7</f>
        <v>20.5</v>
      </c>
    </row>
    <row r="109" spans="1:17" x14ac:dyDescent="0.25">
      <c r="A109" s="1" t="s">
        <v>27</v>
      </c>
      <c r="B109" s="1" t="s">
        <v>16</v>
      </c>
      <c r="C109" s="1">
        <v>2018</v>
      </c>
      <c r="D109" s="1">
        <v>3</v>
      </c>
      <c r="E109" s="2">
        <v>6126452</v>
      </c>
      <c r="F109" s="4">
        <v>180486</v>
      </c>
      <c r="G109" s="5">
        <v>0.64</v>
      </c>
      <c r="I109">
        <v>45.6</v>
      </c>
    </row>
    <row r="110" spans="1:17" x14ac:dyDescent="0.25">
      <c r="A110" s="1" t="s">
        <v>28</v>
      </c>
      <c r="B110" s="1" t="s">
        <v>8</v>
      </c>
      <c r="C110" s="1">
        <v>2010</v>
      </c>
      <c r="D110" s="1">
        <v>0</v>
      </c>
      <c r="E110" s="2">
        <v>2970536</v>
      </c>
      <c r="F110" s="2">
        <v>3484</v>
      </c>
      <c r="G110" s="1">
        <f>(13+19)/127</f>
        <v>0.25196850393700787</v>
      </c>
      <c r="H110" s="5">
        <v>0.46</v>
      </c>
      <c r="I110" s="5">
        <v>37.799999999999997</v>
      </c>
      <c r="J110">
        <f>5+4.8+24.2</f>
        <v>34</v>
      </c>
      <c r="K110">
        <v>29.4</v>
      </c>
      <c r="L110">
        <f>13.4+6</f>
        <v>19.399999999999999</v>
      </c>
      <c r="M110">
        <f>9.3+5.3</f>
        <v>14.600000000000001</v>
      </c>
      <c r="N110">
        <f>8.3+6.7+6.3+6.4</f>
        <v>27.700000000000003</v>
      </c>
      <c r="O110">
        <f>5.9+5.9+5.7+4.8</f>
        <v>22.3</v>
      </c>
      <c r="P110">
        <f>4.2+8.1+10+11.2</f>
        <v>33.5</v>
      </c>
      <c r="Q110">
        <f>5.7+2.8+2.2+2.6</f>
        <v>13.299999999999999</v>
      </c>
    </row>
    <row r="111" spans="1:17" x14ac:dyDescent="0.25">
      <c r="A111" s="1" t="s">
        <v>28</v>
      </c>
      <c r="B111" s="1" t="s">
        <v>9</v>
      </c>
      <c r="C111" s="1">
        <v>2011</v>
      </c>
      <c r="D111" s="1">
        <v>0</v>
      </c>
      <c r="E111" s="2">
        <v>2978470</v>
      </c>
      <c r="H111" s="5">
        <v>0.48</v>
      </c>
      <c r="J111">
        <f>5.6+4+22.1</f>
        <v>31.700000000000003</v>
      </c>
      <c r="K111">
        <v>30.5</v>
      </c>
      <c r="L111">
        <f>13.4+5.8</f>
        <v>19.2</v>
      </c>
      <c r="M111">
        <f>9.2+5</f>
        <v>14.2</v>
      </c>
      <c r="N111">
        <f>9.1+6.2+6.6+6.3</f>
        <v>28.2</v>
      </c>
      <c r="O111">
        <f>5.8+6+5.1+4.8</f>
        <v>21.7</v>
      </c>
      <c r="P111">
        <f>4.2+7.8+9.8+9.5</f>
        <v>31.3</v>
      </c>
      <c r="Q111">
        <f>5.3+2.6+2.3+2.3</f>
        <v>12.5</v>
      </c>
    </row>
    <row r="112" spans="1:17" x14ac:dyDescent="0.25">
      <c r="A112" s="1" t="s">
        <v>28</v>
      </c>
      <c r="B112" s="1" t="s">
        <v>10</v>
      </c>
      <c r="C112" s="1">
        <v>2012</v>
      </c>
      <c r="D112" s="1">
        <v>0</v>
      </c>
      <c r="E112" s="2">
        <v>2983767</v>
      </c>
      <c r="F112" s="3">
        <f>E112*0.03</f>
        <v>89513.01</v>
      </c>
      <c r="G112" s="1">
        <f>(12+23)/115</f>
        <v>0.30434782608695654</v>
      </c>
      <c r="H112" s="5">
        <v>0.48</v>
      </c>
      <c r="I112" s="5">
        <v>0.44</v>
      </c>
      <c r="J112">
        <f>4.4+8.4+17.6</f>
        <v>30.400000000000002</v>
      </c>
      <c r="K112">
        <v>30.6</v>
      </c>
      <c r="L112">
        <f>13.6+6</f>
        <v>19.600000000000001</v>
      </c>
      <c r="M112">
        <f>8.9+5.6</f>
        <v>14.5</v>
      </c>
      <c r="N112">
        <f>9.2+6.1+6.7+6.2</f>
        <v>28.2</v>
      </c>
      <c r="O112">
        <f>5.5+5.7+5+4.9</f>
        <v>21.1</v>
      </c>
      <c r="P112">
        <f>4.3+8+9.1+9.5</f>
        <v>30.9</v>
      </c>
      <c r="Q112">
        <f>6.4+2.9+2.3+2.4</f>
        <v>14.000000000000002</v>
      </c>
    </row>
    <row r="113" spans="1:17" x14ac:dyDescent="0.25">
      <c r="A113" s="1" t="s">
        <v>28</v>
      </c>
      <c r="B113" s="1" t="s">
        <v>11</v>
      </c>
      <c r="C113" s="1">
        <v>2013</v>
      </c>
      <c r="D113" s="1">
        <v>0</v>
      </c>
      <c r="E113" s="2">
        <v>2988797</v>
      </c>
      <c r="F113" s="3">
        <f>E113*0.02</f>
        <v>59775.94</v>
      </c>
      <c r="H113" s="5">
        <v>0.47</v>
      </c>
      <c r="J113">
        <f>4.4+8.6+18.2</f>
        <v>31.2</v>
      </c>
      <c r="K113">
        <v>30.1</v>
      </c>
      <c r="L113">
        <f>13.8+6.2</f>
        <v>20</v>
      </c>
      <c r="M113">
        <f>9.5+5.5</f>
        <v>15</v>
      </c>
      <c r="N113">
        <f>8.7+6+5.8+5.6</f>
        <v>26.1</v>
      </c>
      <c r="O113">
        <f>5.8+5.4+4.5+4.7</f>
        <v>20.399999999999999</v>
      </c>
      <c r="P113">
        <f>4.3+8.1+9.4+10.8</f>
        <v>32.599999999999994</v>
      </c>
      <c r="Q113">
        <f>6.5+3.2+2.6+2.7</f>
        <v>15</v>
      </c>
    </row>
    <row r="114" spans="1:17" x14ac:dyDescent="0.25">
      <c r="A114" s="1" t="s">
        <v>28</v>
      </c>
      <c r="B114" s="1" t="s">
        <v>12</v>
      </c>
      <c r="C114" s="1">
        <v>2014</v>
      </c>
      <c r="D114" s="1">
        <v>0</v>
      </c>
      <c r="E114" s="2">
        <v>2990623</v>
      </c>
      <c r="F114" s="3">
        <f>E114*0.03</f>
        <v>89718.69</v>
      </c>
      <c r="G114" s="5">
        <v>0.4</v>
      </c>
      <c r="H114" s="5">
        <v>0.47</v>
      </c>
      <c r="I114" s="5">
        <v>37</v>
      </c>
      <c r="J114">
        <f>4.2+8.8+17.9</f>
        <v>30.9</v>
      </c>
      <c r="K114">
        <v>30.9</v>
      </c>
      <c r="L114">
        <f>13.5+6.2</f>
        <v>19.7</v>
      </c>
      <c r="M114">
        <f>9.5+5.8</f>
        <v>15.3</v>
      </c>
      <c r="N114">
        <f>8.5+5.4+6+6</f>
        <v>25.9</v>
      </c>
      <c r="O114">
        <f>5.6+5.3+4.9+4.7</f>
        <v>20.5</v>
      </c>
      <c r="P114">
        <f>3.9+7.9+9.7+11.6</f>
        <v>33.1</v>
      </c>
      <c r="Q114">
        <f>6+3.1+2.7+2.8</f>
        <v>14.600000000000001</v>
      </c>
    </row>
    <row r="115" spans="1:17" x14ac:dyDescent="0.25">
      <c r="A115" s="1" t="s">
        <v>28</v>
      </c>
      <c r="B115" s="1" t="s">
        <v>13</v>
      </c>
      <c r="C115" s="1">
        <v>2015</v>
      </c>
      <c r="D115" s="1">
        <v>0</v>
      </c>
      <c r="E115" s="2">
        <v>2988693</v>
      </c>
      <c r="F115" s="3">
        <f>E115*0.03</f>
        <v>89660.79</v>
      </c>
      <c r="G115" s="5">
        <v>0.54</v>
      </c>
      <c r="H115" s="5">
        <v>0.51</v>
      </c>
      <c r="J115">
        <f>4.3+8.9+18.5</f>
        <v>31.7</v>
      </c>
      <c r="K115">
        <v>31.2</v>
      </c>
      <c r="L115">
        <f>13.7+6.7</f>
        <v>20.399999999999999</v>
      </c>
      <c r="M115">
        <f>9.5+6</f>
        <v>15.5</v>
      </c>
      <c r="N115">
        <f>7.9+5.2+5.6+5.1</f>
        <v>23.800000000000004</v>
      </c>
      <c r="O115">
        <f>5+5.1+5.1+4.9</f>
        <v>20.100000000000001</v>
      </c>
      <c r="P115">
        <f>4.3+7.9+9.5+11.8</f>
        <v>33.5</v>
      </c>
      <c r="Q115">
        <f>7.4+3.7+2.5+3.2</f>
        <v>16.8</v>
      </c>
    </row>
    <row r="116" spans="1:17" x14ac:dyDescent="0.25">
      <c r="A116" s="1" t="s">
        <v>28</v>
      </c>
      <c r="B116" s="1" t="s">
        <v>14</v>
      </c>
      <c r="C116" s="1">
        <v>2016</v>
      </c>
      <c r="D116" s="1">
        <v>0</v>
      </c>
      <c r="E116" s="2">
        <v>2988298</v>
      </c>
      <c r="F116" s="3">
        <f>E116*0.03</f>
        <v>89648.94</v>
      </c>
      <c r="G116" s="5">
        <v>0.6</v>
      </c>
      <c r="H116" s="5">
        <v>0.45</v>
      </c>
      <c r="I116" s="5">
        <v>0.4</v>
      </c>
      <c r="J116">
        <f>4.3+9.2+18.9</f>
        <v>32.4</v>
      </c>
      <c r="K116">
        <v>31.2</v>
      </c>
      <c r="L116">
        <f>13.5+13</f>
        <v>26.5</v>
      </c>
      <c r="M116">
        <f>10+6.4</f>
        <v>16.399999999999999</v>
      </c>
      <c r="N116">
        <f>7.1+5.5+5.3+5.4</f>
        <v>23.299999999999997</v>
      </c>
      <c r="O116">
        <f>4.8+5+4.7+4.7</f>
        <v>19.2</v>
      </c>
      <c r="P116">
        <f>4+7.9+9.3+12</f>
        <v>33.200000000000003</v>
      </c>
      <c r="Q116">
        <f>7.5+4.2+3.5+3.6</f>
        <v>18.8</v>
      </c>
    </row>
    <row r="117" spans="1:17" x14ac:dyDescent="0.25">
      <c r="A117" s="1" t="s">
        <v>28</v>
      </c>
      <c r="B117" s="1" t="s">
        <v>15</v>
      </c>
      <c r="C117" s="1">
        <v>2017</v>
      </c>
      <c r="D117" s="1">
        <v>0</v>
      </c>
      <c r="E117" s="2">
        <v>2989663</v>
      </c>
      <c r="F117" s="3">
        <v>79000</v>
      </c>
      <c r="G117" s="5">
        <v>0.56999999999999995</v>
      </c>
      <c r="J117">
        <f>4.4+9.2+19.3</f>
        <v>32.9</v>
      </c>
      <c r="K117">
        <v>30.9</v>
      </c>
      <c r="L117">
        <f>13+7.5</f>
        <v>20.5</v>
      </c>
      <c r="M117">
        <f>10.4+6.3</f>
        <v>16.7</v>
      </c>
      <c r="N117">
        <f>7.1+4.7+4.8+5.1</f>
        <v>21.700000000000003</v>
      </c>
      <c r="O117">
        <f>4.6+4.8+4.5+4.7</f>
        <v>18.599999999999998</v>
      </c>
      <c r="P117">
        <f>4.2+7.9+10.1+12.4</f>
        <v>34.6</v>
      </c>
      <c r="Q117">
        <f>7.9+4+3.9+3.6</f>
        <v>19.400000000000002</v>
      </c>
    </row>
    <row r="118" spans="1:17" x14ac:dyDescent="0.25">
      <c r="A118" s="1" t="s">
        <v>28</v>
      </c>
      <c r="B118" s="1" t="s">
        <v>16</v>
      </c>
      <c r="C118" s="1">
        <v>2018</v>
      </c>
      <c r="D118" s="1">
        <v>0</v>
      </c>
      <c r="E118" s="2">
        <v>2986530</v>
      </c>
      <c r="F118" s="4">
        <v>79814</v>
      </c>
      <c r="G118" s="5">
        <v>0.59</v>
      </c>
      <c r="I118">
        <v>39.5</v>
      </c>
    </row>
    <row r="119" spans="1:17" x14ac:dyDescent="0.25">
      <c r="A119" s="1" t="s">
        <v>29</v>
      </c>
      <c r="B119" s="1" t="s">
        <v>8</v>
      </c>
      <c r="C119" s="1">
        <v>2010</v>
      </c>
      <c r="D119" s="1">
        <v>3</v>
      </c>
      <c r="E119" s="2">
        <v>990722</v>
      </c>
      <c r="F119" s="2">
        <v>1348</v>
      </c>
      <c r="G119" s="1">
        <f>(19+16)/125</f>
        <v>0.28000000000000003</v>
      </c>
      <c r="H119" s="5">
        <v>0.27</v>
      </c>
      <c r="I119" s="5">
        <v>33.799999999999997</v>
      </c>
      <c r="J119" s="5">
        <v>12.2</v>
      </c>
      <c r="K119" s="5">
        <v>30.4</v>
      </c>
      <c r="L119">
        <f>14.8+6.1</f>
        <v>20.9</v>
      </c>
      <c r="M119">
        <f>14.8+6.2</f>
        <v>21</v>
      </c>
      <c r="N119">
        <f>4.9+4.7+4.6+5.5</f>
        <v>19.700000000000003</v>
      </c>
      <c r="O119">
        <f>5.1+5.7+4.9+5.5</f>
        <v>21.200000000000003</v>
      </c>
      <c r="P119">
        <f>4.8+9.4+10.8+14.7</f>
        <v>39.700000000000003</v>
      </c>
      <c r="Q119">
        <f>7+3.4+2.7+3.4</f>
        <v>16.5</v>
      </c>
    </row>
    <row r="120" spans="1:17" x14ac:dyDescent="0.25">
      <c r="A120" s="1" t="s">
        <v>29</v>
      </c>
      <c r="B120" s="1" t="s">
        <v>9</v>
      </c>
      <c r="C120" s="1">
        <v>2011</v>
      </c>
      <c r="D120" s="1">
        <v>3</v>
      </c>
      <c r="E120" s="2">
        <v>997221</v>
      </c>
      <c r="H120" s="5">
        <v>0.28000000000000003</v>
      </c>
      <c r="J120">
        <v>10.3</v>
      </c>
      <c r="K120" s="5">
        <v>32.1</v>
      </c>
      <c r="L120">
        <f>15.3+5.7</f>
        <v>21</v>
      </c>
      <c r="M120">
        <f>13.9+5.8</f>
        <v>19.7</v>
      </c>
      <c r="N120">
        <f>4.7+4.3+4.7+5.8</f>
        <v>19.5</v>
      </c>
      <c r="O120">
        <f>5.3+5.4+5.4+5</f>
        <v>21.1</v>
      </c>
      <c r="P120">
        <f>4.3+8.8+12.2+12.6</f>
        <v>37.9</v>
      </c>
      <c r="Q120">
        <f>7.3+3.4+2.1+3.1</f>
        <v>15.899999999999999</v>
      </c>
    </row>
    <row r="121" spans="1:17" x14ac:dyDescent="0.25">
      <c r="A121" s="1" t="s">
        <v>29</v>
      </c>
      <c r="B121" s="1" t="s">
        <v>10</v>
      </c>
      <c r="C121" s="1">
        <v>2012</v>
      </c>
      <c r="D121" s="1">
        <v>3</v>
      </c>
      <c r="E121" s="2">
        <v>1003754</v>
      </c>
      <c r="F121" s="3">
        <f>E121*0.03</f>
        <v>30112.62</v>
      </c>
      <c r="G121" s="1">
        <f>(27+22)/148</f>
        <v>0.33108108108108109</v>
      </c>
      <c r="H121" s="5">
        <v>0.26</v>
      </c>
      <c r="I121" s="5">
        <v>0.42</v>
      </c>
      <c r="J121" s="5">
        <v>7.2</v>
      </c>
      <c r="K121" s="5">
        <v>32.299999999999997</v>
      </c>
      <c r="L121">
        <f>14.6+6.1</f>
        <v>20.7</v>
      </c>
      <c r="M121">
        <f>13.6+6.3</f>
        <v>19.899999999999999</v>
      </c>
      <c r="N121">
        <f>4.5+4.5+4.8+5.2</f>
        <v>19</v>
      </c>
      <c r="O121">
        <f>5.3+6+5.4+4.3</f>
        <v>21.000000000000004</v>
      </c>
      <c r="P121">
        <f>4.8+8.3+11.1+12.7</f>
        <v>36.900000000000006</v>
      </c>
      <c r="Q121">
        <f>8.4+3.6+2.7+3.5</f>
        <v>18.2</v>
      </c>
    </row>
    <row r="122" spans="1:17" x14ac:dyDescent="0.25">
      <c r="A122" s="1" t="s">
        <v>29</v>
      </c>
      <c r="B122" s="1" t="s">
        <v>11</v>
      </c>
      <c r="C122" s="1">
        <v>2013</v>
      </c>
      <c r="D122" s="1">
        <v>3</v>
      </c>
      <c r="E122" s="2">
        <v>1013564</v>
      </c>
      <c r="F122" s="3">
        <f>E122*0.03</f>
        <v>30406.92</v>
      </c>
      <c r="H122" s="5">
        <v>0.28999999999999998</v>
      </c>
      <c r="J122">
        <v>7.3</v>
      </c>
      <c r="K122" s="5">
        <v>30.6</v>
      </c>
      <c r="L122">
        <f>15.3+6.7</f>
        <v>22</v>
      </c>
      <c r="M122">
        <f>14.1+6.5</f>
        <v>20.6</v>
      </c>
      <c r="N122">
        <f>5+3.8+4.2+5.3</f>
        <v>18.3</v>
      </c>
      <c r="O122">
        <f>4.7+4.6+4.3+4.7</f>
        <v>18.3</v>
      </c>
      <c r="P122">
        <f>4.7+8.9+11.6+13.1</f>
        <v>38.300000000000004</v>
      </c>
      <c r="Q122">
        <f>8.9+3.9+3.2+4.4</f>
        <v>20.399999999999999</v>
      </c>
    </row>
    <row r="123" spans="1:17" x14ac:dyDescent="0.25">
      <c r="A123" s="1" t="s">
        <v>29</v>
      </c>
      <c r="B123" s="1" t="s">
        <v>12</v>
      </c>
      <c r="C123" s="1">
        <v>2014</v>
      </c>
      <c r="D123" s="1">
        <v>3</v>
      </c>
      <c r="E123" s="2">
        <v>1021891</v>
      </c>
      <c r="F123" s="3">
        <f>E123*0.02</f>
        <v>20437.82</v>
      </c>
      <c r="G123" s="5">
        <v>0.62</v>
      </c>
      <c r="H123" s="5">
        <v>0.26</v>
      </c>
      <c r="I123" s="5">
        <v>40</v>
      </c>
      <c r="J123" s="5">
        <v>7.1</v>
      </c>
      <c r="K123" s="5">
        <v>31.7</v>
      </c>
      <c r="L123">
        <f>14.9+6.4</f>
        <v>21.3</v>
      </c>
      <c r="M123">
        <f>13.9+6.7</f>
        <v>20.6</v>
      </c>
      <c r="N123">
        <f>4.5+3.8+4.1+4.7</f>
        <v>17.100000000000001</v>
      </c>
      <c r="O123">
        <f>5+4.9+4.6+5.3</f>
        <v>19.8</v>
      </c>
      <c r="P123">
        <f>4.8+8.7+11.2+13.2</f>
        <v>37.9</v>
      </c>
      <c r="Q123">
        <f>8.1+4+3.6+5.2</f>
        <v>20.9</v>
      </c>
    </row>
    <row r="124" spans="1:17" x14ac:dyDescent="0.25">
      <c r="A124" s="1" t="s">
        <v>29</v>
      </c>
      <c r="B124" s="1" t="s">
        <v>13</v>
      </c>
      <c r="C124" s="1">
        <v>2015</v>
      </c>
      <c r="D124" s="1">
        <v>3</v>
      </c>
      <c r="E124" s="2">
        <v>1030503</v>
      </c>
      <c r="F124" s="3">
        <f>E124*0.03</f>
        <v>30915.09</v>
      </c>
      <c r="G124" s="5">
        <v>0.64</v>
      </c>
      <c r="H124" s="5">
        <v>0.28999999999999998</v>
      </c>
      <c r="J124">
        <v>7.8</v>
      </c>
      <c r="K124" s="5">
        <v>32.299999999999997</v>
      </c>
      <c r="L124">
        <f>14.3+6.8</f>
        <v>21.1</v>
      </c>
      <c r="M124">
        <f>14.4+7.1</f>
        <v>21.5</v>
      </c>
      <c r="N124">
        <f>4.3+3.6+3.8+4.5</f>
        <v>16.2</v>
      </c>
      <c r="O124">
        <f>4.3+5.2+5.1+4.5</f>
        <v>19.100000000000001</v>
      </c>
      <c r="P124">
        <f>4.1+7.6+11.4+13.7</f>
        <v>36.799999999999997</v>
      </c>
      <c r="Q124">
        <f>9.5+4.1+4.2+5.4</f>
        <v>23.200000000000003</v>
      </c>
    </row>
    <row r="125" spans="1:17" x14ac:dyDescent="0.25">
      <c r="A125" s="1" t="s">
        <v>29</v>
      </c>
      <c r="B125" s="1" t="s">
        <v>14</v>
      </c>
      <c r="C125" s="1">
        <v>2016</v>
      </c>
      <c r="D125" s="1">
        <v>2</v>
      </c>
      <c r="E125" s="2">
        <v>1040863</v>
      </c>
      <c r="F125" s="3">
        <f>E125*0.03</f>
        <v>31225.89</v>
      </c>
      <c r="G125" s="5">
        <v>0.49</v>
      </c>
      <c r="H125" s="5">
        <v>0.24</v>
      </c>
      <c r="I125" s="5">
        <v>0.36</v>
      </c>
      <c r="J125" s="5">
        <v>7.6</v>
      </c>
      <c r="K125" s="5">
        <v>30.5</v>
      </c>
      <c r="L125">
        <f>14.4+6.8</f>
        <v>21.2</v>
      </c>
      <c r="M125">
        <f>15.2+6.7</f>
        <v>21.9</v>
      </c>
      <c r="N125">
        <f>4+3.6+3.4+3.9</f>
        <v>14.9</v>
      </c>
      <c r="O125">
        <f>4.3+4.7+4.7+5.5</f>
        <v>19.2</v>
      </c>
      <c r="P125">
        <f>4.3+8.4+11.2+14.9</f>
        <v>38.799999999999997</v>
      </c>
      <c r="Q125">
        <f>8.5+5.8+4.1+4.6</f>
        <v>23</v>
      </c>
    </row>
    <row r="126" spans="1:17" x14ac:dyDescent="0.25">
      <c r="A126" s="1" t="s">
        <v>29</v>
      </c>
      <c r="B126" s="1" t="s">
        <v>15</v>
      </c>
      <c r="C126" s="1">
        <v>2017</v>
      </c>
      <c r="D126" s="1">
        <v>2</v>
      </c>
      <c r="E126" s="2">
        <v>1053090</v>
      </c>
      <c r="F126" s="3">
        <v>24000</v>
      </c>
      <c r="G126" s="5">
        <v>0.61</v>
      </c>
      <c r="J126">
        <v>6.7</v>
      </c>
      <c r="K126" s="5">
        <v>30.8</v>
      </c>
      <c r="L126">
        <f>14.1+6.9</f>
        <v>21</v>
      </c>
      <c r="M126">
        <f>15.5+7.2</f>
        <v>22.7</v>
      </c>
      <c r="N126">
        <f>4.6+2.8+3.4+4.4</f>
        <v>15.2</v>
      </c>
      <c r="O126">
        <f>4+5.1+3.8+4.5</f>
        <v>17.399999999999999</v>
      </c>
      <c r="P126">
        <f>4.1+8.2+10.7+13.9</f>
        <v>36.9</v>
      </c>
      <c r="Q126">
        <f>9.8+6.3+5.4+4.1</f>
        <v>25.6</v>
      </c>
    </row>
    <row r="127" spans="1:17" x14ac:dyDescent="0.25">
      <c r="A127" s="1" t="s">
        <v>29</v>
      </c>
      <c r="B127" s="1" t="s">
        <v>16</v>
      </c>
      <c r="C127" s="1">
        <v>2018</v>
      </c>
      <c r="D127" s="1">
        <v>2</v>
      </c>
      <c r="E127" s="2">
        <v>1062305</v>
      </c>
      <c r="F127" s="4">
        <v>24153</v>
      </c>
      <c r="G127" s="5">
        <v>0.72</v>
      </c>
      <c r="I127">
        <v>50.3</v>
      </c>
    </row>
    <row r="128" spans="1:17" x14ac:dyDescent="0.25">
      <c r="A128" s="1" t="s">
        <v>30</v>
      </c>
      <c r="B128" s="1" t="s">
        <v>8</v>
      </c>
      <c r="C128" s="1">
        <v>2010</v>
      </c>
      <c r="D128" s="1">
        <v>0</v>
      </c>
      <c r="E128" s="2">
        <v>1829536</v>
      </c>
      <c r="F128" s="2">
        <v>2356</v>
      </c>
      <c r="G128" s="1">
        <f>(18+16)/113</f>
        <v>0.30088495575221241</v>
      </c>
      <c r="H128" s="5">
        <v>0.35</v>
      </c>
      <c r="I128" s="5">
        <v>25.7</v>
      </c>
      <c r="J128">
        <f>6.3+31.9</f>
        <v>38.199999999999996</v>
      </c>
      <c r="K128">
        <v>32</v>
      </c>
      <c r="L128">
        <f>13.6+7.3</f>
        <v>20.9</v>
      </c>
      <c r="M128">
        <f>12.8+5.4</f>
        <v>18.200000000000003</v>
      </c>
      <c r="N128">
        <f>3.7+4.2+4+5.1</f>
        <v>17</v>
      </c>
      <c r="O128">
        <f>4.4+5.4+5.1+5.5</f>
        <v>20.399999999999999</v>
      </c>
      <c r="P128">
        <f>4.7+9.6+12.4+15</f>
        <v>41.7</v>
      </c>
      <c r="Q128">
        <f>8+4.5+2.8+2.7</f>
        <v>18</v>
      </c>
    </row>
    <row r="129" spans="1:17" x14ac:dyDescent="0.25">
      <c r="A129" s="1" t="s">
        <v>30</v>
      </c>
      <c r="B129" s="1" t="s">
        <v>9</v>
      </c>
      <c r="C129" s="1">
        <v>2011</v>
      </c>
      <c r="D129" s="1">
        <v>0</v>
      </c>
      <c r="E129" s="2">
        <v>1840538</v>
      </c>
      <c r="H129" s="5">
        <v>0.34</v>
      </c>
      <c r="J129">
        <f>5.7+30.6</f>
        <v>36.300000000000004</v>
      </c>
      <c r="K129">
        <v>32.4</v>
      </c>
      <c r="L129">
        <f>13.3+7.6</f>
        <v>20.9</v>
      </c>
      <c r="M129">
        <f>12.8+5.2</f>
        <v>18</v>
      </c>
      <c r="N129">
        <f>3.9+3.3+3.9+4.7</f>
        <v>15.8</v>
      </c>
      <c r="O129">
        <f>4.4+5.3+4.4+4.6</f>
        <v>18.7</v>
      </c>
      <c r="P129">
        <f>4.6+9.2+12.1+14.5</f>
        <v>40.4</v>
      </c>
      <c r="Q129">
        <f>9.1+3.9+3+3.6</f>
        <v>19.600000000000001</v>
      </c>
    </row>
    <row r="130" spans="1:17" x14ac:dyDescent="0.25">
      <c r="A130" s="1" t="s">
        <v>30</v>
      </c>
      <c r="B130" s="1" t="s">
        <v>10</v>
      </c>
      <c r="C130" s="1">
        <v>2012</v>
      </c>
      <c r="D130" s="1">
        <v>0</v>
      </c>
      <c r="E130" s="2">
        <v>1853323</v>
      </c>
      <c r="F130" s="3">
        <f>E130*0.03</f>
        <v>55599.689999999995</v>
      </c>
      <c r="G130" s="1">
        <f>(22+20)/116</f>
        <v>0.36206896551724138</v>
      </c>
      <c r="H130" s="5">
        <v>0.35</v>
      </c>
      <c r="I130" s="5">
        <v>0.38</v>
      </c>
      <c r="J130">
        <f>6.8+32.2</f>
        <v>39</v>
      </c>
      <c r="K130">
        <v>31.2</v>
      </c>
      <c r="L130">
        <f>13.3+7.5</f>
        <v>20.8</v>
      </c>
      <c r="M130">
        <f>13+5.8</f>
        <v>18.8</v>
      </c>
      <c r="N130">
        <f>3.3+3.4+3.7+4.1</f>
        <v>14.499999999999998</v>
      </c>
      <c r="O130">
        <f>4+5+4.6+5.2</f>
        <v>18.8</v>
      </c>
      <c r="P130">
        <f>4.4+9.7+11.5+14.8</f>
        <v>40.400000000000006</v>
      </c>
      <c r="Q130">
        <f>8.6+4.5+4.2+3.6</f>
        <v>20.900000000000002</v>
      </c>
    </row>
    <row r="131" spans="1:17" x14ac:dyDescent="0.25">
      <c r="A131" s="1" t="s">
        <v>30</v>
      </c>
      <c r="B131" s="1" t="s">
        <v>11</v>
      </c>
      <c r="C131" s="1">
        <v>2013</v>
      </c>
      <c r="D131" s="1">
        <v>0</v>
      </c>
      <c r="E131" s="2">
        <v>1865414</v>
      </c>
      <c r="F131" s="3">
        <f>E131*0.02</f>
        <v>37308.28</v>
      </c>
      <c r="H131" s="5">
        <v>0.37</v>
      </c>
      <c r="J131">
        <f>6.7+33.3</f>
        <v>40</v>
      </c>
      <c r="K131">
        <v>30.7</v>
      </c>
      <c r="L131">
        <f>13.4+7.7</f>
        <v>21.1</v>
      </c>
      <c r="M131">
        <f>13.4+6.2</f>
        <v>19.600000000000001</v>
      </c>
      <c r="N131">
        <f>3.5+3.7+3.4+4.4</f>
        <v>15</v>
      </c>
      <c r="O131">
        <f>4.3+3.8+4+4.5</f>
        <v>16.600000000000001</v>
      </c>
      <c r="P131">
        <f>4.5+8.5+12.3+14.3</f>
        <v>39.6</v>
      </c>
      <c r="Q131">
        <f>10+5.4+4.2+4.2</f>
        <v>23.8</v>
      </c>
    </row>
    <row r="132" spans="1:17" x14ac:dyDescent="0.25">
      <c r="A132" s="1" t="s">
        <v>30</v>
      </c>
      <c r="B132" s="1" t="s">
        <v>12</v>
      </c>
      <c r="C132" s="1">
        <v>2014</v>
      </c>
      <c r="D132" s="1">
        <v>0</v>
      </c>
      <c r="E132" s="2">
        <v>1879522</v>
      </c>
      <c r="F132" s="3">
        <f>E132*0.03</f>
        <v>56385.659999999996</v>
      </c>
      <c r="G132" s="5">
        <v>0.6</v>
      </c>
      <c r="H132" s="5">
        <v>0.36</v>
      </c>
      <c r="I132" s="5">
        <v>39</v>
      </c>
      <c r="J132">
        <f>6.5+32.7</f>
        <v>39.200000000000003</v>
      </c>
      <c r="K132">
        <v>31.7</v>
      </c>
      <c r="L132">
        <f>12.3+7.8</f>
        <v>20.100000000000001</v>
      </c>
      <c r="M132">
        <f>13.4+6.1</f>
        <v>19.5</v>
      </c>
      <c r="N132">
        <f>3.3+3.2+3.4+3.8</f>
        <v>13.7</v>
      </c>
      <c r="O132">
        <f>3.9+4.4+4.5+4.4</f>
        <v>17.200000000000003</v>
      </c>
      <c r="P132">
        <f>4.2+9+12.2+14.6</f>
        <v>40</v>
      </c>
      <c r="Q132">
        <f>10.8+5.2+4.6+3.7</f>
        <v>24.3</v>
      </c>
    </row>
    <row r="133" spans="1:17" x14ac:dyDescent="0.25">
      <c r="A133" s="1" t="s">
        <v>30</v>
      </c>
      <c r="B133" s="1" t="s">
        <v>13</v>
      </c>
      <c r="C133" s="1">
        <v>2015</v>
      </c>
      <c r="D133" s="1">
        <v>0</v>
      </c>
      <c r="E133" s="2">
        <v>1891507</v>
      </c>
      <c r="F133" s="3">
        <f>E133*0.03</f>
        <v>56745.21</v>
      </c>
      <c r="G133" s="5">
        <v>0.65</v>
      </c>
      <c r="H133" s="5">
        <v>0.35</v>
      </c>
      <c r="J133">
        <f>7.1+33.5</f>
        <v>40.6</v>
      </c>
      <c r="K133">
        <v>31</v>
      </c>
      <c r="L133">
        <f>13.7+7.7</f>
        <v>21.4</v>
      </c>
      <c r="M133">
        <f>13.3+6.3</f>
        <v>19.600000000000001</v>
      </c>
      <c r="N133">
        <f>3.1+2.8+3.1+3.8</f>
        <v>12.8</v>
      </c>
      <c r="O133">
        <f>3.8+3.9+4.1+4.3</f>
        <v>16.099999999999998</v>
      </c>
      <c r="P133">
        <f>7.8+12.1+3.6+15.9</f>
        <v>39.4</v>
      </c>
      <c r="Q133">
        <f>10.8+5.5+4.9+5.2</f>
        <v>26.400000000000002</v>
      </c>
    </row>
    <row r="134" spans="1:17" x14ac:dyDescent="0.25">
      <c r="A134" s="1" t="s">
        <v>30</v>
      </c>
      <c r="B134" s="1" t="s">
        <v>14</v>
      </c>
      <c r="C134" s="1">
        <v>2016</v>
      </c>
      <c r="D134" s="1">
        <v>0</v>
      </c>
      <c r="E134" s="2">
        <v>1905924</v>
      </c>
      <c r="F134" s="3">
        <f>E134*0.04</f>
        <v>76236.960000000006</v>
      </c>
      <c r="G134" s="5">
        <v>0.56000000000000005</v>
      </c>
      <c r="H134" s="5">
        <v>0.28000000000000003</v>
      </c>
      <c r="I134" s="5">
        <v>0.34</v>
      </c>
      <c r="J134">
        <f>7.1+33.6</f>
        <v>40.700000000000003</v>
      </c>
      <c r="K134">
        <v>30.2</v>
      </c>
      <c r="L134">
        <f>13.3+8</f>
        <v>21.3</v>
      </c>
      <c r="M134">
        <f>13.9+6.8</f>
        <v>20.7</v>
      </c>
      <c r="N134">
        <f>3.3+3+2.6+3.5</f>
        <v>12.4</v>
      </c>
      <c r="O134">
        <f>3.6+4.5+4.4+4.5</f>
        <v>17</v>
      </c>
      <c r="P134">
        <f>4.2+7.6+11.8+15.4</f>
        <v>39</v>
      </c>
      <c r="Q134">
        <f>10.3+5.9+5.2+5</f>
        <v>26.400000000000002</v>
      </c>
    </row>
    <row r="135" spans="1:17" x14ac:dyDescent="0.25">
      <c r="A135" s="1" t="s">
        <v>30</v>
      </c>
      <c r="B135" s="1" t="s">
        <v>15</v>
      </c>
      <c r="C135" s="1">
        <v>2017</v>
      </c>
      <c r="D135" s="1">
        <v>0</v>
      </c>
      <c r="E135" s="2">
        <v>1917575</v>
      </c>
      <c r="F135" s="3">
        <v>55000</v>
      </c>
      <c r="G135" s="5">
        <v>0.66</v>
      </c>
      <c r="J135">
        <f>7+34.8</f>
        <v>41.8</v>
      </c>
      <c r="K135">
        <v>30.7</v>
      </c>
      <c r="L135">
        <f>12.6+7.8</f>
        <v>20.399999999999999</v>
      </c>
      <c r="M135">
        <f>14+6.7</f>
        <v>20.7</v>
      </c>
      <c r="N135">
        <f>3+2.3+2.8+3.4</f>
        <v>11.5</v>
      </c>
      <c r="O135">
        <f>2.8+4.1+4.3+4.4</f>
        <v>15.6</v>
      </c>
      <c r="P135">
        <f>3.6+8.2+12.4+15.8</f>
        <v>40</v>
      </c>
      <c r="Q135">
        <f>11.3+6.3+5.7+4.7</f>
        <v>28</v>
      </c>
    </row>
    <row r="136" spans="1:17" x14ac:dyDescent="0.25">
      <c r="A136" s="1" t="s">
        <v>30</v>
      </c>
      <c r="B136" s="1" t="s">
        <v>16</v>
      </c>
      <c r="C136" s="1">
        <v>2018</v>
      </c>
      <c r="D136" s="1">
        <v>1</v>
      </c>
      <c r="E136" s="2">
        <v>1929268</v>
      </c>
      <c r="F136" s="4">
        <v>55192</v>
      </c>
      <c r="G136" s="5">
        <v>0.65</v>
      </c>
      <c r="I136">
        <v>0.41</v>
      </c>
    </row>
    <row r="137" spans="1:17" x14ac:dyDescent="0.25">
      <c r="A137" s="1" t="s">
        <v>31</v>
      </c>
      <c r="B137" s="1" t="s">
        <v>8</v>
      </c>
      <c r="C137" s="1">
        <v>2010</v>
      </c>
      <c r="D137" s="1">
        <v>0</v>
      </c>
      <c r="E137" s="2">
        <v>674710</v>
      </c>
      <c r="F137" s="2">
        <v>559</v>
      </c>
      <c r="G137" s="1">
        <f>(18+16)/113</f>
        <v>0.30088495575221241</v>
      </c>
      <c r="H137" s="5">
        <v>0.34</v>
      </c>
      <c r="I137" s="5">
        <v>22.2</v>
      </c>
      <c r="J137" s="5">
        <v>14.8</v>
      </c>
      <c r="K137" s="5">
        <v>29.8</v>
      </c>
      <c r="L137">
        <f>14.3+8.9</f>
        <v>23.200000000000003</v>
      </c>
      <c r="M137">
        <f>14+4.1</f>
        <v>18.100000000000001</v>
      </c>
      <c r="N137">
        <f>4.4+4.2+3.8+4.4</f>
        <v>16.800000000000004</v>
      </c>
      <c r="O137">
        <f>4.7+4.5+4.8+3.8</f>
        <v>17.8</v>
      </c>
      <c r="P137">
        <f>4.5+8.6+13.4+16.1</f>
        <v>42.6</v>
      </c>
      <c r="Q137">
        <f>9.1+4.1+3.1+2.8</f>
        <v>19.100000000000001</v>
      </c>
    </row>
    <row r="138" spans="1:17" x14ac:dyDescent="0.25">
      <c r="A138" s="1" t="s">
        <v>31</v>
      </c>
      <c r="B138" s="1" t="s">
        <v>9</v>
      </c>
      <c r="C138" s="1">
        <v>2011</v>
      </c>
      <c r="D138" s="1">
        <v>0</v>
      </c>
      <c r="E138" s="2">
        <v>685136</v>
      </c>
      <c r="H138" s="5">
        <v>0.33</v>
      </c>
      <c r="J138">
        <v>12.9</v>
      </c>
      <c r="K138" s="5">
        <v>31.1</v>
      </c>
      <c r="L138">
        <f>14.7+9.5</f>
        <v>24.2</v>
      </c>
      <c r="M138">
        <f>12.7+3.5</f>
        <v>16.2</v>
      </c>
      <c r="N138">
        <f>4.3+3.4+3.6+4.3</f>
        <v>15.599999999999998</v>
      </c>
      <c r="O138">
        <f>4.1+4+4.4+3.8</f>
        <v>16.3</v>
      </c>
      <c r="P138">
        <f>4.3+8.2+11.3+15.9</f>
        <v>39.700000000000003</v>
      </c>
      <c r="Q138">
        <f>10.2+4.6+4.1+4.2</f>
        <v>23.099999999999998</v>
      </c>
    </row>
    <row r="139" spans="1:17" x14ac:dyDescent="0.25">
      <c r="A139" s="1" t="s">
        <v>31</v>
      </c>
      <c r="B139" s="1" t="s">
        <v>10</v>
      </c>
      <c r="C139" s="1">
        <v>2012</v>
      </c>
      <c r="D139" s="1">
        <v>1</v>
      </c>
      <c r="E139" s="2">
        <v>701116</v>
      </c>
      <c r="F139" s="3">
        <f>E139*0.02</f>
        <v>14022.32</v>
      </c>
      <c r="G139" s="1">
        <f>(22+20)/116</f>
        <v>0.36206896551724138</v>
      </c>
      <c r="H139" s="5">
        <v>0.31</v>
      </c>
      <c r="I139" s="5">
        <v>0.39</v>
      </c>
      <c r="J139" s="5">
        <v>13.5</v>
      </c>
      <c r="K139" s="5">
        <v>30.4</v>
      </c>
      <c r="L139">
        <f>14.2+9.6</f>
        <v>23.799999999999997</v>
      </c>
      <c r="M139">
        <f>13.1+4.3</f>
        <v>17.399999999999999</v>
      </c>
      <c r="N139">
        <f>4+2.7+3.4+3.9</f>
        <v>14</v>
      </c>
      <c r="O139">
        <f>3.5+4+4.1+3.8</f>
        <v>15.399999999999999</v>
      </c>
      <c r="P139">
        <f>4.1+8.6+11.3+15.3</f>
        <v>39.299999999999997</v>
      </c>
      <c r="Q139">
        <f>10.2+4.7+4.5+6.4</f>
        <v>25.799999999999997</v>
      </c>
    </row>
    <row r="140" spans="1:17" x14ac:dyDescent="0.25">
      <c r="A140" s="1" t="s">
        <v>31</v>
      </c>
      <c r="B140" s="1" t="s">
        <v>11</v>
      </c>
      <c r="C140" s="1">
        <v>2013</v>
      </c>
      <c r="D140" s="1">
        <v>1</v>
      </c>
      <c r="E140" s="2">
        <v>721999</v>
      </c>
      <c r="F140" s="3">
        <f>E140*0.01</f>
        <v>7219.99</v>
      </c>
      <c r="H140" s="5">
        <v>0.31</v>
      </c>
      <c r="J140">
        <v>14.8</v>
      </c>
      <c r="K140" s="5">
        <v>30.1</v>
      </c>
      <c r="L140">
        <f>13.8+9.7</f>
        <v>23.5</v>
      </c>
      <c r="M140">
        <f>13.4+4.5</f>
        <v>17.899999999999999</v>
      </c>
      <c r="N140">
        <f>4.2+2.5+2.9+3.2</f>
        <v>12.8</v>
      </c>
      <c r="O140">
        <f>4.3+4.1+3.6+4</f>
        <v>15.999999999999998</v>
      </c>
      <c r="P140">
        <f>3.5+7.7+10.9+14.9</f>
        <v>37</v>
      </c>
      <c r="Q140">
        <f>10.9+6+5.8+6</f>
        <v>28.7</v>
      </c>
    </row>
    <row r="141" spans="1:17" x14ac:dyDescent="0.25">
      <c r="A141" s="1" t="s">
        <v>31</v>
      </c>
      <c r="B141" s="1" t="s">
        <v>12</v>
      </c>
      <c r="C141" s="1">
        <v>2014</v>
      </c>
      <c r="D141" s="1">
        <v>1</v>
      </c>
      <c r="E141" s="2">
        <v>737382</v>
      </c>
      <c r="F141" s="3">
        <f>E141*0.03</f>
        <v>22121.46</v>
      </c>
      <c r="G141" s="5">
        <v>0.56999999999999995</v>
      </c>
      <c r="H141" s="5">
        <v>0.31</v>
      </c>
      <c r="I141" s="5">
        <v>38</v>
      </c>
      <c r="J141" s="5">
        <v>14.4</v>
      </c>
      <c r="K141" s="5">
        <v>31</v>
      </c>
      <c r="L141">
        <f>14.2+9.9</f>
        <v>24.1</v>
      </c>
      <c r="M141">
        <f>13.1+4.5</f>
        <v>17.600000000000001</v>
      </c>
      <c r="N141">
        <f>4+2.9+2.9+2.9</f>
        <v>12.700000000000001</v>
      </c>
      <c r="O141">
        <f>3.4+3.3+3.2+3.7</f>
        <v>13.599999999999998</v>
      </c>
      <c r="P141">
        <f>4.2+6.7+11.7+16.1</f>
        <v>38.700000000000003</v>
      </c>
      <c r="Q141">
        <f>10.5+7+5.8+6.9</f>
        <v>30.200000000000003</v>
      </c>
    </row>
    <row r="142" spans="1:17" x14ac:dyDescent="0.25">
      <c r="A142" s="1" t="s">
        <v>31</v>
      </c>
      <c r="B142" s="1" t="s">
        <v>13</v>
      </c>
      <c r="C142" s="1">
        <v>2015</v>
      </c>
      <c r="D142" s="1">
        <v>1</v>
      </c>
      <c r="E142" s="2">
        <v>754022</v>
      </c>
      <c r="F142" s="3">
        <f>E142*0.03</f>
        <v>22620.66</v>
      </c>
      <c r="G142" s="5">
        <v>0.6</v>
      </c>
      <c r="H142" s="5">
        <v>0.32</v>
      </c>
      <c r="J142">
        <v>14.6</v>
      </c>
      <c r="K142" s="5">
        <v>29.1</v>
      </c>
      <c r="L142">
        <f>14+9.8</f>
        <v>23.8</v>
      </c>
      <c r="M142">
        <f>14.6+4.4</f>
        <v>19</v>
      </c>
      <c r="N142">
        <f>3.8+2.7+2.7+3.2</f>
        <v>12.399999999999999</v>
      </c>
      <c r="O142">
        <f>2.8+3.6+3.1+4.8</f>
        <v>14.3</v>
      </c>
      <c r="P142">
        <f>3.5+6.4+11.7+15.8</f>
        <v>37.400000000000006</v>
      </c>
      <c r="Q142">
        <f>11.4+7.4+6.4+6.1</f>
        <v>31.300000000000004</v>
      </c>
    </row>
    <row r="143" spans="1:17" x14ac:dyDescent="0.25">
      <c r="A143" s="1" t="s">
        <v>31</v>
      </c>
      <c r="B143" s="1" t="s">
        <v>14</v>
      </c>
      <c r="C143" s="1">
        <v>2016</v>
      </c>
      <c r="D143" s="1">
        <v>1</v>
      </c>
      <c r="E143" s="2">
        <v>754353</v>
      </c>
      <c r="F143" s="3">
        <f>E143*0.03</f>
        <v>22630.59</v>
      </c>
      <c r="G143" s="5">
        <v>0.47</v>
      </c>
      <c r="H143" s="5">
        <v>0.31</v>
      </c>
      <c r="I143" s="5">
        <v>0.27</v>
      </c>
      <c r="J143" s="5">
        <v>14.7</v>
      </c>
      <c r="K143" s="5">
        <v>29.6</v>
      </c>
      <c r="L143">
        <f>13.7+10.5</f>
        <v>24.2</v>
      </c>
      <c r="M143">
        <f>13.8+4.7</f>
        <v>18.5</v>
      </c>
      <c r="N143">
        <f>4.1+2.4+2.6+2.2</f>
        <v>11.3</v>
      </c>
      <c r="O143">
        <f>3+3.1+3.1+3.5</f>
        <v>12.7</v>
      </c>
      <c r="P143">
        <f>3.8+7.2+11.2+14.8</f>
        <v>37</v>
      </c>
      <c r="Q143">
        <f>12.9+7.5+6.7+6.3</f>
        <v>33.4</v>
      </c>
    </row>
    <row r="144" spans="1:17" x14ac:dyDescent="0.25">
      <c r="A144" s="1" t="s">
        <v>31</v>
      </c>
      <c r="B144" s="1" t="s">
        <v>15</v>
      </c>
      <c r="C144" s="1">
        <v>2017</v>
      </c>
      <c r="D144" s="1">
        <v>1</v>
      </c>
      <c r="E144" s="2">
        <v>755176</v>
      </c>
      <c r="F144" s="3">
        <v>16000</v>
      </c>
      <c r="G144" s="5">
        <v>0.57999999999999996</v>
      </c>
      <c r="J144">
        <v>15.8</v>
      </c>
      <c r="K144" s="5">
        <v>29.7</v>
      </c>
      <c r="L144">
        <f>13.6+10</f>
        <v>23.6</v>
      </c>
      <c r="M144">
        <f>15+4.7</f>
        <v>19.7</v>
      </c>
      <c r="N144">
        <f>4+2.6+2.2+2.8</f>
        <v>11.600000000000001</v>
      </c>
      <c r="O144">
        <f>2.8+3.6+3.2+3.4</f>
        <v>13.000000000000002</v>
      </c>
      <c r="P144">
        <f>3.1+7.2+11.8+17.2</f>
        <v>39.299999999999997</v>
      </c>
      <c r="Q144">
        <f>11.8+7.6+6.3+5.7</f>
        <v>31.4</v>
      </c>
    </row>
    <row r="145" spans="1:17" x14ac:dyDescent="0.25">
      <c r="A145" s="1" t="s">
        <v>31</v>
      </c>
      <c r="B145" s="1" t="s">
        <v>16</v>
      </c>
      <c r="C145" s="1">
        <v>2018</v>
      </c>
      <c r="D145" s="1">
        <v>1</v>
      </c>
      <c r="E145" s="2">
        <v>760077</v>
      </c>
      <c r="F145" s="4">
        <v>15697</v>
      </c>
      <c r="G145" s="5">
        <v>0.72</v>
      </c>
      <c r="I145">
        <v>44.5</v>
      </c>
    </row>
    <row r="146" spans="1:17" x14ac:dyDescent="0.25">
      <c r="A146" s="1" t="s">
        <v>32</v>
      </c>
      <c r="B146" s="1" t="s">
        <v>8</v>
      </c>
      <c r="C146" s="1">
        <v>2010</v>
      </c>
      <c r="D146" s="1">
        <v>1</v>
      </c>
      <c r="E146" s="2">
        <v>11539327</v>
      </c>
      <c r="F146" s="2">
        <v>19684</v>
      </c>
      <c r="G146" s="1">
        <f>(56+62)/353</f>
        <v>0.33427762039660058</v>
      </c>
      <c r="H146" s="5">
        <v>0.32</v>
      </c>
      <c r="I146" s="5">
        <v>46.7</v>
      </c>
      <c r="J146">
        <f>8.3+30.2+36.7</f>
        <v>75.2</v>
      </c>
      <c r="K146">
        <v>34.799999999999997</v>
      </c>
      <c r="L146">
        <f>11.1+5.6</f>
        <v>16.7</v>
      </c>
      <c r="M146">
        <f>11.5+6.6</f>
        <v>18.100000000000001</v>
      </c>
      <c r="N146">
        <f>5.7+4.2+4.5+4.9</f>
        <v>19.3</v>
      </c>
      <c r="O146">
        <f>4.7+5.2+4.9+4.9</f>
        <v>19.700000000000003</v>
      </c>
      <c r="P146">
        <f>4.5+8.9+11.2+14</f>
        <v>38.6</v>
      </c>
      <c r="Q146">
        <f>8.1+4.4+3.8+3.5</f>
        <v>19.8</v>
      </c>
    </row>
    <row r="147" spans="1:17" x14ac:dyDescent="0.25">
      <c r="A147" s="1" t="s">
        <v>32</v>
      </c>
      <c r="B147" s="1" t="s">
        <v>9</v>
      </c>
      <c r="C147" s="1">
        <v>2011</v>
      </c>
      <c r="D147" s="1">
        <v>1</v>
      </c>
      <c r="E147" s="2">
        <v>11543463</v>
      </c>
      <c r="F147" s="2"/>
      <c r="H147" s="5">
        <v>0.32</v>
      </c>
      <c r="J147">
        <f>9.2+29.4+36.3</f>
        <v>74.899999999999991</v>
      </c>
      <c r="K147">
        <v>35.700000000000003</v>
      </c>
      <c r="L147">
        <f>11.8+5.5</f>
        <v>17.3</v>
      </c>
      <c r="M147">
        <f>10.7+6.4</f>
        <v>17.100000000000001</v>
      </c>
      <c r="N147">
        <f>6+4.4+4.6+4.7</f>
        <v>19.7</v>
      </c>
      <c r="O147">
        <f>4.7+5.1+4.7+4.7</f>
        <v>19.2</v>
      </c>
      <c r="P147">
        <f>4.2+8.4+11.3+12.9</f>
        <v>36.800000000000004</v>
      </c>
      <c r="Q147">
        <f>7.7+4.2+3.7+3.2</f>
        <v>18.8</v>
      </c>
    </row>
    <row r="148" spans="1:17" x14ac:dyDescent="0.25">
      <c r="A148" s="1" t="s">
        <v>32</v>
      </c>
      <c r="B148" s="1" t="s">
        <v>10</v>
      </c>
      <c r="C148" s="1">
        <v>2012</v>
      </c>
      <c r="D148" s="1">
        <v>2</v>
      </c>
      <c r="E148" s="2">
        <v>11548369</v>
      </c>
      <c r="F148" s="3">
        <f>E148*0.04</f>
        <v>461934.76</v>
      </c>
      <c r="G148" s="1">
        <f>(51+55)/326</f>
        <v>0.32515337423312884</v>
      </c>
      <c r="H148" s="5">
        <v>0.31</v>
      </c>
      <c r="I148" s="5">
        <v>0.51</v>
      </c>
      <c r="J148">
        <f>2.4+26.6+42.5</f>
        <v>71.5</v>
      </c>
      <c r="K148">
        <v>35.4</v>
      </c>
      <c r="L148">
        <f>11.9+5.8</f>
        <v>17.7</v>
      </c>
      <c r="M148">
        <f>11.3+6.4</f>
        <v>17.700000000000003</v>
      </c>
      <c r="N148">
        <f>5.8+4.2+4.6+4.8</f>
        <v>19.399999999999999</v>
      </c>
      <c r="O148">
        <f>4.4+4.8+4.6+4.7</f>
        <v>18.5</v>
      </c>
      <c r="P148">
        <f>4.2+8.3+11.4+12.8</f>
        <v>36.700000000000003</v>
      </c>
      <c r="Q148">
        <f>8.3+4.4+3.9+3.8</f>
        <v>20.400000000000002</v>
      </c>
    </row>
    <row r="149" spans="1:17" x14ac:dyDescent="0.25">
      <c r="A149" s="1" t="s">
        <v>32</v>
      </c>
      <c r="B149" s="1" t="s">
        <v>11</v>
      </c>
      <c r="C149" s="1">
        <v>2013</v>
      </c>
      <c r="D149" s="1">
        <v>2</v>
      </c>
      <c r="E149" s="2">
        <v>11576576</v>
      </c>
      <c r="F149" s="3">
        <f>E149*0.03</f>
        <v>347297.27999999997</v>
      </c>
      <c r="H149" s="5">
        <v>0.32</v>
      </c>
      <c r="J149">
        <f>2.3+26.9+42.9</f>
        <v>72.099999999999994</v>
      </c>
      <c r="K149">
        <v>35</v>
      </c>
      <c r="L149">
        <f>11.7+6</f>
        <v>17.7</v>
      </c>
      <c r="M149">
        <f>11.8+7</f>
        <v>18.8</v>
      </c>
      <c r="N149">
        <f>5.4+3.7+4.2+4.4</f>
        <v>17.700000000000003</v>
      </c>
      <c r="O149">
        <f>4.5+4.7+4.5+4.6</f>
        <v>18.299999999999997</v>
      </c>
      <c r="P149">
        <f>4+8.3+10.9+13.6</f>
        <v>36.800000000000004</v>
      </c>
      <c r="Q149">
        <f>8.8+4.7+4.6+4.3</f>
        <v>22.400000000000002</v>
      </c>
    </row>
    <row r="150" spans="1:17" x14ac:dyDescent="0.25">
      <c r="A150" s="1" t="s">
        <v>32</v>
      </c>
      <c r="B150" s="1" t="s">
        <v>12</v>
      </c>
      <c r="C150" s="1">
        <v>2014</v>
      </c>
      <c r="D150" s="1">
        <v>2</v>
      </c>
      <c r="E150" s="2">
        <v>11602973</v>
      </c>
      <c r="F150" s="3">
        <f>E150*0.03</f>
        <v>348089.19</v>
      </c>
      <c r="G150" s="5">
        <v>0.6</v>
      </c>
      <c r="H150" s="5">
        <v>0.31</v>
      </c>
      <c r="I150" s="5">
        <v>33</v>
      </c>
      <c r="J150">
        <f>2.3+27+42.8</f>
        <v>72.099999999999994</v>
      </c>
      <c r="K150">
        <v>35.4</v>
      </c>
      <c r="L150">
        <f>11.5+6.1</f>
        <v>17.600000000000001</v>
      </c>
      <c r="M150">
        <f>12.1+7.1</f>
        <v>19.2</v>
      </c>
      <c r="N150">
        <f>5.2+3.6+4+4.4</f>
        <v>17.200000000000003</v>
      </c>
      <c r="O150">
        <f>4.4+4.5+4.5+4.4</f>
        <v>17.8</v>
      </c>
      <c r="P150">
        <f>4.2+8.3+10.9+13.4</f>
        <v>36.799999999999997</v>
      </c>
      <c r="Q150">
        <f>9.2+4.9+4.9+4.4</f>
        <v>23.4</v>
      </c>
    </row>
    <row r="151" spans="1:17" x14ac:dyDescent="0.25">
      <c r="A151" s="1" t="s">
        <v>32</v>
      </c>
      <c r="B151" s="1" t="s">
        <v>13</v>
      </c>
      <c r="C151" s="1">
        <v>2015</v>
      </c>
      <c r="D151" s="1">
        <v>2</v>
      </c>
      <c r="E151" s="2">
        <v>11617850</v>
      </c>
      <c r="F151" s="3">
        <f>E151*0.04</f>
        <v>464714</v>
      </c>
      <c r="G151" s="5">
        <v>0.69</v>
      </c>
      <c r="H151" s="5">
        <v>0.32</v>
      </c>
      <c r="J151">
        <f>2.3+27+42.9</f>
        <v>72.2</v>
      </c>
      <c r="K151">
        <v>35.200000000000003</v>
      </c>
      <c r="L151">
        <f>11.5+6.2</f>
        <v>17.7</v>
      </c>
      <c r="M151">
        <f>12+7.2</f>
        <v>19.2</v>
      </c>
      <c r="N151">
        <f>4.7+3.3+3.7+4.1</f>
        <v>15.799999999999999</v>
      </c>
      <c r="O151">
        <f>4.2+4.6+4.3+4.4</f>
        <v>17.5</v>
      </c>
      <c r="P151">
        <f>4.1+7.9+10.7+14</f>
        <v>36.700000000000003</v>
      </c>
      <c r="Q151">
        <f>9.5+5.5+5.3+5</f>
        <v>25.3</v>
      </c>
    </row>
    <row r="152" spans="1:17" x14ac:dyDescent="0.25">
      <c r="A152" s="1" t="s">
        <v>32</v>
      </c>
      <c r="B152" s="1" t="s">
        <v>14</v>
      </c>
      <c r="C152" s="1">
        <v>2016</v>
      </c>
      <c r="D152" s="1">
        <v>1</v>
      </c>
      <c r="E152" s="2">
        <v>11635003</v>
      </c>
      <c r="F152" s="3">
        <f>E152*0.04</f>
        <v>465400.12</v>
      </c>
      <c r="G152" s="5">
        <v>0.56999999999999995</v>
      </c>
      <c r="H152" s="5">
        <v>0.28000000000000003</v>
      </c>
      <c r="I152" s="5">
        <v>0.44</v>
      </c>
      <c r="J152">
        <f>2.3+27.3+42.7</f>
        <v>72.300000000000011</v>
      </c>
      <c r="K152">
        <v>34.799999999999997</v>
      </c>
      <c r="L152">
        <f>11.4+6.4</f>
        <v>17.8</v>
      </c>
      <c r="M152">
        <f>12.7+7.6</f>
        <v>20.299999999999997</v>
      </c>
      <c r="N152">
        <f>4.6+3.3+3.5+3.9</f>
        <v>15.299999999999999</v>
      </c>
      <c r="O152">
        <f>3.9+4.2+4.2+4.3</f>
        <v>16.600000000000001</v>
      </c>
      <c r="P152">
        <f>3.8+8.1+10.8+14.1</f>
        <v>36.799999999999997</v>
      </c>
      <c r="Q152">
        <f>9.6+6.1+5.5+5.5</f>
        <v>26.7</v>
      </c>
    </row>
    <row r="153" spans="1:17" x14ac:dyDescent="0.25">
      <c r="A153" s="1" t="s">
        <v>32</v>
      </c>
      <c r="B153" s="1" t="s">
        <v>15</v>
      </c>
      <c r="C153" s="1">
        <v>2017</v>
      </c>
      <c r="D153" s="1">
        <v>1</v>
      </c>
      <c r="E153" s="2">
        <v>11664129</v>
      </c>
      <c r="F153" s="3">
        <v>389000</v>
      </c>
      <c r="G153" s="5">
        <v>0.69</v>
      </c>
      <c r="J153">
        <f>2.1+27.6+42.8</f>
        <v>72.5</v>
      </c>
      <c r="K153">
        <v>34.6</v>
      </c>
      <c r="L153">
        <f>11.5+6.5</f>
        <v>18</v>
      </c>
      <c r="M153">
        <f>12.8+7.9</f>
        <v>20.700000000000003</v>
      </c>
      <c r="N153">
        <f>4.2+3+3.3+3.9</f>
        <v>14.4</v>
      </c>
      <c r="O153">
        <f>3.7+4.2+4.1+4.2</f>
        <v>16.2</v>
      </c>
      <c r="P153">
        <f>3.8+7.6+10.8+14.1</f>
        <v>36.299999999999997</v>
      </c>
      <c r="Q153">
        <f>9.9+6.2+5.9+6</f>
        <v>28</v>
      </c>
    </row>
    <row r="154" spans="1:17" x14ac:dyDescent="0.25">
      <c r="A154" s="1" t="s">
        <v>32</v>
      </c>
      <c r="B154" s="1" t="s">
        <v>16</v>
      </c>
      <c r="C154" s="1">
        <v>2018</v>
      </c>
      <c r="D154" s="1">
        <v>1</v>
      </c>
      <c r="E154" s="2">
        <v>11689442</v>
      </c>
      <c r="F154" s="4">
        <v>391133</v>
      </c>
      <c r="G154" s="5">
        <v>0.68</v>
      </c>
      <c r="I154">
        <v>46.7</v>
      </c>
    </row>
    <row r="155" spans="1:17" x14ac:dyDescent="0.25">
      <c r="A155" s="1" t="s">
        <v>33</v>
      </c>
      <c r="B155" s="1" t="s">
        <v>8</v>
      </c>
      <c r="C155" s="1">
        <v>2010</v>
      </c>
      <c r="D155" s="1">
        <v>1</v>
      </c>
      <c r="E155" s="2">
        <v>3759632</v>
      </c>
      <c r="F155" s="2">
        <v>6134</v>
      </c>
      <c r="G155" s="1">
        <f>(14+28)/216</f>
        <v>0.19444444444444445</v>
      </c>
      <c r="H155" s="5">
        <v>0.39</v>
      </c>
      <c r="I155" s="5">
        <v>39.9</v>
      </c>
      <c r="J155">
        <f>20+14.4+4</f>
        <v>38.4</v>
      </c>
      <c r="K155">
        <v>33</v>
      </c>
      <c r="L155">
        <f>13+5</f>
        <v>18</v>
      </c>
      <c r="M155">
        <f>10.5+5.1</f>
        <v>15.6</v>
      </c>
      <c r="N155">
        <f>5.8+4.9+5.2+5.9</f>
        <v>21.799999999999997</v>
      </c>
      <c r="O155">
        <f>5.4+5.9+5.4+5.6</f>
        <v>22.300000000000004</v>
      </c>
      <c r="P155">
        <f>4.9+9+11.4+12.2</f>
        <v>37.5</v>
      </c>
      <c r="Q155">
        <f>6.5+3.3+2.4+3.1</f>
        <v>15.3</v>
      </c>
    </row>
    <row r="156" spans="1:17" x14ac:dyDescent="0.25">
      <c r="A156" s="1" t="s">
        <v>33</v>
      </c>
      <c r="B156" s="1" t="s">
        <v>9</v>
      </c>
      <c r="C156" s="1">
        <v>2011</v>
      </c>
      <c r="D156" s="1">
        <v>1</v>
      </c>
      <c r="E156" s="2">
        <v>3787821</v>
      </c>
      <c r="H156" s="5">
        <v>0.41</v>
      </c>
      <c r="J156">
        <f>20.1+14+3.4</f>
        <v>37.5</v>
      </c>
      <c r="K156">
        <v>33.6</v>
      </c>
      <c r="L156">
        <f>12.9+5.2</f>
        <v>18.100000000000001</v>
      </c>
      <c r="M156">
        <f>10+4.8</f>
        <v>14.8</v>
      </c>
      <c r="N156">
        <f>6.4+5.3+5.1+5.1</f>
        <v>21.9</v>
      </c>
      <c r="O156">
        <f>5.8+5.8+4.9+5</f>
        <v>21.5</v>
      </c>
      <c r="P156">
        <f>4.6+8.4+10.6+12</f>
        <v>35.6</v>
      </c>
      <c r="Q156">
        <f>6.4+3.2+2.3+2.9</f>
        <v>14.800000000000002</v>
      </c>
    </row>
    <row r="157" spans="1:17" x14ac:dyDescent="0.25">
      <c r="A157" s="1" t="s">
        <v>33</v>
      </c>
      <c r="B157" s="1" t="s">
        <v>10</v>
      </c>
      <c r="C157" s="1">
        <v>2012</v>
      </c>
      <c r="D157" s="1">
        <v>2</v>
      </c>
      <c r="E157" s="2">
        <v>3818600</v>
      </c>
      <c r="F157" s="3">
        <f>E157*0.03</f>
        <v>114558</v>
      </c>
      <c r="G157" s="1">
        <f>(24+23)/201</f>
        <v>0.23383084577114427</v>
      </c>
      <c r="H157" s="5">
        <v>0.39</v>
      </c>
      <c r="I157" s="5">
        <v>0.33</v>
      </c>
      <c r="J157">
        <f>4.7+36.2</f>
        <v>40.900000000000006</v>
      </c>
      <c r="K157">
        <v>33.299999999999997</v>
      </c>
      <c r="L157">
        <f>13.3+5</f>
        <v>18.3</v>
      </c>
      <c r="M157">
        <f>9.8+5</f>
        <v>14.8</v>
      </c>
      <c r="N157">
        <f>6.1+5+5.2+5.7</f>
        <v>22</v>
      </c>
      <c r="O157">
        <f>5.6+5.6+5.3+5.2</f>
        <v>21.7</v>
      </c>
      <c r="P157">
        <f>4.1+8.2+10.5+12.1</f>
        <v>34.9</v>
      </c>
      <c r="Q157">
        <f>6.7+3.5+2.7+2.9</f>
        <v>15.799999999999999</v>
      </c>
    </row>
    <row r="158" spans="1:17" x14ac:dyDescent="0.25">
      <c r="A158" s="1" t="s">
        <v>33</v>
      </c>
      <c r="B158" s="1" t="s">
        <v>11</v>
      </c>
      <c r="C158" s="1">
        <v>2013</v>
      </c>
      <c r="D158" s="1">
        <v>2</v>
      </c>
      <c r="E158" s="2">
        <v>3853205</v>
      </c>
      <c r="F158" s="3">
        <f>E158*0.03</f>
        <v>115596.15</v>
      </c>
      <c r="H158" s="5">
        <v>0.4</v>
      </c>
      <c r="J158">
        <f>4.9+36.7</f>
        <v>41.6</v>
      </c>
      <c r="K158">
        <v>33.4</v>
      </c>
      <c r="L158">
        <f>13.2+5.2</f>
        <v>18.399999999999999</v>
      </c>
      <c r="M158">
        <f>10.2+4.8</f>
        <v>15</v>
      </c>
      <c r="N158">
        <f>6+4.3+4.6+5.5</f>
        <v>20.399999999999999</v>
      </c>
      <c r="O158">
        <f>5.3+5.4+5.2+5</f>
        <v>20.9</v>
      </c>
      <c r="P158">
        <f>4.3+8.3+10.9+12.2</f>
        <v>35.700000000000003</v>
      </c>
      <c r="Q158">
        <f>7.1+4+3+3.2</f>
        <v>17.3</v>
      </c>
    </row>
    <row r="159" spans="1:17" x14ac:dyDescent="0.25">
      <c r="A159" s="1" t="s">
        <v>33</v>
      </c>
      <c r="B159" s="1" t="s">
        <v>12</v>
      </c>
      <c r="C159" s="1">
        <v>2014</v>
      </c>
      <c r="D159" s="1">
        <v>1</v>
      </c>
      <c r="E159" s="2">
        <v>3878367</v>
      </c>
      <c r="F159" s="3">
        <f>E159*0.04</f>
        <v>155134.68</v>
      </c>
      <c r="G159" s="5">
        <v>0.53</v>
      </c>
      <c r="H159" s="5">
        <v>0.38</v>
      </c>
      <c r="I159" s="5">
        <v>41</v>
      </c>
      <c r="J159">
        <f>4.7+36.8</f>
        <v>41.5</v>
      </c>
      <c r="K159">
        <v>33.6</v>
      </c>
      <c r="L159">
        <f>13.1+12.9</f>
        <v>26</v>
      </c>
      <c r="M159">
        <f>9.9+5</f>
        <v>14.9</v>
      </c>
      <c r="N159">
        <f>5.5+4.1+4.7+4.7</f>
        <v>19</v>
      </c>
      <c r="O159">
        <f>5.2+5.3+4.9+4.8</f>
        <v>20.2</v>
      </c>
      <c r="P159">
        <f>4.4+8.7+11.2+12.5</f>
        <v>36.799999999999997</v>
      </c>
      <c r="Q159">
        <f>8+3.7+3.3+3.5</f>
        <v>18.5</v>
      </c>
    </row>
    <row r="160" spans="1:17" x14ac:dyDescent="0.25">
      <c r="A160" s="1" t="s">
        <v>33</v>
      </c>
      <c r="B160" s="1" t="s">
        <v>13</v>
      </c>
      <c r="C160" s="1">
        <v>2015</v>
      </c>
      <c r="D160" s="1">
        <v>1</v>
      </c>
      <c r="E160" s="2">
        <v>3909831</v>
      </c>
      <c r="F160" s="3">
        <f>E160*0.03</f>
        <v>117294.93</v>
      </c>
      <c r="G160" s="5">
        <v>0.6</v>
      </c>
      <c r="H160" s="5">
        <v>0.38</v>
      </c>
      <c r="J160">
        <f>4.8+37.7</f>
        <v>42.5</v>
      </c>
      <c r="K160">
        <v>33.299999999999997</v>
      </c>
      <c r="L160">
        <f>12.9+5.3</f>
        <v>18.2</v>
      </c>
      <c r="M160">
        <f>10.9+5</f>
        <v>15.9</v>
      </c>
      <c r="N160">
        <f>5.7+4+4.5+4.8</f>
        <v>19</v>
      </c>
      <c r="O160">
        <f>4.7+5.1+4.6+4.7</f>
        <v>19.100000000000001</v>
      </c>
      <c r="P160">
        <f>4.4+8.8+10.9+13</f>
        <v>37.1</v>
      </c>
      <c r="Q160">
        <f>7.7+4.1+3.6+4</f>
        <v>19.399999999999999</v>
      </c>
    </row>
    <row r="161" spans="1:17" x14ac:dyDescent="0.25">
      <c r="A161" s="1" t="s">
        <v>33</v>
      </c>
      <c r="B161" s="1" t="s">
        <v>14</v>
      </c>
      <c r="C161" s="1">
        <v>2016</v>
      </c>
      <c r="D161" s="1">
        <v>1</v>
      </c>
      <c r="E161" s="2">
        <v>3926769</v>
      </c>
      <c r="F161" s="3">
        <f>E161*0.03</f>
        <v>117803.06999999999</v>
      </c>
      <c r="G161" s="5">
        <v>0.51</v>
      </c>
      <c r="H161" s="5">
        <v>0.37</v>
      </c>
      <c r="I161" s="5">
        <v>0.28999999999999998</v>
      </c>
      <c r="J161">
        <f>4.8+38.1</f>
        <v>42.9</v>
      </c>
      <c r="K161">
        <v>33.5</v>
      </c>
      <c r="L161">
        <f>12.9+5.4</f>
        <v>18.3</v>
      </c>
      <c r="M161">
        <f>10.9+5.2</f>
        <v>16.100000000000001</v>
      </c>
      <c r="N161">
        <f>5.5+4+4.3+4.9</f>
        <v>18.700000000000003</v>
      </c>
      <c r="O161">
        <f>4.9+5+4.9+4.8</f>
        <v>19.600000000000001</v>
      </c>
      <c r="P161">
        <f>4.1+8.1+10.9+12.6</f>
        <v>35.700000000000003</v>
      </c>
      <c r="Q161">
        <f>8.3+4.2+4.1+4</f>
        <v>20.6</v>
      </c>
    </row>
    <row r="162" spans="1:17" x14ac:dyDescent="0.25">
      <c r="A162" s="1" t="s">
        <v>33</v>
      </c>
      <c r="B162" s="1" t="s">
        <v>15</v>
      </c>
      <c r="C162" s="1">
        <v>2017</v>
      </c>
      <c r="D162" s="1">
        <v>2</v>
      </c>
      <c r="E162" s="2">
        <v>3932640</v>
      </c>
      <c r="F162" s="3">
        <v>113000</v>
      </c>
      <c r="G162" s="5">
        <v>0.64</v>
      </c>
      <c r="J162">
        <f>4.8+37.4</f>
        <v>42.199999999999996</v>
      </c>
      <c r="K162">
        <v>33.700000000000003</v>
      </c>
      <c r="L162">
        <f>13.1+5.6</f>
        <v>18.7</v>
      </c>
      <c r="M162">
        <f>5.3+10.8</f>
        <v>16.100000000000001</v>
      </c>
      <c r="N162">
        <f>5.3+3.8+4.2+5</f>
        <v>18.3</v>
      </c>
      <c r="O162">
        <f>4.8+4.8+4.4+5.1</f>
        <v>19.100000000000001</v>
      </c>
      <c r="P162">
        <f>4.6+8.3+10.1+13.2</f>
        <v>36.200000000000003</v>
      </c>
      <c r="Q162">
        <f>8.4+4.5+4.2+3.8</f>
        <v>20.900000000000002</v>
      </c>
    </row>
    <row r="163" spans="1:17" x14ac:dyDescent="0.25">
      <c r="A163" s="1" t="s">
        <v>33</v>
      </c>
      <c r="B163" s="1" t="s">
        <v>16</v>
      </c>
      <c r="C163" s="1">
        <v>2018</v>
      </c>
      <c r="D163" s="1">
        <v>2</v>
      </c>
      <c r="E163" s="2">
        <v>3943079</v>
      </c>
      <c r="F163" s="4">
        <v>113491</v>
      </c>
      <c r="G163" s="5">
        <v>0.62</v>
      </c>
      <c r="I163">
        <v>42.2</v>
      </c>
    </row>
    <row r="164" spans="1:17" x14ac:dyDescent="0.25">
      <c r="A164" s="1" t="s">
        <v>34</v>
      </c>
      <c r="B164" s="1" t="s">
        <v>8</v>
      </c>
      <c r="C164" s="1">
        <v>2010</v>
      </c>
      <c r="D164" s="1">
        <v>0</v>
      </c>
      <c r="E164" s="2">
        <v>12711158</v>
      </c>
      <c r="F164" s="2">
        <v>22336</v>
      </c>
      <c r="G164" s="1">
        <f>(32+47)/261</f>
        <v>0.30268199233716475</v>
      </c>
      <c r="H164" s="5">
        <v>0.33</v>
      </c>
      <c r="I164" s="5">
        <v>45.5</v>
      </c>
      <c r="J164">
        <f>9.7+48+18.3</f>
        <v>76</v>
      </c>
      <c r="K164">
        <v>37.1</v>
      </c>
      <c r="L164">
        <f>9.3+5.7</f>
        <v>15</v>
      </c>
      <c r="M164">
        <f>12.1+7.1</f>
        <v>19.2</v>
      </c>
      <c r="N164">
        <f>4.2+3.7+4.1+4.4</f>
        <v>16.399999999999999</v>
      </c>
      <c r="O164">
        <f>4.5+4.9+4.6+4.8</f>
        <v>18.8</v>
      </c>
      <c r="P164">
        <f>4.4+8.7+11.7+14.1</f>
        <v>38.9</v>
      </c>
      <c r="Q164">
        <f>9+4.7+4.6+4.3</f>
        <v>22.599999999999998</v>
      </c>
    </row>
    <row r="165" spans="1:17" x14ac:dyDescent="0.25">
      <c r="A165" s="1" t="s">
        <v>34</v>
      </c>
      <c r="B165" s="1" t="s">
        <v>9</v>
      </c>
      <c r="C165" s="1">
        <v>2011</v>
      </c>
      <c r="D165" s="1">
        <v>0</v>
      </c>
      <c r="E165" s="2">
        <v>12744583</v>
      </c>
      <c r="H165" s="5">
        <v>0.33</v>
      </c>
      <c r="J165">
        <f>10.2+46.9+18.1</f>
        <v>75.199999999999989</v>
      </c>
      <c r="K165">
        <v>37.6</v>
      </c>
      <c r="L165">
        <f>10+5.6</f>
        <v>15.6</v>
      </c>
      <c r="M165">
        <f>11.5+7</f>
        <v>18.5</v>
      </c>
      <c r="N165">
        <f>4.3+3.6+4+4.4</f>
        <v>16.3</v>
      </c>
      <c r="O165">
        <f>4.5+4.5+4.4+4.5</f>
        <v>17.899999999999999</v>
      </c>
      <c r="P165">
        <f>4.1+8.4+11.3+13.3</f>
        <v>37.1</v>
      </c>
      <c r="Q165">
        <f>8.7+4.7+4.6+4.3</f>
        <v>22.3</v>
      </c>
    </row>
    <row r="166" spans="1:17" x14ac:dyDescent="0.25">
      <c r="A166" s="1" t="s">
        <v>34</v>
      </c>
      <c r="B166" s="1" t="s">
        <v>10</v>
      </c>
      <c r="C166" s="1">
        <v>2012</v>
      </c>
      <c r="D166" s="1">
        <v>1</v>
      </c>
      <c r="E166" s="2">
        <v>12766827</v>
      </c>
      <c r="F166" s="3">
        <f>E166*0.03</f>
        <v>383004.81</v>
      </c>
      <c r="G166" s="1">
        <f>(52+30)/237</f>
        <v>0.34599156118143459</v>
      </c>
      <c r="H166" s="5">
        <v>0.32</v>
      </c>
      <c r="I166" s="5">
        <v>0.52</v>
      </c>
      <c r="J166">
        <f>9.5+46.5+15.5</f>
        <v>71.5</v>
      </c>
      <c r="K166">
        <v>37.4</v>
      </c>
      <c r="L166">
        <f>9.9+6.1</f>
        <v>16</v>
      </c>
      <c r="M166">
        <f>12+7.3</f>
        <v>19.3</v>
      </c>
      <c r="N166">
        <f>4.1+3.5+3.7+4.2</f>
        <v>15.5</v>
      </c>
      <c r="O166">
        <f>4.4+4.5+4.3+4.5</f>
        <v>17.7</v>
      </c>
      <c r="P166">
        <f>4+8.1+10.8+13.8</f>
        <v>36.700000000000003</v>
      </c>
      <c r="Q166">
        <f>9.2+5+5+4.6</f>
        <v>23.799999999999997</v>
      </c>
    </row>
    <row r="167" spans="1:17" x14ac:dyDescent="0.25">
      <c r="A167" s="1" t="s">
        <v>34</v>
      </c>
      <c r="B167" s="1" t="s">
        <v>11</v>
      </c>
      <c r="C167" s="1">
        <v>2013</v>
      </c>
      <c r="D167" s="1">
        <v>1</v>
      </c>
      <c r="E167" s="2">
        <v>12776621</v>
      </c>
      <c r="F167" s="3">
        <f>E167*0.04</f>
        <v>511064.84</v>
      </c>
      <c r="H167" s="5">
        <v>0.32</v>
      </c>
      <c r="J167">
        <f>9.6+46.8+16</f>
        <v>72.400000000000006</v>
      </c>
      <c r="K167">
        <v>36.9</v>
      </c>
      <c r="L167">
        <f>9.8+6.2</f>
        <v>16</v>
      </c>
      <c r="M167">
        <f>12.4+7.9</f>
        <v>20.3</v>
      </c>
      <c r="N167">
        <f>4+3.4+3.5+3.9</f>
        <v>14.8</v>
      </c>
      <c r="O167">
        <f>3.9+4.3+4+4.4</f>
        <v>16.600000000000001</v>
      </c>
      <c r="P167">
        <f>4+8.3+10.7+14.2</f>
        <v>37.200000000000003</v>
      </c>
      <c r="Q167">
        <f>9.5+5.4+5.3+5.3</f>
        <v>25.5</v>
      </c>
    </row>
    <row r="168" spans="1:17" x14ac:dyDescent="0.25">
      <c r="A168" s="1" t="s">
        <v>34</v>
      </c>
      <c r="B168" s="1" t="s">
        <v>12</v>
      </c>
      <c r="C168" s="1">
        <v>2014</v>
      </c>
      <c r="D168" s="1">
        <v>1</v>
      </c>
      <c r="E168" s="2">
        <v>12789101</v>
      </c>
      <c r="F168" s="3">
        <f>E168*0.03</f>
        <v>383673.02999999997</v>
      </c>
      <c r="G168" s="5">
        <v>0.63</v>
      </c>
      <c r="H168" s="5">
        <v>0.31</v>
      </c>
      <c r="I168" s="5">
        <v>55</v>
      </c>
      <c r="J168">
        <f>9.6+46.9+15.5</f>
        <v>72</v>
      </c>
      <c r="K168">
        <v>37.200000000000003</v>
      </c>
      <c r="L168">
        <f>9.9+6.3</f>
        <v>16.2</v>
      </c>
      <c r="M168">
        <f>12.7+7.9</f>
        <v>20.6</v>
      </c>
      <c r="N168">
        <f>3.9+3.1+3.4+3.8</f>
        <v>14.2</v>
      </c>
      <c r="O168">
        <f>3.8+4.2+4.1+4.2</f>
        <v>16.3</v>
      </c>
      <c r="P168">
        <f>4+7.7+11+14</f>
        <v>36.700000000000003</v>
      </c>
      <c r="Q168">
        <f>9.7+5.6+5.8+5.7</f>
        <v>26.799999999999997</v>
      </c>
    </row>
    <row r="169" spans="1:17" x14ac:dyDescent="0.25">
      <c r="A169" s="1" t="s">
        <v>34</v>
      </c>
      <c r="B169" s="1" t="s">
        <v>13</v>
      </c>
      <c r="C169" s="1">
        <v>2015</v>
      </c>
      <c r="D169" s="1">
        <v>1</v>
      </c>
      <c r="E169" s="2">
        <v>12785759</v>
      </c>
      <c r="F169" s="3">
        <f>E169*0.04</f>
        <v>511430.36</v>
      </c>
      <c r="G169" s="5">
        <v>0.7</v>
      </c>
      <c r="H169" s="5">
        <v>0.3</v>
      </c>
      <c r="J169">
        <f>9.7+46.8+15.7</f>
        <v>72.2</v>
      </c>
      <c r="K169">
        <v>37</v>
      </c>
      <c r="L169">
        <f>9.7+6.4</f>
        <v>16.100000000000001</v>
      </c>
      <c r="M169">
        <f>12.9+8.1</f>
        <v>21</v>
      </c>
      <c r="N169">
        <f>3.7+2.8+3.2+3.5</f>
        <v>13.2</v>
      </c>
      <c r="O169">
        <f>3.9+4.1+3.9+4.3</f>
        <v>16.2</v>
      </c>
      <c r="P169">
        <f>3.7+7.6+10.8+14.5</f>
        <v>36.6</v>
      </c>
      <c r="Q169">
        <f>9.7+5.9+5.8+6.3</f>
        <v>27.7</v>
      </c>
    </row>
    <row r="170" spans="1:17" x14ac:dyDescent="0.25">
      <c r="A170" s="1" t="s">
        <v>34</v>
      </c>
      <c r="B170" s="1" t="s">
        <v>14</v>
      </c>
      <c r="C170" s="1">
        <v>2016</v>
      </c>
      <c r="D170" s="1">
        <v>1</v>
      </c>
      <c r="E170" s="2">
        <v>12783538</v>
      </c>
      <c r="F170" s="3">
        <f>E170*0.04</f>
        <v>511341.52</v>
      </c>
      <c r="G170" s="5">
        <v>0.56999999999999995</v>
      </c>
      <c r="H170" s="5">
        <v>0.28999999999999998</v>
      </c>
      <c r="I170" s="5">
        <v>0.47</v>
      </c>
      <c r="J170">
        <f>9.6+47.9+15.9</f>
        <v>73.400000000000006</v>
      </c>
      <c r="K170">
        <v>36.200000000000003</v>
      </c>
      <c r="L170">
        <f>9.5+6.4</f>
        <v>15.9</v>
      </c>
      <c r="M170">
        <f>13.6+8.5</f>
        <v>22.1</v>
      </c>
      <c r="N170">
        <f>3.5+2.8+3.2+3.6</f>
        <v>13.1</v>
      </c>
      <c r="O170">
        <f>3.6+4+3.8+4</f>
        <v>15.399999999999999</v>
      </c>
      <c r="P170">
        <f>3.8+7.6+10.4+13.9</f>
        <v>35.699999999999996</v>
      </c>
      <c r="Q170">
        <f>10.1+6.5+6.5+6.7</f>
        <v>29.8</v>
      </c>
    </row>
    <row r="171" spans="1:17" x14ac:dyDescent="0.25">
      <c r="A171" s="1" t="s">
        <v>34</v>
      </c>
      <c r="B171" s="1" t="s">
        <v>15</v>
      </c>
      <c r="C171" s="1">
        <v>2017</v>
      </c>
      <c r="D171" s="1">
        <v>1</v>
      </c>
      <c r="E171" s="2">
        <v>12790447</v>
      </c>
      <c r="F171" s="3">
        <v>416000</v>
      </c>
      <c r="G171" s="5">
        <v>0.69</v>
      </c>
      <c r="J171">
        <f>9.5+47.9+16.1</f>
        <v>73.5</v>
      </c>
      <c r="K171">
        <v>35.700000000000003</v>
      </c>
      <c r="L171">
        <f>9.6+6.5</f>
        <v>16.100000000000001</v>
      </c>
      <c r="M171">
        <f>14+8.8</f>
        <v>22.8</v>
      </c>
      <c r="N171">
        <f>3.6+2.7+3+3.3</f>
        <v>12.600000000000001</v>
      </c>
      <c r="O171">
        <f>3.4+3.7+3.5+3.6</f>
        <v>14.2</v>
      </c>
      <c r="P171">
        <f>3.5+7.4+10.7+14.4</f>
        <v>36</v>
      </c>
      <c r="Q171">
        <f>10.3+6.6+7+7.5</f>
        <v>31.4</v>
      </c>
    </row>
    <row r="172" spans="1:17" x14ac:dyDescent="0.25">
      <c r="A172" s="1" t="s">
        <v>34</v>
      </c>
      <c r="B172" s="1" t="s">
        <v>16</v>
      </c>
      <c r="C172" s="1">
        <v>2018</v>
      </c>
      <c r="D172" s="1">
        <v>2</v>
      </c>
      <c r="E172" s="2">
        <v>12807060</v>
      </c>
      <c r="F172" s="4">
        <v>416484</v>
      </c>
      <c r="G172" s="5">
        <v>0.68</v>
      </c>
      <c r="I172">
        <v>57.8</v>
      </c>
    </row>
    <row r="173" spans="1:17" x14ac:dyDescent="0.25">
      <c r="A173" s="1" t="s">
        <v>35</v>
      </c>
      <c r="B173" s="1" t="s">
        <v>8</v>
      </c>
      <c r="C173" s="1">
        <v>2010</v>
      </c>
      <c r="D173" s="1">
        <v>0</v>
      </c>
      <c r="E173" s="2">
        <v>4635656</v>
      </c>
      <c r="F173" s="2">
        <v>7214</v>
      </c>
      <c r="G173" s="1">
        <f>(51+72)/458</f>
        <v>0.26855895196506552</v>
      </c>
      <c r="H173" s="5">
        <v>0.43</v>
      </c>
      <c r="I173" s="5">
        <v>47.1</v>
      </c>
      <c r="J173">
        <f>2.4+21.9+36.2</f>
        <v>60.5</v>
      </c>
      <c r="K173">
        <v>30.6</v>
      </c>
      <c r="L173">
        <f>12+6.1</f>
        <v>18.100000000000001</v>
      </c>
      <c r="M173">
        <f>12.1+6.6</f>
        <v>18.7</v>
      </c>
      <c r="N173">
        <f>6.9+5+5.1+5.6</f>
        <v>22.6</v>
      </c>
      <c r="O173">
        <f>5.3+5.5+4.8+4.8</f>
        <v>20.400000000000002</v>
      </c>
      <c r="P173">
        <f>4.7+8.2+11.1+12.9</f>
        <v>36.9</v>
      </c>
      <c r="Q173">
        <f>7.5+3.7+2.8+3.1</f>
        <v>17.100000000000001</v>
      </c>
    </row>
    <row r="174" spans="1:17" x14ac:dyDescent="0.25">
      <c r="A174" s="1" t="s">
        <v>35</v>
      </c>
      <c r="B174" s="1" t="s">
        <v>9</v>
      </c>
      <c r="C174" s="1">
        <v>2011</v>
      </c>
      <c r="D174" s="1">
        <v>0</v>
      </c>
      <c r="E174" s="2">
        <v>4671422</v>
      </c>
      <c r="H174" s="5">
        <v>0.43</v>
      </c>
      <c r="J174">
        <f>3.6+20.3+34.8</f>
        <v>58.7</v>
      </c>
      <c r="K174">
        <v>31.8</v>
      </c>
      <c r="L174">
        <f>12.8+6.2</f>
        <v>19</v>
      </c>
      <c r="M174">
        <f>11+6.2</f>
        <v>17.2</v>
      </c>
      <c r="N174">
        <f>7.4+5.3+5.6+5.7</f>
        <v>23.999999999999996</v>
      </c>
      <c r="O174">
        <f>5.4+5.5+5+4.8</f>
        <v>20.7</v>
      </c>
      <c r="P174">
        <f>4.4+8.1+9.8+11.3</f>
        <v>33.6</v>
      </c>
      <c r="Q174">
        <f>6.9+3.7+2.3+3</f>
        <v>15.900000000000002</v>
      </c>
    </row>
    <row r="175" spans="1:17" x14ac:dyDescent="0.25">
      <c r="A175" s="1" t="s">
        <v>35</v>
      </c>
      <c r="B175" s="1" t="s">
        <v>10</v>
      </c>
      <c r="C175" s="1">
        <v>2012</v>
      </c>
      <c r="D175" s="1">
        <v>0</v>
      </c>
      <c r="E175" s="2">
        <v>4717112</v>
      </c>
      <c r="F175" s="3">
        <f>E175*0.03</f>
        <v>141513.35999999999</v>
      </c>
      <c r="G175" s="1">
        <f>(44+63)/423</f>
        <v>0.25295508274231676</v>
      </c>
      <c r="H175" s="5">
        <v>0.41</v>
      </c>
      <c r="I175" s="5">
        <v>0.44</v>
      </c>
      <c r="J175">
        <f>18.8+55.2</f>
        <v>74</v>
      </c>
      <c r="K175">
        <v>31</v>
      </c>
      <c r="L175">
        <f>12.8+6.4</f>
        <v>19.200000000000003</v>
      </c>
      <c r="M175">
        <f>12+6.8</f>
        <v>18.8</v>
      </c>
      <c r="N175">
        <f>6.7+4.9+5.1+5.2</f>
        <v>21.900000000000002</v>
      </c>
      <c r="O175">
        <f>5.4+5.2+4.9+4.9</f>
        <v>20.400000000000002</v>
      </c>
      <c r="P175">
        <f>4.4+8.2+10.1+11.7</f>
        <v>34.4</v>
      </c>
      <c r="Q175">
        <f>7+3.9+3.2+3.6</f>
        <v>17.700000000000003</v>
      </c>
    </row>
    <row r="176" spans="1:17" x14ac:dyDescent="0.25">
      <c r="A176" s="1" t="s">
        <v>35</v>
      </c>
      <c r="B176" s="1" t="s">
        <v>11</v>
      </c>
      <c r="C176" s="1">
        <v>2013</v>
      </c>
      <c r="D176" s="1">
        <v>0</v>
      </c>
      <c r="E176" s="2">
        <v>4764153</v>
      </c>
      <c r="F176" s="3">
        <f>E176*0.03</f>
        <v>142924.59</v>
      </c>
      <c r="H176" s="5">
        <v>0.43</v>
      </c>
      <c r="J176">
        <f>19.2+55.8</f>
        <v>75</v>
      </c>
      <c r="K176">
        <v>30.6</v>
      </c>
      <c r="L176">
        <f>13.1+6.6</f>
        <v>19.7</v>
      </c>
      <c r="M176">
        <f>12.5+7.5</f>
        <v>20</v>
      </c>
      <c r="N176">
        <f>6.3+4.4+4.7+5.2</f>
        <v>20.599999999999998</v>
      </c>
      <c r="O176">
        <f>5.2+5.3+4.6+4.4</f>
        <v>19.5</v>
      </c>
      <c r="P176">
        <f>4.4+7.8+10.5+12.5</f>
        <v>35.200000000000003</v>
      </c>
      <c r="Q176">
        <f>7.6+4.4+3.6+3.8</f>
        <v>19.399999999999999</v>
      </c>
    </row>
    <row r="177" spans="1:17" x14ac:dyDescent="0.25">
      <c r="A177" s="1" t="s">
        <v>35</v>
      </c>
      <c r="B177" s="1" t="s">
        <v>12</v>
      </c>
      <c r="C177" s="1">
        <v>2014</v>
      </c>
      <c r="D177" s="1">
        <v>0</v>
      </c>
      <c r="E177" s="2">
        <v>4823793</v>
      </c>
      <c r="F177" s="3">
        <f>E177*0.03</f>
        <v>144713.79</v>
      </c>
      <c r="G177" s="5">
        <v>0.51</v>
      </c>
      <c r="H177" s="5">
        <v>0.42</v>
      </c>
      <c r="I177" s="5">
        <v>41</v>
      </c>
      <c r="J177">
        <f>18.8+56.6</f>
        <v>75.400000000000006</v>
      </c>
      <c r="K177">
        <v>31.2</v>
      </c>
      <c r="L177">
        <f>12.8+6.7</f>
        <v>19.5</v>
      </c>
      <c r="M177">
        <f>12.8+7.6</f>
        <v>20.399999999999999</v>
      </c>
      <c r="N177">
        <f>6+4.4+4.6+4.9</f>
        <v>19.899999999999999</v>
      </c>
      <c r="O177">
        <f>5.2+5+4.9+4.7</f>
        <v>19.8</v>
      </c>
      <c r="P177">
        <f>4.4+7.7+10.2+12.4</f>
        <v>34.700000000000003</v>
      </c>
      <c r="Q177">
        <f>7.9+4.7+3.9+4.1</f>
        <v>20.6</v>
      </c>
    </row>
    <row r="178" spans="1:17" x14ac:dyDescent="0.25">
      <c r="A178" s="1" t="s">
        <v>35</v>
      </c>
      <c r="B178" s="1" t="s">
        <v>13</v>
      </c>
      <c r="C178" s="1">
        <v>2015</v>
      </c>
      <c r="D178" s="1">
        <v>0</v>
      </c>
      <c r="E178" s="2">
        <v>4892253</v>
      </c>
      <c r="F178" s="3">
        <f>E178*0.03</f>
        <v>146767.59</v>
      </c>
      <c r="G178" s="5">
        <v>0.65</v>
      </c>
      <c r="H178" s="5">
        <v>0.41</v>
      </c>
      <c r="J178">
        <f>18.8+56.4</f>
        <v>75.2</v>
      </c>
      <c r="K178">
        <v>31.1</v>
      </c>
      <c r="L178">
        <f>12.8+7.1</f>
        <v>19.899999999999999</v>
      </c>
      <c r="M178">
        <f>13.3+7.5</f>
        <v>20.8</v>
      </c>
      <c r="N178">
        <f>5.4+4.1+4.3+4.8</f>
        <v>18.600000000000001</v>
      </c>
      <c r="O178">
        <f>4.4+4.6+4.6+4.6</f>
        <v>18.2</v>
      </c>
      <c r="P178">
        <f>4+8.5+10.6+13.3</f>
        <v>36.400000000000006</v>
      </c>
      <c r="Q178">
        <f>8.2+4.5+4.3+4.5</f>
        <v>21.5</v>
      </c>
    </row>
    <row r="179" spans="1:17" x14ac:dyDescent="0.25">
      <c r="A179" s="1" t="s">
        <v>35</v>
      </c>
      <c r="B179" s="1" t="s">
        <v>14</v>
      </c>
      <c r="C179" s="1">
        <v>2016</v>
      </c>
      <c r="D179" s="1">
        <v>1</v>
      </c>
      <c r="E179" s="2">
        <v>4958235</v>
      </c>
      <c r="F179" s="3">
        <f>E179*0.03</f>
        <v>148747.04999999999</v>
      </c>
      <c r="G179" s="5">
        <v>0.52</v>
      </c>
      <c r="H179" s="5">
        <v>0.38</v>
      </c>
      <c r="I179" s="5">
        <v>0.41</v>
      </c>
      <c r="J179">
        <f>19.6+56.2</f>
        <v>75.800000000000011</v>
      </c>
      <c r="K179">
        <v>30.9</v>
      </c>
      <c r="L179">
        <f>12.5+6.9</f>
        <v>19.399999999999999</v>
      </c>
      <c r="M179">
        <f>13.9+7.8</f>
        <v>21.7</v>
      </c>
      <c r="N179">
        <f>5.1+3.6+3.9+4.3</f>
        <v>16.899999999999999</v>
      </c>
      <c r="O179">
        <f>4.3+4.7+4.5+4.8</f>
        <v>18.3</v>
      </c>
      <c r="P179">
        <f>4.3+7.9+10.4+12.9</f>
        <v>35.5</v>
      </c>
      <c r="Q179">
        <f>8.8+4.7+5+5.2</f>
        <v>23.7</v>
      </c>
    </row>
    <row r="180" spans="1:17" x14ac:dyDescent="0.25">
      <c r="A180" s="1" t="s">
        <v>35</v>
      </c>
      <c r="B180" s="1" t="s">
        <v>15</v>
      </c>
      <c r="C180" s="1">
        <v>2017</v>
      </c>
      <c r="D180" s="1">
        <v>1</v>
      </c>
      <c r="E180" s="2">
        <v>5021219</v>
      </c>
      <c r="F180" s="3">
        <v>137000</v>
      </c>
      <c r="G180" s="5">
        <v>0.67</v>
      </c>
      <c r="J180">
        <f>19.7+56.1</f>
        <v>75.8</v>
      </c>
      <c r="K180">
        <v>30.8</v>
      </c>
      <c r="L180">
        <f>12.2+7.1</f>
        <v>19.299999999999997</v>
      </c>
      <c r="M180">
        <f>13.8+8.3</f>
        <v>22.1</v>
      </c>
      <c r="N180">
        <f>5.1+3.3+3.7+4.6</f>
        <v>16.699999999999996</v>
      </c>
      <c r="O180">
        <f>4.3+4.5+4.1+4.2</f>
        <v>17.100000000000001</v>
      </c>
      <c r="P180">
        <f>3.9+8.1+10.8+13.1</f>
        <v>35.9</v>
      </c>
      <c r="Q180">
        <f>8.8+5+5.3+5.6</f>
        <v>24.700000000000003</v>
      </c>
    </row>
    <row r="181" spans="1:17" x14ac:dyDescent="0.25">
      <c r="A181" s="1" t="s">
        <v>35</v>
      </c>
      <c r="B181" s="1" t="s">
        <v>16</v>
      </c>
      <c r="C181" s="1">
        <v>2018</v>
      </c>
      <c r="D181" s="1">
        <v>1</v>
      </c>
      <c r="E181" s="2">
        <v>5084127</v>
      </c>
      <c r="F181" s="4">
        <v>139236</v>
      </c>
      <c r="G181" s="5">
        <v>0.57999999999999996</v>
      </c>
      <c r="I181">
        <v>46</v>
      </c>
    </row>
    <row r="182" spans="1:17" x14ac:dyDescent="0.25">
      <c r="A182" s="1" t="s">
        <v>36</v>
      </c>
      <c r="B182" s="1" t="s">
        <v>8</v>
      </c>
      <c r="C182" s="1">
        <v>2010</v>
      </c>
      <c r="D182" s="1">
        <v>1</v>
      </c>
      <c r="E182" s="2">
        <v>816165</v>
      </c>
      <c r="F182" s="2">
        <v>714</v>
      </c>
      <c r="G182" s="1">
        <f>(18+16)/113</f>
        <v>0.30088495575221241</v>
      </c>
      <c r="H182" s="5">
        <v>0.34</v>
      </c>
      <c r="I182" s="5">
        <v>38.5</v>
      </c>
      <c r="J182" s="5">
        <v>10.5</v>
      </c>
      <c r="K182" s="5">
        <v>30.9</v>
      </c>
      <c r="L182">
        <f>12.8+6.9</f>
        <v>19.700000000000003</v>
      </c>
      <c r="M182">
        <f>12.9+5</f>
        <v>17.899999999999999</v>
      </c>
      <c r="N182">
        <f>5.1+3.5+4.2+4.9</f>
        <v>17.700000000000003</v>
      </c>
      <c r="O182">
        <f>4+5.6+4+4.7</f>
        <v>18.3</v>
      </c>
      <c r="P182">
        <f>4.7+9.7+13.5+14.7</f>
        <v>42.599999999999994</v>
      </c>
      <c r="Q182">
        <f>8+3.4+2.4+3.5</f>
        <v>17.3</v>
      </c>
    </row>
    <row r="183" spans="1:17" x14ac:dyDescent="0.25">
      <c r="A183" s="1" t="s">
        <v>36</v>
      </c>
      <c r="B183" s="1" t="s">
        <v>9</v>
      </c>
      <c r="C183" s="1">
        <v>2011</v>
      </c>
      <c r="D183" s="1">
        <v>1</v>
      </c>
      <c r="E183" s="2">
        <v>823484</v>
      </c>
      <c r="H183" s="5">
        <v>0.36</v>
      </c>
      <c r="J183">
        <v>8.9</v>
      </c>
      <c r="K183" s="5">
        <v>34.200000000000003</v>
      </c>
      <c r="L183">
        <f>13.7+7.1</f>
        <v>20.799999999999997</v>
      </c>
      <c r="M183">
        <f>10.8+4.4</f>
        <v>15.200000000000001</v>
      </c>
      <c r="N183">
        <f>4.7+3.8+4.1+4.3</f>
        <v>16.899999999999999</v>
      </c>
      <c r="O183">
        <f>4.2+5.5+4.3+4.7</f>
        <v>18.7</v>
      </c>
      <c r="P183">
        <f>4.8+9.4+12.5+14</f>
        <v>40.700000000000003</v>
      </c>
      <c r="Q183">
        <f>7.2+3.2+2.3+3.1</f>
        <v>15.799999999999999</v>
      </c>
    </row>
    <row r="184" spans="1:17" x14ac:dyDescent="0.25">
      <c r="A184" s="1" t="s">
        <v>36</v>
      </c>
      <c r="B184" s="1" t="s">
        <v>10</v>
      </c>
      <c r="C184" s="1">
        <v>2012</v>
      </c>
      <c r="D184" s="1">
        <v>1</v>
      </c>
      <c r="E184" s="2">
        <v>833496</v>
      </c>
      <c r="F184" s="3">
        <f>E184*0.04</f>
        <v>33339.840000000004</v>
      </c>
      <c r="G184" s="1">
        <f>(22+20)/116</f>
        <v>0.36206896551724138</v>
      </c>
      <c r="H184" s="5">
        <v>0.34</v>
      </c>
      <c r="I184" s="5">
        <v>0.4</v>
      </c>
      <c r="J184" s="5">
        <v>10.8</v>
      </c>
      <c r="K184" s="5">
        <v>32.200000000000003</v>
      </c>
      <c r="L184">
        <f>13.9+7.5</f>
        <v>21.4</v>
      </c>
      <c r="M184">
        <f>11.2+4.5</f>
        <v>15.7</v>
      </c>
      <c r="N184">
        <f>4.7+4.3+4.1+4.4</f>
        <v>17.5</v>
      </c>
      <c r="O184">
        <f>4+5+5.1+5.2</f>
        <v>19.3</v>
      </c>
      <c r="P184">
        <f>4.5+8.6+11.8+15</f>
        <v>39.9</v>
      </c>
      <c r="Q184">
        <f>7.7+3.5+3.1+2.5</f>
        <v>16.799999999999997</v>
      </c>
    </row>
    <row r="185" spans="1:17" x14ac:dyDescent="0.25">
      <c r="A185" s="1" t="s">
        <v>36</v>
      </c>
      <c r="B185" s="1" t="s">
        <v>11</v>
      </c>
      <c r="C185" s="1">
        <v>2013</v>
      </c>
      <c r="D185" s="1">
        <v>1</v>
      </c>
      <c r="E185" s="2">
        <v>842270</v>
      </c>
      <c r="F185" s="3">
        <f>E185*0.03</f>
        <v>25268.1</v>
      </c>
      <c r="H185" s="5">
        <v>0.35</v>
      </c>
      <c r="J185" s="5">
        <v>11.1</v>
      </c>
      <c r="K185" s="5">
        <v>32.1</v>
      </c>
      <c r="L185">
        <f>12.4+8</f>
        <v>20.399999999999999</v>
      </c>
      <c r="M185">
        <f>12.3+4.1</f>
        <v>16.399999999999999</v>
      </c>
      <c r="N185">
        <f>4.1+3.8+3.8+5</f>
        <v>16.7</v>
      </c>
      <c r="O185">
        <f>4.6+4.6+4.8+5.2</f>
        <v>19.2</v>
      </c>
      <c r="P185">
        <f>4.2+8.4+12.4+14.8</f>
        <v>39.799999999999997</v>
      </c>
      <c r="Q185">
        <f>7.4+4.2+3.4+3.6</f>
        <v>18.600000000000001</v>
      </c>
    </row>
    <row r="186" spans="1:17" x14ac:dyDescent="0.25">
      <c r="A186" s="1" t="s">
        <v>36</v>
      </c>
      <c r="B186" s="1" t="s">
        <v>12</v>
      </c>
      <c r="C186" s="1">
        <v>2014</v>
      </c>
      <c r="D186" s="1">
        <v>1</v>
      </c>
      <c r="E186" s="2">
        <v>849088</v>
      </c>
      <c r="F186" s="3">
        <f>E186*0.03</f>
        <v>25472.639999999999</v>
      </c>
      <c r="G186" s="5">
        <v>0.57999999999999996</v>
      </c>
      <c r="H186" s="5">
        <v>0.31</v>
      </c>
      <c r="I186" s="5">
        <v>25</v>
      </c>
      <c r="J186" s="5">
        <v>11.2</v>
      </c>
      <c r="K186" s="5">
        <v>32</v>
      </c>
      <c r="L186">
        <f>12.4+8.6</f>
        <v>21</v>
      </c>
      <c r="M186">
        <f>12.9+4.1</f>
        <v>17</v>
      </c>
      <c r="N186">
        <f>4.3+3.4+3.8+3.5</f>
        <v>15</v>
      </c>
      <c r="O186">
        <f>4.6+4.7+3.8+5.1</f>
        <v>18.200000000000003</v>
      </c>
      <c r="P186">
        <f>4.1+8.8+12.2+15.6</f>
        <v>40.700000000000003</v>
      </c>
      <c r="Q186">
        <f>9+4.6+3.3+3.4</f>
        <v>20.299999999999997</v>
      </c>
    </row>
    <row r="187" spans="1:17" x14ac:dyDescent="0.25">
      <c r="A187" s="1" t="s">
        <v>36</v>
      </c>
      <c r="B187" s="1" t="s">
        <v>13</v>
      </c>
      <c r="C187" s="1">
        <v>2015</v>
      </c>
      <c r="D187" s="1">
        <v>1</v>
      </c>
      <c r="E187" s="2">
        <v>853933</v>
      </c>
      <c r="F187" s="3">
        <f>E187*0.01</f>
        <v>8539.33</v>
      </c>
      <c r="G187" s="5">
        <v>0.67</v>
      </c>
      <c r="H187" s="5">
        <v>0.36</v>
      </c>
      <c r="J187" s="5">
        <v>10.9</v>
      </c>
      <c r="K187" s="5">
        <v>32.5</v>
      </c>
      <c r="L187">
        <f>12.3+7.8</f>
        <v>20.100000000000001</v>
      </c>
      <c r="M187">
        <f>13+4.3</f>
        <v>17.3</v>
      </c>
      <c r="N187">
        <f>4.1+3.3+2.6+4</f>
        <v>14</v>
      </c>
      <c r="O187">
        <f>3.9+4.4+4.5+4.6</f>
        <v>17.399999999999999</v>
      </c>
      <c r="P187">
        <f>4.1+8+11.9+16.2</f>
        <v>40.200000000000003</v>
      </c>
      <c r="Q187">
        <f>9.5+4.1+4.4+4.6</f>
        <v>22.6</v>
      </c>
    </row>
    <row r="188" spans="1:17" x14ac:dyDescent="0.25">
      <c r="A188" s="1" t="s">
        <v>36</v>
      </c>
      <c r="B188" s="1" t="s">
        <v>14</v>
      </c>
      <c r="C188" s="1">
        <v>2016</v>
      </c>
      <c r="D188" s="1">
        <v>0</v>
      </c>
      <c r="E188" s="2">
        <v>862890</v>
      </c>
      <c r="F188" s="3">
        <f>E188*0.02</f>
        <v>17257.8</v>
      </c>
      <c r="G188" s="5">
        <v>0.47</v>
      </c>
      <c r="H188" s="5">
        <v>0.38</v>
      </c>
      <c r="I188" s="5">
        <v>0.32</v>
      </c>
      <c r="J188" s="5">
        <v>11.8</v>
      </c>
      <c r="K188" s="5">
        <v>30.2</v>
      </c>
      <c r="L188">
        <f>12.5+8.4</f>
        <v>20.9</v>
      </c>
      <c r="M188">
        <f>12.8+5.4</f>
        <v>18.200000000000003</v>
      </c>
      <c r="N188">
        <f>4.6+3+3.2+3.9</f>
        <v>14.700000000000001</v>
      </c>
      <c r="O188">
        <f>3.7+4.3+3.4+3.9</f>
        <v>15.3</v>
      </c>
      <c r="P188">
        <f>4.2+8.7+11.9+16.9</f>
        <v>41.699999999999996</v>
      </c>
      <c r="Q188">
        <f>10.3+4.6+3.5+4.3</f>
        <v>22.7</v>
      </c>
    </row>
    <row r="189" spans="1:17" x14ac:dyDescent="0.25">
      <c r="A189" s="1" t="s">
        <v>36</v>
      </c>
      <c r="B189" s="1" t="s">
        <v>15</v>
      </c>
      <c r="C189" s="1">
        <v>2017</v>
      </c>
      <c r="D189" s="1">
        <v>0</v>
      </c>
      <c r="E189" s="2">
        <v>873286</v>
      </c>
      <c r="F189" s="3">
        <v>20000</v>
      </c>
      <c r="G189" s="5">
        <v>0.62</v>
      </c>
      <c r="J189" s="5">
        <v>11.3</v>
      </c>
      <c r="K189" s="5">
        <v>30.9</v>
      </c>
      <c r="L189">
        <f>12.6+9.2</f>
        <v>21.799999999999997</v>
      </c>
      <c r="M189">
        <f>12.4+4.9</f>
        <v>17.3</v>
      </c>
      <c r="N189">
        <f>4.1+2.7+3.1+4.3</f>
        <v>14.2</v>
      </c>
      <c r="O189">
        <f>3.3+4.1+3.8+4</f>
        <v>15.2</v>
      </c>
      <c r="P189">
        <f>4.1+7.9+11.2+17.1</f>
        <v>40.299999999999997</v>
      </c>
      <c r="Q189">
        <f>10+5+4.3+5</f>
        <v>24.3</v>
      </c>
    </row>
    <row r="190" spans="1:17" x14ac:dyDescent="0.25">
      <c r="A190" s="1" t="s">
        <v>36</v>
      </c>
      <c r="B190" s="1" t="s">
        <v>16</v>
      </c>
      <c r="C190" s="1">
        <v>2018</v>
      </c>
      <c r="D190" s="1">
        <v>0</v>
      </c>
      <c r="E190" s="2">
        <v>882235</v>
      </c>
      <c r="F190" s="4">
        <v>19939</v>
      </c>
      <c r="G190" s="5">
        <v>0.66</v>
      </c>
      <c r="I190">
        <v>47.6</v>
      </c>
    </row>
    <row r="191" spans="1:17" x14ac:dyDescent="0.25">
      <c r="A191" s="1" t="s">
        <v>37</v>
      </c>
      <c r="B191" s="1" t="s">
        <v>8</v>
      </c>
      <c r="C191" s="1">
        <v>2010</v>
      </c>
      <c r="D191" s="1">
        <v>0</v>
      </c>
      <c r="E191" s="2">
        <v>25242679</v>
      </c>
      <c r="F191" s="2">
        <v>46401</v>
      </c>
      <c r="G191" s="1">
        <f>(14+28)/216</f>
        <v>0.19444444444444445</v>
      </c>
      <c r="H191" s="5">
        <v>0.39</v>
      </c>
      <c r="I191" s="5">
        <v>42.3</v>
      </c>
      <c r="J191">
        <f>17.6+15.7+45.6</f>
        <v>78.900000000000006</v>
      </c>
      <c r="K191">
        <v>26.6</v>
      </c>
      <c r="L191">
        <f>12.7+4.5</f>
        <v>17.2</v>
      </c>
      <c r="M191">
        <f>12.6+6.3</f>
        <v>18.899999999999999</v>
      </c>
      <c r="N191">
        <f>5.2+4.2+4.7+5.1</f>
        <v>19.200000000000003</v>
      </c>
      <c r="O191">
        <f>4.8+5.1+4.7+4.7</f>
        <v>19.299999999999997</v>
      </c>
      <c r="P191">
        <f>4.3+8.1+10.6+12.7</f>
        <v>35.700000000000003</v>
      </c>
      <c r="Q191">
        <f>8.6+5.1+4.8+5</f>
        <v>23.5</v>
      </c>
    </row>
    <row r="192" spans="1:17" x14ac:dyDescent="0.25">
      <c r="A192" s="1" t="s">
        <v>37</v>
      </c>
      <c r="B192" s="1" t="s">
        <v>9</v>
      </c>
      <c r="C192" s="1">
        <v>2011</v>
      </c>
      <c r="D192" s="1">
        <v>0</v>
      </c>
      <c r="E192" s="2">
        <v>25646227</v>
      </c>
      <c r="H192" s="5">
        <v>0.39</v>
      </c>
      <c r="J192">
        <f>18.8+14.5+42.6</f>
        <v>75.900000000000006</v>
      </c>
      <c r="K192">
        <v>27.7</v>
      </c>
      <c r="L192">
        <f>12.8+4.5</f>
        <v>17.3</v>
      </c>
      <c r="M192">
        <f>11.9+6.1</f>
        <v>18</v>
      </c>
      <c r="N192">
        <f>5.7+4.4+5+5.4</f>
        <v>20.5</v>
      </c>
      <c r="O192">
        <f>5.1+5.2+4.6+4.7</f>
        <v>19.600000000000001</v>
      </c>
      <c r="P192">
        <f>4.1+7.7+10.2+11.9</f>
        <v>33.9</v>
      </c>
      <c r="Q192">
        <f>7.9+4.3+4.4+4.9</f>
        <v>21.5</v>
      </c>
    </row>
    <row r="193" spans="1:17" x14ac:dyDescent="0.25">
      <c r="A193" s="1" t="s">
        <v>37</v>
      </c>
      <c r="B193" s="1" t="s">
        <v>10</v>
      </c>
      <c r="C193" s="1">
        <v>2012</v>
      </c>
      <c r="D193" s="1">
        <v>1</v>
      </c>
      <c r="E193" s="2">
        <v>26089620</v>
      </c>
      <c r="F193" s="3">
        <f>E193*0.03</f>
        <v>782688.6</v>
      </c>
      <c r="G193" s="1">
        <f>(24+23)/201</f>
        <v>0.23383084577114427</v>
      </c>
      <c r="H193" s="5">
        <v>0.38</v>
      </c>
      <c r="I193" s="5">
        <v>0.41</v>
      </c>
      <c r="J193">
        <f>10.6+7.9+59.7</f>
        <v>78.2</v>
      </c>
      <c r="K193">
        <v>27.2</v>
      </c>
      <c r="L193">
        <f>12.9+4.6</f>
        <v>17.5</v>
      </c>
      <c r="M193">
        <f>12.5+6.5</f>
        <v>19</v>
      </c>
      <c r="N193">
        <f>5.4+4.2+4.6+4.9</f>
        <v>19.100000000000001</v>
      </c>
      <c r="O193">
        <f>4.7+4.9+4.7+4.5</f>
        <v>18.8</v>
      </c>
      <c r="P193">
        <f>4.1+7.6+9.9+12.3</f>
        <v>33.900000000000006</v>
      </c>
      <c r="Q193">
        <f>8.5+5.1+5+5.4</f>
        <v>24</v>
      </c>
    </row>
    <row r="194" spans="1:17" x14ac:dyDescent="0.25">
      <c r="A194" s="1" t="s">
        <v>37</v>
      </c>
      <c r="B194" s="1" t="s">
        <v>11</v>
      </c>
      <c r="C194" s="1">
        <v>2013</v>
      </c>
      <c r="D194" s="1">
        <v>1</v>
      </c>
      <c r="E194" s="2">
        <v>26489464</v>
      </c>
      <c r="F194" s="3">
        <f>E194*0.03</f>
        <v>794683.91999999993</v>
      </c>
      <c r="H194" s="5">
        <v>0.38</v>
      </c>
      <c r="J194">
        <f>10.5+8.2+60.3</f>
        <v>79</v>
      </c>
      <c r="K194">
        <v>27.2</v>
      </c>
      <c r="L194">
        <f>12.8+4.8</f>
        <v>17.600000000000001</v>
      </c>
      <c r="M194">
        <f>13.2+6.8</f>
        <v>20</v>
      </c>
      <c r="N194">
        <f>5+3.7+4.2+4.5</f>
        <v>17.399999999999999</v>
      </c>
      <c r="O194">
        <f>4.5+4.6+4.4+4.5</f>
        <v>18</v>
      </c>
      <c r="P194">
        <f>4.1+7.6+10.1+12.6</f>
        <v>34.4</v>
      </c>
      <c r="Q194">
        <f>9+5.4+5.6+6.2</f>
        <v>26.2</v>
      </c>
    </row>
    <row r="195" spans="1:17" x14ac:dyDescent="0.25">
      <c r="A195" s="1" t="s">
        <v>37</v>
      </c>
      <c r="B195" s="1" t="s">
        <v>12</v>
      </c>
      <c r="C195" s="1">
        <v>2014</v>
      </c>
      <c r="D195" s="1">
        <v>2</v>
      </c>
      <c r="E195" s="2">
        <v>26977142</v>
      </c>
      <c r="F195" s="3">
        <f>E195*0.04</f>
        <v>1079085.68</v>
      </c>
      <c r="G195" s="5">
        <v>0.56000000000000005</v>
      </c>
      <c r="H195" s="5">
        <v>0.39</v>
      </c>
      <c r="I195" s="5">
        <v>39</v>
      </c>
      <c r="J195">
        <f>10.4+8.3+60.3</f>
        <v>79</v>
      </c>
      <c r="K195">
        <v>27.1</v>
      </c>
      <c r="L195">
        <f>12.8+4.9</f>
        <v>17.700000000000003</v>
      </c>
      <c r="M195">
        <f>13.3+7.2</f>
        <v>20.5</v>
      </c>
      <c r="N195">
        <f>4.7+3.7+4+4.4</f>
        <v>16.8</v>
      </c>
      <c r="O195">
        <f>4.3+4.4+4.3+4.2</f>
        <v>17.2</v>
      </c>
      <c r="P195">
        <f>3.8+7.6+10+12.8</f>
        <v>34.200000000000003</v>
      </c>
      <c r="Q195">
        <f>9.3+5.6+5.9+6.8</f>
        <v>27.6</v>
      </c>
    </row>
    <row r="196" spans="1:17" x14ac:dyDescent="0.25">
      <c r="A196" s="1" t="s">
        <v>37</v>
      </c>
      <c r="B196" s="1" t="s">
        <v>13</v>
      </c>
      <c r="C196" s="1">
        <v>2015</v>
      </c>
      <c r="D196" s="1">
        <v>2</v>
      </c>
      <c r="E196" s="2">
        <v>27486814</v>
      </c>
      <c r="F196" s="3">
        <f>E196*0.04</f>
        <v>1099472.56</v>
      </c>
      <c r="G196" s="5">
        <v>0.67</v>
      </c>
      <c r="H196" s="5">
        <v>0.38</v>
      </c>
      <c r="J196">
        <f>10.3+8.2+60.7</f>
        <v>79.2</v>
      </c>
      <c r="K196">
        <v>27.2</v>
      </c>
      <c r="L196">
        <f>12.5+5</f>
        <v>17.5</v>
      </c>
      <c r="M196">
        <f>13.6+7.2</f>
        <v>20.8</v>
      </c>
      <c r="N196">
        <f>4.4+3.1+3.7+4.4</f>
        <v>15.6</v>
      </c>
      <c r="O196">
        <f>4+4.5+4.1+4.3</f>
        <v>16.899999999999999</v>
      </c>
      <c r="P196">
        <f>4+7.5+10.2+12.9</f>
        <v>34.6</v>
      </c>
      <c r="Q196">
        <f>9.3+5.9+6.5+7.4</f>
        <v>29.1</v>
      </c>
    </row>
    <row r="197" spans="1:17" x14ac:dyDescent="0.25">
      <c r="A197" s="1" t="s">
        <v>37</v>
      </c>
      <c r="B197" s="1" t="s">
        <v>14</v>
      </c>
      <c r="C197" s="1">
        <v>2016</v>
      </c>
      <c r="D197" s="1">
        <v>2</v>
      </c>
      <c r="E197" s="2">
        <v>27937492</v>
      </c>
      <c r="F197" s="3">
        <f>E197*0.04</f>
        <v>1117499.68</v>
      </c>
      <c r="G197" s="5">
        <v>0.56999999999999995</v>
      </c>
      <c r="H197" s="5">
        <v>0.33</v>
      </c>
      <c r="I197" s="5">
        <v>0.43</v>
      </c>
      <c r="J197">
        <f>10.5+8.5+61.1</f>
        <v>80.099999999999994</v>
      </c>
      <c r="K197">
        <v>26.8</v>
      </c>
      <c r="L197">
        <f>12.6+5.2</f>
        <v>17.8</v>
      </c>
      <c r="M197">
        <f>14.1+7.5</f>
        <v>21.6</v>
      </c>
      <c r="N197">
        <f>4.4+3.2+3.5+4.1</f>
        <v>15.200000000000001</v>
      </c>
      <c r="O197">
        <f>4+4.3+4+4.1</f>
        <v>16.399999999999999</v>
      </c>
      <c r="P197">
        <f>3.7+7.5+10+12.8</f>
        <v>34</v>
      </c>
      <c r="Q197">
        <f>9.6+6+6.7+8.1</f>
        <v>30.4</v>
      </c>
    </row>
    <row r="198" spans="1:17" x14ac:dyDescent="0.25">
      <c r="A198" s="1" t="s">
        <v>37</v>
      </c>
      <c r="B198" s="1" t="s">
        <v>15</v>
      </c>
      <c r="C198" s="1">
        <v>2017</v>
      </c>
      <c r="D198" s="1">
        <v>2</v>
      </c>
      <c r="E198" s="2">
        <v>28322717</v>
      </c>
      <c r="F198" s="3">
        <v>858000</v>
      </c>
      <c r="G198" s="5">
        <v>0.64</v>
      </c>
      <c r="J198">
        <f>10.4+8.8+61.2</f>
        <v>80.400000000000006</v>
      </c>
      <c r="K198">
        <v>26.6</v>
      </c>
      <c r="L198">
        <f>12.4+5.4</f>
        <v>17.8</v>
      </c>
      <c r="M198">
        <f>14.5+7.9</f>
        <v>22.4</v>
      </c>
      <c r="N198">
        <f>4.3+2.8+3.2+3.8</f>
        <v>14.100000000000001</v>
      </c>
      <c r="O198">
        <f>3.7+4.1+3.9+3.9</f>
        <v>15.6</v>
      </c>
      <c r="P198">
        <f>3.6+7.2+10+13.3</f>
        <v>34.1</v>
      </c>
      <c r="Q198">
        <f>10+6.4+7.2+8.5</f>
        <v>32.099999999999994</v>
      </c>
    </row>
    <row r="199" spans="1:17" x14ac:dyDescent="0.25">
      <c r="A199" s="1" t="s">
        <v>37</v>
      </c>
      <c r="B199" s="1" t="s">
        <v>16</v>
      </c>
      <c r="C199" s="1">
        <v>2018</v>
      </c>
      <c r="D199" s="1">
        <v>4</v>
      </c>
      <c r="E199" s="2">
        <v>28701845</v>
      </c>
      <c r="F199" s="4">
        <v>873454</v>
      </c>
      <c r="G199" s="5">
        <v>0.66</v>
      </c>
      <c r="I199">
        <v>42.5</v>
      </c>
    </row>
    <row r="200" spans="1:17" x14ac:dyDescent="0.25">
      <c r="A200" s="1" t="s">
        <v>38</v>
      </c>
      <c r="B200" s="1" t="s">
        <v>8</v>
      </c>
      <c r="C200" s="1">
        <v>2010</v>
      </c>
      <c r="D200" s="1">
        <v>2</v>
      </c>
      <c r="E200" s="2">
        <v>8023680</v>
      </c>
      <c r="F200" s="2">
        <v>14243</v>
      </c>
      <c r="G200" s="1">
        <f>(51+72)/458</f>
        <v>0.26855895196506552</v>
      </c>
      <c r="H200" s="5">
        <v>0.33</v>
      </c>
      <c r="I200" s="5">
        <v>41.6</v>
      </c>
      <c r="J200">
        <f>17.1+44.3+15.2</f>
        <v>76.599999999999994</v>
      </c>
      <c r="K200">
        <v>26.5</v>
      </c>
      <c r="L200">
        <f>11.9+4.9</f>
        <v>16.8</v>
      </c>
      <c r="M200">
        <f>15.3+10.6</f>
        <v>25.9</v>
      </c>
      <c r="N200">
        <f>4+3+3.3+3.5</f>
        <v>13.8</v>
      </c>
      <c r="O200">
        <f>3.6+4+3.7+3.8</f>
        <v>15.100000000000001</v>
      </c>
      <c r="P200">
        <f>3.9+7+9.8+13.8</f>
        <v>34.5</v>
      </c>
      <c r="Q200">
        <f>10.1+7+8.2+8.3</f>
        <v>33.6</v>
      </c>
    </row>
    <row r="201" spans="1:17" x14ac:dyDescent="0.25">
      <c r="A201" s="1" t="s">
        <v>38</v>
      </c>
      <c r="B201" s="1" t="s">
        <v>9</v>
      </c>
      <c r="C201" s="1">
        <v>2011</v>
      </c>
      <c r="D201" s="1">
        <v>2</v>
      </c>
      <c r="E201" s="2">
        <v>8100469</v>
      </c>
      <c r="H201" s="5">
        <v>0.34</v>
      </c>
      <c r="J201">
        <f>18.7+41+15.4</f>
        <v>75.100000000000009</v>
      </c>
      <c r="K201">
        <v>27.6</v>
      </c>
      <c r="L201">
        <f>12.5+5.1</f>
        <v>17.600000000000001</v>
      </c>
      <c r="M201">
        <f>14.7+10.3</f>
        <v>25</v>
      </c>
      <c r="N201">
        <f>4.2+3.1+3.3+3.5</f>
        <v>14.100000000000001</v>
      </c>
      <c r="O201">
        <f>3.7+3.9+3.6+3.8</f>
        <v>15</v>
      </c>
      <c r="P201">
        <f>3.7+7.1+9.8+13.2</f>
        <v>33.799999999999997</v>
      </c>
      <c r="Q201">
        <f>9.5+6.1+7.4+7.9</f>
        <v>30.9</v>
      </c>
    </row>
    <row r="202" spans="1:17" x14ac:dyDescent="0.25">
      <c r="A202" s="1" t="s">
        <v>38</v>
      </c>
      <c r="B202" s="1" t="s">
        <v>10</v>
      </c>
      <c r="C202" s="1">
        <v>2012</v>
      </c>
      <c r="D202" s="1">
        <v>2</v>
      </c>
      <c r="E202" s="2">
        <v>8185229</v>
      </c>
      <c r="F202" s="3">
        <f>E202*0.03</f>
        <v>245556.87</v>
      </c>
      <c r="G202" s="1">
        <f>(44+63)/423</f>
        <v>0.25295508274231676</v>
      </c>
      <c r="H202" s="5">
        <v>0.33</v>
      </c>
      <c r="I202" s="5">
        <v>0.51</v>
      </c>
      <c r="J202">
        <f>18.6+37.8+13.4</f>
        <v>69.8</v>
      </c>
      <c r="K202">
        <v>26.9</v>
      </c>
      <c r="L202">
        <f>12.1+5.2</f>
        <v>17.3</v>
      </c>
      <c r="M202">
        <f>15.4+11.3</f>
        <v>26.700000000000003</v>
      </c>
      <c r="N202">
        <f>3.9+2.7+3.1+3.2</f>
        <v>12.899999999999999</v>
      </c>
      <c r="O202">
        <f>3.2+3.4+3.6+3.6</f>
        <v>13.799999999999999</v>
      </c>
      <c r="P202">
        <f>3.4+6.8+9.4+13.3</f>
        <v>32.900000000000006</v>
      </c>
      <c r="Q202">
        <f>9.7+7+8.3+9.6</f>
        <v>34.6</v>
      </c>
    </row>
    <row r="203" spans="1:17" x14ac:dyDescent="0.25">
      <c r="A203" s="1" t="s">
        <v>38</v>
      </c>
      <c r="B203" s="1" t="s">
        <v>11</v>
      </c>
      <c r="C203" s="1">
        <v>2013</v>
      </c>
      <c r="D203" s="1">
        <v>2</v>
      </c>
      <c r="E203" s="2">
        <v>8253053</v>
      </c>
      <c r="F203" s="3">
        <f>E203*0.03</f>
        <v>247591.59</v>
      </c>
      <c r="H203" s="5">
        <v>0.35</v>
      </c>
      <c r="J203">
        <f>18.4+38.3+13.7</f>
        <v>70.399999999999991</v>
      </c>
      <c r="K203">
        <v>26.6</v>
      </c>
      <c r="L203">
        <f>12+5.4</f>
        <v>17.399999999999999</v>
      </c>
      <c r="M203">
        <f>16+11.7</f>
        <v>27.7</v>
      </c>
      <c r="N203">
        <f>3.7+2.6+2.9+3</f>
        <v>12.200000000000001</v>
      </c>
      <c r="O203">
        <f>3.1+3.3+3.3+3.7</f>
        <v>13.399999999999999</v>
      </c>
      <c r="P203">
        <f>3.3+6.7+9.4+12.7</f>
        <v>32.099999999999994</v>
      </c>
      <c r="Q203">
        <f>10.3+6.9+8.8+10.9</f>
        <v>36.900000000000006</v>
      </c>
    </row>
    <row r="204" spans="1:17" x14ac:dyDescent="0.25">
      <c r="A204" s="1" t="s">
        <v>38</v>
      </c>
      <c r="B204" s="1" t="s">
        <v>12</v>
      </c>
      <c r="C204" s="1">
        <v>2014</v>
      </c>
      <c r="D204" s="1">
        <v>2</v>
      </c>
      <c r="E204" s="2">
        <v>8312076</v>
      </c>
      <c r="F204" s="3">
        <f>E204*0.03</f>
        <v>249362.28</v>
      </c>
      <c r="G204" s="5">
        <v>0.61</v>
      </c>
      <c r="H204" s="5">
        <v>0.35</v>
      </c>
      <c r="I204" s="5">
        <v>49</v>
      </c>
      <c r="J204">
        <f>18.6+38.7+13.6</f>
        <v>70.900000000000006</v>
      </c>
      <c r="K204">
        <v>26.5</v>
      </c>
      <c r="L204">
        <f>12.1+5.4</f>
        <v>17.5</v>
      </c>
      <c r="M204">
        <f>16+12.1</f>
        <v>28.1</v>
      </c>
      <c r="N204">
        <f>3.7+2.7+2.6+3.1</f>
        <v>12.1</v>
      </c>
      <c r="O204">
        <f>3+3.2+3.2+3.4</f>
        <v>12.8</v>
      </c>
      <c r="P204">
        <f>3.3+6.8+9+13.4</f>
        <v>32.5</v>
      </c>
      <c r="Q204">
        <f>10.3+7.3+8.6+11.4</f>
        <v>37.6</v>
      </c>
    </row>
    <row r="205" spans="1:17" x14ac:dyDescent="0.25">
      <c r="A205" s="1" t="s">
        <v>38</v>
      </c>
      <c r="B205" s="1" t="s">
        <v>13</v>
      </c>
      <c r="C205" s="1">
        <v>2015</v>
      </c>
      <c r="D205" s="1">
        <v>3</v>
      </c>
      <c r="E205" s="2">
        <v>8362907</v>
      </c>
      <c r="F205" s="3">
        <f>E205*0.04</f>
        <v>334516.28000000003</v>
      </c>
      <c r="G205" s="5">
        <v>0.67</v>
      </c>
      <c r="H205" s="5">
        <v>0.32</v>
      </c>
      <c r="J205">
        <f>18.7+38.5+13.7</f>
        <v>70.900000000000006</v>
      </c>
      <c r="K205">
        <v>26.5</v>
      </c>
      <c r="L205">
        <f>11.9+5.5</f>
        <v>17.399999999999999</v>
      </c>
      <c r="M205">
        <f>16.6+12.2</f>
        <v>28.8</v>
      </c>
      <c r="N205">
        <f>3.5+2.4+2.6+3</f>
        <v>11.5</v>
      </c>
      <c r="O205">
        <f>3+3.3+3.2+3.5</f>
        <v>13</v>
      </c>
      <c r="P205">
        <f>3.1+6.6+9.1+13.3</f>
        <v>32.099999999999994</v>
      </c>
      <c r="Q205">
        <f>10.5+7.2+9.1+11.5</f>
        <v>38.299999999999997</v>
      </c>
    </row>
    <row r="206" spans="1:17" x14ac:dyDescent="0.25">
      <c r="A206" s="1" t="s">
        <v>38</v>
      </c>
      <c r="B206" s="1" t="s">
        <v>14</v>
      </c>
      <c r="C206" s="1">
        <v>2016</v>
      </c>
      <c r="D206" s="1">
        <v>3</v>
      </c>
      <c r="E206" s="2">
        <v>8410946</v>
      </c>
      <c r="F206" s="3">
        <f>E206*0.03</f>
        <v>252328.38</v>
      </c>
      <c r="G206" s="5">
        <v>0.57999999999999996</v>
      </c>
      <c r="H206" s="5">
        <v>0.3</v>
      </c>
      <c r="I206" s="5">
        <v>0.5</v>
      </c>
      <c r="J206">
        <f>18.5+38.8+13.6</f>
        <v>70.899999999999991</v>
      </c>
      <c r="K206">
        <v>26.1</v>
      </c>
      <c r="L206">
        <f>11.6+5.6</f>
        <v>17.2</v>
      </c>
      <c r="M206">
        <f>17.1+12.7</f>
        <v>29.8</v>
      </c>
      <c r="N206">
        <f>3.3+2.3+2.6+2.7</f>
        <v>10.899999999999999</v>
      </c>
      <c r="O206">
        <f>2.7+3.3+2.9+3.2</f>
        <v>12.100000000000001</v>
      </c>
      <c r="P206">
        <f>3+6.4+9.1+13</f>
        <v>31.5</v>
      </c>
      <c r="Q206">
        <f>10.3+7.8+9.6+13</f>
        <v>40.700000000000003</v>
      </c>
    </row>
    <row r="207" spans="1:17" x14ac:dyDescent="0.25">
      <c r="A207" s="1" t="s">
        <v>38</v>
      </c>
      <c r="B207" s="1" t="s">
        <v>15</v>
      </c>
      <c r="C207" s="1">
        <v>2017</v>
      </c>
      <c r="D207" s="1">
        <v>5</v>
      </c>
      <c r="E207" s="2">
        <v>8465207</v>
      </c>
      <c r="F207" s="3">
        <v>257000</v>
      </c>
      <c r="G207" s="5">
        <v>0.69</v>
      </c>
      <c r="J207">
        <f>18.7+39.1+13.6</f>
        <v>71.399999999999991</v>
      </c>
      <c r="K207">
        <v>25.6</v>
      </c>
      <c r="L207">
        <f>11.3+5.9</f>
        <v>17.200000000000003</v>
      </c>
      <c r="M207">
        <f>13.3+17.2</f>
        <v>30.5</v>
      </c>
      <c r="N207">
        <f>3.2+2.1+2.2+2.6</f>
        <v>10.100000000000001</v>
      </c>
      <c r="O207">
        <f>2.7+2.8+3+3</f>
        <v>11.5</v>
      </c>
      <c r="P207">
        <f>2.9+6+9+13.3</f>
        <v>31.2</v>
      </c>
      <c r="Q207">
        <f>10.9+7.7+10.2+13.4</f>
        <v>42.2</v>
      </c>
    </row>
    <row r="208" spans="1:17" x14ac:dyDescent="0.25">
      <c r="A208" s="1" t="s">
        <v>38</v>
      </c>
      <c r="B208" s="1" t="s">
        <v>16</v>
      </c>
      <c r="C208" s="1">
        <v>2018</v>
      </c>
      <c r="D208" s="1">
        <v>5</v>
      </c>
      <c r="E208" s="2">
        <v>8517685</v>
      </c>
      <c r="F208" s="4">
        <v>259268</v>
      </c>
      <c r="G208" s="5">
        <v>0.68</v>
      </c>
      <c r="I208">
        <v>57.1</v>
      </c>
    </row>
    <row r="209" spans="1:17" x14ac:dyDescent="0.25">
      <c r="A209" s="1" t="s">
        <v>39</v>
      </c>
      <c r="B209" s="1" t="s">
        <v>8</v>
      </c>
      <c r="C209" s="1">
        <v>2010</v>
      </c>
      <c r="D209" s="1">
        <v>0</v>
      </c>
      <c r="E209" s="2">
        <v>1854214</v>
      </c>
      <c r="F209" s="2">
        <v>2848</v>
      </c>
      <c r="G209" s="1">
        <f>(51+72)/458</f>
        <v>0.26855895196506552</v>
      </c>
      <c r="H209" s="5">
        <v>0.35</v>
      </c>
      <c r="I209" s="5">
        <v>45.1</v>
      </c>
      <c r="J209" s="5">
        <v>0</v>
      </c>
      <c r="K209" s="5">
        <v>39.1</v>
      </c>
      <c r="L209">
        <f>11.1+4.5</f>
        <v>15.6</v>
      </c>
      <c r="M209">
        <f>8.7+5.2</f>
        <v>13.899999999999999</v>
      </c>
      <c r="N209">
        <f>6.6+5.9+6.5+6.3</f>
        <v>25.3</v>
      </c>
      <c r="O209">
        <f>5.9+5.9+5+5.1</f>
        <v>21.9</v>
      </c>
      <c r="P209">
        <f>5.5+8.1+11+12.2</f>
        <v>36.799999999999997</v>
      </c>
      <c r="Q209">
        <f>6.4+2.8+1.7+2.4</f>
        <v>13.299999999999999</v>
      </c>
    </row>
    <row r="210" spans="1:17" x14ac:dyDescent="0.25">
      <c r="A210" s="1" t="s">
        <v>39</v>
      </c>
      <c r="B210" s="1" t="s">
        <v>9</v>
      </c>
      <c r="C210" s="1">
        <v>2011</v>
      </c>
      <c r="D210" s="1">
        <v>0</v>
      </c>
      <c r="E210" s="2">
        <v>1856074</v>
      </c>
      <c r="F210" s="2"/>
      <c r="H210" s="5">
        <v>0.37</v>
      </c>
      <c r="J210">
        <v>0</v>
      </c>
      <c r="K210" s="5">
        <v>39.5</v>
      </c>
      <c r="L210">
        <f>11.1+4.8</f>
        <v>15.899999999999999</v>
      </c>
      <c r="M210">
        <f>8.8+5.3</f>
        <v>14.100000000000001</v>
      </c>
      <c r="N210">
        <f>7.7+5.8+5.9+5.8</f>
        <v>25.2</v>
      </c>
      <c r="O210">
        <f>5.8+5.5+5+5.2</f>
        <v>21.5</v>
      </c>
      <c r="P210">
        <f>4.3+7.7+9.8+11.6</f>
        <v>33.4</v>
      </c>
      <c r="Q210">
        <f>6.4+3.3+2.5+2.4</f>
        <v>14.6</v>
      </c>
    </row>
    <row r="211" spans="1:17" x14ac:dyDescent="0.25">
      <c r="A211" s="1" t="s">
        <v>39</v>
      </c>
      <c r="B211" s="1" t="s">
        <v>10</v>
      </c>
      <c r="C211" s="1">
        <v>2012</v>
      </c>
      <c r="D211" s="1">
        <v>1</v>
      </c>
      <c r="E211" s="2">
        <v>1856764</v>
      </c>
      <c r="F211" s="3">
        <f>E211*0.03</f>
        <v>55702.92</v>
      </c>
      <c r="G211" s="1">
        <f>(44+63)/423</f>
        <v>0.25295508274231676</v>
      </c>
      <c r="H211" s="5">
        <v>0.35</v>
      </c>
      <c r="I211" s="5">
        <v>0.36</v>
      </c>
      <c r="J211" s="5">
        <v>17.8</v>
      </c>
      <c r="K211" s="5">
        <v>39.6</v>
      </c>
      <c r="L211">
        <f>11.2+4.7</f>
        <v>15.899999999999999</v>
      </c>
      <c r="M211">
        <f>8.5+5.5</f>
        <v>14</v>
      </c>
      <c r="N211">
        <f>6.8+5.3+5.9+5.6</f>
        <v>23.6</v>
      </c>
      <c r="O211">
        <f>5.1+5.4+5+4.8</f>
        <v>20.3</v>
      </c>
      <c r="P211">
        <f>4.8+8.6+9.7+12.6</f>
        <v>35.699999999999996</v>
      </c>
      <c r="Q211">
        <f>6.5+3.3+2.9+2.8</f>
        <v>15.5</v>
      </c>
    </row>
    <row r="212" spans="1:17" x14ac:dyDescent="0.25">
      <c r="A212" s="1" t="s">
        <v>39</v>
      </c>
      <c r="B212" s="1" t="s">
        <v>11</v>
      </c>
      <c r="C212" s="1">
        <v>2013</v>
      </c>
      <c r="D212" s="1">
        <v>1</v>
      </c>
      <c r="E212" s="2">
        <v>1853873</v>
      </c>
      <c r="F212" s="3">
        <f>E212*0.03</f>
        <v>55616.189999999995</v>
      </c>
      <c r="H212" s="5">
        <v>0.35</v>
      </c>
      <c r="J212">
        <v>17.7</v>
      </c>
      <c r="K212" s="5">
        <v>39.200000000000003</v>
      </c>
      <c r="L212">
        <f>11.2+5</f>
        <v>16.2</v>
      </c>
      <c r="M212">
        <f>9+5.8</f>
        <v>14.8</v>
      </c>
      <c r="N212">
        <f>6.7+5.1+5+6</f>
        <v>22.8</v>
      </c>
      <c r="O212">
        <f>4.9+5.3+5.2+5</f>
        <v>20.399999999999999</v>
      </c>
      <c r="P212">
        <f>4.8+7.8+10.3+11.9</f>
        <v>34.799999999999997</v>
      </c>
      <c r="Q212">
        <f>7.5+3.9+3+2.7</f>
        <v>17.100000000000001</v>
      </c>
    </row>
    <row r="213" spans="1:17" x14ac:dyDescent="0.25">
      <c r="A213" s="1" t="s">
        <v>39</v>
      </c>
      <c r="B213" s="1" t="s">
        <v>12</v>
      </c>
      <c r="C213" s="1">
        <v>2014</v>
      </c>
      <c r="D213" s="1">
        <v>1</v>
      </c>
      <c r="E213" s="2">
        <v>1849467</v>
      </c>
      <c r="F213" s="3">
        <f>E213*0.03</f>
        <v>55484.009999999995</v>
      </c>
      <c r="G213" s="5">
        <v>0.45</v>
      </c>
      <c r="H213" s="5">
        <v>0.33</v>
      </c>
      <c r="I213" s="5">
        <v>34</v>
      </c>
      <c r="J213" s="5">
        <v>17.3</v>
      </c>
      <c r="K213" s="5">
        <v>40</v>
      </c>
      <c r="L213">
        <f>11.4+4.6</f>
        <v>16</v>
      </c>
      <c r="M213">
        <f>9.1+6</f>
        <v>15.1</v>
      </c>
      <c r="N213">
        <f>6.9+5.1+5.2+5.5</f>
        <v>22.7</v>
      </c>
      <c r="O213">
        <f>5.2+5.1+5.1+4.7</f>
        <v>20.100000000000001</v>
      </c>
      <c r="P213">
        <f>4.3+8.5+10.2+12.3</f>
        <v>35.299999999999997</v>
      </c>
      <c r="Q213">
        <f>6.8+4+2.9+3.4</f>
        <v>17.100000000000001</v>
      </c>
    </row>
    <row r="214" spans="1:17" x14ac:dyDescent="0.25">
      <c r="A214" s="1" t="s">
        <v>39</v>
      </c>
      <c r="B214" s="1" t="s">
        <v>13</v>
      </c>
      <c r="C214" s="1">
        <v>2015</v>
      </c>
      <c r="D214" s="1">
        <v>1</v>
      </c>
      <c r="E214" s="2">
        <v>1841996</v>
      </c>
      <c r="F214" s="3">
        <f>E214*0.03</f>
        <v>55259.88</v>
      </c>
      <c r="G214" s="5">
        <v>0.6</v>
      </c>
      <c r="H214" s="5">
        <v>0.37</v>
      </c>
      <c r="J214">
        <v>17.600000000000001</v>
      </c>
      <c r="K214" s="5">
        <v>39.6</v>
      </c>
      <c r="L214">
        <f>11.4+5.2</f>
        <v>16.600000000000001</v>
      </c>
      <c r="M214">
        <f>9.3+6.2</f>
        <v>15.5</v>
      </c>
      <c r="N214">
        <f>6+4.7+5.2+5.2</f>
        <v>21.099999999999998</v>
      </c>
      <c r="O214">
        <f>4.6+5+5.1+5</f>
        <v>19.7</v>
      </c>
      <c r="P214">
        <f>4.8+8.1+10.7+12.5</f>
        <v>36.099999999999994</v>
      </c>
      <c r="Q214">
        <f>7.3+3.8+3.5+3.3</f>
        <v>17.899999999999999</v>
      </c>
    </row>
    <row r="215" spans="1:17" x14ac:dyDescent="0.25">
      <c r="A215" s="1" t="s">
        <v>39</v>
      </c>
      <c r="B215" s="1" t="s">
        <v>14</v>
      </c>
      <c r="C215" s="1">
        <v>2016</v>
      </c>
      <c r="D215" s="1">
        <v>0</v>
      </c>
      <c r="E215" s="2">
        <v>1830929</v>
      </c>
      <c r="F215" s="3">
        <f>E215*0.03</f>
        <v>54927.869999999995</v>
      </c>
      <c r="G215" s="5">
        <v>0.52</v>
      </c>
      <c r="H215" s="5">
        <v>0.34</v>
      </c>
      <c r="I215" s="5">
        <v>0.26</v>
      </c>
      <c r="J215" s="5">
        <v>17.2</v>
      </c>
      <c r="K215" s="5">
        <v>38.4</v>
      </c>
      <c r="L215">
        <f>10.9+5.7</f>
        <v>16.600000000000001</v>
      </c>
      <c r="M215">
        <f>10.2+6.7</f>
        <v>16.899999999999999</v>
      </c>
      <c r="N215">
        <f>6.1+4.4+4.7+5.4</f>
        <v>20.6</v>
      </c>
      <c r="O215">
        <f>4.9+5.4+4.9+4.6</f>
        <v>19.8</v>
      </c>
      <c r="P215">
        <f>4.2+8.2+10.4+12.2</f>
        <v>35</v>
      </c>
      <c r="Q215">
        <f>8.2+4.4+3.6+3.5</f>
        <v>19.7</v>
      </c>
    </row>
    <row r="216" spans="1:17" x14ac:dyDescent="0.25">
      <c r="A216" s="1" t="s">
        <v>39</v>
      </c>
      <c r="B216" s="1" t="s">
        <v>15</v>
      </c>
      <c r="C216" s="1">
        <v>2017</v>
      </c>
      <c r="D216" s="1">
        <v>0</v>
      </c>
      <c r="E216" s="2">
        <v>1817048</v>
      </c>
      <c r="F216" s="3">
        <v>58000</v>
      </c>
      <c r="G216" s="5">
        <v>0.61</v>
      </c>
      <c r="J216">
        <v>17.899999999999999</v>
      </c>
      <c r="K216" s="5">
        <v>39.5</v>
      </c>
      <c r="L216">
        <f>11+5.6</f>
        <v>16.600000000000001</v>
      </c>
      <c r="M216">
        <f>10+6.5</f>
        <v>16.5</v>
      </c>
      <c r="N216">
        <f>6.5+4.3+4.8+5.4</f>
        <v>21</v>
      </c>
      <c r="O216">
        <f>4.6+5.1+4.2+4.8</f>
        <v>18.7</v>
      </c>
      <c r="P216">
        <f>3.9+7.9+10.5+12.8</f>
        <v>35.1</v>
      </c>
      <c r="Q216">
        <f>8.3+4.5+4+3.3</f>
        <v>20.100000000000001</v>
      </c>
    </row>
    <row r="217" spans="1:17" x14ac:dyDescent="0.25">
      <c r="A217" s="1" t="s">
        <v>39</v>
      </c>
      <c r="B217" s="1" t="s">
        <v>16</v>
      </c>
      <c r="C217" s="1">
        <v>2018</v>
      </c>
      <c r="D217" s="1">
        <v>1</v>
      </c>
      <c r="E217" s="2">
        <v>1805832</v>
      </c>
      <c r="F217" s="4">
        <v>57667</v>
      </c>
      <c r="G217" s="5">
        <v>0.63</v>
      </c>
      <c r="I217">
        <v>49.6</v>
      </c>
    </row>
    <row r="218" spans="1:17" x14ac:dyDescent="0.25">
      <c r="A218" s="1" t="s">
        <v>40</v>
      </c>
      <c r="B218" s="1" t="s">
        <v>8</v>
      </c>
      <c r="C218" s="1">
        <v>2010</v>
      </c>
      <c r="E218" s="2">
        <v>564483</v>
      </c>
      <c r="F218" s="2">
        <v>657</v>
      </c>
      <c r="G218" s="1">
        <f>(19+16)/125</f>
        <v>0.28000000000000003</v>
      </c>
      <c r="H218" s="5">
        <v>0.27</v>
      </c>
      <c r="I218" s="5">
        <v>25.1</v>
      </c>
      <c r="J218" s="5">
        <v>0</v>
      </c>
      <c r="K218" s="5">
        <v>31.9</v>
      </c>
      <c r="L218">
        <f>14.7+7.6</f>
        <v>22.299999999999997</v>
      </c>
      <c r="M218">
        <f>11.3+6.1</f>
        <v>17.399999999999999</v>
      </c>
      <c r="N218">
        <f>3.6+3.2+3.1+3.8</f>
        <v>13.7</v>
      </c>
      <c r="O218">
        <f>4.1+4.6+3.9+3.9</f>
        <v>16.5</v>
      </c>
      <c r="P218">
        <f>4.6+10.1+12.6+16.5</f>
        <v>43.8</v>
      </c>
      <c r="Q218">
        <f>11.7+4.4+4.5+2.9</f>
        <v>23.5</v>
      </c>
    </row>
    <row r="219" spans="1:17" x14ac:dyDescent="0.25">
      <c r="A219" s="1" t="s">
        <v>40</v>
      </c>
      <c r="B219" s="1" t="s">
        <v>9</v>
      </c>
      <c r="C219" s="1">
        <v>2011</v>
      </c>
      <c r="E219" s="2">
        <v>567224</v>
      </c>
      <c r="H219" s="5">
        <v>0.28000000000000003</v>
      </c>
      <c r="J219" s="5">
        <v>0</v>
      </c>
      <c r="K219" s="5">
        <v>32.5</v>
      </c>
      <c r="L219">
        <f>15+7.2</f>
        <v>22.2</v>
      </c>
      <c r="M219">
        <f>7.2+11.3</f>
        <v>18.5</v>
      </c>
      <c r="N219">
        <f>3.4+2.7+3.6+5.6</f>
        <v>15.299999999999999</v>
      </c>
      <c r="O219">
        <f>4.9+4.3+4.5+4.2</f>
        <v>17.899999999999999</v>
      </c>
      <c r="P219">
        <f>3.4+8.7+11.6+16.7</f>
        <v>40.4</v>
      </c>
      <c r="Q219">
        <f>10.8+6.4+3.3+2.8</f>
        <v>23.300000000000004</v>
      </c>
    </row>
    <row r="220" spans="1:17" x14ac:dyDescent="0.25">
      <c r="A220" s="1" t="s">
        <v>40</v>
      </c>
      <c r="B220" s="1" t="s">
        <v>10</v>
      </c>
      <c r="C220" s="1">
        <v>2012</v>
      </c>
      <c r="E220" s="2">
        <v>576270</v>
      </c>
      <c r="F220" s="3">
        <f>E220*0.03</f>
        <v>17288.099999999999</v>
      </c>
      <c r="G220" s="1">
        <f>(27+22)/148</f>
        <v>0.33108108108108109</v>
      </c>
      <c r="H220" s="5">
        <v>0.25</v>
      </c>
      <c r="I220">
        <v>0.28000000000000003</v>
      </c>
      <c r="J220" s="5">
        <v>0</v>
      </c>
      <c r="K220" s="5">
        <v>32.299999999999997</v>
      </c>
      <c r="L220">
        <f>14.2+7</f>
        <v>21.2</v>
      </c>
      <c r="M220">
        <f>12+5.8</f>
        <v>17.8</v>
      </c>
      <c r="N220">
        <f>3.6+3.3+3.4+4.4</f>
        <v>14.700000000000001</v>
      </c>
      <c r="O220">
        <f>3.9+4.2+5.2+4.4</f>
        <v>17.700000000000003</v>
      </c>
      <c r="P220">
        <f>4+9.5+11.3+17</f>
        <v>41.8</v>
      </c>
      <c r="Q220">
        <f>10.4+4.9+4.9+2.7</f>
        <v>22.900000000000002</v>
      </c>
    </row>
    <row r="221" spans="1:17" x14ac:dyDescent="0.25">
      <c r="A221" s="1" t="s">
        <v>40</v>
      </c>
      <c r="B221" s="1" t="s">
        <v>11</v>
      </c>
      <c r="C221" s="1">
        <v>2013</v>
      </c>
      <c r="E221" s="2">
        <v>582123</v>
      </c>
      <c r="F221" s="3">
        <f>E221*0.03</f>
        <v>17463.689999999999</v>
      </c>
      <c r="H221" s="5">
        <v>0.27</v>
      </c>
      <c r="J221" s="5">
        <v>0</v>
      </c>
      <c r="K221" s="5">
        <v>30.1</v>
      </c>
      <c r="L221">
        <f>16+7.5</f>
        <v>23.5</v>
      </c>
      <c r="M221">
        <f>12.3+5.9</f>
        <v>18.200000000000003</v>
      </c>
      <c r="N221">
        <f>3.2+2.5+2.9+3.8</f>
        <v>12.399999999999999</v>
      </c>
      <c r="O221">
        <f>3.5+4.5+3.7+4.4</f>
        <v>16.100000000000001</v>
      </c>
      <c r="P221">
        <f>4.5+7.7+11.7+16.3</f>
        <v>40.200000000000003</v>
      </c>
      <c r="Q221">
        <f>12.9+6+5.2+4</f>
        <v>28.099999999999998</v>
      </c>
    </row>
    <row r="222" spans="1:17" x14ac:dyDescent="0.25">
      <c r="A222" s="1" t="s">
        <v>40</v>
      </c>
      <c r="B222" s="1" t="s">
        <v>12</v>
      </c>
      <c r="C222" s="1">
        <v>2014</v>
      </c>
      <c r="E222" s="2">
        <v>582548</v>
      </c>
      <c r="F222" s="3">
        <f>E222*0.04</f>
        <v>23301.920000000002</v>
      </c>
      <c r="G222" s="1">
        <v>0.53</v>
      </c>
      <c r="H222" s="5">
        <v>0.27</v>
      </c>
      <c r="I222" s="5">
        <v>29</v>
      </c>
      <c r="J222" s="5">
        <v>0</v>
      </c>
      <c r="K222" s="5">
        <v>31.4</v>
      </c>
      <c r="L222">
        <f>14.6+8</f>
        <v>22.6</v>
      </c>
      <c r="M222">
        <f>11.9+6</f>
        <v>17.899999999999999</v>
      </c>
      <c r="N222">
        <f>3.2+2.8+3.5+4.6</f>
        <v>14.1</v>
      </c>
      <c r="O222">
        <f>4.1+3.6+3+4.3</f>
        <v>15</v>
      </c>
      <c r="P222">
        <f>4.4+7.8+10.8+16.9</f>
        <v>39.9</v>
      </c>
      <c r="Q222">
        <f>12.5+6+6.1+3.3</f>
        <v>27.900000000000002</v>
      </c>
    </row>
    <row r="223" spans="1:17" x14ac:dyDescent="0.25">
      <c r="A223" s="1" t="s">
        <v>40</v>
      </c>
      <c r="B223" s="1" t="s">
        <v>13</v>
      </c>
      <c r="C223" s="1">
        <v>2015</v>
      </c>
      <c r="E223" s="2">
        <v>585668</v>
      </c>
      <c r="F223" s="3">
        <f>E223*0.04</f>
        <v>23426.720000000001</v>
      </c>
      <c r="G223" s="1">
        <v>0.66</v>
      </c>
      <c r="H223" s="5">
        <v>0.24</v>
      </c>
      <c r="J223" s="5">
        <v>0</v>
      </c>
      <c r="K223" s="5">
        <v>30.2</v>
      </c>
      <c r="L223">
        <f>15.1+8.2</f>
        <v>23.299999999999997</v>
      </c>
      <c r="M223">
        <f>13.2+6.2</f>
        <v>19.399999999999999</v>
      </c>
      <c r="N223">
        <f>3.1+2.9+2.8+3.4</f>
        <v>12.200000000000001</v>
      </c>
      <c r="O223">
        <f>3.4+3.9+3.9+3.9</f>
        <v>15.1</v>
      </c>
      <c r="P223">
        <f>4.2+7.3+11.8+16.3</f>
        <v>39.6</v>
      </c>
      <c r="Q223">
        <f>11.3+7.9+5.9+4.8</f>
        <v>29.900000000000002</v>
      </c>
    </row>
    <row r="224" spans="1:17" x14ac:dyDescent="0.25">
      <c r="A224" s="1" t="s">
        <v>40</v>
      </c>
      <c r="B224" s="1" t="s">
        <v>14</v>
      </c>
      <c r="C224" s="1">
        <v>2016</v>
      </c>
      <c r="E224" s="2">
        <v>584290</v>
      </c>
      <c r="F224" s="3">
        <f>E224*0.03</f>
        <v>17528.7</v>
      </c>
      <c r="G224" s="1">
        <v>0.51</v>
      </c>
      <c r="H224" s="5">
        <v>0.28999999999999998</v>
      </c>
      <c r="I224" s="5">
        <v>0.22</v>
      </c>
      <c r="J224" s="5">
        <v>0</v>
      </c>
      <c r="K224" s="5">
        <v>31.3</v>
      </c>
      <c r="L224">
        <f>14.7+8.2</f>
        <v>22.9</v>
      </c>
      <c r="M224">
        <f>11.8+6.8</f>
        <v>18.600000000000001</v>
      </c>
      <c r="N224">
        <f>3.2+3.1+3.2+3.2</f>
        <v>12.7</v>
      </c>
      <c r="O224">
        <f>3.9+3.4+4.5+5.5</f>
        <v>17.3</v>
      </c>
      <c r="P224">
        <f>3.6+7.5+11.6+15.6</f>
        <v>38.299999999999997</v>
      </c>
      <c r="Q224">
        <f>3.8+5.6+6.6+12.3</f>
        <v>28.299999999999997</v>
      </c>
    </row>
    <row r="225" spans="1:17" x14ac:dyDescent="0.25">
      <c r="A225" s="1" t="s">
        <v>40</v>
      </c>
      <c r="B225" s="1" t="s">
        <v>15</v>
      </c>
      <c r="C225" s="1">
        <v>2017</v>
      </c>
      <c r="E225" s="2">
        <v>578934</v>
      </c>
      <c r="F225" s="3">
        <v>15000</v>
      </c>
      <c r="G225" s="5">
        <v>0.66</v>
      </c>
      <c r="J225" s="5">
        <v>0</v>
      </c>
      <c r="K225" s="5">
        <v>29.8</v>
      </c>
      <c r="L225">
        <f>13.9+7.8</f>
        <v>21.7</v>
      </c>
      <c r="M225">
        <f>12.3+7.3</f>
        <v>19.600000000000001</v>
      </c>
      <c r="N225">
        <f>3.6+2.5+3.5+3</f>
        <v>12.6</v>
      </c>
      <c r="O225">
        <f>3.3+4.1+4+3.5</f>
        <v>14.899999999999999</v>
      </c>
      <c r="P225">
        <f>3.8+8.8+11.6+15.5</f>
        <v>39.700000000000003</v>
      </c>
      <c r="Q225">
        <f>4.3+5.6+7.1+12.8</f>
        <v>29.8</v>
      </c>
    </row>
    <row r="226" spans="1:17" x14ac:dyDescent="0.25">
      <c r="A226" s="1" t="s">
        <v>40</v>
      </c>
      <c r="B226" s="1" t="s">
        <v>16</v>
      </c>
      <c r="C226" s="1">
        <v>2018</v>
      </c>
      <c r="E226" s="2">
        <v>577737</v>
      </c>
      <c r="F226" s="4">
        <v>14618</v>
      </c>
      <c r="G226" s="5">
        <v>0.61</v>
      </c>
      <c r="I226">
        <v>27.7</v>
      </c>
      <c r="J226" s="5">
        <v>0</v>
      </c>
    </row>
  </sheetData>
  <autoFilter ref="C1:C22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Hinkson, Kasia</dc:creator>
  <cp:lastModifiedBy>Hinkson, Kasia</cp:lastModifiedBy>
  <dcterms:created xsi:type="dcterms:W3CDTF">2019-09-10T13:04:48Z</dcterms:created>
  <dcterms:modified xsi:type="dcterms:W3CDTF">2019-09-19T15:48:01Z</dcterms:modified>
</cp:coreProperties>
</file>