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ve Kasturi\Downloads\"/>
    </mc:Choice>
  </mc:AlternateContent>
  <xr:revisionPtr revIDLastSave="0" documentId="13_ncr:1_{461A7671-6B21-4E6B-BCED-CD40A0323E71}" xr6:coauthVersionLast="47" xr6:coauthVersionMax="47" xr10:uidLastSave="{00000000-0000-0000-0000-000000000000}"/>
  <workbookProtection workbookAlgorithmName="SHA-512" workbookHashValue="WwsLdnlukF2mCsitjBJtSQiJSIE9F+b83VRlZIRRWaIGRa9YyhGyNLBkGQTifSECuW2883FM3WQg1w2asqkr7w==" workbookSaltValue="ZOIJnM1VBHM1pohmLhXbMQ==" workbookSpinCount="100000" lockStructure="1"/>
  <bookViews>
    <workbookView xWindow="-108" yWindow="-108" windowWidth="23256" windowHeight="12456" xr2:uid="{9E5D09E4-5F4B-4443-95E6-FD9E351AFB18}"/>
  </bookViews>
  <sheets>
    <sheet name="Settings" sheetId="1" r:id="rId1"/>
    <sheet name="Tracker Dashboard" sheetId="2" r:id="rId2"/>
    <sheet name="Monthly Analysis" sheetId="3" r:id="rId3"/>
    <sheet name="Quarterly Analysis" sheetId="4" r:id="rId4"/>
    <sheet name="Cash Flow Tracking" sheetId="8" r:id="rId5"/>
    <sheet name="Cash Flow Entry" sheetId="6" r:id="rId6"/>
    <sheet name="Calculations" sheetId="9" r:id="rId7"/>
  </sheets>
  <definedNames>
    <definedName name="AprStart">'Monthly Analysis'!$U$10</definedName>
    <definedName name="Aug_Start">'Monthly Analysis'!$AS$10</definedName>
    <definedName name="base_currency">Settings!$E$13</definedName>
    <definedName name="Dec_Start">'Monthly Analysis'!$BQ$10</definedName>
    <definedName name="FebStart">'Monthly Analysis'!$I$10</definedName>
    <definedName name="Financing">'Cash Flow Entry'!$S$11:$S$16</definedName>
    <definedName name="Investing">'Cash Flow Entry'!$S$17:$S$22</definedName>
    <definedName name="JanStart">'Monthly Analysis'!$C$10</definedName>
    <definedName name="JulStart">'Monthly Analysis'!$AP$10</definedName>
    <definedName name="JunStart">'Monthly Analysis'!$AG$10</definedName>
    <definedName name="MarStart">'Monthly Analysis'!$O$10</definedName>
    <definedName name="MayStart">'Monthly Analysis'!$AA$10</definedName>
    <definedName name="Nov_Start">'Monthly Analysis'!$BK$10</definedName>
    <definedName name="Oct_Start">'Monthly Analysis'!$BE$10</definedName>
    <definedName name="Operating">'Cash Flow Entry'!$S$4:$S$10</definedName>
    <definedName name="select_currency">Settings!$E$11</definedName>
    <definedName name="Sep_Start">'Monthly Analysis'!$AY$10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X8" i="4"/>
  <c r="X9" i="4"/>
  <c r="V9" i="4"/>
  <c r="U9" i="4"/>
  <c r="V8" i="4"/>
  <c r="U8" i="4"/>
  <c r="T5" i="4"/>
  <c r="T6" i="4"/>
  <c r="T8" i="4"/>
  <c r="T9" i="4"/>
  <c r="T11" i="4"/>
  <c r="T12" i="4"/>
  <c r="T4" i="4"/>
  <c r="R8" i="4"/>
  <c r="R9" i="4"/>
  <c r="N5" i="4"/>
  <c r="N6" i="4"/>
  <c r="N8" i="4"/>
  <c r="N9" i="4"/>
  <c r="N11" i="4"/>
  <c r="N12" i="4"/>
  <c r="N4" i="4"/>
  <c r="O3" i="4"/>
  <c r="U3" i="4" s="1"/>
  <c r="P3" i="4"/>
  <c r="V3" i="4" s="1"/>
  <c r="Q3" i="4"/>
  <c r="W3" i="4" s="1"/>
  <c r="R3" i="4"/>
  <c r="X3" i="4" s="1"/>
  <c r="N3" i="4"/>
  <c r="T3" i="4" s="1"/>
  <c r="L8" i="4"/>
  <c r="L9" i="4"/>
  <c r="K9" i="4"/>
  <c r="J9" i="4"/>
  <c r="I9" i="4"/>
  <c r="K8" i="4"/>
  <c r="J8" i="4"/>
  <c r="I8" i="4"/>
  <c r="H4" i="4"/>
  <c r="H5" i="4"/>
  <c r="H6" i="4"/>
  <c r="H8" i="4"/>
  <c r="H9" i="4"/>
  <c r="H11" i="4"/>
  <c r="H12" i="4"/>
  <c r="I3" i="4"/>
  <c r="J3" i="4"/>
  <c r="K3" i="4"/>
  <c r="L3" i="4"/>
  <c r="H3" i="4"/>
  <c r="E9" i="4"/>
  <c r="D9" i="4"/>
  <c r="C9" i="4"/>
  <c r="F9" i="4" s="1"/>
  <c r="E8" i="4"/>
  <c r="D8" i="4"/>
  <c r="C8" i="4"/>
  <c r="F8" i="4" s="1"/>
  <c r="C44" i="9"/>
  <c r="C21" i="9"/>
  <c r="C43" i="9"/>
  <c r="C42" i="9"/>
  <c r="C41" i="9" l="1"/>
  <c r="D38" i="9"/>
  <c r="E38" i="9"/>
  <c r="F38" i="9"/>
  <c r="G38" i="9"/>
  <c r="H38" i="9"/>
  <c r="I38" i="9"/>
  <c r="J38" i="9"/>
  <c r="K38" i="9"/>
  <c r="L38" i="9"/>
  <c r="M38" i="9"/>
  <c r="N38" i="9"/>
  <c r="C38" i="9"/>
  <c r="D37" i="9"/>
  <c r="E37" i="9"/>
  <c r="F37" i="9"/>
  <c r="G37" i="9"/>
  <c r="H37" i="9"/>
  <c r="I37" i="9"/>
  <c r="J37" i="9"/>
  <c r="K37" i="9"/>
  <c r="L37" i="9"/>
  <c r="M37" i="9"/>
  <c r="N37" i="9"/>
  <c r="C37" i="9"/>
  <c r="D36" i="9"/>
  <c r="E36" i="9"/>
  <c r="F36" i="9"/>
  <c r="G36" i="9"/>
  <c r="H36" i="9"/>
  <c r="I36" i="9"/>
  <c r="J36" i="9"/>
  <c r="K36" i="9"/>
  <c r="L36" i="9"/>
  <c r="M36" i="9"/>
  <c r="N36" i="9"/>
  <c r="C36" i="9"/>
  <c r="D35" i="9"/>
  <c r="E35" i="9"/>
  <c r="F35" i="9"/>
  <c r="G35" i="9"/>
  <c r="H35" i="9"/>
  <c r="I35" i="9"/>
  <c r="J35" i="9"/>
  <c r="K35" i="9"/>
  <c r="L35" i="9"/>
  <c r="M35" i="9"/>
  <c r="N35" i="9"/>
  <c r="C35" i="9"/>
  <c r="B36" i="9"/>
  <c r="B37" i="9"/>
  <c r="B35" i="9"/>
  <c r="C33" i="9"/>
  <c r="D33" i="9"/>
  <c r="E33" i="9"/>
  <c r="F33" i="9"/>
  <c r="G33" i="9"/>
  <c r="H33" i="9"/>
  <c r="I33" i="9"/>
  <c r="J33" i="9"/>
  <c r="K33" i="9"/>
  <c r="L33" i="9"/>
  <c r="M33" i="9"/>
  <c r="N33" i="9"/>
  <c r="B33" i="9"/>
  <c r="D31" i="9"/>
  <c r="E31" i="9"/>
  <c r="F31" i="9"/>
  <c r="G31" i="9"/>
  <c r="H31" i="9"/>
  <c r="I31" i="9"/>
  <c r="J31" i="9"/>
  <c r="K31" i="9"/>
  <c r="L31" i="9"/>
  <c r="M31" i="9"/>
  <c r="N31" i="9"/>
  <c r="C31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N28" i="9"/>
  <c r="M28" i="9"/>
  <c r="L28" i="9"/>
  <c r="K28" i="9"/>
  <c r="J28" i="9"/>
  <c r="I28" i="9"/>
  <c r="H28" i="9"/>
  <c r="G28" i="9"/>
  <c r="F28" i="9"/>
  <c r="E28" i="9"/>
  <c r="D28" i="9"/>
  <c r="C28" i="9"/>
  <c r="C4" i="9"/>
  <c r="C24" i="9"/>
  <c r="C19" i="9"/>
  <c r="C20" i="9"/>
  <c r="E20" i="9"/>
  <c r="G20" i="9"/>
  <c r="C18" i="9"/>
  <c r="C11" i="9"/>
  <c r="D17" i="9"/>
  <c r="E17" i="9"/>
  <c r="F17" i="9"/>
  <c r="G17" i="9"/>
  <c r="H17" i="9"/>
  <c r="I17" i="9"/>
  <c r="J17" i="9"/>
  <c r="K17" i="9"/>
  <c r="L17" i="9"/>
  <c r="M17" i="9"/>
  <c r="N17" i="9"/>
  <c r="C17" i="9"/>
  <c r="B19" i="9"/>
  <c r="B22" i="9"/>
  <c r="B18" i="9"/>
  <c r="B12" i="9"/>
  <c r="E12" i="9" s="1"/>
  <c r="B13" i="9"/>
  <c r="F13" i="9" s="1"/>
  <c r="B11" i="9"/>
  <c r="D10" i="9"/>
  <c r="E10" i="9"/>
  <c r="F10" i="9"/>
  <c r="G10" i="9"/>
  <c r="H10" i="9"/>
  <c r="I10" i="9"/>
  <c r="J10" i="9"/>
  <c r="K10" i="9"/>
  <c r="L10" i="9"/>
  <c r="M10" i="9"/>
  <c r="N10" i="9"/>
  <c r="C10" i="9"/>
  <c r="C5" i="9"/>
  <c r="D5" i="9"/>
  <c r="E5" i="9"/>
  <c r="F5" i="9"/>
  <c r="G5" i="9"/>
  <c r="H5" i="9"/>
  <c r="I5" i="9"/>
  <c r="J5" i="9"/>
  <c r="K5" i="9"/>
  <c r="L5" i="9"/>
  <c r="M5" i="9"/>
  <c r="N5" i="9"/>
  <c r="C6" i="9"/>
  <c r="D6" i="9"/>
  <c r="E6" i="9"/>
  <c r="F6" i="9"/>
  <c r="G6" i="9"/>
  <c r="H6" i="9"/>
  <c r="I6" i="9"/>
  <c r="J6" i="9"/>
  <c r="K6" i="9"/>
  <c r="L6" i="9"/>
  <c r="M6" i="9"/>
  <c r="N6" i="9"/>
  <c r="N4" i="9"/>
  <c r="N7" i="9" s="1"/>
  <c r="M4" i="9"/>
  <c r="L4" i="9"/>
  <c r="K4" i="9"/>
  <c r="J4" i="9"/>
  <c r="J7" i="9" s="1"/>
  <c r="I4" i="9"/>
  <c r="H4" i="9"/>
  <c r="G4" i="9"/>
  <c r="F4" i="9"/>
  <c r="F7" i="9" s="1"/>
  <c r="E4" i="9"/>
  <c r="D4" i="9"/>
  <c r="D7" i="9" s="1"/>
  <c r="BS40" i="3"/>
  <c r="BR40" i="3" s="1"/>
  <c r="BS38" i="3"/>
  <c r="BS36" i="3"/>
  <c r="BR36" i="3" s="1"/>
  <c r="BS34" i="3"/>
  <c r="BR34" i="3" s="1"/>
  <c r="BS32" i="3"/>
  <c r="BR32" i="3" s="1"/>
  <c r="BS28" i="3"/>
  <c r="BR28" i="3" s="1"/>
  <c r="BS29" i="3"/>
  <c r="BR29" i="3" s="1"/>
  <c r="BS23" i="3"/>
  <c r="BS24" i="3"/>
  <c r="BR24" i="3" s="1"/>
  <c r="BS25" i="3"/>
  <c r="BR25" i="3" s="1"/>
  <c r="BS19" i="3"/>
  <c r="BS16" i="3"/>
  <c r="BS13" i="3"/>
  <c r="BS11" i="3"/>
  <c r="BR38" i="3"/>
  <c r="BR23" i="3"/>
  <c r="BR19" i="3"/>
  <c r="BR16" i="3"/>
  <c r="BR13" i="3"/>
  <c r="BR11" i="3"/>
  <c r="BM39" i="3"/>
  <c r="BL39" i="3" s="1"/>
  <c r="BM34" i="3"/>
  <c r="BL34" i="3" s="1"/>
  <c r="BM35" i="3"/>
  <c r="BL35" i="3" s="1"/>
  <c r="BM36" i="3"/>
  <c r="BL36" i="3" s="1"/>
  <c r="BM37" i="3"/>
  <c r="BL37" i="3" s="1"/>
  <c r="BM30" i="3"/>
  <c r="BM31" i="3"/>
  <c r="BM32" i="3"/>
  <c r="BL32" i="3" s="1"/>
  <c r="BL31" i="3"/>
  <c r="BM28" i="3"/>
  <c r="BL28" i="3" s="1"/>
  <c r="BM26" i="3"/>
  <c r="BL26" i="3" s="1"/>
  <c r="BM23" i="3"/>
  <c r="BM21" i="3"/>
  <c r="BL21" i="3" s="1"/>
  <c r="BM17" i="3"/>
  <c r="BM14" i="3"/>
  <c r="BM12" i="3"/>
  <c r="BL12" i="3" s="1"/>
  <c r="BG38" i="3"/>
  <c r="BF38" i="3" s="1"/>
  <c r="BG39" i="3"/>
  <c r="BF39" i="3" s="1"/>
  <c r="BG35" i="3"/>
  <c r="BF35" i="3" s="1"/>
  <c r="BG36" i="3"/>
  <c r="BF36" i="3" s="1"/>
  <c r="BG33" i="3"/>
  <c r="BF33" i="3" s="1"/>
  <c r="BG31" i="3"/>
  <c r="BF31" i="3" s="1"/>
  <c r="BG28" i="3"/>
  <c r="BF28" i="3" s="1"/>
  <c r="BG29" i="3"/>
  <c r="BF29" i="3" s="1"/>
  <c r="BG25" i="3"/>
  <c r="BF25" i="3" s="1"/>
  <c r="BG26" i="3"/>
  <c r="BF26" i="3"/>
  <c r="BG22" i="3"/>
  <c r="BG20" i="3"/>
  <c r="BG17" i="3"/>
  <c r="BF17" i="3" s="1"/>
  <c r="BG18" i="3"/>
  <c r="BF18" i="3" s="1"/>
  <c r="BG15" i="3"/>
  <c r="BF15" i="3" s="1"/>
  <c r="BG13" i="3"/>
  <c r="BF13" i="3" s="1"/>
  <c r="BA37" i="3"/>
  <c r="AZ37" i="3" s="1"/>
  <c r="BA38" i="3"/>
  <c r="AZ38" i="3" s="1"/>
  <c r="BA32" i="3"/>
  <c r="AZ32" i="3" s="1"/>
  <c r="BA33" i="3"/>
  <c r="AZ33" i="3" s="1"/>
  <c r="BA34" i="3"/>
  <c r="AZ34" i="3" s="1"/>
  <c r="BA35" i="3"/>
  <c r="AZ35" i="3" s="1"/>
  <c r="BA27" i="3"/>
  <c r="BA28" i="3"/>
  <c r="BA29" i="3"/>
  <c r="AZ29" i="3" s="1"/>
  <c r="AZ28" i="3"/>
  <c r="BA25" i="3"/>
  <c r="BA23" i="3"/>
  <c r="AZ23" i="3" s="1"/>
  <c r="BA21" i="3"/>
  <c r="AZ21" i="3" s="1"/>
  <c r="BA19" i="3"/>
  <c r="BA14" i="3"/>
  <c r="AZ14" i="3" s="1"/>
  <c r="BA10" i="3"/>
  <c r="BA11" i="3"/>
  <c r="AZ11" i="3" s="1"/>
  <c r="BL30" i="3"/>
  <c r="BL23" i="3"/>
  <c r="BL17" i="3"/>
  <c r="BL14" i="3"/>
  <c r="BF22" i="3"/>
  <c r="BF20" i="3"/>
  <c r="AZ27" i="3"/>
  <c r="AZ25" i="3"/>
  <c r="AZ19" i="3"/>
  <c r="AZ10" i="3"/>
  <c r="BR12" i="3"/>
  <c r="BS12" i="3"/>
  <c r="BR14" i="3"/>
  <c r="BS14" i="3"/>
  <c r="BR15" i="3"/>
  <c r="BS15" i="3"/>
  <c r="BR17" i="3"/>
  <c r="BS17" i="3"/>
  <c r="BR18" i="3"/>
  <c r="BS18" i="3"/>
  <c r="BR20" i="3"/>
  <c r="BS20" i="3"/>
  <c r="BR21" i="3"/>
  <c r="BS21" i="3"/>
  <c r="BR22" i="3"/>
  <c r="BS22" i="3"/>
  <c r="BR26" i="3"/>
  <c r="BS26" i="3"/>
  <c r="BR27" i="3"/>
  <c r="BS27" i="3"/>
  <c r="BR30" i="3"/>
  <c r="BS30" i="3"/>
  <c r="BR31" i="3"/>
  <c r="BS31" i="3"/>
  <c r="BR33" i="3"/>
  <c r="BS33" i="3"/>
  <c r="BR35" i="3"/>
  <c r="BS35" i="3"/>
  <c r="BR37" i="3"/>
  <c r="BS37" i="3"/>
  <c r="BR39" i="3"/>
  <c r="BS39" i="3"/>
  <c r="BS10" i="3"/>
  <c r="BR10" i="3"/>
  <c r="BL11" i="3"/>
  <c r="BM11" i="3"/>
  <c r="BL13" i="3"/>
  <c r="BM13" i="3"/>
  <c r="BL15" i="3"/>
  <c r="BM15" i="3"/>
  <c r="BL16" i="3"/>
  <c r="BM16" i="3"/>
  <c r="BL18" i="3"/>
  <c r="BM18" i="3"/>
  <c r="BL19" i="3"/>
  <c r="BM19" i="3"/>
  <c r="BL20" i="3"/>
  <c r="BM20" i="3"/>
  <c r="BL22" i="3"/>
  <c r="BM22" i="3"/>
  <c r="BL24" i="3"/>
  <c r="BM24" i="3"/>
  <c r="BL25" i="3"/>
  <c r="BM25" i="3"/>
  <c r="BL27" i="3"/>
  <c r="BM27" i="3"/>
  <c r="BL29" i="3"/>
  <c r="BM29" i="3"/>
  <c r="BL33" i="3"/>
  <c r="BM33" i="3"/>
  <c r="BL38" i="3"/>
  <c r="BM38" i="3"/>
  <c r="BM10" i="3"/>
  <c r="BL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10" i="3"/>
  <c r="BK39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10" i="3"/>
  <c r="BR9" i="3"/>
  <c r="BS9" i="3"/>
  <c r="BT9" i="3"/>
  <c r="BU9" i="3"/>
  <c r="BQ9" i="3"/>
  <c r="BL9" i="3"/>
  <c r="BM9" i="3"/>
  <c r="BN9" i="3"/>
  <c r="BO9" i="3"/>
  <c r="BK9" i="3"/>
  <c r="BF11" i="3"/>
  <c r="BG11" i="3"/>
  <c r="BF12" i="3"/>
  <c r="BG12" i="3"/>
  <c r="BF14" i="3"/>
  <c r="BG14" i="3"/>
  <c r="BF16" i="3"/>
  <c r="BG16" i="3"/>
  <c r="BF19" i="3"/>
  <c r="BG19" i="3"/>
  <c r="BF21" i="3"/>
  <c r="BG21" i="3"/>
  <c r="BF23" i="3"/>
  <c r="BG23" i="3"/>
  <c r="BF24" i="3"/>
  <c r="BG24" i="3"/>
  <c r="BF27" i="3"/>
  <c r="BG27" i="3"/>
  <c r="BF30" i="3"/>
  <c r="BG30" i="3"/>
  <c r="BF32" i="3"/>
  <c r="BG32" i="3"/>
  <c r="BF34" i="3"/>
  <c r="BG34" i="3"/>
  <c r="BF37" i="3"/>
  <c r="BG37" i="3"/>
  <c r="BF40" i="3"/>
  <c r="BG40" i="3"/>
  <c r="BE4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G10" i="3"/>
  <c r="BF10" i="3"/>
  <c r="BE10" i="3"/>
  <c r="AU12" i="3"/>
  <c r="AT12" i="3" s="1"/>
  <c r="AU14" i="3"/>
  <c r="AT14" i="3" s="1"/>
  <c r="AU16" i="3"/>
  <c r="AU18" i="3"/>
  <c r="AT18" i="3" s="1"/>
  <c r="AU21" i="3"/>
  <c r="AT21" i="3" s="1"/>
  <c r="AU22" i="3"/>
  <c r="AT22" i="3" s="1"/>
  <c r="AU25" i="3"/>
  <c r="AT25" i="3" s="1"/>
  <c r="AU24" i="3"/>
  <c r="AT24" i="3" s="1"/>
  <c r="AU27" i="3"/>
  <c r="AT27" i="3" s="1"/>
  <c r="AU28" i="3"/>
  <c r="AT28" i="3" s="1"/>
  <c r="AU29" i="3"/>
  <c r="AT29" i="3" s="1"/>
  <c r="AU30" i="3"/>
  <c r="AT30" i="3" s="1"/>
  <c r="AU33" i="3"/>
  <c r="AT33" i="3" s="1"/>
  <c r="AU35" i="3"/>
  <c r="AT35" i="3" s="1"/>
  <c r="AU38" i="3"/>
  <c r="AT38" i="3" s="1"/>
  <c r="AU40" i="3"/>
  <c r="AT40" i="3" s="1"/>
  <c r="AT16" i="3"/>
  <c r="AO39" i="3"/>
  <c r="AN39" i="3" s="1"/>
  <c r="AO38" i="3"/>
  <c r="AN38" i="3" s="1"/>
  <c r="AO36" i="3"/>
  <c r="AN36" i="3" s="1"/>
  <c r="AO35" i="3"/>
  <c r="AN35" i="3" s="1"/>
  <c r="AO34" i="3"/>
  <c r="AN34" i="3" s="1"/>
  <c r="AO32" i="3"/>
  <c r="AN32" i="3" s="1"/>
  <c r="AO31" i="3"/>
  <c r="AN31" i="3" s="1"/>
  <c r="AO28" i="3"/>
  <c r="AN28" i="3" s="1"/>
  <c r="AO26" i="3"/>
  <c r="AN26" i="3" s="1"/>
  <c r="AO25" i="3"/>
  <c r="AN25" i="3" s="1"/>
  <c r="AO24" i="3"/>
  <c r="AN24" i="3" s="1"/>
  <c r="AO23" i="3"/>
  <c r="AN23" i="3" s="1"/>
  <c r="AO20" i="3"/>
  <c r="AN20" i="3" s="1"/>
  <c r="AO18" i="3"/>
  <c r="AN18" i="3" s="1"/>
  <c r="AO16" i="3"/>
  <c r="AN16" i="3" s="1"/>
  <c r="AO14" i="3"/>
  <c r="AN14" i="3" s="1"/>
  <c r="AO12" i="3"/>
  <c r="AN12" i="3" s="1"/>
  <c r="AI39" i="3"/>
  <c r="AH39" i="3" s="1"/>
  <c r="AI37" i="3"/>
  <c r="AH37" i="3" s="1"/>
  <c r="AI32" i="3"/>
  <c r="AH32" i="3" s="1"/>
  <c r="AI33" i="3"/>
  <c r="AH33" i="3" s="1"/>
  <c r="AI34" i="3"/>
  <c r="AH34" i="3" s="1"/>
  <c r="AI35" i="3"/>
  <c r="AH35" i="3" s="1"/>
  <c r="AI30" i="3"/>
  <c r="AH30" i="3" s="1"/>
  <c r="AI27" i="3"/>
  <c r="AH27" i="3" s="1"/>
  <c r="AI28" i="3"/>
  <c r="AH28" i="3" s="1"/>
  <c r="AI24" i="3"/>
  <c r="AH24" i="3" s="1"/>
  <c r="AI22" i="3"/>
  <c r="AH22" i="3" s="1"/>
  <c r="AI17" i="3"/>
  <c r="AH17" i="3" s="1"/>
  <c r="AI18" i="3"/>
  <c r="AH18" i="3" s="1"/>
  <c r="AI19" i="3"/>
  <c r="AH19" i="3" s="1"/>
  <c r="AI14" i="3"/>
  <c r="AH14" i="3" s="1"/>
  <c r="AI12" i="3"/>
  <c r="AH12" i="3" s="1"/>
  <c r="V11" i="3"/>
  <c r="V13" i="3"/>
  <c r="V15" i="3"/>
  <c r="V16" i="3"/>
  <c r="V24" i="3"/>
  <c r="V29" i="3"/>
  <c r="V33" i="3"/>
  <c r="V34" i="3"/>
  <c r="V37" i="3"/>
  <c r="V38" i="3"/>
  <c r="V39" i="3"/>
  <c r="D56" i="8"/>
  <c r="AC17" i="3"/>
  <c r="G81" i="8"/>
  <c r="F81" i="8" s="1"/>
  <c r="E81" i="8" s="1"/>
  <c r="D81" i="8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G54" i="8"/>
  <c r="F54" i="8" s="1"/>
  <c r="E54" i="8" s="1"/>
  <c r="D54" i="8" s="1"/>
  <c r="J54" i="8"/>
  <c r="B20" i="9" l="1"/>
  <c r="I7" i="9"/>
  <c r="K7" i="9"/>
  <c r="L7" i="9"/>
  <c r="M7" i="9"/>
  <c r="C7" i="9"/>
  <c r="G7" i="9"/>
  <c r="C13" i="9"/>
  <c r="E7" i="9"/>
  <c r="L12" i="9"/>
  <c r="I12" i="9"/>
  <c r="H7" i="9"/>
  <c r="C12" i="9"/>
  <c r="C14" i="9" s="1"/>
  <c r="N12" i="9"/>
  <c r="J12" i="9"/>
  <c r="I54" i="8"/>
  <c r="H54" i="8"/>
  <c r="H81" i="8"/>
  <c r="I81" i="8"/>
  <c r="G55" i="8" l="1"/>
  <c r="F55" i="8" s="1"/>
  <c r="E55" i="8" s="1"/>
  <c r="D55" i="8" s="1"/>
  <c r="I55" i="8" s="1"/>
  <c r="H55" i="8"/>
  <c r="J55" i="8"/>
  <c r="AC26" i="3"/>
  <c r="AB26" i="3" s="1"/>
  <c r="G38" i="6"/>
  <c r="AC39" i="3"/>
  <c r="AB39" i="3" s="1"/>
  <c r="AC37" i="3"/>
  <c r="AB37" i="3" s="1"/>
  <c r="AC36" i="3"/>
  <c r="AB36" i="3" s="1"/>
  <c r="AC33" i="3"/>
  <c r="AB33" i="3" s="1"/>
  <c r="AC32" i="3"/>
  <c r="AB32" i="3" s="1"/>
  <c r="AC31" i="3"/>
  <c r="AB31" i="3" s="1"/>
  <c r="AC30" i="3"/>
  <c r="AB30" i="3" s="1"/>
  <c r="AC28" i="3"/>
  <c r="AB28" i="3" s="1"/>
  <c r="AC23" i="3"/>
  <c r="AB23" i="3" s="1"/>
  <c r="AC21" i="3"/>
  <c r="AB21" i="3" s="1"/>
  <c r="AC20" i="3"/>
  <c r="AB20" i="3" s="1"/>
  <c r="AC19" i="3"/>
  <c r="AB19" i="3" s="1"/>
  <c r="AC18" i="3"/>
  <c r="AB18" i="3" s="1"/>
  <c r="AB17" i="3"/>
  <c r="AC10" i="3"/>
  <c r="AB10" i="3" s="1"/>
  <c r="W36" i="3"/>
  <c r="V36" i="3" s="1"/>
  <c r="W35" i="3"/>
  <c r="V35" i="3" s="1"/>
  <c r="W32" i="3"/>
  <c r="V32" i="3" s="1"/>
  <c r="W31" i="3"/>
  <c r="V31" i="3" s="1"/>
  <c r="W30" i="3"/>
  <c r="V30" i="3" s="1"/>
  <c r="W28" i="3"/>
  <c r="V28" i="3" s="1"/>
  <c r="W27" i="3"/>
  <c r="V27" i="3" s="1"/>
  <c r="W26" i="3"/>
  <c r="V26" i="3" s="1"/>
  <c r="W25" i="3"/>
  <c r="V25" i="3" s="1"/>
  <c r="W23" i="3"/>
  <c r="V23" i="3" s="1"/>
  <c r="W22" i="3"/>
  <c r="V22" i="3" s="1"/>
  <c r="W21" i="3"/>
  <c r="V21" i="3" s="1"/>
  <c r="W20" i="3"/>
  <c r="V20" i="3" s="1"/>
  <c r="W19" i="3"/>
  <c r="V19" i="3" s="1"/>
  <c r="W18" i="3"/>
  <c r="V18" i="3" s="1"/>
  <c r="W17" i="3"/>
  <c r="V17" i="3" s="1"/>
  <c r="W14" i="3"/>
  <c r="V14" i="3" s="1"/>
  <c r="W12" i="3"/>
  <c r="V12" i="3" s="1"/>
  <c r="F98" i="8"/>
  <c r="E98" i="8"/>
  <c r="D98" i="8"/>
  <c r="K9" i="3"/>
  <c r="Q9" i="3" s="1"/>
  <c r="W9" i="3" s="1"/>
  <c r="AC9" i="3" s="1"/>
  <c r="AI9" i="3" s="1"/>
  <c r="AO9" i="3" s="1"/>
  <c r="AU9" i="3" s="1"/>
  <c r="BA9" i="3" s="1"/>
  <c r="BG9" i="3" s="1"/>
  <c r="Q40" i="3"/>
  <c r="P40" i="3" s="1"/>
  <c r="Q37" i="3"/>
  <c r="P37" i="3" s="1"/>
  <c r="Q36" i="3"/>
  <c r="P36" i="3" s="1"/>
  <c r="Q35" i="3"/>
  <c r="P35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4" i="3"/>
  <c r="P24" i="3" s="1"/>
  <c r="Q23" i="3"/>
  <c r="P23" i="3" s="1"/>
  <c r="Q22" i="3"/>
  <c r="P22" i="3" s="1"/>
  <c r="Q21" i="3"/>
  <c r="P21" i="3" s="1"/>
  <c r="Q16" i="3"/>
  <c r="P16" i="3" s="1"/>
  <c r="Q15" i="3"/>
  <c r="P15" i="3" s="1"/>
  <c r="Q14" i="3"/>
  <c r="P14" i="3" s="1"/>
  <c r="K35" i="3"/>
  <c r="J35" i="3" s="1"/>
  <c r="K36" i="3"/>
  <c r="J36" i="3" s="1"/>
  <c r="K37" i="3"/>
  <c r="J37" i="3" s="1"/>
  <c r="K33" i="3"/>
  <c r="J33" i="3" s="1"/>
  <c r="K30" i="3"/>
  <c r="J30" i="3" s="1"/>
  <c r="K29" i="3"/>
  <c r="J29" i="3" s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31" i="3"/>
  <c r="K32" i="3"/>
  <c r="K34" i="3"/>
  <c r="K38" i="3"/>
  <c r="K10" i="3"/>
  <c r="AZ12" i="3"/>
  <c r="BA12" i="3"/>
  <c r="AZ13" i="3"/>
  <c r="BA13" i="3"/>
  <c r="AZ15" i="3"/>
  <c r="BA15" i="3"/>
  <c r="AZ16" i="3"/>
  <c r="BA16" i="3"/>
  <c r="AZ17" i="3"/>
  <c r="BA17" i="3"/>
  <c r="AZ18" i="3"/>
  <c r="BA18" i="3"/>
  <c r="AZ20" i="3"/>
  <c r="BA20" i="3"/>
  <c r="AZ22" i="3"/>
  <c r="BA22" i="3"/>
  <c r="AZ24" i="3"/>
  <c r="BA24" i="3"/>
  <c r="AZ26" i="3"/>
  <c r="BA26" i="3"/>
  <c r="AZ30" i="3"/>
  <c r="BA30" i="3"/>
  <c r="AZ31" i="3"/>
  <c r="BA31" i="3"/>
  <c r="AZ36" i="3"/>
  <c r="BA36" i="3"/>
  <c r="AZ39" i="3"/>
  <c r="BA39" i="3"/>
  <c r="AT11" i="3"/>
  <c r="AU11" i="3"/>
  <c r="AT13" i="3"/>
  <c r="AU13" i="3"/>
  <c r="AT15" i="3"/>
  <c r="AU15" i="3"/>
  <c r="AT17" i="3"/>
  <c r="AU17" i="3"/>
  <c r="AT19" i="3"/>
  <c r="AU19" i="3"/>
  <c r="AT20" i="3"/>
  <c r="AU20" i="3"/>
  <c r="AT23" i="3"/>
  <c r="AU23" i="3"/>
  <c r="AT26" i="3"/>
  <c r="AU26" i="3"/>
  <c r="AT31" i="3"/>
  <c r="AU31" i="3"/>
  <c r="AT32" i="3"/>
  <c r="AU32" i="3"/>
  <c r="AT34" i="3"/>
  <c r="AU34" i="3"/>
  <c r="AT36" i="3"/>
  <c r="AU36" i="3"/>
  <c r="AT37" i="3"/>
  <c r="AU37" i="3"/>
  <c r="AT39" i="3"/>
  <c r="AU39" i="3"/>
  <c r="AU10" i="3"/>
  <c r="AT10" i="3"/>
  <c r="AN11" i="3"/>
  <c r="AO11" i="3"/>
  <c r="AN13" i="3"/>
  <c r="AO13" i="3"/>
  <c r="AN15" i="3"/>
  <c r="AO15" i="3"/>
  <c r="AN17" i="3"/>
  <c r="AO17" i="3"/>
  <c r="AN19" i="3"/>
  <c r="AO19" i="3"/>
  <c r="AN21" i="3"/>
  <c r="AO21" i="3"/>
  <c r="AN22" i="3"/>
  <c r="AO22" i="3"/>
  <c r="AN27" i="3"/>
  <c r="AO27" i="3"/>
  <c r="AN29" i="3"/>
  <c r="AO29" i="3"/>
  <c r="AN30" i="3"/>
  <c r="AO30" i="3"/>
  <c r="AN33" i="3"/>
  <c r="AO33" i="3"/>
  <c r="AN37" i="3"/>
  <c r="AO37" i="3"/>
  <c r="AN40" i="3"/>
  <c r="AO40" i="3"/>
  <c r="AO10" i="3"/>
  <c r="AN10" i="3"/>
  <c r="AH29" i="3"/>
  <c r="AI29" i="3"/>
  <c r="AH31" i="3"/>
  <c r="AI31" i="3"/>
  <c r="AH36" i="3"/>
  <c r="AI36" i="3"/>
  <c r="AH38" i="3"/>
  <c r="AI38" i="3"/>
  <c r="AH11" i="3"/>
  <c r="AI11" i="3"/>
  <c r="AH13" i="3"/>
  <c r="AI13" i="3"/>
  <c r="AH15" i="3"/>
  <c r="AI15" i="3"/>
  <c r="AH16" i="3"/>
  <c r="AI16" i="3"/>
  <c r="AH20" i="3"/>
  <c r="AI20" i="3"/>
  <c r="AH21" i="3"/>
  <c r="AI21" i="3"/>
  <c r="AH23" i="3"/>
  <c r="AI23" i="3"/>
  <c r="AH25" i="3"/>
  <c r="AI25" i="3"/>
  <c r="AH26" i="3"/>
  <c r="AI26" i="3"/>
  <c r="AI10" i="3"/>
  <c r="AH10" i="3"/>
  <c r="AB11" i="3"/>
  <c r="AC11" i="3"/>
  <c r="AB12" i="3"/>
  <c r="AC12" i="3"/>
  <c r="AB13" i="3"/>
  <c r="AC13" i="3"/>
  <c r="AB15" i="3"/>
  <c r="AC15" i="3"/>
  <c r="AB16" i="3"/>
  <c r="AC16" i="3"/>
  <c r="AB22" i="3"/>
  <c r="AC22" i="3"/>
  <c r="AB24" i="3"/>
  <c r="AC24" i="3"/>
  <c r="AB25" i="3"/>
  <c r="AC25" i="3"/>
  <c r="AB27" i="3"/>
  <c r="AC27" i="3"/>
  <c r="AB29" i="3"/>
  <c r="AC29" i="3"/>
  <c r="AB34" i="3"/>
  <c r="AC34" i="3"/>
  <c r="AB35" i="3"/>
  <c r="AC35" i="3"/>
  <c r="AB38" i="3"/>
  <c r="AC38" i="3"/>
  <c r="AB40" i="3"/>
  <c r="AC40" i="3"/>
  <c r="W11" i="3"/>
  <c r="W13" i="3"/>
  <c r="W15" i="3"/>
  <c r="W16" i="3"/>
  <c r="W24" i="3"/>
  <c r="W29" i="3"/>
  <c r="W33" i="3"/>
  <c r="W34" i="3"/>
  <c r="W37" i="3"/>
  <c r="W38" i="3"/>
  <c r="W39" i="3"/>
  <c r="W10" i="3"/>
  <c r="V10" i="3"/>
  <c r="Q11" i="3"/>
  <c r="Q12" i="3"/>
  <c r="Q13" i="3"/>
  <c r="Q17" i="3"/>
  <c r="Q18" i="3"/>
  <c r="Q19" i="3"/>
  <c r="Q20" i="3"/>
  <c r="Q25" i="3"/>
  <c r="Q26" i="3"/>
  <c r="Q34" i="3"/>
  <c r="Q38" i="3"/>
  <c r="Q39" i="3"/>
  <c r="Q10" i="3"/>
  <c r="P11" i="3"/>
  <c r="P12" i="3"/>
  <c r="P13" i="3"/>
  <c r="P17" i="3"/>
  <c r="P18" i="3"/>
  <c r="P19" i="3"/>
  <c r="P20" i="3"/>
  <c r="P25" i="3"/>
  <c r="P26" i="3"/>
  <c r="P34" i="3"/>
  <c r="P38" i="3"/>
  <c r="P39" i="3"/>
  <c r="P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31" i="3"/>
  <c r="J32" i="3"/>
  <c r="J34" i="3"/>
  <c r="J38" i="3"/>
  <c r="J10" i="3"/>
  <c r="J9" i="3"/>
  <c r="P9" i="3" s="1"/>
  <c r="V9" i="3" s="1"/>
  <c r="AB9" i="3" s="1"/>
  <c r="AH9" i="3" s="1"/>
  <c r="AN9" i="3" s="1"/>
  <c r="AT9" i="3" s="1"/>
  <c r="AZ9" i="3" s="1"/>
  <c r="BF9" i="3" s="1"/>
  <c r="L9" i="3"/>
  <c r="R9" i="3" s="1"/>
  <c r="X9" i="3" s="1"/>
  <c r="AD9" i="3" s="1"/>
  <c r="AJ9" i="3" s="1"/>
  <c r="AP9" i="3" s="1"/>
  <c r="AV9" i="3" s="1"/>
  <c r="BB9" i="3" s="1"/>
  <c r="BH9" i="3" s="1"/>
  <c r="M9" i="3"/>
  <c r="S9" i="3" s="1"/>
  <c r="Y9" i="3" s="1"/>
  <c r="AE9" i="3" s="1"/>
  <c r="AK9" i="3" s="1"/>
  <c r="AQ9" i="3" s="1"/>
  <c r="AW9" i="3" s="1"/>
  <c r="BC9" i="3" s="1"/>
  <c r="BI9" i="3" s="1"/>
  <c r="I9" i="3"/>
  <c r="O9" i="3" s="1"/>
  <c r="U9" i="3" s="1"/>
  <c r="AA9" i="3" s="1"/>
  <c r="AG9" i="3" s="1"/>
  <c r="AM9" i="3" s="1"/>
  <c r="AS9" i="3" s="1"/>
  <c r="AY9" i="3" s="1"/>
  <c r="BE9" i="3" s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10" i="3"/>
  <c r="D11" i="3"/>
  <c r="F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F20" i="3" s="1"/>
  <c r="D21" i="3"/>
  <c r="F21" i="3" s="1"/>
  <c r="D22" i="3"/>
  <c r="G22" i="3" s="1"/>
  <c r="D23" i="3"/>
  <c r="F23" i="3" s="1"/>
  <c r="D24" i="3"/>
  <c r="F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F32" i="3" s="1"/>
  <c r="D33" i="3"/>
  <c r="F33" i="3" s="1"/>
  <c r="D34" i="3"/>
  <c r="G34" i="3" s="1"/>
  <c r="D35" i="3"/>
  <c r="G35" i="3" s="1"/>
  <c r="D36" i="3"/>
  <c r="F36" i="3" s="1"/>
  <c r="D37" i="3"/>
  <c r="G37" i="3" s="1"/>
  <c r="D38" i="3"/>
  <c r="G38" i="3" s="1"/>
  <c r="D39" i="3"/>
  <c r="G39" i="3" s="1"/>
  <c r="D40" i="3"/>
  <c r="G40" i="3" s="1"/>
  <c r="D10" i="3"/>
  <c r="G10" i="3" s="1"/>
  <c r="D40" i="8"/>
  <c r="H40" i="8" s="1"/>
  <c r="L15" i="3" s="1"/>
  <c r="D41" i="8"/>
  <c r="D42" i="8"/>
  <c r="D43" i="8"/>
  <c r="D44" i="8"/>
  <c r="D45" i="8"/>
  <c r="H45" i="8" s="1"/>
  <c r="L20" i="3" s="1"/>
  <c r="D46" i="8"/>
  <c r="I46" i="8" s="1"/>
  <c r="M21" i="3" s="1"/>
  <c r="D47" i="8"/>
  <c r="H47" i="8" s="1"/>
  <c r="L22" i="3" s="1"/>
  <c r="D48" i="8"/>
  <c r="D49" i="8"/>
  <c r="D50" i="8"/>
  <c r="D51" i="8"/>
  <c r="H51" i="8" s="1"/>
  <c r="L26" i="3" s="1"/>
  <c r="D52" i="8"/>
  <c r="H52" i="8" s="1"/>
  <c r="L27" i="3" s="1"/>
  <c r="D53" i="8"/>
  <c r="H53" i="8" s="1"/>
  <c r="L28" i="3" s="1"/>
  <c r="I56" i="8"/>
  <c r="M31" i="3" s="1"/>
  <c r="D57" i="8"/>
  <c r="I57" i="8" s="1"/>
  <c r="M32" i="3" s="1"/>
  <c r="D59" i="8"/>
  <c r="H59" i="8" s="1"/>
  <c r="L34" i="3" s="1"/>
  <c r="D63" i="8"/>
  <c r="I63" i="8" s="1"/>
  <c r="M38" i="3" s="1"/>
  <c r="D64" i="8"/>
  <c r="H64" i="8" s="1"/>
  <c r="R10" i="3" s="1"/>
  <c r="D65" i="8"/>
  <c r="H65" i="8" s="1"/>
  <c r="R11" i="3" s="1"/>
  <c r="D66" i="8"/>
  <c r="I66" i="8" s="1"/>
  <c r="S12" i="3" s="1"/>
  <c r="D67" i="8"/>
  <c r="H67" i="8" s="1"/>
  <c r="R13" i="3" s="1"/>
  <c r="D71" i="8"/>
  <c r="D72" i="8"/>
  <c r="H72" i="8" s="1"/>
  <c r="R18" i="3" s="1"/>
  <c r="D73" i="8"/>
  <c r="H73" i="8" s="1"/>
  <c r="R19" i="3" s="1"/>
  <c r="D74" i="8"/>
  <c r="D79" i="8"/>
  <c r="I79" i="8" s="1"/>
  <c r="S25" i="3" s="1"/>
  <c r="D80" i="8"/>
  <c r="D88" i="8"/>
  <c r="I88" i="8" s="1"/>
  <c r="S34" i="3" s="1"/>
  <c r="D92" i="8"/>
  <c r="H92" i="8" s="1"/>
  <c r="R38" i="3" s="1"/>
  <c r="D93" i="8"/>
  <c r="H93" i="8" s="1"/>
  <c r="R39" i="3" s="1"/>
  <c r="D95" i="8"/>
  <c r="H95" i="8" s="1"/>
  <c r="X10" i="3" s="1"/>
  <c r="D96" i="8"/>
  <c r="H96" i="8" s="1"/>
  <c r="X11" i="3" s="1"/>
  <c r="D100" i="8"/>
  <c r="H100" i="8" s="1"/>
  <c r="X15" i="3" s="1"/>
  <c r="D101" i="8"/>
  <c r="I101" i="8" s="1"/>
  <c r="Y16" i="3" s="1"/>
  <c r="D109" i="8"/>
  <c r="D114" i="8"/>
  <c r="H114" i="8" s="1"/>
  <c r="X29" i="3" s="1"/>
  <c r="D118" i="8"/>
  <c r="I118" i="8" s="1"/>
  <c r="Y33" i="3" s="1"/>
  <c r="D119" i="8"/>
  <c r="D122" i="8"/>
  <c r="D123" i="8"/>
  <c r="D124" i="8"/>
  <c r="H124" i="8" s="1"/>
  <c r="X39" i="3" s="1"/>
  <c r="D126" i="8"/>
  <c r="H126" i="8" s="1"/>
  <c r="AD11" i="3" s="1"/>
  <c r="D127" i="8"/>
  <c r="H127" i="8" s="1"/>
  <c r="AD12" i="3" s="1"/>
  <c r="D128" i="8"/>
  <c r="D130" i="8"/>
  <c r="I130" i="8" s="1"/>
  <c r="AE15" i="3" s="1"/>
  <c r="D131" i="8"/>
  <c r="I131" i="8" s="1"/>
  <c r="AE16" i="3" s="1"/>
  <c r="D137" i="8"/>
  <c r="H137" i="8" s="1"/>
  <c r="AD22" i="3" s="1"/>
  <c r="D139" i="8"/>
  <c r="I139" i="8" s="1"/>
  <c r="AE24" i="3" s="1"/>
  <c r="D140" i="8"/>
  <c r="I140" i="8" s="1"/>
  <c r="AE25" i="3" s="1"/>
  <c r="D142" i="8"/>
  <c r="H142" i="8" s="1"/>
  <c r="AD27" i="3" s="1"/>
  <c r="D144" i="8"/>
  <c r="I144" i="8" s="1"/>
  <c r="AE29" i="3" s="1"/>
  <c r="D149" i="8"/>
  <c r="I149" i="8" s="1"/>
  <c r="AE34" i="3" s="1"/>
  <c r="D150" i="8"/>
  <c r="D153" i="8"/>
  <c r="I153" i="8" s="1"/>
  <c r="AE38" i="3" s="1"/>
  <c r="D155" i="8"/>
  <c r="H155" i="8" s="1"/>
  <c r="AD40" i="3" s="1"/>
  <c r="D156" i="8"/>
  <c r="H156" i="8" s="1"/>
  <c r="AJ10" i="3" s="1"/>
  <c r="D157" i="8"/>
  <c r="I157" i="8" s="1"/>
  <c r="AK11" i="3" s="1"/>
  <c r="D159" i="8"/>
  <c r="D161" i="8"/>
  <c r="D162" i="8"/>
  <c r="H163" i="8"/>
  <c r="D166" i="8"/>
  <c r="D167" i="8"/>
  <c r="I167" i="8" s="1"/>
  <c r="AK21" i="3" s="1"/>
  <c r="D169" i="8"/>
  <c r="H169" i="8" s="1"/>
  <c r="AJ23" i="3" s="1"/>
  <c r="D171" i="8"/>
  <c r="D172" i="8"/>
  <c r="D175" i="8"/>
  <c r="I175" i="8" s="1"/>
  <c r="AK29" i="3" s="1"/>
  <c r="D177" i="8"/>
  <c r="H177" i="8" s="1"/>
  <c r="AJ31" i="3" s="1"/>
  <c r="I178" i="8"/>
  <c r="D182" i="8"/>
  <c r="D184" i="8"/>
  <c r="H184" i="8" s="1"/>
  <c r="AJ38" i="3" s="1"/>
  <c r="D186" i="8"/>
  <c r="D187" i="8"/>
  <c r="I187" i="8" s="1"/>
  <c r="AQ11" i="3" s="1"/>
  <c r="D189" i="8"/>
  <c r="D191" i="8"/>
  <c r="D193" i="8"/>
  <c r="H193" i="8" s="1"/>
  <c r="AP17" i="3" s="1"/>
  <c r="D195" i="8"/>
  <c r="D197" i="8"/>
  <c r="H197" i="8" s="1"/>
  <c r="AP21" i="3" s="1"/>
  <c r="D198" i="8"/>
  <c r="D203" i="8"/>
  <c r="D205" i="8"/>
  <c r="D206" i="8"/>
  <c r="I206" i="8" s="1"/>
  <c r="AQ30" i="3" s="1"/>
  <c r="H207" i="8"/>
  <c r="D209" i="8"/>
  <c r="D213" i="8"/>
  <c r="D216" i="8"/>
  <c r="D217" i="8"/>
  <c r="H217" i="8" s="1"/>
  <c r="AV10" i="3" s="1"/>
  <c r="D218" i="8"/>
  <c r="I218" i="8" s="1"/>
  <c r="AW11" i="3" s="1"/>
  <c r="D220" i="8"/>
  <c r="H220" i="8" s="1"/>
  <c r="AV13" i="3" s="1"/>
  <c r="D222" i="8"/>
  <c r="H222" i="8" s="1"/>
  <c r="AV15" i="3" s="1"/>
  <c r="D224" i="8"/>
  <c r="D226" i="8"/>
  <c r="D227" i="8"/>
  <c r="D230" i="8"/>
  <c r="I230" i="8" s="1"/>
  <c r="AW23" i="3" s="1"/>
  <c r="D233" i="8"/>
  <c r="D238" i="8"/>
  <c r="D239" i="8"/>
  <c r="D241" i="8"/>
  <c r="D243" i="8"/>
  <c r="D244" i="8"/>
  <c r="H244" i="8" s="1"/>
  <c r="AV37" i="3" s="1"/>
  <c r="H245" i="8"/>
  <c r="D246" i="8"/>
  <c r="D250" i="8"/>
  <c r="D251" i="8"/>
  <c r="H251" i="8" s="1"/>
  <c r="BB13" i="3" s="1"/>
  <c r="D253" i="8"/>
  <c r="H253" i="8" s="1"/>
  <c r="BB15" i="3" s="1"/>
  <c r="D254" i="8"/>
  <c r="I254" i="8" s="1"/>
  <c r="BC16" i="3" s="1"/>
  <c r="D255" i="8"/>
  <c r="H255" i="8" s="1"/>
  <c r="BB17" i="3" s="1"/>
  <c r="D256" i="8"/>
  <c r="D258" i="8"/>
  <c r="H258" i="8" s="1"/>
  <c r="BB20" i="3" s="1"/>
  <c r="D260" i="8"/>
  <c r="I260" i="8" s="1"/>
  <c r="BC22" i="3" s="1"/>
  <c r="D262" i="8"/>
  <c r="D264" i="8"/>
  <c r="D268" i="8"/>
  <c r="D269" i="8"/>
  <c r="H270" i="8"/>
  <c r="D274" i="8"/>
  <c r="D277" i="8"/>
  <c r="H277" i="8" s="1"/>
  <c r="BB39" i="3" s="1"/>
  <c r="D278" i="8"/>
  <c r="I278" i="8" s="1"/>
  <c r="BI10" i="3" s="1"/>
  <c r="D279" i="8"/>
  <c r="D280" i="8"/>
  <c r="D282" i="8"/>
  <c r="D284" i="8"/>
  <c r="I285" i="8"/>
  <c r="D287" i="8"/>
  <c r="H287" i="8" s="1"/>
  <c r="BH19" i="3" s="1"/>
  <c r="D289" i="8"/>
  <c r="I289" i="8" s="1"/>
  <c r="BI21" i="3" s="1"/>
  <c r="D291" i="8"/>
  <c r="D292" i="8"/>
  <c r="D295" i="8"/>
  <c r="D298" i="8"/>
  <c r="H298" i="8" s="1"/>
  <c r="BH30" i="3" s="1"/>
  <c r="H299" i="8"/>
  <c r="D300" i="8"/>
  <c r="D302" i="8"/>
  <c r="I302" i="8" s="1"/>
  <c r="BI34" i="3" s="1"/>
  <c r="D305" i="8"/>
  <c r="H305" i="8" s="1"/>
  <c r="BH37" i="3" s="1"/>
  <c r="D308" i="8"/>
  <c r="D309" i="8"/>
  <c r="D310" i="8"/>
  <c r="H310" i="8" s="1"/>
  <c r="BN11" i="3" s="1"/>
  <c r="I311" i="8"/>
  <c r="D312" i="8"/>
  <c r="H312" i="8" s="1"/>
  <c r="BN13" i="3" s="1"/>
  <c r="D314" i="8"/>
  <c r="D315" i="8"/>
  <c r="D317" i="8"/>
  <c r="D318" i="8"/>
  <c r="D319" i="8"/>
  <c r="D321" i="8"/>
  <c r="I321" i="8" s="1"/>
  <c r="BO22" i="3" s="1"/>
  <c r="D323" i="8"/>
  <c r="D324" i="8"/>
  <c r="I324" i="8" s="1"/>
  <c r="BO25" i="3" s="1"/>
  <c r="D326" i="8"/>
  <c r="D328" i="8"/>
  <c r="I328" i="8" s="1"/>
  <c r="BO29" i="3" s="1"/>
  <c r="D332" i="8"/>
  <c r="D337" i="8"/>
  <c r="H337" i="8" s="1"/>
  <c r="BN38" i="3" s="1"/>
  <c r="D339" i="8"/>
  <c r="D341" i="8"/>
  <c r="D343" i="8"/>
  <c r="D344" i="8"/>
  <c r="D346" i="8"/>
  <c r="H346" i="8" s="1"/>
  <c r="BT17" i="3" s="1"/>
  <c r="D347" i="8"/>
  <c r="H347" i="8" s="1"/>
  <c r="BT18" i="3" s="1"/>
  <c r="D349" i="8"/>
  <c r="D350" i="8"/>
  <c r="I350" i="8" s="1"/>
  <c r="BU21" i="3" s="1"/>
  <c r="D351" i="8"/>
  <c r="D355" i="8"/>
  <c r="D356" i="8"/>
  <c r="D359" i="8"/>
  <c r="D360" i="8"/>
  <c r="H360" i="8" s="1"/>
  <c r="BT31" i="3" s="1"/>
  <c r="D362" i="8"/>
  <c r="I362" i="8" s="1"/>
  <c r="BU33" i="3" s="1"/>
  <c r="D364" i="8"/>
  <c r="D366" i="8"/>
  <c r="H366" i="8" s="1"/>
  <c r="BT37" i="3" s="1"/>
  <c r="D368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6" i="8"/>
  <c r="E57" i="8"/>
  <c r="E59" i="8"/>
  <c r="E63" i="8"/>
  <c r="E64" i="8"/>
  <c r="E65" i="8"/>
  <c r="E66" i="8"/>
  <c r="E67" i="8"/>
  <c r="E71" i="8"/>
  <c r="E72" i="8"/>
  <c r="E73" i="8"/>
  <c r="E74" i="8"/>
  <c r="E79" i="8"/>
  <c r="E80" i="8"/>
  <c r="E88" i="8"/>
  <c r="E92" i="8"/>
  <c r="E93" i="8"/>
  <c r="E95" i="8"/>
  <c r="E96" i="8"/>
  <c r="E100" i="8"/>
  <c r="E101" i="8"/>
  <c r="E109" i="8"/>
  <c r="E114" i="8"/>
  <c r="E118" i="8"/>
  <c r="E119" i="8"/>
  <c r="E122" i="8"/>
  <c r="E123" i="8"/>
  <c r="E124" i="8"/>
  <c r="E126" i="8"/>
  <c r="E127" i="8"/>
  <c r="E128" i="8"/>
  <c r="E130" i="8"/>
  <c r="E131" i="8"/>
  <c r="E137" i="8"/>
  <c r="E139" i="8"/>
  <c r="E140" i="8"/>
  <c r="E142" i="8"/>
  <c r="E144" i="8"/>
  <c r="E149" i="8"/>
  <c r="E150" i="8"/>
  <c r="E153" i="8"/>
  <c r="E155" i="8"/>
  <c r="E156" i="8"/>
  <c r="E157" i="8"/>
  <c r="E159" i="8"/>
  <c r="E161" i="8"/>
  <c r="E162" i="8"/>
  <c r="E166" i="8"/>
  <c r="E167" i="8"/>
  <c r="E169" i="8"/>
  <c r="E171" i="8"/>
  <c r="E172" i="8"/>
  <c r="E175" i="8"/>
  <c r="E177" i="8"/>
  <c r="E182" i="8"/>
  <c r="E184" i="8"/>
  <c r="E186" i="8"/>
  <c r="E187" i="8"/>
  <c r="E189" i="8"/>
  <c r="E191" i="8"/>
  <c r="E193" i="8"/>
  <c r="E195" i="8"/>
  <c r="E197" i="8"/>
  <c r="E198" i="8"/>
  <c r="E203" i="8"/>
  <c r="E205" i="8"/>
  <c r="E206" i="8"/>
  <c r="E209" i="8"/>
  <c r="E213" i="8"/>
  <c r="E216" i="8"/>
  <c r="E217" i="8"/>
  <c r="E218" i="8"/>
  <c r="E220" i="8"/>
  <c r="E222" i="8"/>
  <c r="E224" i="8"/>
  <c r="E226" i="8"/>
  <c r="E227" i="8"/>
  <c r="E230" i="8"/>
  <c r="E233" i="8"/>
  <c r="E238" i="8"/>
  <c r="E239" i="8"/>
  <c r="E241" i="8"/>
  <c r="E243" i="8"/>
  <c r="E244" i="8"/>
  <c r="E246" i="8"/>
  <c r="E250" i="8"/>
  <c r="E251" i="8"/>
  <c r="E253" i="8"/>
  <c r="E254" i="8"/>
  <c r="E255" i="8"/>
  <c r="E256" i="8"/>
  <c r="E258" i="8"/>
  <c r="E260" i="8"/>
  <c r="E262" i="8"/>
  <c r="E264" i="8"/>
  <c r="E268" i="8"/>
  <c r="E269" i="8"/>
  <c r="E274" i="8"/>
  <c r="E277" i="8"/>
  <c r="E278" i="8"/>
  <c r="E279" i="8"/>
  <c r="E280" i="8"/>
  <c r="E282" i="8"/>
  <c r="E284" i="8"/>
  <c r="E287" i="8"/>
  <c r="E289" i="8"/>
  <c r="E291" i="8"/>
  <c r="E292" i="8"/>
  <c r="E295" i="8"/>
  <c r="E298" i="8"/>
  <c r="E300" i="8"/>
  <c r="E302" i="8"/>
  <c r="E305" i="8"/>
  <c r="E308" i="8"/>
  <c r="E309" i="8"/>
  <c r="E310" i="8"/>
  <c r="E312" i="8"/>
  <c r="E314" i="8"/>
  <c r="E315" i="8"/>
  <c r="E317" i="8"/>
  <c r="E318" i="8"/>
  <c r="E319" i="8"/>
  <c r="E321" i="8"/>
  <c r="E323" i="8"/>
  <c r="E324" i="8"/>
  <c r="E326" i="8"/>
  <c r="E328" i="8"/>
  <c r="E332" i="8"/>
  <c r="E337" i="8"/>
  <c r="E339" i="8"/>
  <c r="E341" i="8"/>
  <c r="E343" i="8"/>
  <c r="E344" i="8"/>
  <c r="E346" i="8"/>
  <c r="E347" i="8"/>
  <c r="E349" i="8"/>
  <c r="E350" i="8"/>
  <c r="E351" i="8"/>
  <c r="E355" i="8"/>
  <c r="E356" i="8"/>
  <c r="E359" i="8"/>
  <c r="E360" i="8"/>
  <c r="E362" i="8"/>
  <c r="E364" i="8"/>
  <c r="E366" i="8"/>
  <c r="E368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6" i="8"/>
  <c r="F57" i="8"/>
  <c r="F59" i="8"/>
  <c r="F63" i="8"/>
  <c r="F64" i="8"/>
  <c r="F65" i="8"/>
  <c r="F66" i="8"/>
  <c r="F67" i="8"/>
  <c r="F71" i="8"/>
  <c r="F72" i="8"/>
  <c r="F73" i="8"/>
  <c r="F74" i="8"/>
  <c r="F79" i="8"/>
  <c r="F80" i="8"/>
  <c r="F88" i="8"/>
  <c r="F92" i="8"/>
  <c r="F93" i="8"/>
  <c r="F95" i="8"/>
  <c r="F96" i="8"/>
  <c r="F100" i="8"/>
  <c r="F101" i="8"/>
  <c r="F109" i="8"/>
  <c r="F114" i="8"/>
  <c r="F118" i="8"/>
  <c r="F119" i="8"/>
  <c r="F122" i="8"/>
  <c r="F123" i="8"/>
  <c r="F124" i="8"/>
  <c r="F126" i="8"/>
  <c r="F127" i="8"/>
  <c r="F128" i="8"/>
  <c r="F130" i="8"/>
  <c r="F131" i="8"/>
  <c r="F137" i="8"/>
  <c r="F139" i="8"/>
  <c r="F140" i="8"/>
  <c r="F142" i="8"/>
  <c r="F144" i="8"/>
  <c r="F149" i="8"/>
  <c r="F150" i="8"/>
  <c r="F153" i="8"/>
  <c r="F155" i="8"/>
  <c r="F156" i="8"/>
  <c r="F157" i="8"/>
  <c r="F159" i="8"/>
  <c r="F161" i="8"/>
  <c r="F162" i="8"/>
  <c r="F166" i="8"/>
  <c r="F167" i="8"/>
  <c r="F169" i="8"/>
  <c r="F171" i="8"/>
  <c r="F172" i="8"/>
  <c r="F175" i="8"/>
  <c r="F177" i="8"/>
  <c r="F182" i="8"/>
  <c r="F184" i="8"/>
  <c r="F186" i="8"/>
  <c r="F187" i="8"/>
  <c r="F189" i="8"/>
  <c r="F191" i="8"/>
  <c r="F193" i="8"/>
  <c r="F195" i="8"/>
  <c r="F197" i="8"/>
  <c r="F198" i="8"/>
  <c r="F203" i="8"/>
  <c r="F205" i="8"/>
  <c r="F206" i="8"/>
  <c r="F209" i="8"/>
  <c r="F213" i="8"/>
  <c r="F216" i="8"/>
  <c r="F217" i="8"/>
  <c r="F218" i="8"/>
  <c r="F220" i="8"/>
  <c r="F222" i="8"/>
  <c r="F224" i="8"/>
  <c r="F226" i="8"/>
  <c r="F227" i="8"/>
  <c r="F230" i="8"/>
  <c r="F233" i="8"/>
  <c r="F238" i="8"/>
  <c r="F239" i="8"/>
  <c r="F241" i="8"/>
  <c r="F243" i="8"/>
  <c r="F244" i="8"/>
  <c r="F246" i="8"/>
  <c r="F250" i="8"/>
  <c r="F251" i="8"/>
  <c r="F253" i="8"/>
  <c r="F254" i="8"/>
  <c r="F255" i="8"/>
  <c r="F256" i="8"/>
  <c r="F258" i="8"/>
  <c r="F260" i="8"/>
  <c r="F262" i="8"/>
  <c r="F264" i="8"/>
  <c r="F268" i="8"/>
  <c r="F269" i="8"/>
  <c r="F274" i="8"/>
  <c r="F277" i="8"/>
  <c r="F278" i="8"/>
  <c r="F279" i="8"/>
  <c r="F280" i="8"/>
  <c r="F282" i="8"/>
  <c r="F284" i="8"/>
  <c r="F287" i="8"/>
  <c r="F289" i="8"/>
  <c r="F291" i="8"/>
  <c r="F292" i="8"/>
  <c r="F295" i="8"/>
  <c r="F298" i="8"/>
  <c r="F300" i="8"/>
  <c r="F302" i="8"/>
  <c r="F305" i="8"/>
  <c r="F308" i="8"/>
  <c r="F309" i="8"/>
  <c r="F310" i="8"/>
  <c r="F312" i="8"/>
  <c r="F314" i="8"/>
  <c r="F315" i="8"/>
  <c r="F317" i="8"/>
  <c r="F318" i="8"/>
  <c r="F319" i="8"/>
  <c r="F321" i="8"/>
  <c r="F323" i="8"/>
  <c r="F324" i="8"/>
  <c r="F326" i="8"/>
  <c r="F328" i="8"/>
  <c r="F332" i="8"/>
  <c r="F337" i="8"/>
  <c r="F339" i="8"/>
  <c r="F341" i="8"/>
  <c r="F343" i="8"/>
  <c r="F344" i="8"/>
  <c r="F346" i="8"/>
  <c r="F347" i="8"/>
  <c r="F349" i="8"/>
  <c r="F350" i="8"/>
  <c r="F351" i="8"/>
  <c r="F355" i="8"/>
  <c r="F356" i="8"/>
  <c r="F359" i="8"/>
  <c r="F360" i="8"/>
  <c r="F362" i="8"/>
  <c r="F364" i="8"/>
  <c r="F366" i="8"/>
  <c r="F368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6" i="8"/>
  <c r="G57" i="8"/>
  <c r="G58" i="8"/>
  <c r="F58" i="8" s="1"/>
  <c r="E58" i="8" s="1"/>
  <c r="D58" i="8" s="1"/>
  <c r="H58" i="8" s="1"/>
  <c r="G59" i="8"/>
  <c r="G60" i="8"/>
  <c r="F60" i="8" s="1"/>
  <c r="E60" i="8" s="1"/>
  <c r="D60" i="8" s="1"/>
  <c r="H60" i="8" s="1"/>
  <c r="G61" i="8"/>
  <c r="F61" i="8" s="1"/>
  <c r="E61" i="8" s="1"/>
  <c r="D61" i="8" s="1"/>
  <c r="H61" i="8" s="1"/>
  <c r="G62" i="8"/>
  <c r="F62" i="8" s="1"/>
  <c r="E62" i="8" s="1"/>
  <c r="D62" i="8" s="1"/>
  <c r="I62" i="8" s="1"/>
  <c r="G63" i="8"/>
  <c r="G64" i="8"/>
  <c r="G65" i="8"/>
  <c r="G66" i="8"/>
  <c r="G67" i="8"/>
  <c r="G68" i="8"/>
  <c r="F68" i="8" s="1"/>
  <c r="E68" i="8" s="1"/>
  <c r="D68" i="8" s="1"/>
  <c r="I68" i="8" s="1"/>
  <c r="G69" i="8"/>
  <c r="F69" i="8" s="1"/>
  <c r="E69" i="8" s="1"/>
  <c r="D69" i="8" s="1"/>
  <c r="H69" i="8" s="1"/>
  <c r="G70" i="8"/>
  <c r="F70" i="8" s="1"/>
  <c r="E70" i="8" s="1"/>
  <c r="D70" i="8" s="1"/>
  <c r="H70" i="8" s="1"/>
  <c r="G71" i="8"/>
  <c r="G72" i="8"/>
  <c r="I72" i="8" s="1"/>
  <c r="S18" i="3" s="1"/>
  <c r="G73" i="8"/>
  <c r="G74" i="8"/>
  <c r="G75" i="8"/>
  <c r="F75" i="8" s="1"/>
  <c r="E75" i="8" s="1"/>
  <c r="D75" i="8" s="1"/>
  <c r="H75" i="8" s="1"/>
  <c r="G76" i="8"/>
  <c r="F76" i="8" s="1"/>
  <c r="E76" i="8" s="1"/>
  <c r="D76" i="8" s="1"/>
  <c r="G77" i="8"/>
  <c r="F77" i="8" s="1"/>
  <c r="E77" i="8" s="1"/>
  <c r="D77" i="8" s="1"/>
  <c r="G78" i="8"/>
  <c r="F78" i="8" s="1"/>
  <c r="E78" i="8" s="1"/>
  <c r="D78" i="8" s="1"/>
  <c r="G79" i="8"/>
  <c r="G80" i="8"/>
  <c r="G82" i="8"/>
  <c r="F82" i="8" s="1"/>
  <c r="E82" i="8" s="1"/>
  <c r="D82" i="8" s="1"/>
  <c r="G83" i="8"/>
  <c r="F83" i="8" s="1"/>
  <c r="E83" i="8" s="1"/>
  <c r="D83" i="8" s="1"/>
  <c r="G84" i="8"/>
  <c r="F84" i="8" s="1"/>
  <c r="E84" i="8" s="1"/>
  <c r="D84" i="8" s="1"/>
  <c r="H84" i="8" s="1"/>
  <c r="G85" i="8"/>
  <c r="F85" i="8" s="1"/>
  <c r="E85" i="8" s="1"/>
  <c r="D85" i="8" s="1"/>
  <c r="I85" i="8" s="1"/>
  <c r="G86" i="8"/>
  <c r="F86" i="8" s="1"/>
  <c r="E86" i="8" s="1"/>
  <c r="D86" i="8" s="1"/>
  <c r="G87" i="8"/>
  <c r="F87" i="8" s="1"/>
  <c r="E87" i="8" s="1"/>
  <c r="D87" i="8" s="1"/>
  <c r="H87" i="8" s="1"/>
  <c r="G88" i="8"/>
  <c r="G89" i="8"/>
  <c r="F89" i="8" s="1"/>
  <c r="E89" i="8" s="1"/>
  <c r="D89" i="8" s="1"/>
  <c r="I89" i="8" s="1"/>
  <c r="G90" i="8"/>
  <c r="F90" i="8" s="1"/>
  <c r="E90" i="8" s="1"/>
  <c r="D90" i="8" s="1"/>
  <c r="I90" i="8" s="1"/>
  <c r="G91" i="8"/>
  <c r="F91" i="8" s="1"/>
  <c r="E91" i="8" s="1"/>
  <c r="D91" i="8" s="1"/>
  <c r="H91" i="8" s="1"/>
  <c r="G92" i="8"/>
  <c r="G93" i="8"/>
  <c r="G94" i="8"/>
  <c r="F94" i="8" s="1"/>
  <c r="E94" i="8" s="1"/>
  <c r="D94" i="8" s="1"/>
  <c r="G95" i="8"/>
  <c r="G96" i="8"/>
  <c r="G97" i="8"/>
  <c r="F97" i="8" s="1"/>
  <c r="E97" i="8" s="1"/>
  <c r="D97" i="8" s="1"/>
  <c r="H97" i="8" s="1"/>
  <c r="G98" i="8"/>
  <c r="I98" i="8" s="1"/>
  <c r="Y13" i="3" s="1"/>
  <c r="F19" i="9" s="1"/>
  <c r="G99" i="8"/>
  <c r="F99" i="8" s="1"/>
  <c r="E99" i="8" s="1"/>
  <c r="D99" i="8" s="1"/>
  <c r="G100" i="8"/>
  <c r="G101" i="8"/>
  <c r="G102" i="8"/>
  <c r="F102" i="8" s="1"/>
  <c r="E102" i="8" s="1"/>
  <c r="D102" i="8" s="1"/>
  <c r="H102" i="8" s="1"/>
  <c r="G103" i="8"/>
  <c r="F103" i="8" s="1"/>
  <c r="E103" i="8" s="1"/>
  <c r="D103" i="8" s="1"/>
  <c r="G104" i="8"/>
  <c r="F104" i="8" s="1"/>
  <c r="E104" i="8" s="1"/>
  <c r="D104" i="8" s="1"/>
  <c r="I104" i="8" s="1"/>
  <c r="G105" i="8"/>
  <c r="F105" i="8" s="1"/>
  <c r="E105" i="8" s="1"/>
  <c r="D105" i="8" s="1"/>
  <c r="G106" i="8"/>
  <c r="F106" i="8" s="1"/>
  <c r="E106" i="8" s="1"/>
  <c r="D106" i="8" s="1"/>
  <c r="H106" i="8" s="1"/>
  <c r="G107" i="8"/>
  <c r="F107" i="8" s="1"/>
  <c r="E107" i="8" s="1"/>
  <c r="D107" i="8" s="1"/>
  <c r="G108" i="8"/>
  <c r="F108" i="8" s="1"/>
  <c r="E108" i="8" s="1"/>
  <c r="D108" i="8" s="1"/>
  <c r="G109" i="8"/>
  <c r="G110" i="8"/>
  <c r="F110" i="8" s="1"/>
  <c r="E110" i="8" s="1"/>
  <c r="D110" i="8" s="1"/>
  <c r="I110" i="8" s="1"/>
  <c r="G111" i="8"/>
  <c r="F111" i="8" s="1"/>
  <c r="E111" i="8" s="1"/>
  <c r="D111" i="8" s="1"/>
  <c r="G112" i="8"/>
  <c r="F112" i="8" s="1"/>
  <c r="E112" i="8" s="1"/>
  <c r="D112" i="8" s="1"/>
  <c r="I112" i="8" s="1"/>
  <c r="G113" i="8"/>
  <c r="F113" i="8" s="1"/>
  <c r="E113" i="8" s="1"/>
  <c r="D113" i="8" s="1"/>
  <c r="G114" i="8"/>
  <c r="G115" i="8"/>
  <c r="F115" i="8" s="1"/>
  <c r="E115" i="8" s="1"/>
  <c r="D115" i="8" s="1"/>
  <c r="H115" i="8" s="1"/>
  <c r="G116" i="8"/>
  <c r="F116" i="8" s="1"/>
  <c r="E116" i="8" s="1"/>
  <c r="D116" i="8" s="1"/>
  <c r="G117" i="8"/>
  <c r="F117" i="8" s="1"/>
  <c r="E117" i="8" s="1"/>
  <c r="D117" i="8" s="1"/>
  <c r="G118" i="8"/>
  <c r="G119" i="8"/>
  <c r="G120" i="8"/>
  <c r="F120" i="8" s="1"/>
  <c r="E120" i="8" s="1"/>
  <c r="D120" i="8" s="1"/>
  <c r="H120" i="8" s="1"/>
  <c r="G121" i="8"/>
  <c r="F121" i="8" s="1"/>
  <c r="E121" i="8" s="1"/>
  <c r="D121" i="8" s="1"/>
  <c r="H121" i="8" s="1"/>
  <c r="G122" i="8"/>
  <c r="G123" i="8"/>
  <c r="G124" i="8"/>
  <c r="G125" i="8"/>
  <c r="F125" i="8" s="1"/>
  <c r="E125" i="8" s="1"/>
  <c r="D125" i="8" s="1"/>
  <c r="G126" i="8"/>
  <c r="G127" i="8"/>
  <c r="G128" i="8"/>
  <c r="G129" i="8"/>
  <c r="F129" i="8" s="1"/>
  <c r="E129" i="8" s="1"/>
  <c r="D129" i="8" s="1"/>
  <c r="G130" i="8"/>
  <c r="G131" i="8"/>
  <c r="G132" i="8"/>
  <c r="F132" i="8" s="1"/>
  <c r="E132" i="8" s="1"/>
  <c r="D132" i="8" s="1"/>
  <c r="G133" i="8"/>
  <c r="F133" i="8" s="1"/>
  <c r="E133" i="8" s="1"/>
  <c r="D133" i="8" s="1"/>
  <c r="H133" i="8" s="1"/>
  <c r="G134" i="8"/>
  <c r="F134" i="8" s="1"/>
  <c r="E134" i="8" s="1"/>
  <c r="D134" i="8" s="1"/>
  <c r="I134" i="8" s="1"/>
  <c r="G135" i="8"/>
  <c r="F135" i="8" s="1"/>
  <c r="E135" i="8" s="1"/>
  <c r="D135" i="8" s="1"/>
  <c r="I135" i="8" s="1"/>
  <c r="G136" i="8"/>
  <c r="F136" i="8" s="1"/>
  <c r="E136" i="8" s="1"/>
  <c r="D136" i="8" s="1"/>
  <c r="I136" i="8" s="1"/>
  <c r="G137" i="8"/>
  <c r="G138" i="8"/>
  <c r="F138" i="8" s="1"/>
  <c r="E138" i="8" s="1"/>
  <c r="D138" i="8" s="1"/>
  <c r="H138" i="8" s="1"/>
  <c r="G139" i="8"/>
  <c r="G140" i="8"/>
  <c r="G141" i="8"/>
  <c r="F141" i="8" s="1"/>
  <c r="E141" i="8" s="1"/>
  <c r="D141" i="8" s="1"/>
  <c r="G142" i="8"/>
  <c r="G143" i="8"/>
  <c r="F143" i="8" s="1"/>
  <c r="E143" i="8" s="1"/>
  <c r="D143" i="8" s="1"/>
  <c r="G144" i="8"/>
  <c r="G145" i="8"/>
  <c r="F145" i="8" s="1"/>
  <c r="E145" i="8" s="1"/>
  <c r="D145" i="8" s="1"/>
  <c r="I145" i="8" s="1"/>
  <c r="G146" i="8"/>
  <c r="F146" i="8" s="1"/>
  <c r="E146" i="8" s="1"/>
  <c r="D146" i="8" s="1"/>
  <c r="I146" i="8" s="1"/>
  <c r="G147" i="8"/>
  <c r="F147" i="8" s="1"/>
  <c r="E147" i="8" s="1"/>
  <c r="D147" i="8" s="1"/>
  <c r="I147" i="8" s="1"/>
  <c r="G148" i="8"/>
  <c r="F148" i="8" s="1"/>
  <c r="E148" i="8" s="1"/>
  <c r="D148" i="8" s="1"/>
  <c r="H148" i="8" s="1"/>
  <c r="G149" i="8"/>
  <c r="G150" i="8"/>
  <c r="G151" i="8"/>
  <c r="F151" i="8" s="1"/>
  <c r="E151" i="8" s="1"/>
  <c r="D151" i="8" s="1"/>
  <c r="G152" i="8"/>
  <c r="F152" i="8" s="1"/>
  <c r="E152" i="8" s="1"/>
  <c r="D152" i="8" s="1"/>
  <c r="I152" i="8" s="1"/>
  <c r="G153" i="8"/>
  <c r="G154" i="8"/>
  <c r="F154" i="8" s="1"/>
  <c r="E154" i="8" s="1"/>
  <c r="D154" i="8" s="1"/>
  <c r="G155" i="8"/>
  <c r="G156" i="8"/>
  <c r="G157" i="8"/>
  <c r="G158" i="8"/>
  <c r="F158" i="8" s="1"/>
  <c r="E158" i="8" s="1"/>
  <c r="D158" i="8" s="1"/>
  <c r="I158" i="8" s="1"/>
  <c r="G159" i="8"/>
  <c r="G160" i="8"/>
  <c r="F160" i="8" s="1"/>
  <c r="E160" i="8" s="1"/>
  <c r="D160" i="8" s="1"/>
  <c r="G161" i="8"/>
  <c r="G162" i="8"/>
  <c r="G163" i="8"/>
  <c r="F163" i="8" s="1"/>
  <c r="E163" i="8" s="1"/>
  <c r="D163" i="8" s="1"/>
  <c r="G164" i="8"/>
  <c r="F164" i="8" s="1"/>
  <c r="E164" i="8" s="1"/>
  <c r="D164" i="8" s="1"/>
  <c r="I164" i="8" s="1"/>
  <c r="G165" i="8"/>
  <c r="F165" i="8" s="1"/>
  <c r="E165" i="8" s="1"/>
  <c r="D165" i="8" s="1"/>
  <c r="H165" i="8" s="1"/>
  <c r="G166" i="8"/>
  <c r="G167" i="8"/>
  <c r="G168" i="8"/>
  <c r="F168" i="8" s="1"/>
  <c r="E168" i="8" s="1"/>
  <c r="D168" i="8" s="1"/>
  <c r="H168" i="8" s="1"/>
  <c r="G169" i="8"/>
  <c r="G170" i="8"/>
  <c r="F170" i="8" s="1"/>
  <c r="E170" i="8" s="1"/>
  <c r="D170" i="8" s="1"/>
  <c r="I170" i="8" s="1"/>
  <c r="G171" i="8"/>
  <c r="G172" i="8"/>
  <c r="G173" i="8"/>
  <c r="F173" i="8" s="1"/>
  <c r="E173" i="8" s="1"/>
  <c r="D173" i="8" s="1"/>
  <c r="G174" i="8"/>
  <c r="F174" i="8" s="1"/>
  <c r="E174" i="8" s="1"/>
  <c r="D174" i="8" s="1"/>
  <c r="G175" i="8"/>
  <c r="G176" i="8"/>
  <c r="F176" i="8" s="1"/>
  <c r="E176" i="8" s="1"/>
  <c r="D176" i="8" s="1"/>
  <c r="G177" i="8"/>
  <c r="G178" i="8"/>
  <c r="F178" i="8" s="1"/>
  <c r="E178" i="8" s="1"/>
  <c r="D178" i="8" s="1"/>
  <c r="G179" i="8"/>
  <c r="F179" i="8" s="1"/>
  <c r="E179" i="8" s="1"/>
  <c r="D179" i="8" s="1"/>
  <c r="H179" i="8" s="1"/>
  <c r="G180" i="8"/>
  <c r="F180" i="8" s="1"/>
  <c r="E180" i="8" s="1"/>
  <c r="D180" i="8" s="1"/>
  <c r="H180" i="8" s="1"/>
  <c r="G181" i="8"/>
  <c r="F181" i="8" s="1"/>
  <c r="E181" i="8" s="1"/>
  <c r="D181" i="8" s="1"/>
  <c r="G182" i="8"/>
  <c r="G183" i="8"/>
  <c r="F183" i="8" s="1"/>
  <c r="E183" i="8" s="1"/>
  <c r="D183" i="8" s="1"/>
  <c r="G184" i="8"/>
  <c r="G185" i="8"/>
  <c r="F185" i="8" s="1"/>
  <c r="E185" i="8" s="1"/>
  <c r="D185" i="8" s="1"/>
  <c r="I185" i="8" s="1"/>
  <c r="G186" i="8"/>
  <c r="G187" i="8"/>
  <c r="G188" i="8"/>
  <c r="F188" i="8" s="1"/>
  <c r="E188" i="8" s="1"/>
  <c r="D188" i="8" s="1"/>
  <c r="I188" i="8" s="1"/>
  <c r="G189" i="8"/>
  <c r="G190" i="8"/>
  <c r="F190" i="8" s="1"/>
  <c r="E190" i="8" s="1"/>
  <c r="D190" i="8" s="1"/>
  <c r="H190" i="8" s="1"/>
  <c r="G191" i="8"/>
  <c r="G192" i="8"/>
  <c r="F192" i="8" s="1"/>
  <c r="E192" i="8" s="1"/>
  <c r="D192" i="8" s="1"/>
  <c r="H192" i="8" s="1"/>
  <c r="G193" i="8"/>
  <c r="G194" i="8"/>
  <c r="F194" i="8" s="1"/>
  <c r="E194" i="8" s="1"/>
  <c r="D194" i="8" s="1"/>
  <c r="I194" i="8" s="1"/>
  <c r="G195" i="8"/>
  <c r="G196" i="8"/>
  <c r="F196" i="8" s="1"/>
  <c r="E196" i="8" s="1"/>
  <c r="D196" i="8" s="1"/>
  <c r="H196" i="8" s="1"/>
  <c r="G197" i="8"/>
  <c r="G198" i="8"/>
  <c r="G199" i="8"/>
  <c r="F199" i="8" s="1"/>
  <c r="E199" i="8" s="1"/>
  <c r="D199" i="8" s="1"/>
  <c r="H199" i="8" s="1"/>
  <c r="G200" i="8"/>
  <c r="F200" i="8" s="1"/>
  <c r="E200" i="8" s="1"/>
  <c r="D200" i="8" s="1"/>
  <c r="G201" i="8"/>
  <c r="F201" i="8" s="1"/>
  <c r="E201" i="8" s="1"/>
  <c r="D201" i="8" s="1"/>
  <c r="H201" i="8" s="1"/>
  <c r="G202" i="8"/>
  <c r="F202" i="8" s="1"/>
  <c r="E202" i="8" s="1"/>
  <c r="D202" i="8" s="1"/>
  <c r="G203" i="8"/>
  <c r="G204" i="8"/>
  <c r="F204" i="8" s="1"/>
  <c r="E204" i="8" s="1"/>
  <c r="D204" i="8" s="1"/>
  <c r="H204" i="8" s="1"/>
  <c r="G205" i="8"/>
  <c r="G206" i="8"/>
  <c r="G207" i="8"/>
  <c r="F207" i="8" s="1"/>
  <c r="E207" i="8" s="1"/>
  <c r="D207" i="8" s="1"/>
  <c r="G208" i="8"/>
  <c r="F208" i="8" s="1"/>
  <c r="E208" i="8" s="1"/>
  <c r="D208" i="8" s="1"/>
  <c r="H208" i="8" s="1"/>
  <c r="G209" i="8"/>
  <c r="G210" i="8"/>
  <c r="F210" i="8" s="1"/>
  <c r="E210" i="8" s="1"/>
  <c r="D210" i="8" s="1"/>
  <c r="G211" i="8"/>
  <c r="F211" i="8" s="1"/>
  <c r="E211" i="8" s="1"/>
  <c r="D211" i="8" s="1"/>
  <c r="I211" i="8" s="1"/>
  <c r="G212" i="8"/>
  <c r="F212" i="8" s="1"/>
  <c r="E212" i="8" s="1"/>
  <c r="D212" i="8" s="1"/>
  <c r="I212" i="8" s="1"/>
  <c r="G213" i="8"/>
  <c r="G214" i="8"/>
  <c r="F214" i="8" s="1"/>
  <c r="E214" i="8" s="1"/>
  <c r="D214" i="8" s="1"/>
  <c r="H214" i="8" s="1"/>
  <c r="G215" i="8"/>
  <c r="F215" i="8" s="1"/>
  <c r="E215" i="8" s="1"/>
  <c r="D215" i="8" s="1"/>
  <c r="H215" i="8" s="1"/>
  <c r="G216" i="8"/>
  <c r="G217" i="8"/>
  <c r="G218" i="8"/>
  <c r="G219" i="8"/>
  <c r="F219" i="8" s="1"/>
  <c r="E219" i="8" s="1"/>
  <c r="D219" i="8" s="1"/>
  <c r="H219" i="8" s="1"/>
  <c r="G220" i="8"/>
  <c r="G221" i="8"/>
  <c r="F221" i="8" s="1"/>
  <c r="E221" i="8" s="1"/>
  <c r="D221" i="8" s="1"/>
  <c r="H221" i="8" s="1"/>
  <c r="G222" i="8"/>
  <c r="G223" i="8"/>
  <c r="F223" i="8" s="1"/>
  <c r="E223" i="8" s="1"/>
  <c r="D223" i="8" s="1"/>
  <c r="H223" i="8" s="1"/>
  <c r="G224" i="8"/>
  <c r="G225" i="8"/>
  <c r="F225" i="8" s="1"/>
  <c r="E225" i="8" s="1"/>
  <c r="D225" i="8" s="1"/>
  <c r="I225" i="8" s="1"/>
  <c r="G226" i="8"/>
  <c r="G227" i="8"/>
  <c r="G228" i="8"/>
  <c r="F228" i="8" s="1"/>
  <c r="E228" i="8" s="1"/>
  <c r="D228" i="8" s="1"/>
  <c r="H228" i="8" s="1"/>
  <c r="G229" i="8"/>
  <c r="F229" i="8" s="1"/>
  <c r="E229" i="8" s="1"/>
  <c r="D229" i="8" s="1"/>
  <c r="I229" i="8" s="1"/>
  <c r="G230" i="8"/>
  <c r="G231" i="8"/>
  <c r="F231" i="8" s="1"/>
  <c r="E231" i="8" s="1"/>
  <c r="D231" i="8" s="1"/>
  <c r="H231" i="8" s="1"/>
  <c r="G232" i="8"/>
  <c r="F232" i="8" s="1"/>
  <c r="E232" i="8" s="1"/>
  <c r="D232" i="8" s="1"/>
  <c r="H232" i="8" s="1"/>
  <c r="G233" i="8"/>
  <c r="G234" i="8"/>
  <c r="F234" i="8" s="1"/>
  <c r="E234" i="8" s="1"/>
  <c r="D234" i="8" s="1"/>
  <c r="G235" i="8"/>
  <c r="F235" i="8" s="1"/>
  <c r="E235" i="8" s="1"/>
  <c r="D235" i="8" s="1"/>
  <c r="I235" i="8" s="1"/>
  <c r="G236" i="8"/>
  <c r="F236" i="8" s="1"/>
  <c r="E236" i="8" s="1"/>
  <c r="D236" i="8" s="1"/>
  <c r="I236" i="8" s="1"/>
  <c r="G237" i="8"/>
  <c r="F237" i="8" s="1"/>
  <c r="E237" i="8" s="1"/>
  <c r="D237" i="8" s="1"/>
  <c r="H237" i="8" s="1"/>
  <c r="G238" i="8"/>
  <c r="G239" i="8"/>
  <c r="G240" i="8"/>
  <c r="F240" i="8" s="1"/>
  <c r="E240" i="8" s="1"/>
  <c r="D240" i="8" s="1"/>
  <c r="I240" i="8" s="1"/>
  <c r="G241" i="8"/>
  <c r="G242" i="8"/>
  <c r="F242" i="8" s="1"/>
  <c r="E242" i="8" s="1"/>
  <c r="D242" i="8" s="1"/>
  <c r="I242" i="8" s="1"/>
  <c r="G243" i="8"/>
  <c r="G244" i="8"/>
  <c r="G245" i="8"/>
  <c r="F245" i="8" s="1"/>
  <c r="E245" i="8" s="1"/>
  <c r="D245" i="8" s="1"/>
  <c r="G246" i="8"/>
  <c r="G247" i="8"/>
  <c r="F247" i="8" s="1"/>
  <c r="E247" i="8" s="1"/>
  <c r="D247" i="8" s="1"/>
  <c r="I247" i="8" s="1"/>
  <c r="G248" i="8"/>
  <c r="F248" i="8" s="1"/>
  <c r="E248" i="8" s="1"/>
  <c r="D248" i="8" s="1"/>
  <c r="G249" i="8"/>
  <c r="F249" i="8" s="1"/>
  <c r="E249" i="8" s="1"/>
  <c r="D249" i="8" s="1"/>
  <c r="I249" i="8" s="1"/>
  <c r="G250" i="8"/>
  <c r="G251" i="8"/>
  <c r="G252" i="8"/>
  <c r="F252" i="8" s="1"/>
  <c r="E252" i="8" s="1"/>
  <c r="D252" i="8" s="1"/>
  <c r="H252" i="8" s="1"/>
  <c r="G253" i="8"/>
  <c r="G254" i="8"/>
  <c r="G255" i="8"/>
  <c r="G256" i="8"/>
  <c r="G257" i="8"/>
  <c r="F257" i="8" s="1"/>
  <c r="E257" i="8" s="1"/>
  <c r="D257" i="8" s="1"/>
  <c r="I257" i="8" s="1"/>
  <c r="G258" i="8"/>
  <c r="G259" i="8"/>
  <c r="F259" i="8" s="1"/>
  <c r="E259" i="8" s="1"/>
  <c r="D259" i="8" s="1"/>
  <c r="H259" i="8" s="1"/>
  <c r="G260" i="8"/>
  <c r="G261" i="8"/>
  <c r="F261" i="8" s="1"/>
  <c r="E261" i="8" s="1"/>
  <c r="D261" i="8" s="1"/>
  <c r="H261" i="8" s="1"/>
  <c r="G262" i="8"/>
  <c r="G263" i="8"/>
  <c r="F263" i="8" s="1"/>
  <c r="E263" i="8" s="1"/>
  <c r="D263" i="8" s="1"/>
  <c r="I263" i="8" s="1"/>
  <c r="G264" i="8"/>
  <c r="G265" i="8"/>
  <c r="F265" i="8" s="1"/>
  <c r="E265" i="8" s="1"/>
  <c r="D265" i="8" s="1"/>
  <c r="H265" i="8" s="1"/>
  <c r="G266" i="8"/>
  <c r="F266" i="8" s="1"/>
  <c r="E266" i="8" s="1"/>
  <c r="D266" i="8" s="1"/>
  <c r="I266" i="8" s="1"/>
  <c r="G267" i="8"/>
  <c r="F267" i="8" s="1"/>
  <c r="E267" i="8" s="1"/>
  <c r="D267" i="8" s="1"/>
  <c r="H267" i="8" s="1"/>
  <c r="G268" i="8"/>
  <c r="G269" i="8"/>
  <c r="G270" i="8"/>
  <c r="F270" i="8" s="1"/>
  <c r="E270" i="8" s="1"/>
  <c r="D270" i="8" s="1"/>
  <c r="G271" i="8"/>
  <c r="F271" i="8" s="1"/>
  <c r="E271" i="8" s="1"/>
  <c r="D271" i="8" s="1"/>
  <c r="H271" i="8" s="1"/>
  <c r="G272" i="8"/>
  <c r="F272" i="8" s="1"/>
  <c r="E272" i="8" s="1"/>
  <c r="D272" i="8" s="1"/>
  <c r="G273" i="8"/>
  <c r="F273" i="8" s="1"/>
  <c r="E273" i="8" s="1"/>
  <c r="D273" i="8" s="1"/>
  <c r="G274" i="8"/>
  <c r="G275" i="8"/>
  <c r="F275" i="8" s="1"/>
  <c r="E275" i="8" s="1"/>
  <c r="D275" i="8" s="1"/>
  <c r="I275" i="8" s="1"/>
  <c r="G276" i="8"/>
  <c r="F276" i="8" s="1"/>
  <c r="E276" i="8" s="1"/>
  <c r="D276" i="8" s="1"/>
  <c r="H276" i="8" s="1"/>
  <c r="G277" i="8"/>
  <c r="G278" i="8"/>
  <c r="G279" i="8"/>
  <c r="G280" i="8"/>
  <c r="G281" i="8"/>
  <c r="F281" i="8" s="1"/>
  <c r="E281" i="8" s="1"/>
  <c r="D281" i="8" s="1"/>
  <c r="H281" i="8" s="1"/>
  <c r="G282" i="8"/>
  <c r="G283" i="8"/>
  <c r="F283" i="8" s="1"/>
  <c r="E283" i="8" s="1"/>
  <c r="D283" i="8" s="1"/>
  <c r="G284" i="8"/>
  <c r="G285" i="8"/>
  <c r="F285" i="8" s="1"/>
  <c r="E285" i="8" s="1"/>
  <c r="D285" i="8" s="1"/>
  <c r="G286" i="8"/>
  <c r="F286" i="8" s="1"/>
  <c r="E286" i="8" s="1"/>
  <c r="D286" i="8" s="1"/>
  <c r="H286" i="8" s="1"/>
  <c r="G287" i="8"/>
  <c r="G288" i="8"/>
  <c r="F288" i="8" s="1"/>
  <c r="E288" i="8" s="1"/>
  <c r="D288" i="8" s="1"/>
  <c r="H288" i="8" s="1"/>
  <c r="G289" i="8"/>
  <c r="G290" i="8"/>
  <c r="F290" i="8" s="1"/>
  <c r="E290" i="8" s="1"/>
  <c r="D290" i="8" s="1"/>
  <c r="I290" i="8" s="1"/>
  <c r="G291" i="8"/>
  <c r="G292" i="8"/>
  <c r="G293" i="8"/>
  <c r="F293" i="8" s="1"/>
  <c r="E293" i="8" s="1"/>
  <c r="D293" i="8" s="1"/>
  <c r="I293" i="8" s="1"/>
  <c r="G294" i="8"/>
  <c r="F294" i="8" s="1"/>
  <c r="E294" i="8" s="1"/>
  <c r="D294" i="8" s="1"/>
  <c r="G295" i="8"/>
  <c r="G296" i="8"/>
  <c r="F296" i="8" s="1"/>
  <c r="E296" i="8" s="1"/>
  <c r="D296" i="8" s="1"/>
  <c r="G297" i="8"/>
  <c r="F297" i="8" s="1"/>
  <c r="E297" i="8" s="1"/>
  <c r="D297" i="8" s="1"/>
  <c r="H297" i="8" s="1"/>
  <c r="G298" i="8"/>
  <c r="G299" i="8"/>
  <c r="F299" i="8" s="1"/>
  <c r="E299" i="8" s="1"/>
  <c r="D299" i="8" s="1"/>
  <c r="G300" i="8"/>
  <c r="G301" i="8"/>
  <c r="F301" i="8" s="1"/>
  <c r="E301" i="8" s="1"/>
  <c r="D301" i="8" s="1"/>
  <c r="I301" i="8" s="1"/>
  <c r="G302" i="8"/>
  <c r="G303" i="8"/>
  <c r="F303" i="8" s="1"/>
  <c r="E303" i="8" s="1"/>
  <c r="D303" i="8" s="1"/>
  <c r="H303" i="8" s="1"/>
  <c r="G304" i="8"/>
  <c r="F304" i="8" s="1"/>
  <c r="E304" i="8" s="1"/>
  <c r="D304" i="8" s="1"/>
  <c r="I304" i="8" s="1"/>
  <c r="G305" i="8"/>
  <c r="G306" i="8"/>
  <c r="F306" i="8" s="1"/>
  <c r="E306" i="8" s="1"/>
  <c r="D306" i="8" s="1"/>
  <c r="H306" i="8" s="1"/>
  <c r="G307" i="8"/>
  <c r="F307" i="8" s="1"/>
  <c r="E307" i="8" s="1"/>
  <c r="D307" i="8" s="1"/>
  <c r="H307" i="8" s="1"/>
  <c r="G308" i="8"/>
  <c r="G309" i="8"/>
  <c r="G310" i="8"/>
  <c r="G311" i="8"/>
  <c r="F311" i="8" s="1"/>
  <c r="E311" i="8" s="1"/>
  <c r="D311" i="8" s="1"/>
  <c r="G312" i="8"/>
  <c r="G313" i="8"/>
  <c r="F313" i="8" s="1"/>
  <c r="E313" i="8" s="1"/>
  <c r="D313" i="8" s="1"/>
  <c r="H313" i="8" s="1"/>
  <c r="G314" i="8"/>
  <c r="G315" i="8"/>
  <c r="G316" i="8"/>
  <c r="F316" i="8" s="1"/>
  <c r="E316" i="8" s="1"/>
  <c r="D316" i="8" s="1"/>
  <c r="H316" i="8" s="1"/>
  <c r="G317" i="8"/>
  <c r="G318" i="8"/>
  <c r="G319" i="8"/>
  <c r="G320" i="8"/>
  <c r="F320" i="8" s="1"/>
  <c r="E320" i="8" s="1"/>
  <c r="D320" i="8" s="1"/>
  <c r="G321" i="8"/>
  <c r="G322" i="8"/>
  <c r="F322" i="8" s="1"/>
  <c r="E322" i="8" s="1"/>
  <c r="D322" i="8" s="1"/>
  <c r="H322" i="8" s="1"/>
  <c r="G323" i="8"/>
  <c r="G324" i="8"/>
  <c r="G325" i="8"/>
  <c r="F325" i="8" s="1"/>
  <c r="E325" i="8" s="1"/>
  <c r="D325" i="8" s="1"/>
  <c r="H325" i="8" s="1"/>
  <c r="G326" i="8"/>
  <c r="G327" i="8"/>
  <c r="F327" i="8" s="1"/>
  <c r="E327" i="8" s="1"/>
  <c r="D327" i="8" s="1"/>
  <c r="I327" i="8" s="1"/>
  <c r="G328" i="8"/>
  <c r="G329" i="8"/>
  <c r="F329" i="8" s="1"/>
  <c r="E329" i="8" s="1"/>
  <c r="D329" i="8" s="1"/>
  <c r="G330" i="8"/>
  <c r="F330" i="8" s="1"/>
  <c r="E330" i="8" s="1"/>
  <c r="D330" i="8" s="1"/>
  <c r="H330" i="8" s="1"/>
  <c r="G331" i="8"/>
  <c r="F331" i="8" s="1"/>
  <c r="E331" i="8" s="1"/>
  <c r="D331" i="8" s="1"/>
  <c r="H331" i="8" s="1"/>
  <c r="G332" i="8"/>
  <c r="G333" i="8"/>
  <c r="F333" i="8" s="1"/>
  <c r="E333" i="8" s="1"/>
  <c r="D333" i="8" s="1"/>
  <c r="H333" i="8" s="1"/>
  <c r="G334" i="8"/>
  <c r="F334" i="8" s="1"/>
  <c r="E334" i="8" s="1"/>
  <c r="D334" i="8" s="1"/>
  <c r="H334" i="8" s="1"/>
  <c r="G335" i="8"/>
  <c r="F335" i="8" s="1"/>
  <c r="E335" i="8" s="1"/>
  <c r="D335" i="8" s="1"/>
  <c r="I335" i="8" s="1"/>
  <c r="G336" i="8"/>
  <c r="F336" i="8" s="1"/>
  <c r="E336" i="8" s="1"/>
  <c r="D336" i="8" s="1"/>
  <c r="H336" i="8" s="1"/>
  <c r="G337" i="8"/>
  <c r="G338" i="8"/>
  <c r="F338" i="8" s="1"/>
  <c r="E338" i="8" s="1"/>
  <c r="D338" i="8" s="1"/>
  <c r="I338" i="8" s="1"/>
  <c r="G339" i="8"/>
  <c r="G340" i="8"/>
  <c r="F340" i="8" s="1"/>
  <c r="E340" i="8" s="1"/>
  <c r="D340" i="8" s="1"/>
  <c r="H340" i="8" s="1"/>
  <c r="G341" i="8"/>
  <c r="G342" i="8"/>
  <c r="F342" i="8" s="1"/>
  <c r="E342" i="8" s="1"/>
  <c r="D342" i="8" s="1"/>
  <c r="G343" i="8"/>
  <c r="G344" i="8"/>
  <c r="G345" i="8"/>
  <c r="F345" i="8" s="1"/>
  <c r="E345" i="8" s="1"/>
  <c r="D345" i="8" s="1"/>
  <c r="I345" i="8" s="1"/>
  <c r="G346" i="8"/>
  <c r="G347" i="8"/>
  <c r="G348" i="8"/>
  <c r="F348" i="8" s="1"/>
  <c r="E348" i="8" s="1"/>
  <c r="D348" i="8" s="1"/>
  <c r="H348" i="8" s="1"/>
  <c r="G349" i="8"/>
  <c r="G350" i="8"/>
  <c r="G351" i="8"/>
  <c r="G352" i="8"/>
  <c r="F352" i="8" s="1"/>
  <c r="E352" i="8" s="1"/>
  <c r="D352" i="8" s="1"/>
  <c r="I352" i="8" s="1"/>
  <c r="G353" i="8"/>
  <c r="F353" i="8" s="1"/>
  <c r="E353" i="8" s="1"/>
  <c r="D353" i="8" s="1"/>
  <c r="I353" i="8" s="1"/>
  <c r="G354" i="8"/>
  <c r="F354" i="8" s="1"/>
  <c r="E354" i="8" s="1"/>
  <c r="D354" i="8" s="1"/>
  <c r="H354" i="8" s="1"/>
  <c r="G355" i="8"/>
  <c r="G356" i="8"/>
  <c r="G357" i="8"/>
  <c r="F357" i="8" s="1"/>
  <c r="E357" i="8" s="1"/>
  <c r="D357" i="8" s="1"/>
  <c r="H357" i="8" s="1"/>
  <c r="G358" i="8"/>
  <c r="F358" i="8" s="1"/>
  <c r="E358" i="8" s="1"/>
  <c r="D358" i="8" s="1"/>
  <c r="H358" i="8" s="1"/>
  <c r="G359" i="8"/>
  <c r="G360" i="8"/>
  <c r="G361" i="8"/>
  <c r="F361" i="8" s="1"/>
  <c r="E361" i="8" s="1"/>
  <c r="D361" i="8" s="1"/>
  <c r="H361" i="8" s="1"/>
  <c r="G362" i="8"/>
  <c r="G363" i="8"/>
  <c r="F363" i="8" s="1"/>
  <c r="E363" i="8" s="1"/>
  <c r="D363" i="8" s="1"/>
  <c r="I363" i="8" s="1"/>
  <c r="G364" i="8"/>
  <c r="G365" i="8"/>
  <c r="F365" i="8" s="1"/>
  <c r="E365" i="8" s="1"/>
  <c r="D365" i="8" s="1"/>
  <c r="H365" i="8" s="1"/>
  <c r="G366" i="8"/>
  <c r="G367" i="8"/>
  <c r="F367" i="8" s="1"/>
  <c r="E367" i="8" s="1"/>
  <c r="D367" i="8" s="1"/>
  <c r="G368" i="8"/>
  <c r="G369" i="8"/>
  <c r="F369" i="8" s="1"/>
  <c r="E369" i="8" s="1"/>
  <c r="D369" i="8" s="1"/>
  <c r="I369" i="8" s="1"/>
  <c r="H62" i="8"/>
  <c r="H68" i="8"/>
  <c r="H76" i="8"/>
  <c r="H77" i="8"/>
  <c r="H78" i="8"/>
  <c r="H82" i="8"/>
  <c r="H83" i="8"/>
  <c r="H89" i="8"/>
  <c r="H94" i="8"/>
  <c r="H98" i="8"/>
  <c r="X13" i="3" s="1"/>
  <c r="H99" i="8"/>
  <c r="H103" i="8"/>
  <c r="H104" i="8"/>
  <c r="H105" i="8"/>
  <c r="H107" i="8"/>
  <c r="H108" i="8"/>
  <c r="H110" i="8"/>
  <c r="H111" i="8"/>
  <c r="H112" i="8"/>
  <c r="H113" i="8"/>
  <c r="H117" i="8"/>
  <c r="H125" i="8"/>
  <c r="H129" i="8"/>
  <c r="AC14" i="3" s="1"/>
  <c r="AB14" i="3" s="1"/>
  <c r="H132" i="8"/>
  <c r="H134" i="8"/>
  <c r="H135" i="8"/>
  <c r="H141" i="8"/>
  <c r="H143" i="8"/>
  <c r="H151" i="8"/>
  <c r="H152" i="8"/>
  <c r="H154" i="8"/>
  <c r="H173" i="8"/>
  <c r="H188" i="8"/>
  <c r="H280" i="8"/>
  <c r="BH12" i="3" s="1"/>
  <c r="H293" i="8"/>
  <c r="H317" i="8"/>
  <c r="BN18" i="3" s="1"/>
  <c r="H329" i="8"/>
  <c r="H335" i="8"/>
  <c r="I60" i="8"/>
  <c r="I69" i="8"/>
  <c r="I70" i="8"/>
  <c r="I76" i="8"/>
  <c r="I77" i="8"/>
  <c r="I78" i="8"/>
  <c r="I82" i="8"/>
  <c r="I83" i="8"/>
  <c r="I84" i="8"/>
  <c r="I87" i="8"/>
  <c r="I94" i="8"/>
  <c r="I97" i="8"/>
  <c r="I99" i="8"/>
  <c r="I102" i="8"/>
  <c r="I103" i="8"/>
  <c r="I105" i="8"/>
  <c r="I106" i="8"/>
  <c r="I107" i="8"/>
  <c r="I108" i="8"/>
  <c r="I111" i="8"/>
  <c r="I113" i="8"/>
  <c r="I115" i="8"/>
  <c r="I117" i="8"/>
  <c r="I120" i="8"/>
  <c r="I125" i="8"/>
  <c r="I129" i="8"/>
  <c r="I132" i="8"/>
  <c r="I138" i="8"/>
  <c r="I141" i="8"/>
  <c r="I143" i="8"/>
  <c r="I151" i="8"/>
  <c r="I154" i="8"/>
  <c r="I173" i="8"/>
  <c r="I197" i="8"/>
  <c r="AQ21" i="3" s="1"/>
  <c r="I208" i="8"/>
  <c r="I245" i="8"/>
  <c r="I281" i="8"/>
  <c r="I287" i="8"/>
  <c r="BI19" i="3" s="1"/>
  <c r="I317" i="8"/>
  <c r="BO18" i="3" s="1"/>
  <c r="M19" i="9" s="1"/>
  <c r="I32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D35" i="8"/>
  <c r="H35" i="8" s="1"/>
  <c r="L10" i="3" s="1"/>
  <c r="D36" i="8"/>
  <c r="H36" i="8" s="1"/>
  <c r="L11" i="3" s="1"/>
  <c r="D37" i="8"/>
  <c r="D38" i="8"/>
  <c r="D39" i="8"/>
  <c r="H39" i="8" s="1"/>
  <c r="L14" i="3" s="1"/>
  <c r="E35" i="8"/>
  <c r="E36" i="8"/>
  <c r="E37" i="8"/>
  <c r="E38" i="8"/>
  <c r="E39" i="8"/>
  <c r="F35" i="8"/>
  <c r="F36" i="8"/>
  <c r="F37" i="8"/>
  <c r="F38" i="8"/>
  <c r="F39" i="8"/>
  <c r="G35" i="8"/>
  <c r="G36" i="8"/>
  <c r="G37" i="8"/>
  <c r="G38" i="8"/>
  <c r="G39" i="8"/>
  <c r="J35" i="8"/>
  <c r="J36" i="8"/>
  <c r="J37" i="8"/>
  <c r="J38" i="8"/>
  <c r="J39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D4" i="8"/>
  <c r="D5" i="8"/>
  <c r="D6" i="8"/>
  <c r="H6" i="8" s="1"/>
  <c r="D7" i="8"/>
  <c r="H7" i="8" s="1"/>
  <c r="D8" i="8"/>
  <c r="H8" i="8" s="1"/>
  <c r="D9" i="8"/>
  <c r="I9" i="8" s="1"/>
  <c r="D10" i="8"/>
  <c r="I10" i="8" s="1"/>
  <c r="D11" i="8"/>
  <c r="I11" i="8" s="1"/>
  <c r="D12" i="8"/>
  <c r="D13" i="8"/>
  <c r="H13" i="8" s="1"/>
  <c r="D14" i="8"/>
  <c r="H14" i="8" s="1"/>
  <c r="D15" i="8"/>
  <c r="H15" i="8" s="1"/>
  <c r="D16" i="8"/>
  <c r="H16" i="8" s="1"/>
  <c r="D17" i="8"/>
  <c r="D18" i="8"/>
  <c r="H18" i="8" s="1"/>
  <c r="D19" i="8"/>
  <c r="D20" i="8"/>
  <c r="H20" i="8" s="1"/>
  <c r="D21" i="8"/>
  <c r="D22" i="8"/>
  <c r="H22" i="8" s="1"/>
  <c r="D23" i="8"/>
  <c r="D24" i="8"/>
  <c r="I24" i="8" s="1"/>
  <c r="D25" i="8"/>
  <c r="H25" i="8" s="1"/>
  <c r="D26" i="8"/>
  <c r="H26" i="8" s="1"/>
  <c r="D27" i="8"/>
  <c r="H27" i="8" s="1"/>
  <c r="D28" i="8"/>
  <c r="H28" i="8" s="1"/>
  <c r="D29" i="8"/>
  <c r="D30" i="8"/>
  <c r="D31" i="8"/>
  <c r="H31" i="8" s="1"/>
  <c r="D32" i="8"/>
  <c r="H32" i="8" s="1"/>
  <c r="D33" i="8"/>
  <c r="I33" i="8" s="1"/>
  <c r="D34" i="8"/>
  <c r="I34" i="8" s="1"/>
  <c r="R18" i="6"/>
  <c r="R19" i="6" s="1"/>
  <c r="R20" i="6" s="1"/>
  <c r="R21" i="6" s="1"/>
  <c r="R22" i="6" s="1"/>
  <c r="R12" i="6"/>
  <c r="R13" i="6" s="1"/>
  <c r="R14" i="6" s="1"/>
  <c r="R15" i="6" s="1"/>
  <c r="R16" i="6" s="1"/>
  <c r="R7" i="6"/>
  <c r="R8" i="6" s="1"/>
  <c r="R9" i="6" s="1"/>
  <c r="R10" i="6" s="1"/>
  <c r="G140" i="6" l="1"/>
  <c r="G118" i="6"/>
  <c r="G79" i="6"/>
  <c r="G56" i="6"/>
  <c r="G42" i="6"/>
  <c r="G139" i="6"/>
  <c r="G114" i="6"/>
  <c r="G74" i="6"/>
  <c r="G53" i="6"/>
  <c r="G41" i="6"/>
  <c r="G137" i="6"/>
  <c r="G109" i="6"/>
  <c r="G73" i="6"/>
  <c r="G52" i="6"/>
  <c r="G40" i="6"/>
  <c r="G131" i="6"/>
  <c r="G101" i="6"/>
  <c r="G72" i="6"/>
  <c r="G51" i="6"/>
  <c r="G39" i="6"/>
  <c r="G130" i="6"/>
  <c r="G100" i="6"/>
  <c r="G71" i="6"/>
  <c r="G50" i="6"/>
  <c r="G362" i="6"/>
  <c r="G350" i="6"/>
  <c r="G326" i="6"/>
  <c r="G314" i="6"/>
  <c r="G302" i="6"/>
  <c r="G278" i="6"/>
  <c r="G254" i="6"/>
  <c r="G230" i="6"/>
  <c r="G218" i="6"/>
  <c r="G206" i="6"/>
  <c r="G182" i="6"/>
  <c r="G349" i="6"/>
  <c r="G337" i="6"/>
  <c r="G289" i="6"/>
  <c r="G277" i="6"/>
  <c r="G253" i="6"/>
  <c r="G241" i="6"/>
  <c r="G217" i="6"/>
  <c r="G205" i="6"/>
  <c r="G193" i="6"/>
  <c r="G169" i="6"/>
  <c r="G157" i="6"/>
  <c r="G360" i="6"/>
  <c r="G324" i="6"/>
  <c r="G312" i="6"/>
  <c r="G300" i="6"/>
  <c r="G264" i="6"/>
  <c r="G216" i="6"/>
  <c r="G156" i="6"/>
  <c r="G359" i="6"/>
  <c r="G347" i="6"/>
  <c r="G323" i="6"/>
  <c r="G287" i="6"/>
  <c r="G251" i="6"/>
  <c r="G239" i="6"/>
  <c r="G227" i="6"/>
  <c r="G203" i="6"/>
  <c r="G191" i="6"/>
  <c r="G167" i="6"/>
  <c r="G346" i="6"/>
  <c r="G310" i="6"/>
  <c r="G298" i="6"/>
  <c r="G274" i="6"/>
  <c r="G262" i="6"/>
  <c r="G250" i="6"/>
  <c r="G238" i="6"/>
  <c r="G226" i="6"/>
  <c r="G166" i="6"/>
  <c r="G321" i="6"/>
  <c r="G309" i="6"/>
  <c r="G213" i="6"/>
  <c r="G189" i="6"/>
  <c r="G177" i="6"/>
  <c r="G368" i="6"/>
  <c r="G356" i="6"/>
  <c r="G344" i="6"/>
  <c r="G332" i="6"/>
  <c r="G308" i="6"/>
  <c r="G284" i="6"/>
  <c r="G260" i="6"/>
  <c r="G224" i="6"/>
  <c r="G355" i="6"/>
  <c r="G343" i="6"/>
  <c r="G319" i="6"/>
  <c r="G295" i="6"/>
  <c r="G187" i="6"/>
  <c r="G175" i="6"/>
  <c r="G366" i="6"/>
  <c r="G318" i="6"/>
  <c r="G282" i="6"/>
  <c r="G258" i="6"/>
  <c r="G246" i="6"/>
  <c r="G222" i="6"/>
  <c r="G198" i="6"/>
  <c r="G186" i="6"/>
  <c r="G162" i="6"/>
  <c r="G341" i="6"/>
  <c r="G317" i="6"/>
  <c r="G305" i="6"/>
  <c r="G269" i="6"/>
  <c r="G233" i="6"/>
  <c r="G209" i="6"/>
  <c r="G197" i="6"/>
  <c r="G185" i="6"/>
  <c r="G161" i="6"/>
  <c r="G159" i="6"/>
  <c r="G364" i="6"/>
  <c r="G328" i="6"/>
  <c r="G292" i="6"/>
  <c r="G280" i="6"/>
  <c r="G268" i="6"/>
  <c r="G256" i="6"/>
  <c r="G244" i="6"/>
  <c r="G220" i="6"/>
  <c r="G184" i="6"/>
  <c r="G172" i="6"/>
  <c r="G351" i="6"/>
  <c r="G339" i="6"/>
  <c r="G315" i="6"/>
  <c r="G291" i="6"/>
  <c r="G279" i="6"/>
  <c r="G255" i="6"/>
  <c r="G243" i="6"/>
  <c r="G195" i="6"/>
  <c r="G171" i="6"/>
  <c r="G128" i="6"/>
  <c r="G98" i="6"/>
  <c r="G67" i="6"/>
  <c r="G49" i="6"/>
  <c r="G37" i="6"/>
  <c r="G155" i="6"/>
  <c r="G127" i="6"/>
  <c r="G96" i="6"/>
  <c r="G66" i="6"/>
  <c r="G48" i="6"/>
  <c r="G36" i="6"/>
  <c r="G153" i="6"/>
  <c r="G126" i="6"/>
  <c r="G95" i="6"/>
  <c r="G65" i="6"/>
  <c r="G47" i="6"/>
  <c r="G35" i="6"/>
  <c r="G150" i="6"/>
  <c r="G124" i="6"/>
  <c r="G93" i="6"/>
  <c r="G64" i="6"/>
  <c r="G46" i="6"/>
  <c r="G149" i="6"/>
  <c r="G123" i="6"/>
  <c r="G92" i="6"/>
  <c r="G63" i="6"/>
  <c r="G45" i="6"/>
  <c r="G144" i="6"/>
  <c r="G122" i="6"/>
  <c r="G88" i="6"/>
  <c r="G59" i="6"/>
  <c r="G44" i="6"/>
  <c r="G142" i="6"/>
  <c r="G119" i="6"/>
  <c r="G80" i="6"/>
  <c r="G57" i="6"/>
  <c r="G43" i="6"/>
  <c r="I309" i="8"/>
  <c r="BO10" i="3" s="1"/>
  <c r="I268" i="8"/>
  <c r="BC30" i="3" s="1"/>
  <c r="I256" i="8"/>
  <c r="BC18" i="3" s="1"/>
  <c r="K20" i="9" s="1"/>
  <c r="I243" i="8"/>
  <c r="AW36" i="3" s="1"/>
  <c r="I205" i="8"/>
  <c r="AQ29" i="3" s="1"/>
  <c r="H191" i="8"/>
  <c r="AP15" i="3" s="1"/>
  <c r="I161" i="8"/>
  <c r="AK15" i="3" s="1"/>
  <c r="I308" i="8"/>
  <c r="BI40" i="3" s="1"/>
  <c r="I295" i="8"/>
  <c r="BI27" i="3" s="1"/>
  <c r="H172" i="8"/>
  <c r="AJ26" i="3" s="1"/>
  <c r="I159" i="8"/>
  <c r="AK13" i="3" s="1"/>
  <c r="H19" i="9" s="1"/>
  <c r="H136" i="8"/>
  <c r="I280" i="8"/>
  <c r="BI12" i="3" s="1"/>
  <c r="H216" i="8"/>
  <c r="AP40" i="3" s="1"/>
  <c r="I203" i="8"/>
  <c r="AQ27" i="3" s="1"/>
  <c r="I19" i="9" s="1"/>
  <c r="I189" i="8"/>
  <c r="AQ13" i="3" s="1"/>
  <c r="I171" i="8"/>
  <c r="AK25" i="3" s="1"/>
  <c r="I148" i="8"/>
  <c r="H318" i="8"/>
  <c r="BN19" i="3" s="1"/>
  <c r="M12" i="9" s="1"/>
  <c r="I292" i="8"/>
  <c r="BI24" i="3" s="1"/>
  <c r="I279" i="8"/>
  <c r="BI11" i="3" s="1"/>
  <c r="H291" i="8"/>
  <c r="BH23" i="3" s="1"/>
  <c r="H264" i="8"/>
  <c r="BB26" i="3" s="1"/>
  <c r="I239" i="8"/>
  <c r="AW32" i="3" s="1"/>
  <c r="H226" i="8"/>
  <c r="AV19" i="3" s="1"/>
  <c r="H355" i="8"/>
  <c r="BT26" i="3" s="1"/>
  <c r="H343" i="8"/>
  <c r="BT14" i="3" s="1"/>
  <c r="H238" i="8"/>
  <c r="AV31" i="3" s="1"/>
  <c r="I213" i="8"/>
  <c r="AQ37" i="3" s="1"/>
  <c r="I20" i="9" s="1"/>
  <c r="H198" i="8"/>
  <c r="AP22" i="3" s="1"/>
  <c r="L19" i="9"/>
  <c r="I341" i="8"/>
  <c r="BU12" i="3" s="1"/>
  <c r="H262" i="8"/>
  <c r="BB24" i="3" s="1"/>
  <c r="K12" i="9" s="1"/>
  <c r="I250" i="8"/>
  <c r="BC12" i="3" s="1"/>
  <c r="I224" i="8"/>
  <c r="AW17" i="3" s="1"/>
  <c r="J19" i="9" s="1"/>
  <c r="I182" i="8"/>
  <c r="AK36" i="3" s="1"/>
  <c r="H20" i="9" s="1"/>
  <c r="H166" i="8"/>
  <c r="AJ20" i="3" s="1"/>
  <c r="I364" i="8"/>
  <c r="BU35" i="3" s="1"/>
  <c r="I339" i="8"/>
  <c r="BU10" i="3" s="1"/>
  <c r="I326" i="8"/>
  <c r="BO27" i="3" s="1"/>
  <c r="I274" i="8"/>
  <c r="BC36" i="3" s="1"/>
  <c r="I209" i="8"/>
  <c r="AQ33" i="3" s="1"/>
  <c r="H195" i="8"/>
  <c r="AP19" i="3" s="1"/>
  <c r="I220" i="8"/>
  <c r="AW13" i="3" s="1"/>
  <c r="I75" i="8"/>
  <c r="I351" i="8"/>
  <c r="BU22" i="3" s="1"/>
  <c r="H300" i="8"/>
  <c r="BH32" i="3" s="1"/>
  <c r="H246" i="8"/>
  <c r="AV39" i="3" s="1"/>
  <c r="I349" i="8"/>
  <c r="BU20" i="3" s="1"/>
  <c r="H162" i="8"/>
  <c r="AJ16" i="3" s="1"/>
  <c r="H13" i="9" s="1"/>
  <c r="H90" i="8"/>
  <c r="I91" i="8"/>
  <c r="I58" i="8"/>
  <c r="I172" i="8"/>
  <c r="AK26" i="3" s="1"/>
  <c r="H161" i="8"/>
  <c r="AJ15" i="3" s="1"/>
  <c r="I365" i="8"/>
  <c r="H304" i="8"/>
  <c r="I232" i="8"/>
  <c r="H167" i="8"/>
  <c r="AJ21" i="3" s="1"/>
  <c r="I305" i="8"/>
  <c r="BI37" i="3" s="1"/>
  <c r="L20" i="9" s="1"/>
  <c r="I299" i="8"/>
  <c r="I67" i="8"/>
  <c r="S13" i="3" s="1"/>
  <c r="H275" i="8"/>
  <c r="H257" i="8"/>
  <c r="I221" i="8"/>
  <c r="H209" i="8"/>
  <c r="AP33" i="3" s="1"/>
  <c r="H353" i="8"/>
  <c r="H341" i="8"/>
  <c r="BT12" i="3" s="1"/>
  <c r="H185" i="8"/>
  <c r="I231" i="8"/>
  <c r="H321" i="8"/>
  <c r="BN22" i="3" s="1"/>
  <c r="I336" i="8"/>
  <c r="H308" i="8"/>
  <c r="BH40" i="3" s="1"/>
  <c r="I169" i="8"/>
  <c r="AK23" i="3" s="1"/>
  <c r="I253" i="8"/>
  <c r="BC15" i="3" s="1"/>
  <c r="I252" i="8"/>
  <c r="I334" i="8"/>
  <c r="I313" i="8"/>
  <c r="H140" i="8"/>
  <c r="AD25" i="3" s="1"/>
  <c r="I142" i="8"/>
  <c r="AE27" i="3" s="1"/>
  <c r="I300" i="8"/>
  <c r="BI32" i="3" s="1"/>
  <c r="I53" i="8"/>
  <c r="M28" i="3" s="1"/>
  <c r="H212" i="8"/>
  <c r="I124" i="8"/>
  <c r="Y39" i="3" s="1"/>
  <c r="I355" i="8"/>
  <c r="BU26" i="3" s="1"/>
  <c r="I312" i="8"/>
  <c r="BO13" i="3" s="1"/>
  <c r="I270" i="8"/>
  <c r="I192" i="8"/>
  <c r="I348" i="8"/>
  <c r="I307" i="8"/>
  <c r="I264" i="8"/>
  <c r="BC26" i="3" s="1"/>
  <c r="I228" i="8"/>
  <c r="I191" i="8"/>
  <c r="AQ15" i="3" s="1"/>
  <c r="H324" i="8"/>
  <c r="BN25" i="3" s="1"/>
  <c r="M13" i="9" s="1"/>
  <c r="I347" i="8"/>
  <c r="BU18" i="3" s="1"/>
  <c r="I306" i="8"/>
  <c r="I259" i="8"/>
  <c r="I223" i="8"/>
  <c r="I180" i="8"/>
  <c r="H263" i="8"/>
  <c r="H203" i="8"/>
  <c r="AP27" i="3" s="1"/>
  <c r="I271" i="8"/>
  <c r="I354" i="8"/>
  <c r="H211" i="8"/>
  <c r="I343" i="8"/>
  <c r="BU14" i="3" s="1"/>
  <c r="I258" i="8"/>
  <c r="BC20" i="3" s="1"/>
  <c r="I222" i="8"/>
  <c r="AW15" i="3" s="1"/>
  <c r="I179" i="8"/>
  <c r="H187" i="8"/>
  <c r="AP11" i="3" s="1"/>
  <c r="I331" i="8"/>
  <c r="I288" i="8"/>
  <c r="I251" i="8"/>
  <c r="BC13" i="3" s="1"/>
  <c r="K19" i="9" s="1"/>
  <c r="I216" i="8"/>
  <c r="AQ40" i="3" s="1"/>
  <c r="H352" i="8"/>
  <c r="H247" i="8"/>
  <c r="I330" i="8"/>
  <c r="I40" i="8"/>
  <c r="M15" i="3" s="1"/>
  <c r="I162" i="8"/>
  <c r="AK16" i="3" s="1"/>
  <c r="H239" i="8"/>
  <c r="AV32" i="3" s="1"/>
  <c r="I244" i="8"/>
  <c r="AW37" i="3" s="1"/>
  <c r="I199" i="8"/>
  <c r="I156" i="8"/>
  <c r="AK10" i="3" s="1"/>
  <c r="H235" i="8"/>
  <c r="I246" i="8"/>
  <c r="AW39" i="3" s="1"/>
  <c r="I168" i="8"/>
  <c r="H240" i="8"/>
  <c r="I52" i="8"/>
  <c r="M27" i="3" s="1"/>
  <c r="I204" i="8"/>
  <c r="H295" i="8"/>
  <c r="BH27" i="3" s="1"/>
  <c r="H175" i="8"/>
  <c r="AJ29" i="3" s="1"/>
  <c r="H149" i="8"/>
  <c r="AD34" i="3" s="1"/>
  <c r="I360" i="8"/>
  <c r="BU31" i="3" s="1"/>
  <c r="I276" i="8"/>
  <c r="I198" i="8"/>
  <c r="AQ22" i="3" s="1"/>
  <c r="H367" i="8"/>
  <c r="I367" i="8"/>
  <c r="H319" i="8"/>
  <c r="BN20" i="3" s="1"/>
  <c r="I319" i="8"/>
  <c r="BO20" i="3" s="1"/>
  <c r="M20" i="9" s="1"/>
  <c r="H283" i="8"/>
  <c r="I283" i="8"/>
  <c r="I47" i="8"/>
  <c r="M22" i="3" s="1"/>
  <c r="H342" i="8"/>
  <c r="I342" i="8"/>
  <c r="H294" i="8"/>
  <c r="I294" i="8"/>
  <c r="H282" i="8"/>
  <c r="BH14" i="3" s="1"/>
  <c r="I282" i="8"/>
  <c r="BI14" i="3" s="1"/>
  <c r="H234" i="8"/>
  <c r="I234" i="8"/>
  <c r="H210" i="8"/>
  <c r="I210" i="8"/>
  <c r="H186" i="8"/>
  <c r="AP10" i="3" s="1"/>
  <c r="I186" i="8"/>
  <c r="AQ10" i="3" s="1"/>
  <c r="H174" i="8"/>
  <c r="I174" i="8"/>
  <c r="I269" i="8"/>
  <c r="BC31" i="3" s="1"/>
  <c r="H269" i="8"/>
  <c r="BB31" i="3" s="1"/>
  <c r="H233" i="8"/>
  <c r="AV26" i="3" s="1"/>
  <c r="J13" i="9" s="1"/>
  <c r="I233" i="8"/>
  <c r="AW26" i="3" s="1"/>
  <c r="I160" i="8"/>
  <c r="H160" i="8"/>
  <c r="I128" i="8"/>
  <c r="AE13" i="3" s="1"/>
  <c r="G19" i="9" s="1"/>
  <c r="H43" i="8"/>
  <c r="L18" i="3" s="1"/>
  <c r="I43" i="8"/>
  <c r="M18" i="3" s="1"/>
  <c r="I366" i="8"/>
  <c r="BU37" i="3" s="1"/>
  <c r="I359" i="8"/>
  <c r="BU30" i="3" s="1"/>
  <c r="H359" i="8"/>
  <c r="BT30" i="3" s="1"/>
  <c r="H323" i="8"/>
  <c r="BN24" i="3" s="1"/>
  <c r="I323" i="8"/>
  <c r="BO24" i="3" s="1"/>
  <c r="H227" i="8"/>
  <c r="AV20" i="3" s="1"/>
  <c r="I227" i="8"/>
  <c r="AW20" i="3" s="1"/>
  <c r="J20" i="9" s="1"/>
  <c r="H202" i="8"/>
  <c r="I202" i="8"/>
  <c r="I318" i="8"/>
  <c r="BO19" i="3" s="1"/>
  <c r="I41" i="8"/>
  <c r="M16" i="3" s="1"/>
  <c r="H131" i="8"/>
  <c r="AD16" i="3" s="1"/>
  <c r="H118" i="8"/>
  <c r="X33" i="3" s="1"/>
  <c r="H48" i="8"/>
  <c r="L23" i="3" s="1"/>
  <c r="H88" i="8"/>
  <c r="R34" i="3" s="1"/>
  <c r="I42" i="8"/>
  <c r="M17" i="3" s="1"/>
  <c r="I346" i="8"/>
  <c r="BU17" i="3" s="1"/>
  <c r="H250" i="8"/>
  <c r="BB12" i="3" s="1"/>
  <c r="H153" i="8"/>
  <c r="AD38" i="3" s="1"/>
  <c r="I190" i="8"/>
  <c r="H144" i="8"/>
  <c r="AD29" i="3" s="1"/>
  <c r="I65" i="8"/>
  <c r="S11" i="3" s="1"/>
  <c r="H274" i="8"/>
  <c r="BB36" i="3" s="1"/>
  <c r="I100" i="8"/>
  <c r="Y15" i="3" s="1"/>
  <c r="I48" i="8"/>
  <c r="M23" i="3" s="1"/>
  <c r="I137" i="8"/>
  <c r="AE22" i="3" s="1"/>
  <c r="I298" i="8"/>
  <c r="BI30" i="3" s="1"/>
  <c r="I340" i="8"/>
  <c r="I163" i="8"/>
  <c r="H268" i="8"/>
  <c r="BB30" i="3" s="1"/>
  <c r="I322" i="8"/>
  <c r="H178" i="8"/>
  <c r="I166" i="8"/>
  <c r="AK20" i="3" s="1"/>
  <c r="I96" i="8"/>
  <c r="Y11" i="3" s="1"/>
  <c r="I358" i="8"/>
  <c r="I316" i="8"/>
  <c r="I226" i="8"/>
  <c r="AW19" i="3" s="1"/>
  <c r="I184" i="8"/>
  <c r="AK38" i="3" s="1"/>
  <c r="H364" i="8"/>
  <c r="BT35" i="3" s="1"/>
  <c r="H328" i="8"/>
  <c r="BN29" i="3" s="1"/>
  <c r="H266" i="8"/>
  <c r="I122" i="8"/>
  <c r="Y37" i="3" s="1"/>
  <c r="I310" i="8"/>
  <c r="BO11" i="3" s="1"/>
  <c r="I286" i="8"/>
  <c r="I262" i="8"/>
  <c r="BC24" i="3" s="1"/>
  <c r="I238" i="8"/>
  <c r="AW31" i="3" s="1"/>
  <c r="I325" i="8"/>
  <c r="I196" i="8"/>
  <c r="I127" i="8"/>
  <c r="AE12" i="3" s="1"/>
  <c r="H256" i="8"/>
  <c r="BB18" i="3" s="1"/>
  <c r="H182" i="8"/>
  <c r="AJ36" i="3" s="1"/>
  <c r="H4" i="8"/>
  <c r="I214" i="8"/>
  <c r="H213" i="8"/>
  <c r="AP37" i="3" s="1"/>
  <c r="H369" i="8"/>
  <c r="I261" i="8"/>
  <c r="H309" i="8"/>
  <c r="BN10" i="3" s="1"/>
  <c r="H260" i="8"/>
  <c r="BB22" i="3" s="1"/>
  <c r="H236" i="8"/>
  <c r="I237" i="8"/>
  <c r="I201" i="8"/>
  <c r="I165" i="8"/>
  <c r="H285" i="8"/>
  <c r="I71" i="8"/>
  <c r="S17" i="3" s="1"/>
  <c r="H71" i="8"/>
  <c r="R17" i="3" s="1"/>
  <c r="I59" i="8"/>
  <c r="M34" i="3" s="1"/>
  <c r="I315" i="8"/>
  <c r="BO16" i="3" s="1"/>
  <c r="H315" i="8"/>
  <c r="BN16" i="3" s="1"/>
  <c r="H183" i="8"/>
  <c r="I183" i="8"/>
  <c r="I314" i="8"/>
  <c r="BO15" i="3" s="1"/>
  <c r="H314" i="8"/>
  <c r="BN15" i="3" s="1"/>
  <c r="I357" i="8"/>
  <c r="I297" i="8"/>
  <c r="H225" i="8"/>
  <c r="H241" i="8"/>
  <c r="AV34" i="3" s="1"/>
  <c r="I241" i="8"/>
  <c r="AW34" i="3" s="1"/>
  <c r="H181" i="8"/>
  <c r="I181" i="8"/>
  <c r="I177" i="8"/>
  <c r="AK31" i="3" s="1"/>
  <c r="H224" i="8"/>
  <c r="AV17" i="3" s="1"/>
  <c r="H189" i="8"/>
  <c r="AP13" i="3" s="1"/>
  <c r="I333" i="8"/>
  <c r="H249" i="8"/>
  <c r="I155" i="8"/>
  <c r="AE40" i="3" s="1"/>
  <c r="I64" i="8"/>
  <c r="S10" i="3" s="1"/>
  <c r="H164" i="8"/>
  <c r="I273" i="8"/>
  <c r="H273" i="8"/>
  <c r="H345" i="8"/>
  <c r="I368" i="8"/>
  <c r="BU39" i="3" s="1"/>
  <c r="H368" i="8"/>
  <c r="BT39" i="3" s="1"/>
  <c r="I344" i="8"/>
  <c r="BU15" i="3" s="1"/>
  <c r="N19" i="9" s="1"/>
  <c r="H344" i="8"/>
  <c r="BT15" i="3" s="1"/>
  <c r="I320" i="8"/>
  <c r="H320" i="8"/>
  <c r="I296" i="8"/>
  <c r="H296" i="8"/>
  <c r="I284" i="8"/>
  <c r="BI16" i="3" s="1"/>
  <c r="H284" i="8"/>
  <c r="BH16" i="3" s="1"/>
  <c r="H150" i="8"/>
  <c r="AD35" i="3" s="1"/>
  <c r="I150" i="8"/>
  <c r="AE35" i="3" s="1"/>
  <c r="I119" i="8"/>
  <c r="Y34" i="3" s="1"/>
  <c r="H119" i="8"/>
  <c r="X34" i="3" s="1"/>
  <c r="H79" i="8"/>
  <c r="R25" i="3" s="1"/>
  <c r="E13" i="9" s="1"/>
  <c r="I126" i="8"/>
  <c r="AE11" i="3" s="1"/>
  <c r="H292" i="8"/>
  <c r="BH24" i="3" s="1"/>
  <c r="H56" i="8"/>
  <c r="L31" i="3" s="1"/>
  <c r="I215" i="8"/>
  <c r="I51" i="8"/>
  <c r="M26" i="3" s="1"/>
  <c r="H311" i="8"/>
  <c r="H130" i="8"/>
  <c r="AD15" i="3" s="1"/>
  <c r="G12" i="9" s="1"/>
  <c r="I123" i="8"/>
  <c r="Y38" i="3" s="1"/>
  <c r="I36" i="8"/>
  <c r="M11" i="3" s="1"/>
  <c r="H139" i="8"/>
  <c r="AD24" i="3" s="1"/>
  <c r="H128" i="8"/>
  <c r="AD13" i="3" s="1"/>
  <c r="H66" i="8"/>
  <c r="R12" i="3" s="1"/>
  <c r="H363" i="8"/>
  <c r="H327" i="8"/>
  <c r="H230" i="8"/>
  <c r="AV23" i="3" s="1"/>
  <c r="H194" i="8"/>
  <c r="H147" i="8"/>
  <c r="H42" i="8"/>
  <c r="L17" i="3" s="1"/>
  <c r="I291" i="8"/>
  <c r="BI23" i="3" s="1"/>
  <c r="I195" i="8"/>
  <c r="AQ19" i="3" s="1"/>
  <c r="I303" i="8"/>
  <c r="I255" i="8"/>
  <c r="BC17" i="3" s="1"/>
  <c r="H362" i="8"/>
  <c r="BT33" i="3" s="1"/>
  <c r="N13" i="9" s="1"/>
  <c r="H326" i="8"/>
  <c r="BN27" i="3" s="1"/>
  <c r="H279" i="8"/>
  <c r="BH11" i="3" s="1"/>
  <c r="H146" i="8"/>
  <c r="H41" i="8"/>
  <c r="L16" i="3" s="1"/>
  <c r="H38" i="8"/>
  <c r="L13" i="3" s="1"/>
  <c r="D12" i="9" s="1"/>
  <c r="H278" i="8"/>
  <c r="BH10" i="3" s="1"/>
  <c r="H243" i="8"/>
  <c r="AV36" i="3" s="1"/>
  <c r="H145" i="8"/>
  <c r="H63" i="8"/>
  <c r="L38" i="3" s="1"/>
  <c r="H49" i="8"/>
  <c r="L24" i="3" s="1"/>
  <c r="H37" i="8"/>
  <c r="L12" i="3" s="1"/>
  <c r="I207" i="8"/>
  <c r="H242" i="8"/>
  <c r="H159" i="8"/>
  <c r="AJ13" i="3" s="1"/>
  <c r="I267" i="8"/>
  <c r="H339" i="8"/>
  <c r="BT10" i="3" s="1"/>
  <c r="H290" i="8"/>
  <c r="H158" i="8"/>
  <c r="H338" i="8"/>
  <c r="H289" i="8"/>
  <c r="BH21" i="3" s="1"/>
  <c r="L13" i="9" s="1"/>
  <c r="H206" i="8"/>
  <c r="AP30" i="3" s="1"/>
  <c r="H171" i="8"/>
  <c r="AJ25" i="3" s="1"/>
  <c r="H123" i="8"/>
  <c r="X38" i="3" s="1"/>
  <c r="I92" i="8"/>
  <c r="S38" i="3" s="1"/>
  <c r="H46" i="8"/>
  <c r="L21" i="3" s="1"/>
  <c r="I219" i="8"/>
  <c r="H254" i="8"/>
  <c r="BB16" i="3" s="1"/>
  <c r="K13" i="9" s="1"/>
  <c r="H170" i="8"/>
  <c r="H122" i="8"/>
  <c r="X37" i="3" s="1"/>
  <c r="H109" i="8"/>
  <c r="X24" i="3" s="1"/>
  <c r="H351" i="8"/>
  <c r="BT22" i="3" s="1"/>
  <c r="H302" i="8"/>
  <c r="BH34" i="3" s="1"/>
  <c r="H101" i="8"/>
  <c r="X16" i="3" s="1"/>
  <c r="F12" i="9" s="1"/>
  <c r="H350" i="8"/>
  <c r="BT21" i="3" s="1"/>
  <c r="H218" i="8"/>
  <c r="AV11" i="3" s="1"/>
  <c r="I114" i="8"/>
  <c r="Y29" i="3" s="1"/>
  <c r="I109" i="8"/>
  <c r="Y24" i="3" s="1"/>
  <c r="I95" i="8"/>
  <c r="Y10" i="3" s="1"/>
  <c r="I93" i="8"/>
  <c r="S39" i="3" s="1"/>
  <c r="H57" i="8"/>
  <c r="L32" i="3" s="1"/>
  <c r="D13" i="9" s="1"/>
  <c r="I45" i="8"/>
  <c r="M20" i="3" s="1"/>
  <c r="I38" i="8"/>
  <c r="M13" i="3" s="1"/>
  <c r="F40" i="3"/>
  <c r="F22" i="3"/>
  <c r="G23" i="3"/>
  <c r="F19" i="3"/>
  <c r="F18" i="3"/>
  <c r="F17" i="3"/>
  <c r="G33" i="3"/>
  <c r="G24" i="3"/>
  <c r="G21" i="3"/>
  <c r="F10" i="3"/>
  <c r="G11" i="3"/>
  <c r="F35" i="3"/>
  <c r="F16" i="3"/>
  <c r="F34" i="3"/>
  <c r="F14" i="3"/>
  <c r="F31" i="3"/>
  <c r="F30" i="3"/>
  <c r="G36" i="3"/>
  <c r="F29" i="3"/>
  <c r="F28" i="3"/>
  <c r="F26" i="3"/>
  <c r="F38" i="3"/>
  <c r="F39" i="3"/>
  <c r="F27" i="3"/>
  <c r="F15" i="3"/>
  <c r="F37" i="3"/>
  <c r="F25" i="3"/>
  <c r="F13" i="3"/>
  <c r="G32" i="3"/>
  <c r="G20" i="3"/>
  <c r="F12" i="3"/>
  <c r="H24" i="8"/>
  <c r="H23" i="8"/>
  <c r="I21" i="8"/>
  <c r="I356" i="8"/>
  <c r="BU27" i="3" s="1"/>
  <c r="H356" i="8"/>
  <c r="BT27" i="3" s="1"/>
  <c r="I332" i="8"/>
  <c r="BO33" i="3" s="1"/>
  <c r="H332" i="8"/>
  <c r="BN33" i="3" s="1"/>
  <c r="I272" i="8"/>
  <c r="H272" i="8"/>
  <c r="I248" i="8"/>
  <c r="H248" i="8"/>
  <c r="I200" i="8"/>
  <c r="H200" i="8"/>
  <c r="I176" i="8"/>
  <c r="H176" i="8"/>
  <c r="I116" i="8"/>
  <c r="H116" i="8"/>
  <c r="I23" i="8"/>
  <c r="I37" i="8"/>
  <c r="M12" i="3" s="1"/>
  <c r="H301" i="8"/>
  <c r="H157" i="8"/>
  <c r="AJ11" i="3" s="1"/>
  <c r="H12" i="9" s="1"/>
  <c r="I35" i="8"/>
  <c r="M10" i="3" s="1"/>
  <c r="I337" i="8"/>
  <c r="BO38" i="3" s="1"/>
  <c r="I265" i="8"/>
  <c r="I193" i="8"/>
  <c r="AQ17" i="3" s="1"/>
  <c r="I121" i="8"/>
  <c r="I49" i="8"/>
  <c r="M24" i="3" s="1"/>
  <c r="H349" i="8"/>
  <c r="BT20" i="3" s="1"/>
  <c r="H205" i="8"/>
  <c r="AP29" i="3" s="1"/>
  <c r="H85" i="8"/>
  <c r="I80" i="8"/>
  <c r="S26" i="3" s="1"/>
  <c r="H80" i="8"/>
  <c r="R26" i="3" s="1"/>
  <c r="I44" i="8"/>
  <c r="M19" i="3" s="1"/>
  <c r="H44" i="8"/>
  <c r="L19" i="3" s="1"/>
  <c r="I277" i="8"/>
  <c r="BC39" i="3" s="1"/>
  <c r="I61" i="8"/>
  <c r="H229" i="8"/>
  <c r="I361" i="8"/>
  <c r="I217" i="8"/>
  <c r="AW10" i="3" s="1"/>
  <c r="I73" i="8"/>
  <c r="S19" i="3" s="1"/>
  <c r="H19" i="8"/>
  <c r="H30" i="8"/>
  <c r="H29" i="8"/>
  <c r="H17" i="8"/>
  <c r="H5" i="8"/>
  <c r="I133" i="8"/>
  <c r="H86" i="8"/>
  <c r="I86" i="8"/>
  <c r="H74" i="8"/>
  <c r="R20" i="3" s="1"/>
  <c r="I74" i="8"/>
  <c r="S20" i="3" s="1"/>
  <c r="H50" i="8"/>
  <c r="L25" i="3" s="1"/>
  <c r="I50" i="8"/>
  <c r="M25" i="3" s="1"/>
  <c r="I39" i="8"/>
  <c r="M14" i="3" s="1"/>
  <c r="I20" i="8"/>
  <c r="I19" i="8"/>
  <c r="I22" i="8"/>
  <c r="I26" i="8"/>
  <c r="I25" i="8"/>
  <c r="I17" i="8"/>
  <c r="I12" i="8"/>
  <c r="H12" i="8"/>
  <c r="H11" i="8"/>
  <c r="H10" i="8"/>
  <c r="I18" i="8"/>
  <c r="I32" i="8"/>
  <c r="I13" i="8"/>
  <c r="I31" i="8"/>
  <c r="I28" i="8"/>
  <c r="I16" i="8"/>
  <c r="I30" i="8"/>
  <c r="I27" i="8"/>
  <c r="H34" i="8"/>
  <c r="I29" i="8"/>
  <c r="I8" i="8"/>
  <c r="I7" i="8"/>
  <c r="I6" i="8"/>
  <c r="I5" i="8"/>
  <c r="I4" i="8"/>
  <c r="I15" i="8"/>
  <c r="I14" i="8"/>
  <c r="H33" i="8"/>
  <c r="H9" i="8"/>
  <c r="H21" i="8"/>
  <c r="G18" i="9" l="1"/>
  <c r="F11" i="9"/>
  <c r="I11" i="9"/>
  <c r="F18" i="9"/>
  <c r="K11" i="9"/>
  <c r="K14" i="9" s="1"/>
  <c r="J5" i="4"/>
  <c r="G13" i="9"/>
  <c r="J18" i="9"/>
  <c r="J21" i="9" s="1"/>
  <c r="F20" i="9"/>
  <c r="K5" i="4" s="1"/>
  <c r="G8" i="2"/>
  <c r="G8" i="9" s="1"/>
  <c r="J11" i="9"/>
  <c r="J14" i="9" s="1"/>
  <c r="D20" i="9"/>
  <c r="E5" i="4" s="1"/>
  <c r="D18" i="9"/>
  <c r="D19" i="9"/>
  <c r="K41" i="9"/>
  <c r="P4" i="4"/>
  <c r="G24" i="9"/>
  <c r="G21" i="9"/>
  <c r="N18" i="9"/>
  <c r="L18" i="9"/>
  <c r="G11" i="2"/>
  <c r="J8" i="9" s="1"/>
  <c r="E11" i="9"/>
  <c r="E14" i="9" s="1"/>
  <c r="E41" i="9"/>
  <c r="D14" i="2"/>
  <c r="G14" i="2"/>
  <c r="M8" i="9" s="1"/>
  <c r="V5" i="4"/>
  <c r="N41" i="9"/>
  <c r="M41" i="9"/>
  <c r="V4" i="4"/>
  <c r="D11" i="9"/>
  <c r="D14" i="9" s="1"/>
  <c r="K4" i="4"/>
  <c r="Q5" i="4"/>
  <c r="H41" i="9"/>
  <c r="D12" i="2"/>
  <c r="G12" i="2"/>
  <c r="K8" i="9" s="1"/>
  <c r="J41" i="9"/>
  <c r="H18" i="9"/>
  <c r="E19" i="9"/>
  <c r="E15" i="2"/>
  <c r="N20" i="9"/>
  <c r="W5" i="4" s="1"/>
  <c r="F14" i="9"/>
  <c r="F43" i="9"/>
  <c r="J4" i="4"/>
  <c r="N11" i="9"/>
  <c r="N14" i="9" s="1"/>
  <c r="I18" i="9"/>
  <c r="I43" i="9" s="1"/>
  <c r="G41" i="9"/>
  <c r="H11" i="9"/>
  <c r="H14" i="9" s="1"/>
  <c r="P5" i="4"/>
  <c r="W4" i="4"/>
  <c r="L41" i="9"/>
  <c r="D13" i="2"/>
  <c r="L11" i="9"/>
  <c r="L43" i="9" s="1"/>
  <c r="G13" i="2"/>
  <c r="L8" i="9" s="1"/>
  <c r="E18" i="9"/>
  <c r="D4" i="4"/>
  <c r="P12" i="9"/>
  <c r="D41" i="9"/>
  <c r="E14" i="2"/>
  <c r="M18" i="9"/>
  <c r="J24" i="9"/>
  <c r="E4" i="4"/>
  <c r="G15" i="2"/>
  <c r="N8" i="9" s="1"/>
  <c r="D15" i="2"/>
  <c r="F15" i="2" s="1"/>
  <c r="M11" i="9"/>
  <c r="M14" i="9" s="1"/>
  <c r="F42" i="9"/>
  <c r="G11" i="9"/>
  <c r="G14" i="9" s="1"/>
  <c r="G44" i="9" s="1"/>
  <c r="I13" i="9"/>
  <c r="E12" i="2"/>
  <c r="K18" i="9"/>
  <c r="E13" i="2"/>
  <c r="D8" i="2"/>
  <c r="E11" i="2"/>
  <c r="D9" i="2"/>
  <c r="E7" i="2"/>
  <c r="D11" i="2"/>
  <c r="D7" i="2"/>
  <c r="D5" i="2"/>
  <c r="E8" i="2"/>
  <c r="E4" i="2"/>
  <c r="C22" i="9" s="1"/>
  <c r="D6" i="2"/>
  <c r="E9" i="2"/>
  <c r="D4" i="2"/>
  <c r="C15" i="9" s="1"/>
  <c r="E5" i="2"/>
  <c r="E6" i="2"/>
  <c r="E10" i="2"/>
  <c r="D10" i="2"/>
  <c r="K4" i="8"/>
  <c r="L4" i="8" s="1"/>
  <c r="C10" i="3"/>
  <c r="O4" i="4" l="1"/>
  <c r="J44" i="9"/>
  <c r="F24" i="9"/>
  <c r="C5" i="4"/>
  <c r="F21" i="9"/>
  <c r="F44" i="9" s="1"/>
  <c r="D21" i="9"/>
  <c r="D44" i="9" s="1"/>
  <c r="E15" i="9"/>
  <c r="D24" i="9"/>
  <c r="P13" i="9"/>
  <c r="J43" i="9"/>
  <c r="F22" i="9"/>
  <c r="N42" i="9"/>
  <c r="H42" i="9"/>
  <c r="H15" i="9"/>
  <c r="J42" i="9"/>
  <c r="J22" i="9"/>
  <c r="I14" i="9"/>
  <c r="I15" i="9" s="1"/>
  <c r="N24" i="9"/>
  <c r="N21" i="9"/>
  <c r="N22" i="9" s="1"/>
  <c r="F12" i="2"/>
  <c r="L42" i="9"/>
  <c r="J11" i="4"/>
  <c r="J6" i="4"/>
  <c r="J12" i="4" s="1"/>
  <c r="D43" i="9"/>
  <c r="W6" i="4"/>
  <c r="W12" i="4" s="1"/>
  <c r="W11" i="4"/>
  <c r="H43" i="9"/>
  <c r="D42" i="9"/>
  <c r="K6" i="4"/>
  <c r="K12" i="4" s="1"/>
  <c r="K11" i="4"/>
  <c r="F14" i="2"/>
  <c r="I5" i="4"/>
  <c r="L5" i="4" s="1"/>
  <c r="M15" i="9"/>
  <c r="I4" i="4"/>
  <c r="G15" i="9"/>
  <c r="E11" i="4"/>
  <c r="E6" i="4"/>
  <c r="E12" i="4" s="1"/>
  <c r="K24" i="9"/>
  <c r="K21" i="9"/>
  <c r="K44" i="9" s="1"/>
  <c r="G42" i="9"/>
  <c r="N43" i="9"/>
  <c r="P11" i="4"/>
  <c r="P6" i="4"/>
  <c r="P12" i="4" s="1"/>
  <c r="M42" i="9"/>
  <c r="C4" i="4"/>
  <c r="P11" i="9"/>
  <c r="Q4" i="4"/>
  <c r="I42" i="9"/>
  <c r="I41" i="9"/>
  <c r="E24" i="9"/>
  <c r="E21" i="9"/>
  <c r="E44" i="9" s="1"/>
  <c r="E43" i="9"/>
  <c r="E42" i="9"/>
  <c r="K43" i="9"/>
  <c r="H24" i="9"/>
  <c r="H21" i="9"/>
  <c r="H44" i="9" s="1"/>
  <c r="V6" i="4"/>
  <c r="V11" i="4"/>
  <c r="K15" i="9"/>
  <c r="G43" i="9"/>
  <c r="D5" i="4"/>
  <c r="D11" i="4" s="1"/>
  <c r="D15" i="9"/>
  <c r="U4" i="4"/>
  <c r="L14" i="9"/>
  <c r="O5" i="4"/>
  <c r="R5" i="4" s="1"/>
  <c r="I24" i="9"/>
  <c r="I21" i="9"/>
  <c r="F15" i="9"/>
  <c r="M24" i="9"/>
  <c r="M21" i="9"/>
  <c r="M44" i="9" s="1"/>
  <c r="F13" i="2"/>
  <c r="N15" i="9"/>
  <c r="M43" i="9"/>
  <c r="U5" i="4"/>
  <c r="X5" i="4" s="1"/>
  <c r="L24" i="9"/>
  <c r="L21" i="9"/>
  <c r="L22" i="9" s="1"/>
  <c r="K42" i="9"/>
  <c r="F9" i="2"/>
  <c r="F8" i="2"/>
  <c r="G22" i="9"/>
  <c r="F11" i="2"/>
  <c r="J15" i="9"/>
  <c r="F5" i="2"/>
  <c r="F6" i="2"/>
  <c r="F7" i="2"/>
  <c r="F10" i="2"/>
  <c r="F4" i="2"/>
  <c r="B4" i="2"/>
  <c r="B5" i="2"/>
  <c r="B6" i="2"/>
  <c r="B13" i="2"/>
  <c r="B7" i="2"/>
  <c r="B8" i="2"/>
  <c r="B9" i="2"/>
  <c r="B10" i="2"/>
  <c r="B12" i="2"/>
  <c r="B11" i="2"/>
  <c r="B14" i="2"/>
  <c r="B15" i="2"/>
  <c r="K5" i="8"/>
  <c r="K6" i="8" s="1"/>
  <c r="C11" i="3"/>
  <c r="D22" i="9" l="1"/>
  <c r="H22" i="9"/>
  <c r="N44" i="9"/>
  <c r="L5" i="8"/>
  <c r="I44" i="9"/>
  <c r="M22" i="9"/>
  <c r="F5" i="4"/>
  <c r="E22" i="9"/>
  <c r="K22" i="9"/>
  <c r="Q11" i="4"/>
  <c r="Q6" i="4"/>
  <c r="Q12" i="4" s="1"/>
  <c r="P14" i="9"/>
  <c r="Q11" i="9" s="1"/>
  <c r="D6" i="4"/>
  <c r="D12" i="4" s="1"/>
  <c r="V12" i="4"/>
  <c r="F4" i="4"/>
  <c r="C6" i="4"/>
  <c r="C11" i="4"/>
  <c r="O6" i="4"/>
  <c r="L15" i="9"/>
  <c r="L44" i="9"/>
  <c r="X4" i="4"/>
  <c r="U6" i="4"/>
  <c r="U12" i="4" s="1"/>
  <c r="U11" i="4"/>
  <c r="X11" i="4" s="1"/>
  <c r="O11" i="4"/>
  <c r="I22" i="9"/>
  <c r="R4" i="4"/>
  <c r="I6" i="4"/>
  <c r="I11" i="4"/>
  <c r="L11" i="4" s="1"/>
  <c r="L4" i="4"/>
  <c r="C12" i="3"/>
  <c r="K7" i="8"/>
  <c r="L6" i="8"/>
  <c r="G5" i="6"/>
  <c r="G6" i="6"/>
  <c r="G7" i="6"/>
  <c r="G8" i="6"/>
  <c r="G9" i="6"/>
  <c r="G10" i="6"/>
  <c r="G11" i="6"/>
  <c r="G23" i="6"/>
  <c r="G4" i="6"/>
  <c r="G24" i="6"/>
  <c r="G25" i="6"/>
  <c r="G26" i="6"/>
  <c r="G15" i="6"/>
  <c r="G27" i="6"/>
  <c r="G28" i="6"/>
  <c r="G17" i="6"/>
  <c r="G29" i="6"/>
  <c r="G18" i="6"/>
  <c r="G30" i="6"/>
  <c r="G19" i="6"/>
  <c r="G31" i="6"/>
  <c r="G20" i="6"/>
  <c r="G32" i="6"/>
  <c r="G21" i="6"/>
  <c r="G33" i="6"/>
  <c r="G22" i="6"/>
  <c r="G34" i="6"/>
  <c r="G12" i="6"/>
  <c r="G13" i="6"/>
  <c r="G14" i="6"/>
  <c r="G16" i="6"/>
  <c r="X6" i="4" l="1"/>
  <c r="F11" i="4"/>
  <c r="X12" i="4"/>
  <c r="F6" i="4"/>
  <c r="F12" i="4" s="1"/>
  <c r="C12" i="4"/>
  <c r="O12" i="4"/>
  <c r="R12" i="4" s="1"/>
  <c r="R6" i="4"/>
  <c r="L6" i="4"/>
  <c r="I12" i="4"/>
  <c r="L12" i="4" s="1"/>
  <c r="Q13" i="9"/>
  <c r="Q12" i="9"/>
  <c r="R11" i="4"/>
  <c r="C13" i="3"/>
  <c r="K8" i="8"/>
  <c r="L7" i="8"/>
  <c r="C14" i="3" l="1"/>
  <c r="K9" i="8"/>
  <c r="L8" i="8"/>
  <c r="C15" i="3" l="1"/>
  <c r="K10" i="8"/>
  <c r="L9" i="8"/>
  <c r="C16" i="3" l="1"/>
  <c r="K11" i="8"/>
  <c r="L10" i="8"/>
  <c r="C17" i="3" l="1"/>
  <c r="K12" i="8"/>
  <c r="L11" i="8"/>
  <c r="C18" i="3" l="1"/>
  <c r="K13" i="8"/>
  <c r="L12" i="8"/>
  <c r="C19" i="3" l="1"/>
  <c r="K14" i="8"/>
  <c r="L13" i="8"/>
  <c r="C20" i="3" l="1"/>
  <c r="K15" i="8"/>
  <c r="L14" i="8"/>
  <c r="C21" i="3" l="1"/>
  <c r="K16" i="8"/>
  <c r="L15" i="8"/>
  <c r="C22" i="3" l="1"/>
  <c r="K17" i="8"/>
  <c r="L16" i="8"/>
  <c r="C23" i="3" l="1"/>
  <c r="K18" i="8"/>
  <c r="L17" i="8"/>
  <c r="C24" i="3" l="1"/>
  <c r="K19" i="8"/>
  <c r="L18" i="8"/>
  <c r="C25" i="3" l="1"/>
  <c r="K20" i="8"/>
  <c r="L19" i="8"/>
  <c r="C26" i="3" l="1"/>
  <c r="K21" i="8"/>
  <c r="L20" i="8"/>
  <c r="C27" i="3" l="1"/>
  <c r="K22" i="8"/>
  <c r="L21" i="8"/>
  <c r="C28" i="3" l="1"/>
  <c r="K23" i="8"/>
  <c r="L22" i="8"/>
  <c r="C29" i="3" l="1"/>
  <c r="K24" i="8"/>
  <c r="L23" i="8"/>
  <c r="C30" i="3" l="1"/>
  <c r="K25" i="8"/>
  <c r="L24" i="8"/>
  <c r="C31" i="3" l="1"/>
  <c r="K26" i="8"/>
  <c r="L25" i="8"/>
  <c r="C32" i="3" l="1"/>
  <c r="K27" i="8"/>
  <c r="L26" i="8"/>
  <c r="C33" i="3" l="1"/>
  <c r="K28" i="8"/>
  <c r="L27" i="8"/>
  <c r="C34" i="3" l="1"/>
  <c r="K29" i="8"/>
  <c r="L28" i="8"/>
  <c r="C35" i="3" l="1"/>
  <c r="K30" i="8"/>
  <c r="L29" i="8"/>
  <c r="C36" i="3" l="1"/>
  <c r="K31" i="8"/>
  <c r="L30" i="8"/>
  <c r="C37" i="3" l="1"/>
  <c r="K32" i="8"/>
  <c r="L31" i="8"/>
  <c r="C38" i="3" l="1"/>
  <c r="K33" i="8"/>
  <c r="L32" i="8"/>
  <c r="C39" i="3" l="1"/>
  <c r="K34" i="8"/>
  <c r="L33" i="8"/>
  <c r="C40" i="3" l="1"/>
  <c r="G4" i="2" s="1"/>
  <c r="C8" i="9" s="1"/>
  <c r="L34" i="8"/>
  <c r="K35" i="8"/>
  <c r="I10" i="3" l="1"/>
  <c r="K36" i="8"/>
  <c r="L35" i="8"/>
  <c r="I11" i="3" l="1"/>
  <c r="K37" i="8"/>
  <c r="L36" i="8"/>
  <c r="I12" i="3" l="1"/>
  <c r="K38" i="8"/>
  <c r="L37" i="8"/>
  <c r="I13" i="3" l="1"/>
  <c r="K39" i="8"/>
  <c r="L38" i="8"/>
  <c r="I14" i="3" l="1"/>
  <c r="K40" i="8"/>
  <c r="L39" i="8"/>
  <c r="I15" i="3" l="1"/>
  <c r="K41" i="8"/>
  <c r="L40" i="8"/>
  <c r="I16" i="3" l="1"/>
  <c r="K42" i="8"/>
  <c r="L41" i="8"/>
  <c r="I17" i="3" l="1"/>
  <c r="K43" i="8"/>
  <c r="L42" i="8"/>
  <c r="I18" i="3" l="1"/>
  <c r="L43" i="8"/>
  <c r="K44" i="8"/>
  <c r="I19" i="3" l="1"/>
  <c r="K45" i="8"/>
  <c r="L44" i="8"/>
  <c r="I20" i="3" l="1"/>
  <c r="L45" i="8"/>
  <c r="K46" i="8"/>
  <c r="I21" i="3" l="1"/>
  <c r="K47" i="8"/>
  <c r="L46" i="8"/>
  <c r="I22" i="3" l="1"/>
  <c r="K48" i="8"/>
  <c r="L47" i="8"/>
  <c r="I23" i="3" l="1"/>
  <c r="K49" i="8"/>
  <c r="L48" i="8"/>
  <c r="I24" i="3" l="1"/>
  <c r="K50" i="8"/>
  <c r="L49" i="8"/>
  <c r="I25" i="3" l="1"/>
  <c r="K51" i="8"/>
  <c r="L50" i="8"/>
  <c r="I26" i="3" l="1"/>
  <c r="K52" i="8"/>
  <c r="L51" i="8"/>
  <c r="I27" i="3" l="1"/>
  <c r="K53" i="8"/>
  <c r="K54" i="8" s="1"/>
  <c r="L54" i="8" s="1"/>
  <c r="L52" i="8"/>
  <c r="I29" i="3" l="1"/>
  <c r="I28" i="3"/>
  <c r="K55" i="8"/>
  <c r="L55" i="8" s="1"/>
  <c r="L53" i="8"/>
  <c r="I30" i="3" l="1"/>
  <c r="K56" i="8"/>
  <c r="I31" i="3" l="1"/>
  <c r="K57" i="8"/>
  <c r="L56" i="8"/>
  <c r="I32" i="3" l="1"/>
  <c r="K58" i="8"/>
  <c r="L57" i="8"/>
  <c r="I33" i="3" l="1"/>
  <c r="L58" i="8"/>
  <c r="K59" i="8"/>
  <c r="I34" i="3" l="1"/>
  <c r="K60" i="8"/>
  <c r="L59" i="8"/>
  <c r="I35" i="3" l="1"/>
  <c r="K61" i="8"/>
  <c r="L60" i="8"/>
  <c r="I36" i="3" l="1"/>
  <c r="K62" i="8"/>
  <c r="L61" i="8"/>
  <c r="I37" i="3" l="1"/>
  <c r="K63" i="8"/>
  <c r="K64" i="8" s="1"/>
  <c r="K65" i="8" s="1"/>
  <c r="L62" i="8"/>
  <c r="I38" i="3" l="1"/>
  <c r="G5" i="2" s="1"/>
  <c r="D8" i="9" s="1"/>
  <c r="L63" i="8"/>
  <c r="O10" i="3" l="1"/>
  <c r="L64" i="8"/>
  <c r="O11" i="3" l="1"/>
  <c r="K66" i="8"/>
  <c r="L65" i="8"/>
  <c r="O12" i="3" l="1"/>
  <c r="K67" i="8"/>
  <c r="L66" i="8"/>
  <c r="O13" i="3" l="1"/>
  <c r="K68" i="8"/>
  <c r="L67" i="8"/>
  <c r="O14" i="3" l="1"/>
  <c r="K69" i="8"/>
  <c r="L68" i="8"/>
  <c r="O15" i="3" l="1"/>
  <c r="K70" i="8"/>
  <c r="L69" i="8"/>
  <c r="O16" i="3" l="1"/>
  <c r="K71" i="8"/>
  <c r="L70" i="8"/>
  <c r="O17" i="3" l="1"/>
  <c r="K72" i="8"/>
  <c r="L71" i="8"/>
  <c r="O18" i="3" l="1"/>
  <c r="L72" i="8"/>
  <c r="K73" i="8"/>
  <c r="O19" i="3" l="1"/>
  <c r="K74" i="8"/>
  <c r="L73" i="8"/>
  <c r="O20" i="3" l="1"/>
  <c r="K75" i="8"/>
  <c r="L74" i="8"/>
  <c r="O21" i="3" l="1"/>
  <c r="K76" i="8"/>
  <c r="L75" i="8"/>
  <c r="O22" i="3" l="1"/>
  <c r="K77" i="8"/>
  <c r="L76" i="8"/>
  <c r="O23" i="3" l="1"/>
  <c r="L77" i="8"/>
  <c r="K78" i="8"/>
  <c r="K79" i="8" s="1"/>
  <c r="O24" i="3" l="1"/>
  <c r="L78" i="8"/>
  <c r="O25" i="3" l="1"/>
  <c r="K80" i="8"/>
  <c r="L79" i="8"/>
  <c r="O26" i="3" l="1"/>
  <c r="K81" i="8"/>
  <c r="L80" i="8"/>
  <c r="O27" i="3" l="1"/>
  <c r="K82" i="8"/>
  <c r="L81" i="8"/>
  <c r="O28" i="3" l="1"/>
  <c r="K83" i="8"/>
  <c r="L82" i="8"/>
  <c r="O29" i="3" l="1"/>
  <c r="K84" i="8"/>
  <c r="L83" i="8"/>
  <c r="O30" i="3" l="1"/>
  <c r="K85" i="8"/>
  <c r="L84" i="8"/>
  <c r="O31" i="3" l="1"/>
  <c r="K86" i="8"/>
  <c r="L85" i="8"/>
  <c r="O32" i="3" l="1"/>
  <c r="K87" i="8"/>
  <c r="L86" i="8"/>
  <c r="O33" i="3" l="1"/>
  <c r="K88" i="8"/>
  <c r="L87" i="8"/>
  <c r="O34" i="3" l="1"/>
  <c r="K89" i="8"/>
  <c r="L88" i="8"/>
  <c r="O35" i="3" l="1"/>
  <c r="K90" i="8"/>
  <c r="L89" i="8"/>
  <c r="O36" i="3" l="1"/>
  <c r="K91" i="8"/>
  <c r="L90" i="8"/>
  <c r="O37" i="3" l="1"/>
  <c r="K92" i="8"/>
  <c r="L91" i="8"/>
  <c r="O38" i="3" l="1"/>
  <c r="K93" i="8"/>
  <c r="K94" i="8" s="1"/>
  <c r="L92" i="8"/>
  <c r="O39" i="3" l="1"/>
  <c r="L93" i="8"/>
  <c r="O40" i="3" l="1"/>
  <c r="G6" i="2" s="1"/>
  <c r="E8" i="9" s="1"/>
  <c r="K95" i="8"/>
  <c r="L94" i="8"/>
  <c r="U10" i="3" l="1"/>
  <c r="K96" i="8"/>
  <c r="L95" i="8"/>
  <c r="U11" i="3" l="1"/>
  <c r="K97" i="8"/>
  <c r="L96" i="8"/>
  <c r="U12" i="3" l="1"/>
  <c r="K98" i="8"/>
  <c r="L97" i="8"/>
  <c r="U13" i="3" l="1"/>
  <c r="K99" i="8"/>
  <c r="L98" i="8"/>
  <c r="U14" i="3" l="1"/>
  <c r="K100" i="8"/>
  <c r="L99" i="8"/>
  <c r="U15" i="3" l="1"/>
  <c r="L100" i="8"/>
  <c r="K101" i="8"/>
  <c r="U16" i="3" l="1"/>
  <c r="K102" i="8"/>
  <c r="L101" i="8"/>
  <c r="U17" i="3" l="1"/>
  <c r="K103" i="8"/>
  <c r="L102" i="8"/>
  <c r="U18" i="3" l="1"/>
  <c r="K104" i="8"/>
  <c r="L103" i="8"/>
  <c r="U19" i="3" l="1"/>
  <c r="K105" i="8"/>
  <c r="L104" i="8"/>
  <c r="U20" i="3" l="1"/>
  <c r="K106" i="8"/>
  <c r="L105" i="8"/>
  <c r="U21" i="3" l="1"/>
  <c r="K107" i="8"/>
  <c r="L106" i="8"/>
  <c r="U22" i="3" l="1"/>
  <c r="K108" i="8"/>
  <c r="L107" i="8"/>
  <c r="U23" i="3" l="1"/>
  <c r="K109" i="8"/>
  <c r="L108" i="8"/>
  <c r="U24" i="3" l="1"/>
  <c r="K110" i="8"/>
  <c r="L109" i="8"/>
  <c r="U25" i="3" l="1"/>
  <c r="K111" i="8"/>
  <c r="L110" i="8"/>
  <c r="U26" i="3" l="1"/>
  <c r="K112" i="8"/>
  <c r="L111" i="8"/>
  <c r="U27" i="3" l="1"/>
  <c r="K113" i="8"/>
  <c r="L112" i="8"/>
  <c r="U28" i="3" l="1"/>
  <c r="K114" i="8"/>
  <c r="L113" i="8"/>
  <c r="U29" i="3" l="1"/>
  <c r="K115" i="8"/>
  <c r="L114" i="8"/>
  <c r="U30" i="3" l="1"/>
  <c r="K116" i="8"/>
  <c r="L115" i="8"/>
  <c r="U31" i="3" l="1"/>
  <c r="K117" i="8"/>
  <c r="L116" i="8"/>
  <c r="U32" i="3" l="1"/>
  <c r="K118" i="8"/>
  <c r="L117" i="8"/>
  <c r="U33" i="3" l="1"/>
  <c r="K119" i="8"/>
  <c r="L118" i="8"/>
  <c r="U34" i="3" l="1"/>
  <c r="K120" i="8"/>
  <c r="L119" i="8"/>
  <c r="U35" i="3" l="1"/>
  <c r="K121" i="8"/>
  <c r="L120" i="8"/>
  <c r="U36" i="3" l="1"/>
  <c r="L121" i="8"/>
  <c r="K122" i="8"/>
  <c r="U37" i="3" l="1"/>
  <c r="K123" i="8"/>
  <c r="K124" i="8" s="1"/>
  <c r="L122" i="8"/>
  <c r="U38" i="3" l="1"/>
  <c r="L123" i="8"/>
  <c r="U39" i="3" l="1"/>
  <c r="G7" i="2" s="1"/>
  <c r="F8" i="9" s="1"/>
  <c r="K125" i="8"/>
  <c r="L124" i="8"/>
  <c r="AA10" i="3" l="1"/>
  <c r="K126" i="8"/>
  <c r="L125" i="8"/>
  <c r="AA11" i="3" l="1"/>
  <c r="K127" i="8"/>
  <c r="L126" i="8"/>
  <c r="AA12" i="3" l="1"/>
  <c r="K128" i="8"/>
  <c r="L127" i="8"/>
  <c r="AA13" i="3" l="1"/>
  <c r="L128" i="8"/>
  <c r="K129" i="8"/>
  <c r="AA14" i="3" l="1"/>
  <c r="K130" i="8"/>
  <c r="L129" i="8"/>
  <c r="AA15" i="3" l="1"/>
  <c r="K131" i="8"/>
  <c r="L130" i="8"/>
  <c r="AA16" i="3" l="1"/>
  <c r="K132" i="8"/>
  <c r="L131" i="8"/>
  <c r="AA17" i="3" l="1"/>
  <c r="K133" i="8"/>
  <c r="L132" i="8"/>
  <c r="AA18" i="3" l="1"/>
  <c r="L133" i="8"/>
  <c r="K134" i="8"/>
  <c r="AA19" i="3" l="1"/>
  <c r="K135" i="8"/>
  <c r="L134" i="8"/>
  <c r="AA20" i="3" l="1"/>
  <c r="K136" i="8"/>
  <c r="L135" i="8"/>
  <c r="AA21" i="3" l="1"/>
  <c r="K137" i="8"/>
  <c r="L136" i="8"/>
  <c r="AA22" i="3" l="1"/>
  <c r="L137" i="8"/>
  <c r="K138" i="8"/>
  <c r="AA23" i="3" l="1"/>
  <c r="K139" i="8"/>
  <c r="L138" i="8"/>
  <c r="AA24" i="3" l="1"/>
  <c r="K140" i="8"/>
  <c r="L139" i="8"/>
  <c r="AA25" i="3" l="1"/>
  <c r="K141" i="8"/>
  <c r="L140" i="8"/>
  <c r="AA26" i="3" l="1"/>
  <c r="K142" i="8"/>
  <c r="L141" i="8"/>
  <c r="AA27" i="3" l="1"/>
  <c r="L142" i="8"/>
  <c r="K143" i="8"/>
  <c r="AA28" i="3" l="1"/>
  <c r="K144" i="8"/>
  <c r="L143" i="8"/>
  <c r="AA29" i="3" l="1"/>
  <c r="K145" i="8"/>
  <c r="L144" i="8"/>
  <c r="AA30" i="3" l="1"/>
  <c r="K146" i="8"/>
  <c r="L145" i="8"/>
  <c r="AA31" i="3" l="1"/>
  <c r="K147" i="8"/>
  <c r="L146" i="8"/>
  <c r="AA32" i="3" l="1"/>
  <c r="K148" i="8"/>
  <c r="L147" i="8"/>
  <c r="AA33" i="3" l="1"/>
  <c r="K149" i="8"/>
  <c r="L148" i="8"/>
  <c r="AA34" i="3" l="1"/>
  <c r="K150" i="8"/>
  <c r="L149" i="8"/>
  <c r="AA35" i="3" l="1"/>
  <c r="K151" i="8"/>
  <c r="L150" i="8"/>
  <c r="AA36" i="3" l="1"/>
  <c r="K152" i="8"/>
  <c r="L151" i="8"/>
  <c r="AA37" i="3" l="1"/>
  <c r="K153" i="8"/>
  <c r="L152" i="8"/>
  <c r="AA38" i="3" l="1"/>
  <c r="K154" i="8"/>
  <c r="L153" i="8"/>
  <c r="AA39" i="3" l="1"/>
  <c r="K155" i="8"/>
  <c r="L154" i="8"/>
  <c r="AA40" i="3" l="1"/>
  <c r="K156" i="8"/>
  <c r="L155" i="8"/>
  <c r="AG10" i="3" l="1"/>
  <c r="K157" i="8"/>
  <c r="L156" i="8"/>
  <c r="AG11" i="3" l="1"/>
  <c r="K158" i="8"/>
  <c r="L157" i="8"/>
  <c r="AG12" i="3" l="1"/>
  <c r="K159" i="8"/>
  <c r="L158" i="8"/>
  <c r="AG13" i="3" l="1"/>
  <c r="K160" i="8"/>
  <c r="L159" i="8"/>
  <c r="AG14" i="3" l="1"/>
  <c r="K161" i="8"/>
  <c r="L160" i="8"/>
  <c r="AG15" i="3" l="1"/>
  <c r="K162" i="8"/>
  <c r="L161" i="8"/>
  <c r="AG16" i="3" l="1"/>
  <c r="K163" i="8"/>
  <c r="L162" i="8"/>
  <c r="AG17" i="3" l="1"/>
  <c r="K164" i="8"/>
  <c r="L163" i="8"/>
  <c r="AG18" i="3" l="1"/>
  <c r="K165" i="8"/>
  <c r="L164" i="8"/>
  <c r="AG19" i="3" l="1"/>
  <c r="K166" i="8"/>
  <c r="L165" i="8"/>
  <c r="AG20" i="3" l="1"/>
  <c r="K167" i="8"/>
  <c r="L166" i="8"/>
  <c r="AG21" i="3" l="1"/>
  <c r="L167" i="8"/>
  <c r="K168" i="8"/>
  <c r="AG22" i="3" l="1"/>
  <c r="K169" i="8"/>
  <c r="L168" i="8"/>
  <c r="AG23" i="3" l="1"/>
  <c r="L169" i="8"/>
  <c r="K170" i="8"/>
  <c r="AG24" i="3" l="1"/>
  <c r="K171" i="8"/>
  <c r="L170" i="8"/>
  <c r="AG25" i="3" l="1"/>
  <c r="K172" i="8"/>
  <c r="L171" i="8"/>
  <c r="AG26" i="3" l="1"/>
  <c r="K173" i="8"/>
  <c r="L172" i="8"/>
  <c r="AG27" i="3" l="1"/>
  <c r="K174" i="8"/>
  <c r="L173" i="8"/>
  <c r="AG28" i="3" l="1"/>
  <c r="K175" i="8"/>
  <c r="L174" i="8"/>
  <c r="AG29" i="3" l="1"/>
  <c r="K176" i="8"/>
  <c r="L175" i="8"/>
  <c r="AG30" i="3" l="1"/>
  <c r="L176" i="8"/>
  <c r="K177" i="8"/>
  <c r="AG31" i="3" l="1"/>
  <c r="K178" i="8"/>
  <c r="L177" i="8"/>
  <c r="AG32" i="3" l="1"/>
  <c r="K179" i="8"/>
  <c r="L178" i="8"/>
  <c r="AG33" i="3" l="1"/>
  <c r="K180" i="8"/>
  <c r="L179" i="8"/>
  <c r="AG34" i="3" l="1"/>
  <c r="K181" i="8"/>
  <c r="L180" i="8"/>
  <c r="AG35" i="3" l="1"/>
  <c r="L181" i="8"/>
  <c r="K182" i="8"/>
  <c r="AG36" i="3" l="1"/>
  <c r="K183" i="8"/>
  <c r="L182" i="8"/>
  <c r="AG37" i="3" l="1"/>
  <c r="K184" i="8"/>
  <c r="L183" i="8"/>
  <c r="AG38" i="3" l="1"/>
  <c r="K185" i="8"/>
  <c r="L184" i="8"/>
  <c r="AG39" i="3" l="1"/>
  <c r="G9" i="2" s="1"/>
  <c r="H8" i="9" s="1"/>
  <c r="K186" i="8"/>
  <c r="L185" i="8"/>
  <c r="AM10" i="3" l="1"/>
  <c r="K187" i="8"/>
  <c r="L186" i="8"/>
  <c r="AM11" i="3" l="1"/>
  <c r="K188" i="8"/>
  <c r="L187" i="8"/>
  <c r="AM12" i="3" l="1"/>
  <c r="K189" i="8"/>
  <c r="L188" i="8"/>
  <c r="AM13" i="3" l="1"/>
  <c r="K190" i="8"/>
  <c r="L189" i="8"/>
  <c r="AM14" i="3" l="1"/>
  <c r="K191" i="8"/>
  <c r="L190" i="8"/>
  <c r="AM15" i="3" l="1"/>
  <c r="K192" i="8"/>
  <c r="L191" i="8"/>
  <c r="AM16" i="3" l="1"/>
  <c r="K193" i="8"/>
  <c r="L192" i="8"/>
  <c r="AM17" i="3" l="1"/>
  <c r="K194" i="8"/>
  <c r="L193" i="8"/>
  <c r="AM18" i="3" l="1"/>
  <c r="K195" i="8"/>
  <c r="L194" i="8"/>
  <c r="AM19" i="3" l="1"/>
  <c r="K196" i="8"/>
  <c r="L195" i="8"/>
  <c r="AM20" i="3" l="1"/>
  <c r="K197" i="8"/>
  <c r="L196" i="8"/>
  <c r="AM21" i="3" l="1"/>
  <c r="K198" i="8"/>
  <c r="L197" i="8"/>
  <c r="AM22" i="3" l="1"/>
  <c r="K199" i="8"/>
  <c r="L198" i="8"/>
  <c r="AM23" i="3" l="1"/>
  <c r="K200" i="8"/>
  <c r="L199" i="8"/>
  <c r="AM24" i="3" l="1"/>
  <c r="K201" i="8"/>
  <c r="L200" i="8"/>
  <c r="AM25" i="3" l="1"/>
  <c r="K202" i="8"/>
  <c r="L201" i="8"/>
  <c r="AM26" i="3" l="1"/>
  <c r="K203" i="8"/>
  <c r="L202" i="8"/>
  <c r="AM27" i="3" l="1"/>
  <c r="K204" i="8"/>
  <c r="L203" i="8"/>
  <c r="AM28" i="3" l="1"/>
  <c r="K205" i="8"/>
  <c r="L204" i="8"/>
  <c r="AM29" i="3" l="1"/>
  <c r="K206" i="8"/>
  <c r="L205" i="8"/>
  <c r="AM30" i="3" l="1"/>
  <c r="K207" i="8"/>
  <c r="L206" i="8"/>
  <c r="AM31" i="3" l="1"/>
  <c r="K208" i="8"/>
  <c r="L207" i="8"/>
  <c r="AM32" i="3" l="1"/>
  <c r="K209" i="8"/>
  <c r="L208" i="8"/>
  <c r="AM33" i="3" l="1"/>
  <c r="K210" i="8"/>
  <c r="L209" i="8"/>
  <c r="AM34" i="3" l="1"/>
  <c r="K211" i="8"/>
  <c r="L210" i="8"/>
  <c r="AM35" i="3" l="1"/>
  <c r="L211" i="8"/>
  <c r="K212" i="8"/>
  <c r="AM36" i="3" l="1"/>
  <c r="K213" i="8"/>
  <c r="L212" i="8"/>
  <c r="AM37" i="3" l="1"/>
  <c r="K214" i="8"/>
  <c r="L213" i="8"/>
  <c r="AM38" i="3" l="1"/>
  <c r="K215" i="8"/>
  <c r="L214" i="8"/>
  <c r="AM39" i="3" l="1"/>
  <c r="K216" i="8"/>
  <c r="L215" i="8"/>
  <c r="AM40" i="3" l="1"/>
  <c r="G10" i="2" s="1"/>
  <c r="I8" i="9" s="1"/>
  <c r="K217" i="8"/>
  <c r="L216" i="8"/>
  <c r="AS10" i="3" l="1"/>
  <c r="K218" i="8"/>
  <c r="L217" i="8"/>
  <c r="AS11" i="3" l="1"/>
  <c r="K219" i="8"/>
  <c r="L218" i="8"/>
  <c r="AS12" i="3" l="1"/>
  <c r="K220" i="8"/>
  <c r="L219" i="8"/>
  <c r="AS13" i="3" l="1"/>
  <c r="K221" i="8"/>
  <c r="L220" i="8"/>
  <c r="AS14" i="3" l="1"/>
  <c r="K222" i="8"/>
  <c r="L221" i="8"/>
  <c r="AS15" i="3" l="1"/>
  <c r="K223" i="8"/>
  <c r="L222" i="8"/>
  <c r="AS16" i="3" l="1"/>
  <c r="K224" i="8"/>
  <c r="L223" i="8"/>
  <c r="AS17" i="3" l="1"/>
  <c r="K225" i="8"/>
  <c r="L224" i="8"/>
  <c r="AS18" i="3" l="1"/>
  <c r="K226" i="8"/>
  <c r="L225" i="8"/>
  <c r="AS19" i="3" l="1"/>
  <c r="L226" i="8"/>
  <c r="K227" i="8"/>
  <c r="AS20" i="3" l="1"/>
  <c r="K228" i="8"/>
  <c r="L227" i="8"/>
  <c r="AS21" i="3" l="1"/>
  <c r="K229" i="8"/>
  <c r="L228" i="8"/>
  <c r="AS22" i="3" l="1"/>
  <c r="K230" i="8"/>
  <c r="L229" i="8"/>
  <c r="AS23" i="3" l="1"/>
  <c r="L230" i="8"/>
  <c r="K231" i="8"/>
  <c r="AS24" i="3" l="1"/>
  <c r="K232" i="8"/>
  <c r="L231" i="8"/>
  <c r="AS25" i="3" l="1"/>
  <c r="K233" i="8"/>
  <c r="L232" i="8"/>
  <c r="AS26" i="3" l="1"/>
  <c r="K234" i="8"/>
  <c r="L233" i="8"/>
  <c r="AS27" i="3" l="1"/>
  <c r="K235" i="8"/>
  <c r="L234" i="8"/>
  <c r="AS28" i="3" l="1"/>
  <c r="K236" i="8"/>
  <c r="L235" i="8"/>
  <c r="AS29" i="3" l="1"/>
  <c r="L236" i="8"/>
  <c r="K237" i="8"/>
  <c r="AS30" i="3" l="1"/>
  <c r="K238" i="8"/>
  <c r="L237" i="8"/>
  <c r="AS31" i="3" l="1"/>
  <c r="K239" i="8"/>
  <c r="L238" i="8"/>
  <c r="AS32" i="3" l="1"/>
  <c r="K240" i="8"/>
  <c r="L239" i="8"/>
  <c r="AS33" i="3" l="1"/>
  <c r="K241" i="8"/>
  <c r="L240" i="8"/>
  <c r="AS34" i="3" l="1"/>
  <c r="K242" i="8"/>
  <c r="L241" i="8"/>
  <c r="AS35" i="3" l="1"/>
  <c r="K243" i="8"/>
  <c r="L242" i="8"/>
  <c r="AS36" i="3" l="1"/>
  <c r="K244" i="8"/>
  <c r="L243" i="8"/>
  <c r="AS37" i="3" l="1"/>
  <c r="K245" i="8"/>
  <c r="L244" i="8"/>
  <c r="AS38" i="3" l="1"/>
  <c r="L245" i="8"/>
  <c r="K246" i="8"/>
  <c r="AS39" i="3" l="1"/>
  <c r="L246" i="8"/>
  <c r="K247" i="8"/>
  <c r="AS40" i="3" l="1"/>
  <c r="K248" i="8"/>
  <c r="L247" i="8"/>
  <c r="AY10" i="3" l="1"/>
  <c r="L248" i="8"/>
  <c r="K249" i="8"/>
  <c r="AY11" i="3" l="1"/>
  <c r="K250" i="8"/>
  <c r="L249" i="8"/>
  <c r="AY12" i="3" l="1"/>
  <c r="L250" i="8"/>
  <c r="K251" i="8"/>
  <c r="AY13" i="3" l="1"/>
  <c r="K252" i="8"/>
  <c r="L251" i="8"/>
  <c r="AY14" i="3" l="1"/>
  <c r="L252" i="8"/>
  <c r="K253" i="8"/>
  <c r="AY15" i="3" l="1"/>
  <c r="K254" i="8"/>
  <c r="L253" i="8"/>
  <c r="AY16" i="3" l="1"/>
  <c r="K255" i="8"/>
  <c r="L254" i="8"/>
  <c r="AY17" i="3" l="1"/>
  <c r="K256" i="8"/>
  <c r="L255" i="8"/>
  <c r="AY18" i="3" l="1"/>
  <c r="L256" i="8"/>
  <c r="K257" i="8"/>
  <c r="AY19" i="3" l="1"/>
  <c r="L257" i="8"/>
  <c r="K258" i="8"/>
  <c r="AY20" i="3" l="1"/>
  <c r="K259" i="8"/>
  <c r="L258" i="8"/>
  <c r="AY21" i="3" l="1"/>
  <c r="K260" i="8"/>
  <c r="L259" i="8"/>
  <c r="AY22" i="3" l="1"/>
  <c r="K261" i="8"/>
  <c r="L260" i="8"/>
  <c r="AY23" i="3" l="1"/>
  <c r="K262" i="8"/>
  <c r="L261" i="8"/>
  <c r="AY24" i="3" l="1"/>
  <c r="K263" i="8"/>
  <c r="L262" i="8"/>
  <c r="AY25" i="3" l="1"/>
  <c r="K264" i="8"/>
  <c r="L263" i="8"/>
  <c r="AY26" i="3" l="1"/>
  <c r="K265" i="8"/>
  <c r="L264" i="8"/>
  <c r="AY27" i="3" l="1"/>
  <c r="K266" i="8"/>
  <c r="L265" i="8"/>
  <c r="AY28" i="3" l="1"/>
  <c r="L266" i="8"/>
  <c r="K267" i="8"/>
  <c r="AY29" i="3" l="1"/>
  <c r="K268" i="8"/>
  <c r="L267" i="8"/>
  <c r="AY30" i="3" l="1"/>
  <c r="K269" i="8"/>
  <c r="L268" i="8"/>
  <c r="AY31" i="3" l="1"/>
  <c r="L269" i="8"/>
  <c r="K270" i="8"/>
  <c r="AY32" i="3" l="1"/>
  <c r="K271" i="8"/>
  <c r="L270" i="8"/>
  <c r="AY33" i="3" l="1"/>
  <c r="K272" i="8"/>
  <c r="L271" i="8"/>
  <c r="AY34" i="3" l="1"/>
  <c r="K273" i="8"/>
  <c r="L272" i="8"/>
  <c r="AY35" i="3" l="1"/>
  <c r="K274" i="8"/>
  <c r="L273" i="8"/>
  <c r="AY36" i="3" l="1"/>
  <c r="L274" i="8"/>
  <c r="K275" i="8"/>
  <c r="AY37" i="3" l="1"/>
  <c r="K276" i="8"/>
  <c r="L275" i="8"/>
  <c r="AY38" i="3" l="1"/>
  <c r="K277" i="8"/>
  <c r="L276" i="8"/>
  <c r="AY39" i="3" l="1"/>
  <c r="K278" i="8"/>
  <c r="L277" i="8"/>
  <c r="K279" i="8" l="1"/>
  <c r="L278" i="8"/>
  <c r="K280" i="8" l="1"/>
  <c r="L279" i="8"/>
  <c r="L280" i="8" l="1"/>
  <c r="K281" i="8"/>
  <c r="K282" i="8" l="1"/>
  <c r="L281" i="8"/>
  <c r="K283" i="8" l="1"/>
  <c r="L282" i="8"/>
  <c r="L283" i="8" l="1"/>
  <c r="K284" i="8"/>
  <c r="K285" i="8" l="1"/>
  <c r="L284" i="8"/>
  <c r="K286" i="8" l="1"/>
  <c r="L285" i="8"/>
  <c r="L286" i="8" l="1"/>
  <c r="K287" i="8"/>
  <c r="K288" i="8" l="1"/>
  <c r="L287" i="8"/>
  <c r="K289" i="8" l="1"/>
  <c r="L288" i="8"/>
  <c r="K290" i="8" l="1"/>
  <c r="L289" i="8"/>
  <c r="K291" i="8" l="1"/>
  <c r="L290" i="8"/>
  <c r="K292" i="8" l="1"/>
  <c r="L291" i="8"/>
  <c r="K293" i="8" l="1"/>
  <c r="L292" i="8"/>
  <c r="K294" i="8" l="1"/>
  <c r="L293" i="8"/>
  <c r="K295" i="8" l="1"/>
  <c r="L294" i="8"/>
  <c r="K296" i="8" l="1"/>
  <c r="L295" i="8"/>
  <c r="K297" i="8" l="1"/>
  <c r="L296" i="8"/>
  <c r="K298" i="8" l="1"/>
  <c r="L297" i="8"/>
  <c r="K299" i="8" l="1"/>
  <c r="L298" i="8"/>
  <c r="K300" i="8" l="1"/>
  <c r="L299" i="8"/>
  <c r="K301" i="8" l="1"/>
  <c r="L300" i="8"/>
  <c r="K302" i="8" l="1"/>
  <c r="L301" i="8"/>
  <c r="K303" i="8" l="1"/>
  <c r="L302" i="8"/>
  <c r="K304" i="8" l="1"/>
  <c r="L303" i="8"/>
  <c r="K305" i="8" l="1"/>
  <c r="L304" i="8"/>
  <c r="K306" i="8" l="1"/>
  <c r="L305" i="8"/>
  <c r="K307" i="8" l="1"/>
  <c r="L306" i="8"/>
  <c r="K308" i="8" l="1"/>
  <c r="L307" i="8"/>
  <c r="K309" i="8" l="1"/>
  <c r="L308" i="8"/>
  <c r="K310" i="8" l="1"/>
  <c r="L309" i="8"/>
  <c r="L310" i="8" l="1"/>
  <c r="K311" i="8"/>
  <c r="K312" i="8" l="1"/>
  <c r="L311" i="8"/>
  <c r="K313" i="8" l="1"/>
  <c r="L312" i="8"/>
  <c r="K314" i="8" l="1"/>
  <c r="L313" i="8"/>
  <c r="K315" i="8" l="1"/>
  <c r="L314" i="8"/>
  <c r="K316" i="8" l="1"/>
  <c r="L315" i="8"/>
  <c r="K317" i="8" l="1"/>
  <c r="L316" i="8"/>
  <c r="K318" i="8" l="1"/>
  <c r="L317" i="8"/>
  <c r="K319" i="8" l="1"/>
  <c r="L318" i="8"/>
  <c r="L319" i="8" l="1"/>
  <c r="K320" i="8"/>
  <c r="K321" i="8" l="1"/>
  <c r="L320" i="8"/>
  <c r="K322" i="8" l="1"/>
  <c r="L321" i="8"/>
  <c r="K323" i="8" l="1"/>
  <c r="L322" i="8"/>
  <c r="K324" i="8" l="1"/>
  <c r="L323" i="8"/>
  <c r="K325" i="8" l="1"/>
  <c r="L324" i="8"/>
  <c r="K326" i="8" l="1"/>
  <c r="L325" i="8"/>
  <c r="K327" i="8" l="1"/>
  <c r="L326" i="8"/>
  <c r="K328" i="8" l="1"/>
  <c r="L327" i="8"/>
  <c r="K329" i="8" l="1"/>
  <c r="L328" i="8"/>
  <c r="K330" i="8" l="1"/>
  <c r="L329" i="8"/>
  <c r="K331" i="8" l="1"/>
  <c r="L330" i="8"/>
  <c r="K332" i="8" l="1"/>
  <c r="L331" i="8"/>
  <c r="K333" i="8" l="1"/>
  <c r="L332" i="8"/>
  <c r="K334" i="8" l="1"/>
  <c r="L333" i="8"/>
  <c r="K335" i="8" l="1"/>
  <c r="L334" i="8"/>
  <c r="K336" i="8" l="1"/>
  <c r="L335" i="8"/>
  <c r="K337" i="8" l="1"/>
  <c r="L336" i="8"/>
  <c r="K338" i="8" l="1"/>
  <c r="L337" i="8"/>
  <c r="K339" i="8" l="1"/>
  <c r="L338" i="8"/>
  <c r="K340" i="8" l="1"/>
  <c r="L339" i="8"/>
  <c r="L340" i="8" l="1"/>
  <c r="K341" i="8"/>
  <c r="K342" i="8" l="1"/>
  <c r="L341" i="8"/>
  <c r="K343" i="8" l="1"/>
  <c r="L342" i="8"/>
  <c r="K344" i="8" l="1"/>
  <c r="L343" i="8"/>
  <c r="K345" i="8" l="1"/>
  <c r="L344" i="8"/>
  <c r="K346" i="8" l="1"/>
  <c r="L345" i="8"/>
  <c r="K347" i="8" l="1"/>
  <c r="L346" i="8"/>
  <c r="K348" i="8" l="1"/>
  <c r="L347" i="8"/>
  <c r="K349" i="8" l="1"/>
  <c r="L348" i="8"/>
  <c r="L349" i="8" l="1"/>
  <c r="K350" i="8"/>
  <c r="L350" i="8" l="1"/>
  <c r="K351" i="8"/>
  <c r="L351" i="8" l="1"/>
  <c r="K352" i="8"/>
  <c r="K353" i="8" l="1"/>
  <c r="L352" i="8"/>
  <c r="K354" i="8" l="1"/>
  <c r="L353" i="8"/>
  <c r="K355" i="8" l="1"/>
  <c r="L354" i="8"/>
  <c r="K356" i="8" l="1"/>
  <c r="L355" i="8"/>
  <c r="L356" i="8" l="1"/>
  <c r="K357" i="8"/>
  <c r="K358" i="8" l="1"/>
  <c r="L357" i="8"/>
  <c r="L358" i="8" l="1"/>
  <c r="K359" i="8"/>
  <c r="K360" i="8" l="1"/>
  <c r="L359" i="8"/>
  <c r="K361" i="8" l="1"/>
  <c r="L360" i="8"/>
  <c r="K362" i="8" l="1"/>
  <c r="L361" i="8"/>
  <c r="L362" i="8" l="1"/>
  <c r="K363" i="8"/>
  <c r="K364" i="8" l="1"/>
  <c r="L363" i="8"/>
  <c r="K365" i="8" l="1"/>
  <c r="L364" i="8"/>
  <c r="K366" i="8" l="1"/>
  <c r="L365" i="8"/>
  <c r="L366" i="8" l="1"/>
  <c r="K367" i="8"/>
  <c r="K368" i="8" l="1"/>
  <c r="L367" i="8"/>
  <c r="K369" i="8" l="1"/>
  <c r="L368" i="8"/>
  <c r="L369" i="8" l="1"/>
</calcChain>
</file>

<file path=xl/sharedStrings.xml><?xml version="1.0" encoding="utf-8"?>
<sst xmlns="http://schemas.openxmlformats.org/spreadsheetml/2006/main" count="984" uniqueCount="119">
  <si>
    <t xml:space="preserve">General </t>
  </si>
  <si>
    <t>Starting Year</t>
  </si>
  <si>
    <t>Currency Settings</t>
  </si>
  <si>
    <t>Select Currency</t>
  </si>
  <si>
    <t>Base Currency</t>
  </si>
  <si>
    <t>USD</t>
  </si>
  <si>
    <t>Exchange Rate</t>
  </si>
  <si>
    <t>Love Kasturi</t>
  </si>
  <si>
    <t>Version</t>
  </si>
  <si>
    <t>v1.0</t>
  </si>
  <si>
    <t>Interest Paid</t>
  </si>
  <si>
    <t>Date</t>
  </si>
  <si>
    <t>Type</t>
  </si>
  <si>
    <t>Category</t>
  </si>
  <si>
    <t>Budget Tracking</t>
  </si>
  <si>
    <t>Cash In</t>
  </si>
  <si>
    <t>Cash Out</t>
  </si>
  <si>
    <t>Running Balance</t>
  </si>
  <si>
    <t>Sub-Category</t>
  </si>
  <si>
    <t>Payment Mode</t>
  </si>
  <si>
    <t>Notes</t>
  </si>
  <si>
    <t>Amount(Base Currency)</t>
  </si>
  <si>
    <t>Amount(Selected Currency)</t>
  </si>
  <si>
    <t>Financing</t>
  </si>
  <si>
    <t>Operating</t>
  </si>
  <si>
    <t>Cash-received from customers</t>
  </si>
  <si>
    <t>Cash-paid to suppliers</t>
  </si>
  <si>
    <t>Cash paid to employees</t>
  </si>
  <si>
    <t>Cash paid for Operating expenses</t>
  </si>
  <si>
    <t>Cash received from other operating income</t>
  </si>
  <si>
    <t>Income tax paid</t>
  </si>
  <si>
    <t>Refund of taxes received</t>
  </si>
  <si>
    <t>Proceeds from issue of shares</t>
  </si>
  <si>
    <t>Proceeds from long-term borrowings</t>
  </si>
  <si>
    <t>Repayment of short-term borrowings</t>
  </si>
  <si>
    <t>Proceeds from short-term borrowings</t>
  </si>
  <si>
    <t>Repayment of long-term borrowings</t>
  </si>
  <si>
    <t>Investing</t>
  </si>
  <si>
    <t>Proceeds from sale of Property, Plant or Equipment (PP&amp;M)</t>
  </si>
  <si>
    <t>Proceeds from sale of investments</t>
  </si>
  <si>
    <t>Purchase of property, plant, or equipment</t>
  </si>
  <si>
    <t>Purchase of investments</t>
  </si>
  <si>
    <t>Loan/Debt given to third parties</t>
  </si>
  <si>
    <t>Interest Received</t>
  </si>
  <si>
    <t>Outflow</t>
  </si>
  <si>
    <t>Inflow</t>
  </si>
  <si>
    <t>Bank Transfer</t>
  </si>
  <si>
    <t>Wire Transfer</t>
  </si>
  <si>
    <t>Cash</t>
  </si>
  <si>
    <t>Amount(USD)</t>
  </si>
  <si>
    <t>Currency Selected</t>
  </si>
  <si>
    <t>Running Balance (Selected Currency)</t>
  </si>
  <si>
    <t>EUR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</si>
  <si>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</si>
  <si>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</si>
  <si>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</si>
  <si>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</si>
  <si>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</si>
  <si>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</si>
  <si>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</si>
  <si>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</si>
  <si>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</si>
  <si>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</si>
  <si>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</si>
  <si>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</si>
  <si>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Navigation Menu</t>
  </si>
  <si>
    <t>Go to Jan</t>
  </si>
  <si>
    <t>Go to Feb</t>
  </si>
  <si>
    <t>Go to Mar</t>
  </si>
  <si>
    <t>Go to Apr</t>
  </si>
  <si>
    <t>Go to May</t>
  </si>
  <si>
    <t>Go to Jun</t>
  </si>
  <si>
    <t>Go to Jul</t>
  </si>
  <si>
    <t>Go to Aug</t>
  </si>
  <si>
    <t>Go to Sep</t>
  </si>
  <si>
    <t>Go to Oct</t>
  </si>
  <si>
    <t>Go to Nov</t>
  </si>
  <si>
    <t>Go to Dec</t>
  </si>
  <si>
    <t>Monthly Summary Table (12 Months)</t>
  </si>
  <si>
    <t>January</t>
  </si>
  <si>
    <t>Year</t>
  </si>
  <si>
    <t>Monthly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</si>
  <si>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</si>
  <si>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</si>
  <si>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</si>
  <si>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</si>
  <si>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</si>
  <si>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</si>
  <si>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</si>
  <si>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</si>
  <si>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</si>
  <si>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</si>
  <si>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Cash-In</t>
  </si>
  <si>
    <t>Cash-Out</t>
  </si>
  <si>
    <t>Net Cash Flow</t>
  </si>
  <si>
    <t>Transactions</t>
  </si>
  <si>
    <t>Major Inflow Category</t>
  </si>
  <si>
    <t>Major Outflow Category</t>
  </si>
  <si>
    <t>Months-&gt;</t>
  </si>
  <si>
    <t>Total</t>
  </si>
  <si>
    <t>Check</t>
  </si>
  <si>
    <t>Total Inflow</t>
  </si>
  <si>
    <t>Total Outflow</t>
  </si>
  <si>
    <t>Inflow Transactions Count</t>
  </si>
  <si>
    <t>Outflow Transactions Count</t>
  </si>
  <si>
    <t>Total Inflow Transsac.</t>
  </si>
  <si>
    <t>Total Outflow Transac.</t>
  </si>
  <si>
    <t>Quarterly Cash Flow Summary Table (Jan-Mar)</t>
  </si>
  <si>
    <t>Metric</t>
  </si>
  <si>
    <t>No. of Inflow Transactions</t>
  </si>
  <si>
    <t>No. of Outflow Transactions</t>
  </si>
  <si>
    <t>Cash Efficiency Ratio</t>
  </si>
  <si>
    <r>
      <t>→</t>
    </r>
    <r>
      <rPr>
        <b/>
        <i/>
        <sz val="8.4499999999999993"/>
        <color theme="2" tint="-0.499984740745262"/>
        <rFont val="Calibri"/>
        <family val="2"/>
      </rPr>
      <t xml:space="preserve"> </t>
    </r>
    <r>
      <rPr>
        <b/>
        <i/>
        <sz val="9"/>
        <color theme="2" tint="-0.499984740745262"/>
        <rFont val="Calibri"/>
        <family val="2"/>
      </rPr>
      <t>use links for easy naviagtion</t>
    </r>
  </si>
  <si>
    <t>Quarterly Cash Flow Summary Table (Apr-Jun)</t>
  </si>
  <si>
    <t>Net Cash / $1 (Spent/Earned)</t>
  </si>
  <si>
    <t>Quarterly Cash Flow Summary Table (Jul-Sep)</t>
  </si>
  <si>
    <t>Quarterly Cash Flow Summary Table (Oct-Dec)</t>
  </si>
  <si>
    <t>Created By</t>
  </si>
  <si>
    <t>Tracker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</si>
</sst>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(#,##0\)_ ;_ * &quot;-&quot;??_ ;_ @_ "/>
    <numFmt numFmtId="165" formatCode="d/mmm/yy"/>
    <numFmt numFmtId="166" formatCode="_ * #,##0_ ;_ * \-#,##0_ ;_ * &quot;-&quot;??_ ;_ @_ "/>
    <numFmt numFmtId="167" formatCode="0.0&quot;x&quot;"/>
    <numFmt numFmtId="168" formatCode="0.00&quot;x&quot;"/>
  </numFmts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2060"/>
      <name val="Calibri"/>
      <family val="2"/>
    </font>
    <font>
      <sz val="11"/>
      <color rgb="FF002060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EE0000"/>
      <name val="Calibri"/>
      <family val="2"/>
    </font>
    <font>
      <sz val="10"/>
      <color theme="1"/>
      <name val="Calibri"/>
      <family val="2"/>
    </font>
    <font>
      <b/>
      <sz val="18"/>
      <color theme="0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b/>
      <sz val="10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4" tint="-0.499984740745262"/>
      <name val="Calibri"/>
      <family val="2"/>
    </font>
    <font>
      <b/>
      <sz val="11"/>
      <color rgb="FFFF0000"/>
      <name val="Calibri"/>
      <family val="2"/>
    </font>
    <font>
      <i/>
      <sz val="11"/>
      <color rgb="FF009A46"/>
      <name val="Calibri"/>
      <family val="2"/>
    </font>
    <font>
      <b/>
      <sz val="18"/>
      <color rgb="FFFF0000"/>
      <name val="Calibri"/>
      <family val="2"/>
    </font>
    <font>
      <b/>
      <i/>
      <sz val="9"/>
      <color theme="2" tint="-0.499984740745262"/>
      <name val="Calibri"/>
      <family val="2"/>
    </font>
    <font>
      <b/>
      <i/>
      <sz val="8.4499999999999993"/>
      <color theme="2" tint="-0.49998474074526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7E7B5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1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" fontId="8" fillId="0" borderId="0" xfId="0" applyNumberFormat="1" applyFont="1" applyAlignment="1">
      <alignment horizontal="left" indent="1"/>
    </xf>
    <xf numFmtId="0" fontId="9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7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1" applyNumberFormat="1" applyFont="1" applyBorder="1"/>
    <xf numFmtId="164" fontId="0" fillId="0" borderId="7" xfId="1" applyNumberFormat="1" applyFont="1" applyBorder="1"/>
    <xf numFmtId="164" fontId="0" fillId="0" borderId="0" xfId="1" applyNumberFormat="1" applyFont="1" applyFill="1" applyBorder="1"/>
    <xf numFmtId="0" fontId="0" fillId="0" borderId="11" xfId="0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0" fillId="0" borderId="14" xfId="0" applyBorder="1"/>
    <xf numFmtId="166" fontId="0" fillId="0" borderId="0" xfId="0" applyNumberFormat="1"/>
    <xf numFmtId="0" fontId="15" fillId="0" borderId="17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166" fontId="0" fillId="0" borderId="19" xfId="1" applyNumberFormat="1" applyFont="1" applyBorder="1"/>
    <xf numFmtId="166" fontId="0" fillId="0" borderId="20" xfId="1" applyNumberFormat="1" applyFont="1" applyBorder="1"/>
    <xf numFmtId="0" fontId="15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7" xfId="0" applyFont="1" applyBorder="1" applyAlignment="1">
      <alignment horizontal="center"/>
    </xf>
    <xf numFmtId="166" fontId="0" fillId="0" borderId="17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166" fontId="0" fillId="0" borderId="20" xfId="1" applyNumberFormat="1" applyFont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9" xfId="0" applyNumberFormat="1" applyBorder="1"/>
    <xf numFmtId="166" fontId="0" fillId="0" borderId="20" xfId="0" applyNumberFormat="1" applyBorder="1"/>
    <xf numFmtId="166" fontId="3" fillId="0" borderId="19" xfId="0" applyNumberFormat="1" applyFont="1" applyBorder="1"/>
    <xf numFmtId="166" fontId="3" fillId="0" borderId="20" xfId="0" applyNumberFormat="1" applyFont="1" applyBorder="1"/>
    <xf numFmtId="0" fontId="3" fillId="0" borderId="19" xfId="0" applyFont="1" applyBorder="1"/>
    <xf numFmtId="0" fontId="3" fillId="0" borderId="20" xfId="0" applyFont="1" applyBorder="1"/>
    <xf numFmtId="167" fontId="0" fillId="0" borderId="0" xfId="0" applyNumberFormat="1"/>
    <xf numFmtId="0" fontId="0" fillId="0" borderId="13" xfId="0" applyBorder="1"/>
    <xf numFmtId="166" fontId="11" fillId="0" borderId="0" xfId="1" applyNumberFormat="1" applyFont="1"/>
    <xf numFmtId="10" fontId="11" fillId="0" borderId="0" xfId="3" applyNumberFormat="1" applyFont="1"/>
    <xf numFmtId="43" fontId="0" fillId="0" borderId="0" xfId="0" applyNumberFormat="1"/>
    <xf numFmtId="1" fontId="17" fillId="0" borderId="0" xfId="0" applyNumberFormat="1" applyFont="1" applyAlignment="1">
      <alignment horizontal="left" vertical="center" indent="2"/>
    </xf>
    <xf numFmtId="0" fontId="18" fillId="0" borderId="0" xfId="0" applyFont="1"/>
    <xf numFmtId="0" fontId="3" fillId="12" borderId="23" xfId="0" applyFont="1" applyFill="1" applyBorder="1" applyAlignment="1">
      <alignment horizontal="left"/>
    </xf>
    <xf numFmtId="0" fontId="3" fillId="12" borderId="23" xfId="0" applyFont="1" applyFill="1" applyBorder="1" applyAlignment="1">
      <alignment horizontal="center"/>
    </xf>
    <xf numFmtId="0" fontId="0" fillId="13" borderId="26" xfId="0" applyFill="1" applyBorder="1"/>
    <xf numFmtId="166" fontId="0" fillId="13" borderId="26" xfId="1" applyNumberFormat="1" applyFont="1" applyFill="1" applyBorder="1" applyAlignment="1"/>
    <xf numFmtId="0" fontId="0" fillId="13" borderId="24" xfId="0" applyFill="1" applyBorder="1"/>
    <xf numFmtId="166" fontId="0" fillId="13" borderId="24" xfId="1" applyNumberFormat="1" applyFont="1" applyFill="1" applyBorder="1" applyAlignment="1"/>
    <xf numFmtId="164" fontId="0" fillId="13" borderId="24" xfId="1" applyNumberFormat="1" applyFont="1" applyFill="1" applyBorder="1" applyAlignment="1"/>
    <xf numFmtId="168" fontId="0" fillId="13" borderId="24" xfId="0" applyNumberFormat="1" applyFill="1" applyBorder="1"/>
    <xf numFmtId="0" fontId="0" fillId="13" borderId="25" xfId="0" applyFill="1" applyBorder="1"/>
    <xf numFmtId="168" fontId="0" fillId="13" borderId="25" xfId="0" applyNumberFormat="1" applyFill="1" applyBorder="1"/>
    <xf numFmtId="0" fontId="0" fillId="13" borderId="0" xfId="0" applyFill="1"/>
    <xf numFmtId="166" fontId="3" fillId="13" borderId="26" xfId="0" applyNumberFormat="1" applyFont="1" applyFill="1" applyBorder="1"/>
    <xf numFmtId="166" fontId="3" fillId="13" borderId="24" xfId="0" applyNumberFormat="1" applyFont="1" applyFill="1" applyBorder="1"/>
    <xf numFmtId="0" fontId="3" fillId="13" borderId="24" xfId="0" applyFont="1" applyFill="1" applyBorder="1"/>
    <xf numFmtId="168" fontId="3" fillId="13" borderId="24" xfId="0" applyNumberFormat="1" applyFont="1" applyFill="1" applyBorder="1"/>
    <xf numFmtId="168" fontId="3" fillId="13" borderId="25" xfId="0" applyNumberFormat="1" applyFont="1" applyFill="1" applyBorder="1"/>
    <xf numFmtId="164" fontId="3" fillId="13" borderId="24" xfId="1" applyNumberFormat="1" applyFont="1" applyFill="1" applyBorder="1" applyAlignment="1"/>
    <xf numFmtId="166" fontId="3" fillId="0" borderId="17" xfId="1" applyNumberFormat="1" applyFont="1" applyBorder="1"/>
    <xf numFmtId="166" fontId="3" fillId="0" borderId="19" xfId="1" applyNumberFormat="1" applyFont="1" applyBorder="1"/>
    <xf numFmtId="166" fontId="3" fillId="0" borderId="20" xfId="1" applyNumberFormat="1" applyFont="1" applyBorder="1"/>
    <xf numFmtId="166" fontId="2" fillId="0" borderId="0" xfId="0" applyNumberFormat="1" applyFont="1"/>
    <xf numFmtId="0" fontId="2" fillId="0" borderId="0" xfId="0" applyFont="1"/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7" fillId="0" borderId="3" xfId="0" applyFont="1" applyBorder="1" applyAlignment="1">
      <alignment horizontal="left" indent="1"/>
    </xf>
    <xf numFmtId="0" fontId="3" fillId="0" borderId="4" xfId="0" applyFont="1" applyBorder="1"/>
    <xf numFmtId="0" fontId="7" fillId="0" borderId="6" xfId="0" applyFont="1" applyBorder="1" applyAlignment="1">
      <alignment horizontal="left" indent="1"/>
    </xf>
    <xf numFmtId="0" fontId="0" fillId="6" borderId="12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3" fillId="6" borderId="13" xfId="0" applyFont="1" applyFill="1" applyBorder="1" applyAlignment="1" applyProtection="1">
      <alignment horizontal="center"/>
      <protection locked="0"/>
    </xf>
    <xf numFmtId="0" fontId="0" fillId="6" borderId="14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14" fillId="6" borderId="17" xfId="2" applyFont="1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6" fontId="0" fillId="0" borderId="7" xfId="1" applyNumberFormat="1" applyFont="1" applyBorder="1" applyProtection="1">
      <protection locked="0"/>
    </xf>
    <xf numFmtId="166" fontId="0" fillId="0" borderId="0" xfId="1" applyNumberFormat="1" applyFont="1" applyAlignment="1">
      <alignment horizontal="center"/>
    </xf>
    <xf numFmtId="0" fontId="8" fillId="0" borderId="10" xfId="0" applyFont="1" applyBorder="1" applyAlignment="1" applyProtection="1">
      <alignment horizontal="left" indent="2"/>
    </xf>
    <xf numFmtId="0" fontId="8" fillId="0" borderId="10" xfId="0" applyFont="1" applyBorder="1" applyAlignment="1" applyProtection="1">
      <alignment horizontal="left" indent="1"/>
    </xf>
    <xf numFmtId="0" fontId="0" fillId="0" borderId="11" xfId="0" applyBorder="1" applyAlignment="1" applyProtection="1">
      <alignment horizontal="center"/>
      <protection locked="0"/>
    </xf>
    <xf numFmtId="14" fontId="3" fillId="6" borderId="8" xfId="0" applyNumberFormat="1" applyFont="1" applyFill="1" applyBorder="1" applyAlignment="1" applyProtection="1">
      <alignment horizontal="center"/>
      <protection locked="0" hidden="1"/>
    </xf>
    <xf numFmtId="0" fontId="0" fillId="6" borderId="8" xfId="0" applyFill="1" applyBorder="1" applyAlignment="1" applyProtection="1">
      <alignment horizontal="center"/>
      <protection locked="0" hidden="1"/>
    </xf>
    <xf numFmtId="166" fontId="3" fillId="6" borderId="8" xfId="1" applyNumberFormat="1" applyFont="1" applyFill="1" applyBorder="1" applyProtection="1">
      <protection locked="0" hidden="1"/>
    </xf>
    <xf numFmtId="0" fontId="0" fillId="6" borderId="8" xfId="0" applyFill="1" applyBorder="1" applyProtection="1">
      <protection locked="0" hidden="1"/>
    </xf>
    <xf numFmtId="166" fontId="3" fillId="6" borderId="8" xfId="1" applyNumberFormat="1" applyFont="1" applyFill="1" applyBorder="1" applyAlignment="1" applyProtection="1">
      <alignment horizontal="center"/>
      <protection locked="0" hidden="1"/>
    </xf>
    <xf numFmtId="14" fontId="3" fillId="6" borderId="9" xfId="0" applyNumberFormat="1" applyFont="1" applyFill="1" applyBorder="1" applyAlignment="1" applyProtection="1">
      <alignment horizontal="center"/>
      <protection locked="0" hidden="1"/>
    </xf>
    <xf numFmtId="0" fontId="0" fillId="6" borderId="9" xfId="0" applyFill="1" applyBorder="1" applyAlignment="1" applyProtection="1">
      <alignment horizontal="center"/>
      <protection locked="0" hidden="1"/>
    </xf>
    <xf numFmtId="0" fontId="0" fillId="6" borderId="9" xfId="0" applyFill="1" applyBorder="1" applyProtection="1">
      <protection locked="0" hidden="1"/>
    </xf>
    <xf numFmtId="0" fontId="0" fillId="0" borderId="0" xfId="0" applyFont="1"/>
    <xf numFmtId="0" fontId="12" fillId="0" borderId="10" xfId="0" applyFont="1" applyBorder="1" applyAlignment="1" applyProtection="1">
      <alignment horizontal="left" indent="2"/>
    </xf>
    <xf numFmtId="0" fontId="12" fillId="0" borderId="10" xfId="0" applyFont="1" applyBorder="1" applyAlignment="1" applyProtection="1">
      <alignment horizontal="left" indent="1"/>
    </xf>
    <xf numFmtId="165" fontId="8" fillId="0" borderId="0" xfId="0" applyNumberFormat="1" applyFont="1" applyAlignment="1" applyProtection="1">
      <alignment horizontal="left" indent="1"/>
    </xf>
    <xf numFmtId="0" fontId="8" fillId="0" borderId="0" xfId="0" applyFont="1" applyAlignment="1" applyProtection="1">
      <alignment horizontal="left" indent="1"/>
    </xf>
    <xf numFmtId="165" fontId="12" fillId="0" borderId="10" xfId="0" applyNumberFormat="1" applyFont="1" applyBorder="1" applyAlignment="1" applyProtection="1">
      <alignment horizontal="left" indent="1"/>
    </xf>
    <xf numFmtId="0" fontId="8" fillId="0" borderId="0" xfId="0" applyFont="1" applyAlignment="1" applyProtection="1">
      <alignment horizontal="left" indent="2"/>
    </xf>
    <xf numFmtId="166" fontId="8" fillId="0" borderId="0" xfId="1" applyNumberFormat="1" applyFont="1" applyAlignment="1" applyProtection="1">
      <alignment horizontal="left" indent="1"/>
      <protection locked="0" hidden="1"/>
    </xf>
    <xf numFmtId="166" fontId="8" fillId="0" borderId="0" xfId="1" applyNumberFormat="1" applyFont="1" applyAlignment="1" applyProtection="1">
      <alignment horizontal="right" indent="1"/>
      <protection locked="0" hidden="1"/>
    </xf>
    <xf numFmtId="43" fontId="8" fillId="0" borderId="0" xfId="1" applyFont="1" applyAlignment="1" applyProtection="1">
      <alignment horizontal="right" indent="1"/>
      <protection locked="0" hidden="1"/>
    </xf>
    <xf numFmtId="166" fontId="8" fillId="0" borderId="0" xfId="1" applyNumberFormat="1" applyFont="1" applyAlignment="1" applyProtection="1">
      <alignment horizontal="left" indent="3"/>
      <protection locked="0" hidden="1"/>
    </xf>
    <xf numFmtId="166" fontId="8" fillId="0" borderId="10" xfId="1" applyNumberFormat="1" applyFont="1" applyBorder="1" applyAlignment="1" applyProtection="1">
      <alignment horizontal="left" indent="1"/>
      <protection locked="0" hidden="1"/>
    </xf>
    <xf numFmtId="166" fontId="8" fillId="0" borderId="10" xfId="1" applyNumberFormat="1" applyFont="1" applyBorder="1" applyAlignment="1" applyProtection="1">
      <alignment horizontal="right" indent="1"/>
      <protection locked="0" hidden="1"/>
    </xf>
    <xf numFmtId="43" fontId="8" fillId="0" borderId="10" xfId="1" applyFont="1" applyBorder="1" applyAlignment="1" applyProtection="1">
      <alignment horizontal="right" indent="1"/>
      <protection locked="0" hidden="1"/>
    </xf>
    <xf numFmtId="166" fontId="8" fillId="0" borderId="0" xfId="1" applyNumberFormat="1" applyFont="1" applyAlignment="1" applyProtection="1">
      <alignment horizontal="left" indent="2"/>
      <protection locked="0" hidden="1"/>
    </xf>
    <xf numFmtId="166" fontId="12" fillId="0" borderId="10" xfId="1" applyNumberFormat="1" applyFont="1" applyBorder="1" applyAlignment="1" applyProtection="1">
      <alignment horizontal="left" indent="1"/>
      <protection locked="0" hidden="1"/>
    </xf>
    <xf numFmtId="166" fontId="12" fillId="0" borderId="10" xfId="1" applyNumberFormat="1" applyFont="1" applyBorder="1" applyAlignment="1" applyProtection="1">
      <alignment horizontal="right" indent="1"/>
      <protection locked="0" hidden="1"/>
    </xf>
    <xf numFmtId="43" fontId="12" fillId="0" borderId="10" xfId="1" applyFont="1" applyBorder="1" applyAlignment="1" applyProtection="1">
      <alignment horizontal="right" indent="1"/>
      <protection locked="0" hidden="1"/>
    </xf>
    <xf numFmtId="1" fontId="8" fillId="3" borderId="0" xfId="0" applyNumberFormat="1" applyFont="1" applyFill="1" applyAlignment="1" applyProtection="1">
      <alignment horizontal="center"/>
      <protection locked="0" hidden="1"/>
    </xf>
    <xf numFmtId="1" fontId="8" fillId="5" borderId="0" xfId="0" applyNumberFormat="1" applyFont="1" applyFill="1" applyAlignment="1" applyProtection="1">
      <alignment horizontal="center"/>
      <protection locked="0" hidden="1"/>
    </xf>
    <xf numFmtId="1" fontId="8" fillId="0" borderId="0" xfId="0" applyNumberFormat="1" applyFont="1" applyAlignment="1" applyProtection="1">
      <alignment horizontal="center"/>
      <protection locked="0" hidden="1"/>
    </xf>
    <xf numFmtId="1" fontId="12" fillId="0" borderId="10" xfId="0" applyNumberFormat="1" applyFont="1" applyBorder="1" applyAlignment="1" applyProtection="1">
      <alignment horizontal="center"/>
      <protection locked="0" hidden="1"/>
    </xf>
    <xf numFmtId="166" fontId="3" fillId="6" borderId="8" xfId="1" applyNumberFormat="1" applyFont="1" applyFill="1" applyBorder="1" applyProtection="1">
      <protection locked="0"/>
    </xf>
    <xf numFmtId="166" fontId="3" fillId="6" borderId="8" xfId="1" applyNumberFormat="1" applyFont="1" applyFill="1" applyBorder="1" applyAlignment="1" applyProtection="1">
      <alignment horizontal="right"/>
      <protection locked="0"/>
    </xf>
    <xf numFmtId="166" fontId="3" fillId="6" borderId="8" xfId="1" applyNumberFormat="1" applyFont="1" applyFill="1" applyBorder="1" applyAlignment="1" applyProtection="1">
      <alignment horizontal="center"/>
      <protection locked="0"/>
    </xf>
    <xf numFmtId="166" fontId="3" fillId="6" borderId="9" xfId="1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43" fontId="6" fillId="0" borderId="0" xfId="1" applyFont="1" applyBorder="1" applyProtection="1">
      <protection locked="0" hidden="1"/>
    </xf>
    <xf numFmtId="166" fontId="8" fillId="3" borderId="0" xfId="1" applyNumberFormat="1" applyFont="1" applyFill="1" applyAlignment="1" applyProtection="1">
      <alignment horizontal="center"/>
      <protection locked="0" hidden="1"/>
    </xf>
    <xf numFmtId="166" fontId="8" fillId="5" borderId="0" xfId="1" applyNumberFormat="1" applyFont="1" applyFill="1" applyAlignment="1" applyProtection="1">
      <alignment horizontal="center"/>
      <protection locked="0" hidden="1"/>
    </xf>
    <xf numFmtId="166" fontId="8" fillId="0" borderId="0" xfId="1" applyNumberFormat="1" applyFont="1" applyAlignment="1" applyProtection="1">
      <alignment horizontal="center"/>
      <protection locked="0" hidden="1"/>
    </xf>
    <xf numFmtId="166" fontId="12" fillId="3" borderId="10" xfId="1" applyNumberFormat="1" applyFont="1" applyFill="1" applyBorder="1" applyAlignment="1" applyProtection="1">
      <alignment horizontal="center"/>
      <protection locked="0" hidden="1"/>
    </xf>
    <xf numFmtId="166" fontId="12" fillId="0" borderId="10" xfId="1" applyNumberFormat="1" applyFont="1" applyBorder="1" applyAlignment="1" applyProtection="1">
      <alignment horizontal="center"/>
      <protection locked="0" hidden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 * #,##0_ ;_ * \-#,##0_ ;_ * &quot;-&quot;??_ ;_ @_ "/>
      <alignment horizontal="center" vertical="bottom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 * #,##0_ ;_ * \-#,##0_ ;_ * &quot;-&quot;??_ ;_ @_ "/>
      <alignment horizontal="center" vertical="bottom" textRotation="0" wrapText="0" indent="0" justifyLastLine="0" shrinkToFit="0" readingOrder="0"/>
      <protection locked="0" hidden="1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bottom" textRotation="0" wrapText="0" indent="1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 * #,##0_ ;_ * \-#,##0_ ;_ * &quot;-&quot;??_ ;_ @_ "/>
      <alignment horizontal="right" vertical="bottom" textRotation="0" wrapText="0" indent="1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6" formatCode="_ * #,##0_ ;_ * \-#,##0_ ;_ * &quot;-&quot;??_ ;_ @_ "/>
      <alignment horizontal="left" vertical="bottom" textRotation="0" wrapText="0" relativeIndent="1" justifyLastLine="0" shrinkToFit="0" readingOrder="0"/>
      <protection locked="0" hidden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left" vertical="bottom" textRotation="0" wrapText="0" relative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left" vertical="bottom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left" vertical="bottom" textRotation="0" wrapText="0" relative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5" formatCode="d/mmm/yy"/>
      <alignment horizontal="left" vertical="bottom" textRotation="0" wrapText="0" relative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bottom" textRotation="0" wrapText="0" relativeIndent="1" justifyLastLine="0" shrinkToFit="0" readingOrder="0"/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color theme="0" tint="-0.499984740745262"/>
      </font>
    </dxf>
    <dxf>
      <font>
        <b/>
        <i val="0"/>
        <color rgb="FF00B050"/>
      </font>
      <numFmt numFmtId="169" formatCode="#,##0_ ;\-#,##0\ "/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 val="0"/>
        <i/>
        <color rgb="FFFF0000"/>
      </font>
    </dxf>
    <dxf>
      <font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009A46"/>
      </font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ont>
        <b/>
        <i val="0"/>
        <color rgb="FF009A46"/>
      </font>
      <fill>
        <patternFill>
          <bgColor theme="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2525"/>
      <color rgb="FFA7E7B5"/>
      <color rgb="FF9FF7BA"/>
      <color rgb="FF009A4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 Transactions / Month</a:t>
            </a:r>
            <a:r>
              <a:rPr lang="en-IN" b="1" baseline="0"/>
              <a:t> </a:t>
            </a:r>
            <a:endParaRPr lang="en-IN" b="1"/>
          </a:p>
        </c:rich>
      </c:tx>
      <c:layout>
        <c:manualLayout>
          <c:xMode val="edge"/>
          <c:yMode val="edge"/>
          <c:x val="0.19674828905732578"/>
          <c:y val="3.5407182599898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285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Calculations!$C$26:$N$26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'Tracker Dashboard'!$G$4:$G$15</c:f>
              <c:numCache>
                <c:formatCode>General</c:formatCode>
                <c:ptCount val="12"/>
                <c:pt idx="0">
                  <c:v>31</c:v>
                </c:pt>
                <c:pt idx="1">
                  <c:v>23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791-AE69-98D24B45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788992"/>
        <c:axId val="1309786112"/>
      </c:lineChart>
      <c:catAx>
        <c:axId val="130978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277162962830107"/>
              <c:y val="0.8890613079215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86112"/>
        <c:crosses val="autoZero"/>
        <c:auto val="1"/>
        <c:lblAlgn val="ctr"/>
        <c:lblOffset val="100"/>
        <c:noMultiLvlLbl val="0"/>
      </c:catAx>
      <c:valAx>
        <c:axId val="1309786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Transactions</a:t>
                </a:r>
              </a:p>
            </c:rich>
          </c:tx>
          <c:layout>
            <c:manualLayout>
              <c:xMode val="edge"/>
              <c:yMode val="edge"/>
              <c:x val="2.6575550493545937E-2"/>
              <c:y val="0.31234507478155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Q1</a:t>
            </a:r>
            <a:r>
              <a:rPr lang="en-IN" b="1" baseline="0"/>
              <a:t> - Inflow Vs Outflow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Inflow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Analysis'!$C$4:$E$4</c:f>
              <c:numCache>
                <c:formatCode>_ * #,##0_ ;_ * \-#,##0_ ;_ * "-"??_ ;_ @_ </c:formatCode>
                <c:ptCount val="3"/>
                <c:pt idx="0">
                  <c:v>294275</c:v>
                </c:pt>
                <c:pt idx="1">
                  <c:v>97500</c:v>
                </c:pt>
                <c:pt idx="2">
                  <c:v>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3-4E33-9E1A-9B19C863DBA7}"/>
            </c:ext>
          </c:extLst>
        </c:ser>
        <c:ser>
          <c:idx val="1"/>
          <c:order val="1"/>
          <c:tx>
            <c:v>Outflow</c:v>
          </c:tx>
          <c:spPr>
            <a:solidFill>
              <a:srgbClr val="FF2525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Analysis'!$C$5:$E$5</c:f>
              <c:numCache>
                <c:formatCode>_ * #,##0_ ;_ * \-#,##0_ ;_ * "-"??_ ;_ @_ </c:formatCode>
                <c:ptCount val="3"/>
                <c:pt idx="0">
                  <c:v>243015</c:v>
                </c:pt>
                <c:pt idx="1">
                  <c:v>33110</c:v>
                </c:pt>
                <c:pt idx="2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3-4E33-9E1A-9B19C863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284223"/>
        <c:axId val="1263292383"/>
      </c:barChart>
      <c:catAx>
        <c:axId val="12632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2383"/>
        <c:crosses val="autoZero"/>
        <c:auto val="1"/>
        <c:lblAlgn val="ctr"/>
        <c:lblOffset val="100"/>
        <c:noMultiLvlLbl val="0"/>
      </c:catAx>
      <c:valAx>
        <c:axId val="126329238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Q2- Inflow vs Outflow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Inflow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Analysis'!$I$4:$K$4</c:f>
              <c:numCache>
                <c:formatCode>_ * #,##0_ ;_ * \-#,##0_ ;_ * "-"??_ ;_ @_ </c:formatCode>
                <c:ptCount val="3"/>
                <c:pt idx="0">
                  <c:v>192720</c:v>
                </c:pt>
                <c:pt idx="1">
                  <c:v>90000</c:v>
                </c:pt>
                <c:pt idx="2">
                  <c:v>35587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E-498D-9E03-841149620A61}"/>
            </c:ext>
          </c:extLst>
        </c:ser>
        <c:ser>
          <c:idx val="1"/>
          <c:order val="1"/>
          <c:tx>
            <c:v>Outflow</c:v>
          </c:tx>
          <c:spPr>
            <a:solidFill>
              <a:srgbClr val="FF2525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Analysis'!$I$5:$K$5</c:f>
              <c:numCache>
                <c:formatCode>_ * #,##0_ ;_ * \-#,##0_ ;_ * "-"??_ ;_ @_ </c:formatCode>
                <c:ptCount val="3"/>
                <c:pt idx="0">
                  <c:v>234500</c:v>
                </c:pt>
                <c:pt idx="1">
                  <c:v>40000</c:v>
                </c:pt>
                <c:pt idx="2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E-498D-9E03-84114962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284223"/>
        <c:axId val="1263292383"/>
      </c:barChart>
      <c:catAx>
        <c:axId val="12632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2383"/>
        <c:crosses val="autoZero"/>
        <c:auto val="1"/>
        <c:lblAlgn val="ctr"/>
        <c:lblOffset val="100"/>
        <c:noMultiLvlLbl val="0"/>
      </c:catAx>
      <c:valAx>
        <c:axId val="126329238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422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Q3- Inflow vs Outflow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Inflow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Analysis'!$O$4:$Q$4</c:f>
              <c:numCache>
                <c:formatCode>_ * #,##0_ ;_ * \-#,##0_ ;_ * "-"??_ ;_ @_ </c:formatCode>
                <c:ptCount val="3"/>
                <c:pt idx="0">
                  <c:v>268550</c:v>
                </c:pt>
                <c:pt idx="1">
                  <c:v>44000</c:v>
                </c:pt>
                <c:pt idx="2">
                  <c:v>161572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BF-499F-87CF-10BADC96DD36}"/>
            </c:ext>
          </c:extLst>
        </c:ser>
        <c:ser>
          <c:idx val="1"/>
          <c:order val="1"/>
          <c:tx>
            <c:v>Outflow</c:v>
          </c:tx>
          <c:spPr>
            <a:solidFill>
              <a:srgbClr val="FF2525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Analysis'!$O$5:$Q$5</c:f>
              <c:numCache>
                <c:formatCode>_ * #,##0_ ;_ * \-#,##0_ ;_ * "-"??_ ;_ @_ </c:formatCode>
                <c:ptCount val="3"/>
                <c:pt idx="0">
                  <c:v>272710</c:v>
                </c:pt>
                <c:pt idx="1">
                  <c:v>43000</c:v>
                </c:pt>
                <c:pt idx="2">
                  <c:v>26250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BF-499F-87CF-10BADC96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284223"/>
        <c:axId val="1263292383"/>
      </c:barChart>
      <c:catAx>
        <c:axId val="12632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2383"/>
        <c:crosses val="autoZero"/>
        <c:auto val="1"/>
        <c:lblAlgn val="ctr"/>
        <c:lblOffset val="100"/>
        <c:noMultiLvlLbl val="0"/>
      </c:catAx>
      <c:valAx>
        <c:axId val="126329238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422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Q4 - Inflow vs Outflow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Inflow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'Quarterly Analysis'!$O$3:$Q$3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Analysis'!$U$4:$W$4</c:f>
              <c:numCache>
                <c:formatCode>_ * #,##0_ ;_ * \-#,##0_ ;_ * "-"??_ ;_ @_ </c:formatCode>
                <c:ptCount val="3"/>
                <c:pt idx="0">
                  <c:v>415200</c:v>
                </c:pt>
                <c:pt idx="1">
                  <c:v>140000</c:v>
                </c:pt>
                <c:pt idx="2">
                  <c:v>51800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A-4068-94E1-8B65F62CBA12}"/>
            </c:ext>
          </c:extLst>
        </c:ser>
        <c:ser>
          <c:idx val="1"/>
          <c:order val="1"/>
          <c:tx>
            <c:v>Outflow</c:v>
          </c:tx>
          <c:spPr>
            <a:solidFill>
              <a:srgbClr val="FF2525"/>
            </a:solidFill>
            <a:ln>
              <a:noFill/>
            </a:ln>
            <a:effectLst/>
          </c:spPr>
          <c:invertIfNegative val="0"/>
          <c:cat>
            <c:strRef>
              <c:f>'Quarterly Analysis'!$O$3:$Q$3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Analysis'!$U$5:$W$5</c:f>
              <c:numCache>
                <c:formatCode>_ * #,##0_ ;_ * \-#,##0_ ;_ * "-"??_ ;_ @_ </c:formatCode>
                <c:ptCount val="3"/>
                <c:pt idx="0">
                  <c:v>394100</c:v>
                </c:pt>
                <c:pt idx="1">
                  <c:v>26550</c:v>
                </c:pt>
                <c:pt idx="2">
                  <c:v>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BA-4068-94E1-8B65F62C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284223"/>
        <c:axId val="1263292383"/>
      </c:barChart>
      <c:catAx>
        <c:axId val="12632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2383"/>
        <c:crosses val="autoZero"/>
        <c:auto val="1"/>
        <c:lblAlgn val="ctr"/>
        <c:lblOffset val="100"/>
        <c:noMultiLvlLbl val="0"/>
      </c:catAx>
      <c:valAx>
        <c:axId val="126329238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422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Q1</a:t>
            </a:r>
            <a:r>
              <a:rPr lang="en-IN" b="1" baseline="0"/>
              <a:t> -  Net Cash Flow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Analysis'!$C$6:$E$6</c:f>
              <c:numCache>
                <c:formatCode>_ * #,##0_ ;_ * \-#,##0_ ;_ * "-"??_ ;_ @_ </c:formatCode>
                <c:ptCount val="3"/>
                <c:pt idx="0">
                  <c:v>51260</c:v>
                </c:pt>
                <c:pt idx="1">
                  <c:v>64390</c:v>
                </c:pt>
                <c:pt idx="2" formatCode="_ * #,##0_ ;_ * \(#,##0\)_ ;_ * &quot;-&quot;??_ ;_ @_ ">
                  <c:v>-31760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C-4057-BDA8-5CDBAF88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57263"/>
        <c:axId val="1257461103"/>
      </c:barChart>
      <c:catAx>
        <c:axId val="12574572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61103"/>
        <c:crosses val="max"/>
        <c:auto val="1"/>
        <c:lblAlgn val="ctr"/>
        <c:lblOffset val="100"/>
        <c:noMultiLvlLbl val="0"/>
      </c:catAx>
      <c:valAx>
        <c:axId val="125746110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Q2</a:t>
            </a:r>
            <a:r>
              <a:rPr lang="en-IN" b="1" baseline="0"/>
              <a:t> - Net Cash Flow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Analysis'!$I$6:$K$6</c:f>
              <c:numCache>
                <c:formatCode>_ * #,##0_ ;_ * \-#,##0_ ;_ * "-"??_ ;_ @_ </c:formatCode>
                <c:ptCount val="3"/>
                <c:pt idx="0" formatCode="_ * #,##0_ ;_ * \(#,##0\)_ ;_ * &quot;-&quot;??_ ;_ @_ ">
                  <c:v>-41780</c:v>
                </c:pt>
                <c:pt idx="1">
                  <c:v>50000</c:v>
                </c:pt>
                <c:pt idx="2" formatCode="_ * #,##0_ ;_ * \(#,##0\)_ ;_ * &quot;-&quot;??_ ;_ @_ ">
                  <c:v>-69413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E-4E7E-BA7D-2CC3D3DF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57263"/>
        <c:axId val="1257461103"/>
      </c:barChart>
      <c:catAx>
        <c:axId val="12574572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61103"/>
        <c:crosses val="max"/>
        <c:auto val="1"/>
        <c:lblAlgn val="ctr"/>
        <c:lblOffset val="100"/>
        <c:noMultiLvlLbl val="0"/>
      </c:catAx>
      <c:valAx>
        <c:axId val="1257461103"/>
        <c:scaling>
          <c:orientation val="minMax"/>
        </c:scaling>
        <c:delete val="0"/>
        <c:axPos val="l"/>
        <c:numFmt formatCode="_ * #,##0_ ;_ * \(#,##0\)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5726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Q3 - Net Cash Flow</a:t>
            </a:r>
            <a:endParaRPr lang="en-IN" b="1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Analysis'!$O$6:$Q$6</c:f>
              <c:numCache>
                <c:formatCode>_ * #,##0_ ;_ * \-#,##0_ ;_ * "-"??_ ;_ @_ </c:formatCode>
                <c:ptCount val="3"/>
                <c:pt idx="0" formatCode="_ * #,##0_ ;_ * \(#,##0\)_ ;_ * &quot;-&quot;??_ ;_ @_ ">
                  <c:v>-4160</c:v>
                </c:pt>
                <c:pt idx="1">
                  <c:v>1000</c:v>
                </c:pt>
                <c:pt idx="2" formatCode="_ * #,##0_ ;_ * \(#,##0\)_ ;_ * &quot;-&quot;??_ ;_ @_ ">
                  <c:v>135322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9-4BE8-A23F-6CCF9994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57263"/>
        <c:axId val="1257461103"/>
      </c:barChart>
      <c:catAx>
        <c:axId val="12574572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61103"/>
        <c:crosses val="max"/>
        <c:auto val="1"/>
        <c:lblAlgn val="ctr"/>
        <c:lblOffset val="100"/>
        <c:noMultiLvlLbl val="0"/>
      </c:catAx>
      <c:valAx>
        <c:axId val="1257461103"/>
        <c:scaling>
          <c:orientation val="minMax"/>
        </c:scaling>
        <c:delete val="0"/>
        <c:axPos val="l"/>
        <c:numFmt formatCode="_ * #,##0_ ;_ * \(#,##0\)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5726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Q4 - Net Cash Flow</a:t>
            </a:r>
            <a:endParaRPr lang="en-IN" b="1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Analysis'!$U$6:$W$6</c:f>
              <c:numCache>
                <c:formatCode>_ * #,##0_ ;_ * \-#,##0_ ;_ * "-"??_ ;_ @_ </c:formatCode>
                <c:ptCount val="3"/>
                <c:pt idx="0" formatCode="_ * #,##0_ ;_ * \(#,##0\)_ ;_ * &quot;-&quot;??_ ;_ @_ ">
                  <c:v>21100</c:v>
                </c:pt>
                <c:pt idx="1">
                  <c:v>113450</c:v>
                </c:pt>
                <c:pt idx="2" formatCode="_ * #,##0_ ;_ * \(#,##0\)_ ;_ * &quot;-&quot;??_ ;_ @_ ">
                  <c:v>-321200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F-4496-B452-A79286E2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57263"/>
        <c:axId val="1257461103"/>
      </c:barChart>
      <c:catAx>
        <c:axId val="12574572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61103"/>
        <c:crosses val="max"/>
        <c:auto val="1"/>
        <c:lblAlgn val="ctr"/>
        <c:lblOffset val="100"/>
        <c:noMultiLvlLbl val="0"/>
      </c:catAx>
      <c:valAx>
        <c:axId val="1257461103"/>
        <c:scaling>
          <c:orientation val="minMax"/>
        </c:scaling>
        <c:delete val="0"/>
        <c:axPos val="l"/>
        <c:numFmt formatCode="_ * #,##0_ ;_ * \(#,##0\)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5726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No. of Transactions (Inflow</a:t>
            </a:r>
            <a:r>
              <a:rPr lang="en-IN" b="1" baseline="0"/>
              <a:t> vs OutFlow)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Inflow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Analysis'!$C$8:$E$8</c:f>
              <c:numCache>
                <c:formatCode>General</c:formatCode>
                <c:ptCount val="3"/>
                <c:pt idx="0">
                  <c:v>20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0-4802-93D6-1C38F3DA8CD0}"/>
            </c:ext>
          </c:extLst>
        </c:ser>
        <c:ser>
          <c:idx val="1"/>
          <c:order val="1"/>
          <c:tx>
            <c:v>Outflow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Analysis'!$C$9:$E$9</c:f>
              <c:numCache>
                <c:formatCode>General</c:formatCode>
                <c:ptCount val="3"/>
                <c:pt idx="0">
                  <c:v>30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0-4802-93D6-1C38F3DA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364047"/>
        <c:axId val="1731367887"/>
      </c:lineChart>
      <c:catAx>
        <c:axId val="173136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67887"/>
        <c:crosses val="autoZero"/>
        <c:auto val="1"/>
        <c:lblAlgn val="ctr"/>
        <c:lblOffset val="100"/>
        <c:noMultiLvlLbl val="0"/>
      </c:catAx>
      <c:valAx>
        <c:axId val="173136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No. of Transactions (Inflow vs OutFlow)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Inflow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Analysis'!$I$8:$K$8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2-461E-8F47-E0C15B311408}"/>
            </c:ext>
          </c:extLst>
        </c:ser>
        <c:ser>
          <c:idx val="1"/>
          <c:order val="1"/>
          <c:tx>
            <c:v>Outflow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Analysis'!$I$9:$K$9</c:f>
              <c:numCache>
                <c:formatCode>General</c:formatCode>
                <c:ptCount val="3"/>
                <c:pt idx="0">
                  <c:v>16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2-461E-8F47-E0C15B31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364047"/>
        <c:axId val="1731367887"/>
      </c:lineChart>
      <c:catAx>
        <c:axId val="173136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67887"/>
        <c:crosses val="autoZero"/>
        <c:auto val="1"/>
        <c:lblAlgn val="ctr"/>
        <c:lblOffset val="100"/>
        <c:noMultiLvlLbl val="0"/>
      </c:catAx>
      <c:valAx>
        <c:axId val="173136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64047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Inflow</a:t>
            </a:r>
            <a:r>
              <a:rPr lang="en-IN" b="1" baseline="0"/>
              <a:t> Vs Outflow (No. of Transactions)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Calculations!$C$26:$N$26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Calculations!$C$31:$N$31</c:f>
              <c:numCache>
                <c:formatCode>General</c:formatCode>
                <c:ptCount val="12"/>
                <c:pt idx="0">
                  <c:v>13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A-4446-B811-EAC59074D923}"/>
            </c:ext>
          </c:extLst>
        </c:ser>
        <c:ser>
          <c:idx val="1"/>
          <c:order val="1"/>
          <c:tx>
            <c:v>Inflow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Calculations!$C$26:$N$26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Calculations!$C$38:$N$38</c:f>
              <c:numCache>
                <c:formatCode>_ * #,##0_ ;_ * \-#,##0_ ;_ * "-"??_ ;_ @_ </c:formatCode>
                <c:ptCount val="12"/>
                <c:pt idx="0">
                  <c:v>18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A-4446-B811-EAC59074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95616"/>
        <c:axId val="1028394656"/>
      </c:lineChart>
      <c:catAx>
        <c:axId val="10283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Months</a:t>
                </a:r>
              </a:p>
            </c:rich>
          </c:tx>
          <c:layout>
            <c:manualLayout>
              <c:xMode val="edge"/>
              <c:yMode val="edge"/>
              <c:x val="0.4413945756780403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94656"/>
        <c:crosses val="autoZero"/>
        <c:auto val="1"/>
        <c:lblAlgn val="ctr"/>
        <c:lblOffset val="100"/>
        <c:noMultiLvlLbl val="0"/>
      </c:catAx>
      <c:valAx>
        <c:axId val="102839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No.</a:t>
                </a:r>
                <a:r>
                  <a:rPr lang="en-IN" b="1" baseline="0"/>
                  <a:t> of Transactions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3447105570137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No. of Transactions (Inflow vs OutFlow)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Inflow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Analysis'!$O$8:$Q$8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3DD-4418-A06D-745A504F2C63}"/>
            </c:ext>
          </c:extLst>
        </c:ser>
        <c:ser>
          <c:idx val="1"/>
          <c:order val="1"/>
          <c:tx>
            <c:v>Outflow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Analysis'!$O$9:$Q$9</c:f>
              <c:numCache>
                <c:formatCode>General</c:formatCode>
                <c:ptCount val="3"/>
                <c:pt idx="0">
                  <c:v>18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DD-4418-A06D-745A504F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364047"/>
        <c:axId val="1731367887"/>
      </c:lineChart>
      <c:catAx>
        <c:axId val="173136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67887"/>
        <c:crosses val="autoZero"/>
        <c:auto val="1"/>
        <c:lblAlgn val="ctr"/>
        <c:lblOffset val="100"/>
        <c:noMultiLvlLbl val="0"/>
      </c:catAx>
      <c:valAx>
        <c:axId val="173136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64047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No. of Transactions (Inflow vs Outflow)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Inflow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Analysis'!$O$3:$Q$3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Analysis'!$U$8:$W$8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2-49F2-8784-F67570FB7859}"/>
            </c:ext>
          </c:extLst>
        </c:ser>
        <c:ser>
          <c:idx val="1"/>
          <c:order val="1"/>
          <c:tx>
            <c:v>Outflow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Analysis'!$O$3:$Q$3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Analysis'!$U$9:$W$9</c:f>
              <c:numCache>
                <c:formatCode>General</c:formatCode>
                <c:ptCount val="3"/>
                <c:pt idx="0">
                  <c:v>21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2-49F2-8784-F67570FB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364047"/>
        <c:axId val="1731367887"/>
      </c:lineChart>
      <c:catAx>
        <c:axId val="173136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67887"/>
        <c:crosses val="autoZero"/>
        <c:auto val="1"/>
        <c:lblAlgn val="ctr"/>
        <c:lblOffset val="100"/>
        <c:noMultiLvlLbl val="0"/>
      </c:catAx>
      <c:valAx>
        <c:axId val="1731367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64047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Q1</a:t>
            </a:r>
            <a:r>
              <a:rPr lang="en-IN" b="1" baseline="0"/>
              <a:t> - Cash Efficiency Ratio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Analysis'!$C$11:$E$11</c:f>
              <c:numCache>
                <c:formatCode>0.00"x"</c:formatCode>
                <c:ptCount val="3"/>
                <c:pt idx="0">
                  <c:v>1.2109334814723371</c:v>
                </c:pt>
                <c:pt idx="1">
                  <c:v>2.9447296889157353</c:v>
                </c:pt>
                <c:pt idx="2">
                  <c:v>0.54628571428571426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4-4E52-A824-FEAD9C63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30383"/>
        <c:axId val="1257433263"/>
      </c:barChart>
      <c:catAx>
        <c:axId val="12574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3263"/>
        <c:crosses val="autoZero"/>
        <c:auto val="1"/>
        <c:lblAlgn val="ctr"/>
        <c:lblOffset val="100"/>
        <c:noMultiLvlLbl val="0"/>
      </c:catAx>
      <c:valAx>
        <c:axId val="1257433263"/>
        <c:scaling>
          <c:orientation val="minMax"/>
        </c:scaling>
        <c:delete val="0"/>
        <c:axPos val="l"/>
        <c:numFmt formatCode="0.0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Q2 - Cash Efficiency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Analysis'!$I$11:$K$11</c:f>
              <c:numCache>
                <c:formatCode>0.00"x"</c:formatCode>
                <c:ptCount val="3"/>
                <c:pt idx="0">
                  <c:v>0.82183368869936035</c:v>
                </c:pt>
                <c:pt idx="1">
                  <c:v>2.25</c:v>
                </c:pt>
                <c:pt idx="2">
                  <c:v>0.33892380952380952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8-4892-B87D-727FBB3F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30383"/>
        <c:axId val="1257433263"/>
      </c:barChart>
      <c:catAx>
        <c:axId val="12574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3263"/>
        <c:crosses val="autoZero"/>
        <c:auto val="1"/>
        <c:lblAlgn val="ctr"/>
        <c:lblOffset val="100"/>
        <c:noMultiLvlLbl val="0"/>
      </c:catAx>
      <c:valAx>
        <c:axId val="1257433263"/>
        <c:scaling>
          <c:orientation val="minMax"/>
        </c:scaling>
        <c:delete val="0"/>
        <c:axPos val="l"/>
        <c:numFmt formatCode="0.0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038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Q1 - Cash Efficiency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Analysis'!$O$11:$Q$11</c:f>
              <c:numCache>
                <c:formatCode>0.00"x"</c:formatCode>
                <c:ptCount val="3"/>
                <c:pt idx="0">
                  <c:v>0.9847457005610355</c:v>
                </c:pt>
                <c:pt idx="1">
                  <c:v>1.0232558139534884</c:v>
                </c:pt>
                <c:pt idx="2">
                  <c:v>6.1551238095238094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4-4996-AB8C-7BE87AF1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30383"/>
        <c:axId val="1257433263"/>
      </c:barChart>
      <c:catAx>
        <c:axId val="12574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3263"/>
        <c:crosses val="autoZero"/>
        <c:auto val="1"/>
        <c:lblAlgn val="ctr"/>
        <c:lblOffset val="100"/>
        <c:noMultiLvlLbl val="0"/>
      </c:catAx>
      <c:valAx>
        <c:axId val="1257433263"/>
        <c:scaling>
          <c:orientation val="minMax"/>
        </c:scaling>
        <c:delete val="0"/>
        <c:axPos val="l"/>
        <c:numFmt formatCode="0.0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038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Q1 - Cash Efficiency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Analysis'!$O$11:$Q$11</c:f>
              <c:numCache>
                <c:formatCode>0.00"x"</c:formatCode>
                <c:ptCount val="3"/>
                <c:pt idx="0">
                  <c:v>0.9847457005610355</c:v>
                </c:pt>
                <c:pt idx="1">
                  <c:v>1.0232558139534884</c:v>
                </c:pt>
                <c:pt idx="2">
                  <c:v>6.1551238095238094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8-41C4-992A-6568D423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30383"/>
        <c:axId val="1257433263"/>
      </c:barChart>
      <c:catAx>
        <c:axId val="12574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3263"/>
        <c:crosses val="autoZero"/>
        <c:auto val="1"/>
        <c:lblAlgn val="ctr"/>
        <c:lblOffset val="100"/>
        <c:noMultiLvlLbl val="0"/>
      </c:catAx>
      <c:valAx>
        <c:axId val="1257433263"/>
        <c:scaling>
          <c:orientation val="minMax"/>
        </c:scaling>
        <c:delete val="0"/>
        <c:axPos val="l"/>
        <c:numFmt formatCode="0.0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038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Q1</a:t>
            </a:r>
            <a:r>
              <a:rPr lang="en-IN" baseline="0"/>
              <a:t> - Net Cash (Earned/Spent) Per $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Analysis'!$C$12:$E$12</c:f>
              <c:numCache>
                <c:formatCode>0.00"x"</c:formatCode>
                <c:ptCount val="3"/>
                <c:pt idx="0">
                  <c:v>0.21093348147233709</c:v>
                </c:pt>
                <c:pt idx="1">
                  <c:v>1.9447296889157355</c:v>
                </c:pt>
                <c:pt idx="2">
                  <c:v>-0.45371428571428574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0-4B18-858D-8A31253C5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29423"/>
        <c:axId val="1257421743"/>
      </c:lineChart>
      <c:catAx>
        <c:axId val="12574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1743"/>
        <c:crosses val="autoZero"/>
        <c:auto val="1"/>
        <c:lblAlgn val="ctr"/>
        <c:lblOffset val="100"/>
        <c:noMultiLvlLbl val="0"/>
      </c:catAx>
      <c:valAx>
        <c:axId val="1257421743"/>
        <c:scaling>
          <c:orientation val="minMax"/>
        </c:scaling>
        <c:delete val="0"/>
        <c:axPos val="l"/>
        <c:numFmt formatCode="0.0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Q2 - Net Cash (Earned/Spent) Per 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Analysis'!$I$12:$K$12</c:f>
              <c:numCache>
                <c:formatCode>0.00"x"</c:formatCode>
                <c:ptCount val="3"/>
                <c:pt idx="0">
                  <c:v>-0.17816631130063965</c:v>
                </c:pt>
                <c:pt idx="1">
                  <c:v>1.25</c:v>
                </c:pt>
                <c:pt idx="2">
                  <c:v>-0.66107619047619048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7A-4290-872F-A8574E72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29423"/>
        <c:axId val="1257421743"/>
      </c:lineChart>
      <c:catAx>
        <c:axId val="12574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1743"/>
        <c:crosses val="autoZero"/>
        <c:auto val="1"/>
        <c:lblAlgn val="ctr"/>
        <c:lblOffset val="100"/>
        <c:noMultiLvlLbl val="0"/>
      </c:catAx>
      <c:valAx>
        <c:axId val="1257421743"/>
        <c:scaling>
          <c:orientation val="minMax"/>
        </c:scaling>
        <c:delete val="0"/>
        <c:axPos val="l"/>
        <c:numFmt formatCode="0.0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942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Q3 - Net Cash (Earned/Spent) Per 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Analysis'!$O$12:$Q$12</c:f>
              <c:numCache>
                <c:formatCode>0.00"x"</c:formatCode>
                <c:ptCount val="3"/>
                <c:pt idx="0">
                  <c:v>-1.5254299438964468E-2</c:v>
                </c:pt>
                <c:pt idx="1">
                  <c:v>2.3255813953488372E-2</c:v>
                </c:pt>
                <c:pt idx="2">
                  <c:v>5.1551238095238094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AF-4C9D-AA61-7AD10EF3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29423"/>
        <c:axId val="1257421743"/>
      </c:lineChart>
      <c:catAx>
        <c:axId val="12574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1743"/>
        <c:crosses val="autoZero"/>
        <c:auto val="1"/>
        <c:lblAlgn val="ctr"/>
        <c:lblOffset val="100"/>
        <c:noMultiLvlLbl val="0"/>
      </c:catAx>
      <c:valAx>
        <c:axId val="1257421743"/>
        <c:scaling>
          <c:orientation val="minMax"/>
        </c:scaling>
        <c:delete val="0"/>
        <c:axPos val="l"/>
        <c:numFmt formatCode="0.0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942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Q4 - Net Cash (Earned/Spent) Per 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'Quarterly Analysis'!$C$3:$E$3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'Quarterly Analysis'!$U$12:$W$12</c:f>
              <c:numCache>
                <c:formatCode>0.00"x"</c:formatCode>
                <c:ptCount val="3"/>
                <c:pt idx="0">
                  <c:v>5.3539710733316419E-2</c:v>
                </c:pt>
                <c:pt idx="1">
                  <c:v>4.2730696798493408</c:v>
                </c:pt>
                <c:pt idx="2">
                  <c:v>-0.86112600536193029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D-417E-B06C-7E7A58E0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29423"/>
        <c:axId val="1257421743"/>
      </c:lineChart>
      <c:catAx>
        <c:axId val="12574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1743"/>
        <c:crosses val="autoZero"/>
        <c:auto val="1"/>
        <c:lblAlgn val="ctr"/>
        <c:lblOffset val="100"/>
        <c:noMultiLvlLbl val="0"/>
      </c:catAx>
      <c:valAx>
        <c:axId val="1257421743"/>
        <c:scaling>
          <c:orientation val="minMax"/>
        </c:scaling>
        <c:delete val="0"/>
        <c:axPos val="l"/>
        <c:numFmt formatCode="0.0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9423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'Tracker Dashboard'!$F$4:$F$15</c:f>
              <c:numCache>
                <c:formatCode>General</c:formatCode>
                <c:ptCount val="12"/>
                <c:pt idx="0">
                  <c:v>21880</c:v>
                </c:pt>
                <c:pt idx="1">
                  <c:v>50020</c:v>
                </c:pt>
                <c:pt idx="2">
                  <c:v>11990</c:v>
                </c:pt>
                <c:pt idx="3">
                  <c:v>-78780</c:v>
                </c:pt>
                <c:pt idx="4">
                  <c:v>54087</c:v>
                </c:pt>
                <c:pt idx="5">
                  <c:v>-36500</c:v>
                </c:pt>
                <c:pt idx="6">
                  <c:v>34000</c:v>
                </c:pt>
                <c:pt idx="7">
                  <c:v>727</c:v>
                </c:pt>
                <c:pt idx="8">
                  <c:v>97435</c:v>
                </c:pt>
                <c:pt idx="9">
                  <c:v>60200</c:v>
                </c:pt>
                <c:pt idx="10">
                  <c:v>-117500</c:v>
                </c:pt>
                <c:pt idx="11">
                  <c:v>-129350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2-4E12-99D5-3075B300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4094016"/>
        <c:axId val="1309044912"/>
      </c:barChart>
      <c:catAx>
        <c:axId val="13040940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44912"/>
        <c:crosses val="max"/>
        <c:auto val="1"/>
        <c:lblAlgn val="ctr"/>
        <c:lblOffset val="100"/>
        <c:noMultiLvlLbl val="0"/>
      </c:catAx>
      <c:valAx>
        <c:axId val="130904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Financing</a:t>
            </a:r>
            <a:r>
              <a:rPr lang="en-IN" b="1" baseline="0"/>
              <a:t> Vs Investing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Calculations!$C$26:$N$26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Calculations!$C$41:$N$41</c:f>
              <c:numCache>
                <c:formatCode>0.0"x"</c:formatCode>
                <c:ptCount val="12"/>
                <c:pt idx="0">
                  <c:v>1.7907303370786516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0.79146484313166809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0.35159215310240122</c:v>
                </c:pt>
                <c:pt idx="9">
                  <c:v>0</c:v>
                </c:pt>
                <c:pt idx="10">
                  <c:v>175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D-4193-816D-3A8B6A544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19872"/>
        <c:axId val="1541021312"/>
      </c:lineChart>
      <c:catAx>
        <c:axId val="15410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21312"/>
        <c:crosses val="autoZero"/>
        <c:auto val="1"/>
        <c:lblAlgn val="ctr"/>
        <c:lblOffset val="100"/>
        <c:noMultiLvlLbl val="0"/>
      </c:catAx>
      <c:valAx>
        <c:axId val="1541021312"/>
        <c:scaling>
          <c:orientation val="minMax"/>
        </c:scaling>
        <c:delete val="0"/>
        <c:axPos val="l"/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Cash</a:t>
            </a:r>
            <a:r>
              <a:rPr lang="en-IN" b="1" baseline="0"/>
              <a:t> Outflow /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Calculations!$C$26:$N$26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'Tracker Dashboard'!$E$4:$E$15</c:f>
              <c:numCache>
                <c:formatCode>General</c:formatCode>
                <c:ptCount val="12"/>
                <c:pt idx="0">
                  <c:v>101935</c:v>
                </c:pt>
                <c:pt idx="1">
                  <c:v>155180</c:v>
                </c:pt>
                <c:pt idx="2">
                  <c:v>89010</c:v>
                </c:pt>
                <c:pt idx="3">
                  <c:v>159000</c:v>
                </c:pt>
                <c:pt idx="4">
                  <c:v>75500</c:v>
                </c:pt>
                <c:pt idx="5">
                  <c:v>145000</c:v>
                </c:pt>
                <c:pt idx="6">
                  <c:v>83250</c:v>
                </c:pt>
                <c:pt idx="7">
                  <c:v>136600</c:v>
                </c:pt>
                <c:pt idx="8">
                  <c:v>122110</c:v>
                </c:pt>
                <c:pt idx="9">
                  <c:v>95600</c:v>
                </c:pt>
                <c:pt idx="10">
                  <c:v>473700</c:v>
                </c:pt>
                <c:pt idx="11">
                  <c:v>224350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E-4527-80E3-C4AAA9FE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447904"/>
        <c:axId val="1302450784"/>
      </c:barChart>
      <c:catAx>
        <c:axId val="13024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50784"/>
        <c:crosses val="autoZero"/>
        <c:auto val="1"/>
        <c:lblAlgn val="ctr"/>
        <c:lblOffset val="100"/>
        <c:noMultiLvlLbl val="0"/>
      </c:catAx>
      <c:valAx>
        <c:axId val="1302450784"/>
        <c:scaling>
          <c:orientation val="minMax"/>
          <c:min val="7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47904"/>
        <c:crosses val="autoZero"/>
        <c:crossBetween val="between"/>
        <c:majorUnit val="8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%</a:t>
            </a:r>
            <a:r>
              <a:rPr lang="en-IN" b="1" baseline="0"/>
              <a:t> share of Cash flow Activities in Inflow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Cash Flow Activities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DC-4F0D-B9B5-A1262FB775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DC-4F0D-B9B5-A1262FB77584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DC-4F0D-B9B5-A1262FB77584}"/>
              </c:ext>
            </c:extLst>
          </c:dPt>
          <c:cat>
            <c:strRef>
              <c:f>Calculations!$B$11:$B$13</c:f>
              <c:strCache>
                <c:ptCount val="3"/>
                <c:pt idx="0">
                  <c:v>Operating</c:v>
                </c:pt>
                <c:pt idx="1">
                  <c:v>Financing</c:v>
                </c:pt>
                <c:pt idx="2">
                  <c:v>Investing</c:v>
                </c:pt>
              </c:strCache>
            </c:strRef>
          </c:cat>
          <c:val>
            <c:numRef>
              <c:f>Calculations!$Q$11:$Q$13</c:f>
              <c:numCache>
                <c:formatCode>0.00%</c:formatCode>
                <c:ptCount val="3"/>
                <c:pt idx="0">
                  <c:v>0.63994579773964111</c:v>
                </c:pt>
                <c:pt idx="1">
                  <c:v>0.20306716138892472</c:v>
                </c:pt>
                <c:pt idx="2">
                  <c:v>0.15698704087143417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DC-4F0D-B9B5-A1262FB7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Investing</a:t>
            </a:r>
            <a:r>
              <a:rPr lang="en-IN" b="1" baseline="0"/>
              <a:t> / Cash Flow (From/To) Operations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Calculations!$C$33:$N$33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Calculations!$C$42:$N$42</c:f>
              <c:numCache>
                <c:formatCode>0.0"x"</c:formatCode>
                <c:ptCount val="12"/>
                <c:pt idx="0">
                  <c:v>-1.2560113154172561</c:v>
                </c:pt>
                <c:pt idx="1">
                  <c:v>-2.2421524663677128</c:v>
                </c:pt>
                <c:pt idx="2">
                  <c:v>0.21276595744680851</c:v>
                </c:pt>
                <c:pt idx="3">
                  <c:v>2.1117608836907085</c:v>
                </c:pt>
                <c:pt idx="4">
                  <c:v>3.3249473684210527</c:v>
                </c:pt>
                <c:pt idx="5">
                  <c:v>1.7560975609756098</c:v>
                </c:pt>
                <c:pt idx="6">
                  <c:v>2.84</c:v>
                </c:pt>
                <c:pt idx="7">
                  <c:v>-0.55129814550641942</c:v>
                </c:pt>
                <c:pt idx="8">
                  <c:v>-2.3040997872751885</c:v>
                </c:pt>
                <c:pt idx="9">
                  <c:v>0.3</c:v>
                </c:pt>
                <c:pt idx="10">
                  <c:v>-6.0201207243460768</c:v>
                </c:pt>
                <c:pt idx="11">
                  <c:v>0.45146726862302483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6-4079-AE50-4F5E5299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107520"/>
        <c:axId val="1433110400"/>
      </c:lineChart>
      <c:catAx>
        <c:axId val="14331075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10400"/>
        <c:crosses val="max"/>
        <c:auto val="1"/>
        <c:lblAlgn val="ctr"/>
        <c:lblOffset val="100"/>
        <c:noMultiLvlLbl val="0"/>
      </c:catAx>
      <c:valAx>
        <c:axId val="1433110400"/>
        <c:scaling>
          <c:orientation val="minMax"/>
        </c:scaling>
        <c:delete val="0"/>
        <c:axPos val="l"/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Financing</a:t>
            </a:r>
            <a:r>
              <a:rPr lang="en-IN" b="1" baseline="0"/>
              <a:t> / Cash Flow (From/To)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Calculations!$C$43:$N$43</c:f>
              <c:numCache>
                <c:formatCode>0.0"x"</c:formatCode>
                <c:ptCount val="12"/>
                <c:pt idx="0">
                  <c:v>1.8033946251768034</c:v>
                </c:pt>
                <c:pt idx="1">
                  <c:v>6.8497757847533629</c:v>
                </c:pt>
                <c:pt idx="2">
                  <c:v>-0.7875886524822695</c:v>
                </c:pt>
                <c:pt idx="3">
                  <c:v>-0.55230669265756982</c:v>
                </c:pt>
                <c:pt idx="4">
                  <c:v>1.368421052631579</c:v>
                </c:pt>
                <c:pt idx="5">
                  <c:v>-0.97560975609756095</c:v>
                </c:pt>
                <c:pt idx="6">
                  <c:v>-1.1200000000000001</c:v>
                </c:pt>
                <c:pt idx="7">
                  <c:v>-0.42796005706134094</c:v>
                </c:pt>
                <c:pt idx="8">
                  <c:v>-0.58015857667762527</c:v>
                </c:pt>
                <c:pt idx="9">
                  <c:v>-0.29666666666666669</c:v>
                </c:pt>
                <c:pt idx="10">
                  <c:v>2.6559356136820926</c:v>
                </c:pt>
                <c:pt idx="11">
                  <c:v>8.4650112866817163E-3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7-4699-9723-57E87776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59232"/>
        <c:axId val="1371658272"/>
      </c:lineChart>
      <c:catAx>
        <c:axId val="13716592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58272"/>
        <c:crosses val="max"/>
        <c:auto val="1"/>
        <c:lblAlgn val="ctr"/>
        <c:lblOffset val="100"/>
        <c:noMultiLvlLbl val="0"/>
      </c:catAx>
      <c:valAx>
        <c:axId val="1371658272"/>
        <c:scaling>
          <c:orientation val="minMax"/>
        </c:scaling>
        <c:delete val="0"/>
        <c:axPos val="l"/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592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Cash</a:t>
            </a:r>
            <a:r>
              <a:rPr lang="en-IN" b="1" baseline="0"/>
              <a:t> Earned/Lost Per Dollar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Calculations!$C$26:$N$26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Calculations!$C$44:$N$44</c:f>
              <c:numCache>
                <c:formatCode>_(* #,##0.00_);_(* \(#,##0.00\);_(* "-"??_);_(@_)</c:formatCode>
                <c:ptCount val="12"/>
                <c:pt idx="0">
                  <c:v>1.2146465885122872</c:v>
                </c:pt>
                <c:pt idx="1">
                  <c:v>1.3223353524938781</c:v>
                </c:pt>
                <c:pt idx="2">
                  <c:v>1.1347039658465341</c:v>
                </c:pt>
                <c:pt idx="3">
                  <c:v>-0.50452830188679243</c:v>
                </c:pt>
                <c:pt idx="4">
                  <c:v>1.7163841059602649</c:v>
                </c:pt>
                <c:pt idx="5">
                  <c:v>-0.74827586206896557</c:v>
                </c:pt>
                <c:pt idx="6">
                  <c:v>1.4084084084084083</c:v>
                </c:pt>
                <c:pt idx="7">
                  <c:v>1.0053221083455344</c:v>
                </c:pt>
                <c:pt idx="8">
                  <c:v>1.7979280976169028</c:v>
                </c:pt>
                <c:pt idx="9">
                  <c:v>1.6297071129707112</c:v>
                </c:pt>
                <c:pt idx="10">
                  <c:v>-0.75195271268735486</c:v>
                </c:pt>
                <c:pt idx="11">
                  <c:v>-0.42344550924894137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6-4BD2-B222-36AFF81F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60560"/>
        <c:axId val="1370358640"/>
      </c:lineChart>
      <c:catAx>
        <c:axId val="13703605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58640"/>
        <c:crosses val="max"/>
        <c:auto val="1"/>
        <c:lblAlgn val="ctr"/>
        <c:lblOffset val="100"/>
        <c:noMultiLvlLbl val="0"/>
      </c:catAx>
      <c:valAx>
        <c:axId val="137035864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60560"/>
        <c:crosses val="autoZero"/>
        <c:crossBetween val="between"/>
        <c:min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15</xdr:row>
      <xdr:rowOff>133350</xdr:rowOff>
    </xdr:from>
    <xdr:to>
      <xdr:col>5</xdr:col>
      <xdr:colOff>60960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F69D1-FD23-F408-7CA7-36BEB5D24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15</xdr:row>
      <xdr:rowOff>140970</xdr:rowOff>
    </xdr:from>
    <xdr:to>
      <xdr:col>8</xdr:col>
      <xdr:colOff>76200</xdr:colOff>
      <xdr:row>27</xdr:row>
      <xdr:rowOff>22860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F95BA08-9A3E-95DA-4929-6E62F168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15</xdr:row>
      <xdr:rowOff>144780</xdr:rowOff>
    </xdr:from>
    <xdr:to>
      <xdr:col>12</xdr:col>
      <xdr:colOff>548640</xdr:colOff>
      <xdr:row>27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20797-4BA4-1C8F-D5BA-9167AB66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1</xdr:row>
      <xdr:rowOff>15240</xdr:rowOff>
    </xdr:from>
    <xdr:to>
      <xdr:col>18</xdr:col>
      <xdr:colOff>106680</xdr:colOff>
      <xdr:row>15</xdr:row>
      <xdr:rowOff>41910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34310136-97EA-304F-EF88-9166D7DA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</xdr:colOff>
      <xdr:row>15</xdr:row>
      <xdr:rowOff>133350</xdr:rowOff>
    </xdr:from>
    <xdr:to>
      <xdr:col>18</xdr:col>
      <xdr:colOff>114300</xdr:colOff>
      <xdr:row>27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A8DE91-E638-E36C-6F07-E62BBF06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106680</xdr:colOff>
      <xdr:row>28</xdr:row>
      <xdr:rowOff>80010</xdr:rowOff>
    </xdr:from>
    <xdr:to>
      <xdr:col>5</xdr:col>
      <xdr:colOff>53340</xdr:colOff>
      <xdr:row>40</xdr:row>
      <xdr:rowOff>91440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A48CEBF1-8707-DE03-4E1B-0A02FA21B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182880</xdr:colOff>
      <xdr:row>28</xdr:row>
      <xdr:rowOff>106680</xdr:rowOff>
    </xdr:from>
    <xdr:to>
      <xdr:col>8</xdr:col>
      <xdr:colOff>91440</xdr:colOff>
      <xdr:row>40</xdr:row>
      <xdr:rowOff>114300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4DE78FD1-4DF4-9B5A-7652-D6F8BB9D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213360</xdr:colOff>
      <xdr:row>28</xdr:row>
      <xdr:rowOff>118110</xdr:rowOff>
    </xdr:from>
    <xdr:to>
      <xdr:col>12</xdr:col>
      <xdr:colOff>563880</xdr:colOff>
      <xdr:row>40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D9565F14-10A2-D231-3133-F073A9986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60960</xdr:colOff>
      <xdr:row>28</xdr:row>
      <xdr:rowOff>129540</xdr:rowOff>
    </xdr:from>
    <xdr:to>
      <xdr:col>18</xdr:col>
      <xdr:colOff>99060</xdr:colOff>
      <xdr:row>40</xdr:row>
      <xdr:rowOff>91440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45CD8A47-142E-97A5-7C4F-036F5E8B8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13</xdr:row>
      <xdr:rowOff>7620</xdr:rowOff>
    </xdr:from>
    <xdr:to>
      <xdr:col>6</xdr:col>
      <xdr:colOff>0</xdr:colOff>
      <xdr:row>26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A6842-445F-AB4D-B281-9499F576B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13</xdr:row>
      <xdr:rowOff>28575</xdr:rowOff>
    </xdr:from>
    <xdr:to>
      <xdr:col>12</xdr:col>
      <xdr:colOff>0</xdr:colOff>
      <xdr:row>26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A0972-040F-D7C5-0FEE-4FA31AFA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13</xdr:row>
      <xdr:rowOff>24765</xdr:rowOff>
    </xdr:from>
    <xdr:to>
      <xdr:col>18</xdr:col>
      <xdr:colOff>22860</xdr:colOff>
      <xdr:row>26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CB305-6146-26B8-7A80-57EBDF7DA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213360</xdr:colOff>
      <xdr:row>13</xdr:row>
      <xdr:rowOff>22860</xdr:rowOff>
    </xdr:from>
    <xdr:to>
      <xdr:col>24</xdr:col>
      <xdr:colOff>30480</xdr:colOff>
      <xdr:row>26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1DCF5-2E64-9101-1F41-D2895DAE3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</xdr:row>
      <xdr:rowOff>253365</xdr:rowOff>
    </xdr:from>
    <xdr:to>
      <xdr:col>6</xdr:col>
      <xdr:colOff>15240</xdr:colOff>
      <xdr:row>39</xdr:row>
      <xdr:rowOff>32385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D61AC-D0BF-7E2D-084C-5860B247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175260</xdr:colOff>
      <xdr:row>26</xdr:row>
      <xdr:rowOff>253365</xdr:rowOff>
    </xdr:from>
    <xdr:to>
      <xdr:col>12</xdr:col>
      <xdr:colOff>7620</xdr:colOff>
      <xdr:row>39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2E3071-6EBA-4E56-F5AA-ECF1AF59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220980</xdr:colOff>
      <xdr:row>26</xdr:row>
      <xdr:rowOff>251460</xdr:rowOff>
    </xdr:from>
    <xdr:to>
      <xdr:col>18</xdr:col>
      <xdr:colOff>22860</xdr:colOff>
      <xdr:row>39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4D9B65-F42A-7CB9-9EFC-D130C0624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</xdr:colOff>
      <xdr:row>26</xdr:row>
      <xdr:rowOff>240030</xdr:rowOff>
    </xdr:from>
    <xdr:to>
      <xdr:col>24</xdr:col>
      <xdr:colOff>76200</xdr:colOff>
      <xdr:row>39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E22220-3620-4E5D-9E64-D1874F7FA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220980</xdr:colOff>
      <xdr:row>39</xdr:row>
      <xdr:rowOff>171450</xdr:rowOff>
    </xdr:from>
    <xdr:to>
      <xdr:col>6</xdr:col>
      <xdr:colOff>22860</xdr:colOff>
      <xdr:row>51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96AB12-261D-14D7-2CE5-40189023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167640</xdr:colOff>
      <xdr:row>39</xdr:row>
      <xdr:rowOff>181247</xdr:rowOff>
    </xdr:from>
    <xdr:to>
      <xdr:col>12</xdr:col>
      <xdr:colOff>22860</xdr:colOff>
      <xdr:row>51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67E37E-A51F-53A1-BC30-9614AB8FC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39</xdr:row>
      <xdr:rowOff>171450</xdr:rowOff>
    </xdr:from>
    <xdr:to>
      <xdr:col>18</xdr:col>
      <xdr:colOff>30480</xdr:colOff>
      <xdr:row>51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A13E18-688A-8FB7-61ED-B40923500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7620</xdr:colOff>
      <xdr:row>39</xdr:row>
      <xdr:rowOff>179070</xdr:rowOff>
    </xdr:from>
    <xdr:to>
      <xdr:col>24</xdr:col>
      <xdr:colOff>99060</xdr:colOff>
      <xdr:row>51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55D33B-8194-30CB-54AD-B1EC73131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213360</xdr:colOff>
      <xdr:row>52</xdr:row>
      <xdr:rowOff>3810</xdr:rowOff>
    </xdr:from>
    <xdr:to>
      <xdr:col>6</xdr:col>
      <xdr:colOff>22860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E086B9-31DE-B99A-8C23-81F1FCC3E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175260</xdr:colOff>
      <xdr:row>52</xdr:row>
      <xdr:rowOff>15240</xdr:rowOff>
    </xdr:from>
    <xdr:to>
      <xdr:col>12</xdr:col>
      <xdr:colOff>45720</xdr:colOff>
      <xdr:row>64</xdr:row>
      <xdr:rowOff>11430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97BA04A-B8AB-4424-9E7B-A0FFD650E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205740</xdr:colOff>
      <xdr:row>52</xdr:row>
      <xdr:rowOff>30480</xdr:rowOff>
    </xdr:from>
    <xdr:to>
      <xdr:col>18</xdr:col>
      <xdr:colOff>7620</xdr:colOff>
      <xdr:row>64</xdr:row>
      <xdr:rowOff>26670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8861396-AA73-4710-B314-FA708113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213360</xdr:colOff>
      <xdr:row>52</xdr:row>
      <xdr:rowOff>30480</xdr:rowOff>
    </xdr:from>
    <xdr:to>
      <xdr:col>24</xdr:col>
      <xdr:colOff>114300</xdr:colOff>
      <xdr:row>64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370D7DB-902F-4AA4-9156-8E0BC9D4A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227907</xdr:colOff>
      <xdr:row>64</xdr:row>
      <xdr:rowOff>127115</xdr:rowOff>
    </xdr:from>
    <xdr:to>
      <xdr:col>6</xdr:col>
      <xdr:colOff>26324</xdr:colOff>
      <xdr:row>76</xdr:row>
      <xdr:rowOff>38792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60A985-DE79-1D31-B515-94C34E64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169025</xdr:colOff>
      <xdr:row>64</xdr:row>
      <xdr:rowOff>141316</xdr:rowOff>
    </xdr:from>
    <xdr:to>
      <xdr:col>12</xdr:col>
      <xdr:colOff>55419</xdr:colOff>
      <xdr:row>76</xdr:row>
      <xdr:rowOff>55418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6574005-73B9-4904-A50A-ED1385E6F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220980</xdr:colOff>
      <xdr:row>64</xdr:row>
      <xdr:rowOff>144780</xdr:rowOff>
    </xdr:from>
    <xdr:to>
      <xdr:col>18</xdr:col>
      <xdr:colOff>22860</xdr:colOff>
      <xdr:row>76</xdr:row>
      <xdr:rowOff>58882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4A78BF5-4ED7-480C-835C-770F1C60B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205740</xdr:colOff>
      <xdr:row>64</xdr:row>
      <xdr:rowOff>137160</xdr:rowOff>
    </xdr:from>
    <xdr:to>
      <xdr:col>24</xdr:col>
      <xdr:colOff>144780</xdr:colOff>
      <xdr:row>76</xdr:row>
      <xdr:rowOff>45720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FEC44C-E352-4C01-9313-2780B354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0B96B-AD55-42B0-A359-64F99C6C3884}" name="Tracking" displayName="Tracking" ref="C3:L369" totalsRowShown="0" headerRowDxfId="11" dataDxfId="10">
  <sortState xmlns:xlrd2="http://schemas.microsoft.com/office/spreadsheetml/2017/richdata2" ref="C4:I39">
    <sortCondition ref="C3:C39"/>
  </sortState>
  <tableColumns count="10">
    <tableColumn id="1" xr3:uid="{AFCD0992-8562-4FB3-9ED0-AF31027C88BA}" name="Date" dataDxfId="9">
      <calculatedColumnFormula>'Cash Flow Entry'!C4</calculatedColumnFormula>
    </tableColumn>
    <tableColumn id="2" xr3:uid="{3441BE8A-8F03-4920-8F2A-1D0FEE8969C2}" name="Type" dataDxfId="8">
      <calculatedColumnFormula>'Cash Flow Entry'!H4</calculatedColumnFormula>
    </tableColumn>
    <tableColumn id="11" xr3:uid="{6BD698A4-D746-4F47-A70E-8B82613A8318}" name="Category" dataDxfId="7">
      <calculatedColumnFormula>'Cash Flow Entry'!D4</calculatedColumnFormula>
    </tableColumn>
    <tableColumn id="3" xr3:uid="{ED387798-B8A5-44C9-B354-91883ECCF289}" name="Sub-Category" dataDxfId="6">
      <calculatedColumnFormula>'Cash Flow Entry'!E4</calculatedColumnFormula>
    </tableColumn>
    <tableColumn id="4" xr3:uid="{C46FF881-26DC-4FD8-9C00-EB04B71BBEB7}" name="Amount(USD)" dataDxfId="5" dataCellStyle="Comma">
      <calculatedColumnFormula>'Cash Flow Entry'!F4</calculatedColumnFormula>
    </tableColumn>
    <tableColumn id="6" xr3:uid="{5CD1E443-476F-47DA-BB6E-A7E2B900D9C0}" name="Cash In" dataDxfId="4" dataCellStyle="Comma">
      <calculatedColumnFormula>IF(Tracking[[#This Row],[Type]]="Inflow",Tracking[[#This Row],[Amount(USD)]],0)</calculatedColumnFormula>
    </tableColumn>
    <tableColumn id="7" xr3:uid="{9412F281-FF58-4E40-9502-AA7329501007}" name="Cash Out" dataDxfId="3" dataCellStyle="Comma">
      <calculatedColumnFormula>IF(Tracking[[#This Row],[Type]]="Outflow",-Tracking[[#This Row],[Amount(USD)]],0)</calculatedColumnFormula>
    </tableColumn>
    <tableColumn id="9" xr3:uid="{0E79555F-E720-48B7-968C-8340CCDCC064}" name="Currency Selected" dataDxfId="2">
      <calculatedColumnFormula>select_currency</calculatedColumnFormula>
    </tableColumn>
    <tableColumn id="8" xr3:uid="{73253645-43F7-4ADB-87B2-91359835F46F}" name="Running Balance" dataDxfId="1" dataCellStyle="Comma">
      <calculatedColumnFormula>IFERROR(Tracking[[#This Row],[Cash In]]+Tracking[[#This Row],[Cash Out]],0)</calculatedColumnFormula>
    </tableColumn>
    <tableColumn id="5" xr3:uid="{2E0E50ED-2F26-41FC-9436-57157AB36558}" name="Running Balance (Selected Currency)" dataDxfId="0" dataCellStyle="Comma">
      <calculatedColumnFormula>Tracking[[#This Row],[Running Balance]]*Settings!$E$15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9D6A-B8AD-4DA6-9EB5-80D20EA496FF}">
  <sheetPr>
    <tabColor theme="1" tint="0.14999847407452621"/>
  </sheetPr>
  <dimension ref="B3:L16"/>
  <sheetViews>
    <sheetView showGridLines="0" tabSelected="1" workbookViewId="0">
      <selection activeCell="K23" sqref="K23"/>
    </sheetView>
  </sheetViews>
  <sheetFormatPr defaultRowHeight="14.4" x14ac:dyDescent="0.3"/>
  <sheetData>
    <row r="3" spans="2:12" x14ac:dyDescent="0.3">
      <c r="B3" s="90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2:12" x14ac:dyDescent="0.3">
      <c r="B4" s="1"/>
      <c r="L4" s="2"/>
    </row>
    <row r="5" spans="2:12" x14ac:dyDescent="0.3">
      <c r="B5" s="1"/>
      <c r="C5" s="6" t="s">
        <v>1</v>
      </c>
      <c r="F5" s="89">
        <v>2024</v>
      </c>
      <c r="G5" s="89"/>
      <c r="L5" s="2"/>
    </row>
    <row r="6" spans="2:12" x14ac:dyDescent="0.3">
      <c r="B6" s="1"/>
      <c r="L6" s="5"/>
    </row>
    <row r="7" spans="2:12" x14ac:dyDescent="0.3">
      <c r="B7" s="7"/>
      <c r="C7" s="7"/>
      <c r="D7" s="7"/>
      <c r="E7" s="7"/>
      <c r="F7" s="7"/>
      <c r="G7" s="7"/>
      <c r="H7" s="7"/>
      <c r="I7" s="7"/>
      <c r="J7" s="7"/>
      <c r="K7" s="7"/>
    </row>
    <row r="9" spans="2:12" x14ac:dyDescent="0.3">
      <c r="B9" s="90" t="s">
        <v>2</v>
      </c>
      <c r="C9" s="90"/>
      <c r="D9" s="90"/>
      <c r="E9" s="90"/>
      <c r="F9" s="90"/>
      <c r="G9" s="9"/>
      <c r="H9" s="90" t="s">
        <v>118</v>
      </c>
      <c r="I9" s="90"/>
      <c r="J9" s="90"/>
      <c r="K9" s="90"/>
      <c r="L9" s="90"/>
    </row>
    <row r="10" spans="2:12" x14ac:dyDescent="0.3">
      <c r="B10" s="1"/>
      <c r="F10" s="2"/>
      <c r="H10" s="1"/>
      <c r="L10" s="2"/>
    </row>
    <row r="11" spans="2:12" x14ac:dyDescent="0.3">
      <c r="B11" s="1"/>
      <c r="C11" s="10" t="s">
        <v>3</v>
      </c>
      <c r="E11" s="146" t="s">
        <v>52</v>
      </c>
      <c r="F11" s="2"/>
      <c r="H11" s="12" t="s">
        <v>117</v>
      </c>
      <c r="J11" s="6" t="s">
        <v>7</v>
      </c>
      <c r="L11" s="2"/>
    </row>
    <row r="12" spans="2:12" ht="6" customHeight="1" x14ac:dyDescent="0.3">
      <c r="B12" s="1"/>
      <c r="C12" s="11"/>
      <c r="E12" s="147"/>
      <c r="F12" s="2"/>
      <c r="H12" s="12"/>
      <c r="J12" s="6"/>
      <c r="L12" s="2"/>
    </row>
    <row r="13" spans="2:12" x14ac:dyDescent="0.3">
      <c r="B13" s="1"/>
      <c r="C13" s="10" t="s">
        <v>4</v>
      </c>
      <c r="E13" s="146" t="s">
        <v>5</v>
      </c>
      <c r="F13" s="2"/>
      <c r="H13" s="94" t="s">
        <v>8</v>
      </c>
      <c r="I13" s="4"/>
      <c r="J13" s="95" t="s">
        <v>9</v>
      </c>
      <c r="K13" s="4"/>
      <c r="L13" s="5"/>
    </row>
    <row r="14" spans="2:12" ht="6" customHeight="1" x14ac:dyDescent="0.3">
      <c r="B14" s="1"/>
      <c r="C14" s="11"/>
      <c r="E14" s="147"/>
      <c r="F14" s="2"/>
      <c r="H14" s="96"/>
      <c r="J14" s="6"/>
      <c r="L14" s="7"/>
    </row>
    <row r="15" spans="2:12" x14ac:dyDescent="0.3">
      <c r="B15" s="1"/>
      <c r="C15" s="10" t="s">
        <v>6</v>
      </c>
      <c r="E15" s="148">
        <f>IF(select_currency="INR",87.78,IF(select_currency="EUR",0.86,IF(select_currency="JPY",147.36,7.18)))</f>
        <v>0.86</v>
      </c>
      <c r="F15" s="2"/>
    </row>
    <row r="16" spans="2:12" x14ac:dyDescent="0.3">
      <c r="B16" s="3"/>
      <c r="C16" s="4"/>
      <c r="D16" s="4"/>
      <c r="E16" s="4"/>
      <c r="F16" s="5"/>
    </row>
  </sheetData>
  <sheetProtection algorithmName="SHA-512" hashValue="EUwwn8Flj+eT928Q1O4pAbdNngjpc3gSHbav9a11GoYrnsAflYEzAwPGgNUi6IyjtQQj+kFOIZh1nc1Pv0vC4w==" saltValue="fLZbyCG8ZEUbOMshEcqzoQ==" spinCount="100000" sheet="1" objects="1" scenarios="1"/>
  <mergeCells count="4">
    <mergeCell ref="F5:G5"/>
    <mergeCell ref="B9:F9"/>
    <mergeCell ref="H9:L9"/>
    <mergeCell ref="B3:L3"/>
  </mergeCells>
  <dataValidations count="1">
    <dataValidation type="list" allowBlank="1" showInputMessage="1" showErrorMessage="1" sqref="E11" xr:uid="{EFA3CFE4-B2D5-4163-804E-A8551454EC9D}">
      <formula1>"INR,EUR,JPY,CNY"</formula1>
    </dataValidation>
  </dataValidations>
  <pageMargins left="0.7" right="0.7" top="0.75" bottom="0.75" header="0.3" footer="0.3"/>
  <ignoredErrors>
    <ignoredError sqref="E1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9B79-54DB-4958-BDF8-A587AA19BC4F}">
  <sheetPr>
    <tabColor theme="4" tint="-0.249977111117893"/>
  </sheetPr>
  <dimension ref="A2:S29"/>
  <sheetViews>
    <sheetView showGridLines="0" workbookViewId="0">
      <selection activeCell="G46" sqref="G46"/>
    </sheetView>
  </sheetViews>
  <sheetFormatPr defaultRowHeight="14.4" x14ac:dyDescent="0.3"/>
  <cols>
    <col min="1" max="1" width="3.33203125" customWidth="1"/>
    <col min="3" max="3" width="12.6640625" customWidth="1"/>
    <col min="4" max="4" width="11.88671875" customWidth="1"/>
    <col min="5" max="5" width="13.109375" customWidth="1"/>
    <col min="6" max="6" width="16.5546875" customWidth="1"/>
    <col min="7" max="7" width="13" customWidth="1"/>
    <col min="8" max="8" width="22.109375" customWidth="1"/>
    <col min="9" max="9" width="24" customWidth="1"/>
    <col min="18" max="18" width="8.88671875" customWidth="1"/>
    <col min="19" max="19" width="1.77734375" customWidth="1"/>
  </cols>
  <sheetData>
    <row r="2" spans="2:9" x14ac:dyDescent="0.3">
      <c r="B2" s="91" t="s">
        <v>78</v>
      </c>
      <c r="C2" s="91"/>
      <c r="D2" s="91"/>
      <c r="E2" s="91"/>
      <c r="F2" s="91"/>
      <c r="G2" s="91"/>
      <c r="H2" s="91"/>
      <c r="I2" s="91"/>
    </row>
    <row r="3" spans="2:9" x14ac:dyDescent="0.3">
      <c r="B3" s="49" t="s">
        <v>80</v>
      </c>
      <c r="C3" s="49" t="s">
        <v>81</v>
      </c>
      <c r="D3" s="49" t="s">
        <v>92</v>
      </c>
      <c r="E3" s="49" t="s">
        <v>93</v>
      </c>
      <c r="F3" s="49" t="s">
        <v>94</v>
      </c>
      <c r="G3" s="49" t="s">
        <v>95</v>
      </c>
      <c r="H3" s="49" t="s">
        <v>96</v>
      </c>
      <c r="I3" s="49" t="s">
        <v>97</v>
      </c>
    </row>
    <row r="4" spans="2:9" x14ac:dyDescent="0.3">
      <c r="B4" s="50">
        <f t="shared" ref="B4:B15" si="0">YEAR(JanStart)</f>
        <v>2024</v>
      </c>
      <c r="C4" s="50" t="s">
        <v>79</v>
      </c>
      <c r="D4" s="50">
        <f>SUM('Monthly Analysis'!F10:F40)</f>
        <v>123815</v>
      </c>
      <c r="E4" s="50">
        <f>-SUM('Monthly Analysis'!G10:G40)</f>
        <v>101935</v>
      </c>
      <c r="F4" s="50">
        <f t="shared" ref="F4:F11" si="1">D4-E4</f>
        <v>21880</v>
      </c>
      <c r="G4" s="50">
        <f>COUNTIFS('Monthly Analysis'!C10:C40, "&gt;=01/01/2024",'Monthly Analysis'!C10:C40,"&lt;=31/01/2024")</f>
        <v>31</v>
      </c>
      <c r="H4" s="50" t="s">
        <v>24</v>
      </c>
      <c r="I4" s="50" t="s">
        <v>24</v>
      </c>
    </row>
    <row r="5" spans="2:9" x14ac:dyDescent="0.3">
      <c r="B5" s="50">
        <f t="shared" si="0"/>
        <v>2024</v>
      </c>
      <c r="C5" s="50" t="s">
        <v>82</v>
      </c>
      <c r="D5" s="50">
        <f>SUM('Monthly Analysis'!L10:L38)</f>
        <v>205200</v>
      </c>
      <c r="E5" s="50">
        <f>-SUM('Monthly Analysis'!M10:M38)</f>
        <v>155180</v>
      </c>
      <c r="F5" s="50">
        <f t="shared" si="1"/>
        <v>50020</v>
      </c>
      <c r="G5" s="50">
        <f>COUNTIFS('Monthly Analysis'!I10:I38, "&gt;=01/02/2024",'Monthly Analysis'!I10:I38,"&lt;=29/02/2024",'Monthly Analysis'!L10:L38,"&lt;&gt;")</f>
        <v>23</v>
      </c>
      <c r="H5" s="50" t="s">
        <v>24</v>
      </c>
      <c r="I5" s="50" t="s">
        <v>24</v>
      </c>
    </row>
    <row r="6" spans="2:9" x14ac:dyDescent="0.3">
      <c r="B6" s="50">
        <f t="shared" si="0"/>
        <v>2024</v>
      </c>
      <c r="C6" s="50" t="s">
        <v>83</v>
      </c>
      <c r="D6" s="50">
        <f>SUM('Monthly Analysis'!R10:R40)</f>
        <v>101000</v>
      </c>
      <c r="E6" s="50">
        <f>-SUM('Monthly Analysis'!S10:S40)</f>
        <v>89010</v>
      </c>
      <c r="F6" s="50">
        <f t="shared" si="1"/>
        <v>11990</v>
      </c>
      <c r="G6" s="50">
        <f>COUNTIFS('Monthly Analysis'!O10:O40, "&gt;=01/03/2024",'Monthly Analysis'!O10:O40,"&lt;=31/03/2024",'Monthly Analysis'!R10:R40,"&lt;&gt;")</f>
        <v>13</v>
      </c>
      <c r="H6" s="50" t="s">
        <v>24</v>
      </c>
      <c r="I6" s="50" t="s">
        <v>24</v>
      </c>
    </row>
    <row r="7" spans="2:9" x14ac:dyDescent="0.3">
      <c r="B7" s="50">
        <f t="shared" si="0"/>
        <v>2024</v>
      </c>
      <c r="C7" s="50" t="s">
        <v>84</v>
      </c>
      <c r="D7" s="50">
        <f>SUM('Monthly Analysis'!X10:X39)</f>
        <v>80220</v>
      </c>
      <c r="E7" s="50">
        <f>-SUM('Monthly Analysis'!Y10:Y39)</f>
        <v>159000</v>
      </c>
      <c r="F7" s="50">
        <f t="shared" si="1"/>
        <v>-78780</v>
      </c>
      <c r="G7" s="50">
        <f>COUNTIFS('Monthly Analysis'!U10:U39, "&gt;=01/04/2024",'Monthly Analysis'!U10:U39,"&lt;=30/04/2024",'Monthly Analysis'!X10:X39,"&lt;&gt;")</f>
        <v>12</v>
      </c>
      <c r="H7" s="50" t="s">
        <v>24</v>
      </c>
      <c r="I7" s="50" t="s">
        <v>24</v>
      </c>
    </row>
    <row r="8" spans="2:9" x14ac:dyDescent="0.3">
      <c r="B8" s="50">
        <f t="shared" si="0"/>
        <v>2024</v>
      </c>
      <c r="C8" s="50" t="s">
        <v>57</v>
      </c>
      <c r="D8" s="50">
        <f>SUM('Monthly Analysis'!AD10:AD40)</f>
        <v>129587</v>
      </c>
      <c r="E8" s="50">
        <f>-SUM('Monthly Analysis'!AE10:AE40)</f>
        <v>75500</v>
      </c>
      <c r="F8" s="50">
        <f t="shared" si="1"/>
        <v>54087</v>
      </c>
      <c r="G8" s="50">
        <f>COUNTIFS('Monthly Analysis'!AA10:AA40, "&gt;=01/05/2024",'Monthly Analysis'!AA10:AA40,"&lt;=31/05/2024",'Monthly Analysis'!AD10:AD40,"&lt;&gt;")</f>
        <v>14</v>
      </c>
      <c r="H8" s="50" t="s">
        <v>24</v>
      </c>
      <c r="I8" s="50" t="s">
        <v>24</v>
      </c>
    </row>
    <row r="9" spans="2:9" x14ac:dyDescent="0.3">
      <c r="B9" s="50">
        <f t="shared" si="0"/>
        <v>2024</v>
      </c>
      <c r="C9" s="50" t="s">
        <v>85</v>
      </c>
      <c r="D9" s="50">
        <f>SUM('Monthly Analysis'!AJ10:AJ39)</f>
        <v>108500</v>
      </c>
      <c r="E9" s="50">
        <f>-SUM('Monthly Analysis'!AK10:AK39)</f>
        <v>145000</v>
      </c>
      <c r="F9" s="50">
        <f t="shared" si="1"/>
        <v>-36500</v>
      </c>
      <c r="G9" s="50">
        <f>COUNTIFS('Monthly Analysis'!AG10:AG39, "&gt;=01/06/2024",'Monthly Analysis'!AG10:AG39,"&lt;=30/06/2024",'Monthly Analysis'!AJ10:AJ39,"&lt;&gt;")</f>
        <v>14</v>
      </c>
      <c r="H9" s="50" t="s">
        <v>24</v>
      </c>
      <c r="I9" s="50" t="s">
        <v>24</v>
      </c>
    </row>
    <row r="10" spans="2:9" x14ac:dyDescent="0.3">
      <c r="B10" s="50">
        <f t="shared" si="0"/>
        <v>2024</v>
      </c>
      <c r="C10" s="50" t="s">
        <v>86</v>
      </c>
      <c r="D10" s="50">
        <f>SUM('Monthly Analysis'!AP10:AP40)</f>
        <v>117250</v>
      </c>
      <c r="E10" s="50">
        <f>-SUM('Monthly Analysis'!AQ10:AQ40)</f>
        <v>83250</v>
      </c>
      <c r="F10" s="50">
        <f t="shared" si="1"/>
        <v>34000</v>
      </c>
      <c r="G10" s="50">
        <f>COUNTIFS('Monthly Analysis'!AM10:AM40, "&gt;=01/07/2024",'Monthly Analysis'!AM10:AM40,"&lt;=31/07/2024",'Monthly Analysis'!AP10:AP40,"&lt;&gt;")</f>
        <v>14</v>
      </c>
      <c r="H10" s="50" t="s">
        <v>24</v>
      </c>
      <c r="I10" s="50" t="s">
        <v>24</v>
      </c>
    </row>
    <row r="11" spans="2:9" x14ac:dyDescent="0.3">
      <c r="B11" s="50">
        <f t="shared" si="0"/>
        <v>2024</v>
      </c>
      <c r="C11" s="50" t="s">
        <v>87</v>
      </c>
      <c r="D11" s="50">
        <f>SUM('Monthly Analysis'!AV10:AV40)</f>
        <v>137327</v>
      </c>
      <c r="E11" s="50">
        <f>-SUM('Monthly Analysis'!AW10:AW40)</f>
        <v>136600</v>
      </c>
      <c r="F11" s="50">
        <f t="shared" si="1"/>
        <v>727</v>
      </c>
      <c r="G11" s="50">
        <f>COUNTIFS('Monthly Analysis'!AS10:AS40, "&gt;=01/08/2024",'Monthly Analysis'!AS10:AS40,"&lt;=31/08/2024",'Monthly Analysis'!AV10:AV40,"&lt;&gt;")</f>
        <v>15</v>
      </c>
      <c r="H11" s="50" t="s">
        <v>24</v>
      </c>
      <c r="I11" s="50" t="s">
        <v>24</v>
      </c>
    </row>
    <row r="12" spans="2:9" x14ac:dyDescent="0.3">
      <c r="B12" s="50">
        <f t="shared" si="0"/>
        <v>2024</v>
      </c>
      <c r="C12" s="50" t="s">
        <v>88</v>
      </c>
      <c r="D12" s="50">
        <f>SUM('Monthly Analysis'!BB10:BB39)</f>
        <v>219545</v>
      </c>
      <c r="E12" s="50">
        <f>-SUM('Monthly Analysis'!BC10:BC39)</f>
        <v>122110</v>
      </c>
      <c r="F12" s="50">
        <f>D12-E12</f>
        <v>97435</v>
      </c>
      <c r="G12" s="50">
        <f>COUNTIFS('Monthly Analysis'!AY10:AY39, "&gt;=01/09/2024",'Monthly Analysis'!AY10:AY39,"&lt;=30/09/2024",'Monthly Analysis'!BB10:BB39,"&lt;&gt;")</f>
        <v>14</v>
      </c>
      <c r="H12" s="50" t="s">
        <v>37</v>
      </c>
      <c r="I12" s="50" t="s">
        <v>24</v>
      </c>
    </row>
    <row r="13" spans="2:9" x14ac:dyDescent="0.3">
      <c r="B13" s="50">
        <f t="shared" si="0"/>
        <v>2024</v>
      </c>
      <c r="C13" s="50" t="s">
        <v>89</v>
      </c>
      <c r="D13" s="50">
        <f>SUM('Monthly Analysis'!BH10:BH40)</f>
        <v>155800</v>
      </c>
      <c r="E13" s="50">
        <f>-SUM('Monthly Analysis'!BI10:BI40)</f>
        <v>95600</v>
      </c>
      <c r="F13" s="50">
        <f>D13-E13</f>
        <v>60200</v>
      </c>
      <c r="G13" s="50">
        <f>COUNTIFS('Monthly Analysis'!BE10:BE40, "&gt;=01/10/2024",'Monthly Analysis'!BE10:BE40,"&lt;=31/10/2024",'Monthly Analysis'!BH10:BH40,"&lt;&gt;")</f>
        <v>15</v>
      </c>
      <c r="H13" s="50" t="s">
        <v>24</v>
      </c>
      <c r="I13" s="50" t="s">
        <v>24</v>
      </c>
    </row>
    <row r="14" spans="2:9" x14ac:dyDescent="0.3">
      <c r="B14" s="50">
        <f t="shared" si="0"/>
        <v>2024</v>
      </c>
      <c r="C14" s="50" t="s">
        <v>90</v>
      </c>
      <c r="D14" s="50">
        <f>SUM('Monthly Analysis'!BN10:BN39)</f>
        <v>356200</v>
      </c>
      <c r="E14" s="50">
        <f>-SUM('Monthly Analysis'!BO10:BO39)</f>
        <v>473700</v>
      </c>
      <c r="F14" s="50">
        <f>D14-E14</f>
        <v>-117500</v>
      </c>
      <c r="G14" s="50">
        <f>COUNTIFS('Monthly Analysis'!BK10:BK39, "&gt;=01/11/2024",'Monthly Analysis'!BK10:BK39,"&lt;=30/11/2024",'Monthly Analysis'!BN10:BN39,"&lt;&gt;")</f>
        <v>15</v>
      </c>
      <c r="H14" s="50" t="s">
        <v>24</v>
      </c>
      <c r="I14" s="50" t="s">
        <v>37</v>
      </c>
    </row>
    <row r="15" spans="2:9" x14ac:dyDescent="0.3">
      <c r="B15" s="51">
        <f t="shared" si="0"/>
        <v>2024</v>
      </c>
      <c r="C15" s="51" t="s">
        <v>91</v>
      </c>
      <c r="D15" s="51">
        <f>SUM('Monthly Analysis'!BT10:BT40)</f>
        <v>95000</v>
      </c>
      <c r="E15" s="51">
        <f>-SUM('Monthly Analysis'!BU10:BU40)</f>
        <v>224350</v>
      </c>
      <c r="F15" s="51">
        <f>D15-E15</f>
        <v>-129350</v>
      </c>
      <c r="G15" s="51">
        <f>COUNTIFS('Monthly Analysis'!BQ10:BQ40, "&gt;=01/12/2024",'Monthly Analysis'!BQ10:BQ40,"&lt;=31/12/2024",'Monthly Analysis'!BT10:BT40,"&lt;&gt;")</f>
        <v>17</v>
      </c>
      <c r="H15" s="51" t="s">
        <v>24</v>
      </c>
      <c r="I15" s="51" t="s">
        <v>24</v>
      </c>
    </row>
    <row r="29" spans="1:19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</sheetData>
  <sheetProtection algorithmName="SHA-512" hashValue="bGSzsBvd0ipqRVPxkSyFDHK54e/DXpgnhWUGhI18QwZqg3ZrOETOR4YosuOSA0XoPSFLqfzo4TBkJGolEb5gQA==" saltValue="Sh/hX/vA3ho0KHtHIQgQ+A==" spinCount="100000" sheet="1" objects="1" scenarios="1" selectLockedCells="1"/>
  <mergeCells count="1">
    <mergeCell ref="B2:I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CE13-0CF8-43A8-AABE-5BC449FF685B}">
  <sheetPr>
    <tabColor theme="9" tint="-0.249977111117893"/>
  </sheetPr>
  <dimension ref="B2:BU40"/>
  <sheetViews>
    <sheetView showGridLines="0" zoomScale="94" workbookViewId="0">
      <pane ySplit="9" topLeftCell="A10" activePane="bottomLeft" state="frozen"/>
      <selection pane="bottomLeft" activeCell="Q2" sqref="Q2"/>
    </sheetView>
  </sheetViews>
  <sheetFormatPr defaultRowHeight="14.4" x14ac:dyDescent="0.3"/>
  <cols>
    <col min="1" max="1" width="3.33203125" customWidth="1"/>
    <col min="3" max="3" width="13.44140625" customWidth="1"/>
    <col min="5" max="16" width="9.88671875" customWidth="1"/>
    <col min="21" max="21" width="10.33203125" bestFit="1" customWidth="1"/>
    <col min="27" max="27" width="10.33203125" bestFit="1" customWidth="1"/>
    <col min="33" max="33" width="10.33203125" bestFit="1" customWidth="1"/>
    <col min="39" max="39" width="10.33203125" bestFit="1" customWidth="1"/>
    <col min="45" max="45" width="10.33203125" bestFit="1" customWidth="1"/>
    <col min="51" max="51" width="10.33203125" bestFit="1" customWidth="1"/>
    <col min="54" max="54" width="9.33203125" bestFit="1" customWidth="1"/>
    <col min="57" max="57" width="10.77734375" bestFit="1" customWidth="1"/>
    <col min="61" max="61" width="11" bestFit="1" customWidth="1"/>
    <col min="63" max="63" width="10.77734375" bestFit="1" customWidth="1"/>
    <col min="66" max="66" width="9.33203125" bestFit="1" customWidth="1"/>
    <col min="67" max="67" width="12.5546875" bestFit="1" customWidth="1"/>
    <col min="69" max="69" width="10.77734375" bestFit="1" customWidth="1"/>
    <col min="73" max="73" width="11" bestFit="1" customWidth="1"/>
  </cols>
  <sheetData>
    <row r="2" spans="2:73" x14ac:dyDescent="0.3">
      <c r="D2" s="97"/>
      <c r="E2" s="98"/>
      <c r="F2" s="98"/>
      <c r="G2" s="98"/>
      <c r="H2" s="98"/>
      <c r="I2" s="99" t="s">
        <v>65</v>
      </c>
      <c r="J2" s="99"/>
      <c r="K2" s="99"/>
      <c r="L2" s="99"/>
      <c r="M2" s="99"/>
      <c r="N2" s="98"/>
      <c r="O2" s="98"/>
      <c r="P2" s="98"/>
      <c r="Q2" s="98"/>
      <c r="R2" s="28"/>
    </row>
    <row r="3" spans="2:73" ht="3.6" customHeight="1" x14ac:dyDescent="0.3">
      <c r="D3" s="100"/>
      <c r="E3" s="101"/>
      <c r="F3" s="101"/>
      <c r="G3" s="101"/>
      <c r="H3" s="101"/>
      <c r="I3" s="102"/>
      <c r="J3" s="102"/>
      <c r="K3" s="102"/>
      <c r="L3" s="102"/>
      <c r="M3" s="102"/>
      <c r="N3" s="101"/>
      <c r="O3" s="101"/>
      <c r="P3" s="101"/>
      <c r="Q3" s="103"/>
      <c r="R3" s="28"/>
    </row>
    <row r="4" spans="2:73" x14ac:dyDescent="0.3">
      <c r="B4" s="66" t="s">
        <v>112</v>
      </c>
      <c r="D4" s="100"/>
      <c r="E4" s="104" t="s">
        <v>66</v>
      </c>
      <c r="F4" s="104" t="s">
        <v>67</v>
      </c>
      <c r="G4" s="104" t="s">
        <v>68</v>
      </c>
      <c r="H4" s="104" t="s">
        <v>69</v>
      </c>
      <c r="I4" s="104" t="s">
        <v>70</v>
      </c>
      <c r="J4" s="104" t="s">
        <v>71</v>
      </c>
      <c r="K4" s="104" t="s">
        <v>72</v>
      </c>
      <c r="L4" s="104" t="s">
        <v>73</v>
      </c>
      <c r="M4" s="104" t="s">
        <v>74</v>
      </c>
      <c r="N4" s="104" t="s">
        <v>75</v>
      </c>
      <c r="O4" s="104" t="s">
        <v>76</v>
      </c>
      <c r="P4" s="104" t="s">
        <v>77</v>
      </c>
      <c r="Q4" s="100"/>
      <c r="R4" s="28"/>
    </row>
    <row r="5" spans="2:73" x14ac:dyDescent="0.3">
      <c r="D5" s="105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28"/>
    </row>
    <row r="7" spans="2:73" x14ac:dyDescent="0.3">
      <c r="E7" s="29"/>
    </row>
    <row r="8" spans="2:73" x14ac:dyDescent="0.3">
      <c r="B8" s="6"/>
      <c r="C8" s="92" t="s">
        <v>53</v>
      </c>
      <c r="D8" s="92"/>
      <c r="E8" s="92"/>
      <c r="F8" s="92"/>
      <c r="G8" s="92"/>
      <c r="I8" s="92" t="s">
        <v>54</v>
      </c>
      <c r="J8" s="92"/>
      <c r="K8" s="92"/>
      <c r="L8" s="92"/>
      <c r="M8" s="92"/>
      <c r="N8" s="17"/>
      <c r="O8" s="92" t="s">
        <v>55</v>
      </c>
      <c r="P8" s="92"/>
      <c r="Q8" s="92"/>
      <c r="R8" s="92"/>
      <c r="S8" s="92"/>
      <c r="U8" s="92" t="s">
        <v>56</v>
      </c>
      <c r="V8" s="92"/>
      <c r="W8" s="92"/>
      <c r="X8" s="92"/>
      <c r="Y8" s="92"/>
      <c r="AA8" s="92" t="s">
        <v>57</v>
      </c>
      <c r="AB8" s="92"/>
      <c r="AC8" s="92"/>
      <c r="AD8" s="92"/>
      <c r="AE8" s="92"/>
      <c r="AF8" s="8"/>
      <c r="AG8" s="92" t="s">
        <v>58</v>
      </c>
      <c r="AH8" s="92"/>
      <c r="AI8" s="92"/>
      <c r="AJ8" s="92"/>
      <c r="AK8" s="92"/>
      <c r="AM8" s="92" t="s">
        <v>59</v>
      </c>
      <c r="AN8" s="92"/>
      <c r="AO8" s="92"/>
      <c r="AP8" s="92"/>
      <c r="AQ8" s="92"/>
      <c r="AS8" s="92" t="s">
        <v>60</v>
      </c>
      <c r="AT8" s="92"/>
      <c r="AU8" s="92"/>
      <c r="AV8" s="92"/>
      <c r="AW8" s="92"/>
      <c r="AY8" s="92" t="s">
        <v>61</v>
      </c>
      <c r="AZ8" s="92"/>
      <c r="BA8" s="92"/>
      <c r="BB8" s="92"/>
      <c r="BC8" s="92"/>
      <c r="BE8" s="92" t="s">
        <v>62</v>
      </c>
      <c r="BF8" s="92"/>
      <c r="BG8" s="92"/>
      <c r="BH8" s="92"/>
      <c r="BI8" s="92"/>
      <c r="BK8" s="92" t="s">
        <v>63</v>
      </c>
      <c r="BL8" s="92"/>
      <c r="BM8" s="92"/>
      <c r="BN8" s="92"/>
      <c r="BO8" s="92"/>
      <c r="BQ8" s="92" t="s">
        <v>64</v>
      </c>
      <c r="BR8" s="92"/>
      <c r="BS8" s="92"/>
      <c r="BT8" s="92"/>
      <c r="BU8" s="92"/>
    </row>
    <row r="9" spans="2:73" x14ac:dyDescent="0.3">
      <c r="B9" s="6"/>
      <c r="C9" s="20" t="s">
        <v>11</v>
      </c>
      <c r="D9" s="20" t="s">
        <v>12</v>
      </c>
      <c r="E9" s="20" t="s">
        <v>13</v>
      </c>
      <c r="F9" s="20" t="s">
        <v>15</v>
      </c>
      <c r="G9" s="20" t="s">
        <v>16</v>
      </c>
      <c r="I9" s="20" t="str">
        <f>C9</f>
        <v>Date</v>
      </c>
      <c r="J9" s="20" t="str">
        <f t="shared" ref="J9:M9" si="0">D9</f>
        <v>Type</v>
      </c>
      <c r="K9" s="20" t="str">
        <f>E9</f>
        <v>Category</v>
      </c>
      <c r="L9" s="20" t="str">
        <f t="shared" si="0"/>
        <v>Cash In</v>
      </c>
      <c r="M9" s="20" t="str">
        <f t="shared" si="0"/>
        <v>Cash Out</v>
      </c>
      <c r="O9" s="20" t="str">
        <f>I9</f>
        <v>Date</v>
      </c>
      <c r="P9" s="20" t="str">
        <f t="shared" ref="P9:S9" si="1">J9</f>
        <v>Type</v>
      </c>
      <c r="Q9" s="20" t="str">
        <f>K9</f>
        <v>Category</v>
      </c>
      <c r="R9" s="20" t="str">
        <f t="shared" si="1"/>
        <v>Cash In</v>
      </c>
      <c r="S9" s="20" t="str">
        <f t="shared" si="1"/>
        <v>Cash Out</v>
      </c>
      <c r="U9" s="20" t="str">
        <f>O9</f>
        <v>Date</v>
      </c>
      <c r="V9" s="20" t="str">
        <f t="shared" ref="V9:Y9" si="2">P9</f>
        <v>Type</v>
      </c>
      <c r="W9" s="20" t="str">
        <f t="shared" si="2"/>
        <v>Category</v>
      </c>
      <c r="X9" s="20" t="str">
        <f t="shared" si="2"/>
        <v>Cash In</v>
      </c>
      <c r="Y9" s="20" t="str">
        <f t="shared" si="2"/>
        <v>Cash Out</v>
      </c>
      <c r="AA9" s="20" t="str">
        <f>U9</f>
        <v>Date</v>
      </c>
      <c r="AB9" s="20" t="str">
        <f t="shared" ref="AB9:AD9" si="3">V9</f>
        <v>Type</v>
      </c>
      <c r="AC9" s="20" t="str">
        <f t="shared" si="3"/>
        <v>Category</v>
      </c>
      <c r="AD9" s="20" t="str">
        <f t="shared" si="3"/>
        <v>Cash In</v>
      </c>
      <c r="AE9" s="20" t="str">
        <f>Y9</f>
        <v>Cash Out</v>
      </c>
      <c r="AF9" s="9"/>
      <c r="AG9" s="20" t="str">
        <f>AA9</f>
        <v>Date</v>
      </c>
      <c r="AH9" s="20" t="str">
        <f t="shared" ref="AH9:AK9" si="4">AB9</f>
        <v>Type</v>
      </c>
      <c r="AI9" s="20" t="str">
        <f t="shared" si="4"/>
        <v>Category</v>
      </c>
      <c r="AJ9" s="20" t="str">
        <f t="shared" si="4"/>
        <v>Cash In</v>
      </c>
      <c r="AK9" s="20" t="str">
        <f t="shared" si="4"/>
        <v>Cash Out</v>
      </c>
      <c r="AM9" s="20" t="str">
        <f>AG9</f>
        <v>Date</v>
      </c>
      <c r="AN9" s="20" t="str">
        <f t="shared" ref="AN9:AQ9" si="5">AH9</f>
        <v>Type</v>
      </c>
      <c r="AO9" s="20" t="str">
        <f t="shared" si="5"/>
        <v>Category</v>
      </c>
      <c r="AP9" s="20" t="str">
        <f t="shared" si="5"/>
        <v>Cash In</v>
      </c>
      <c r="AQ9" s="20" t="str">
        <f t="shared" si="5"/>
        <v>Cash Out</v>
      </c>
      <c r="AS9" s="20" t="str">
        <f>AM9</f>
        <v>Date</v>
      </c>
      <c r="AT9" s="20" t="str">
        <f t="shared" ref="AT9:AW9" si="6">AN9</f>
        <v>Type</v>
      </c>
      <c r="AU9" s="20" t="str">
        <f t="shared" si="6"/>
        <v>Category</v>
      </c>
      <c r="AV9" s="20" t="str">
        <f t="shared" si="6"/>
        <v>Cash In</v>
      </c>
      <c r="AW9" s="20" t="str">
        <f t="shared" si="6"/>
        <v>Cash Out</v>
      </c>
      <c r="AY9" s="20" t="str">
        <f>AS9</f>
        <v>Date</v>
      </c>
      <c r="AZ9" s="20" t="str">
        <f t="shared" ref="AZ9:BC9" si="7">AT9</f>
        <v>Type</v>
      </c>
      <c r="BA9" s="20" t="str">
        <f t="shared" si="7"/>
        <v>Category</v>
      </c>
      <c r="BB9" s="20" t="str">
        <f t="shared" si="7"/>
        <v>Cash In</v>
      </c>
      <c r="BC9" s="20" t="str">
        <f t="shared" si="7"/>
        <v>Cash Out</v>
      </c>
      <c r="BE9" s="20" t="str">
        <f>AY9</f>
        <v>Date</v>
      </c>
      <c r="BF9" s="20" t="str">
        <f t="shared" ref="BF9:BI9" si="8">AZ9</f>
        <v>Type</v>
      </c>
      <c r="BG9" s="20" t="str">
        <f t="shared" si="8"/>
        <v>Category</v>
      </c>
      <c r="BH9" s="20" t="str">
        <f t="shared" si="8"/>
        <v>Cash In</v>
      </c>
      <c r="BI9" s="20" t="str">
        <f t="shared" si="8"/>
        <v>Cash Out</v>
      </c>
      <c r="BK9" s="20" t="str">
        <f>BE9</f>
        <v>Date</v>
      </c>
      <c r="BL9" s="20" t="str">
        <f t="shared" ref="BL9:BO9" si="9">BF9</f>
        <v>Type</v>
      </c>
      <c r="BM9" s="20" t="str">
        <f t="shared" si="9"/>
        <v>Category</v>
      </c>
      <c r="BN9" s="20" t="str">
        <f t="shared" si="9"/>
        <v>Cash In</v>
      </c>
      <c r="BO9" s="20" t="str">
        <f t="shared" si="9"/>
        <v>Cash Out</v>
      </c>
      <c r="BQ9" s="20" t="str">
        <f>BK9</f>
        <v>Date</v>
      </c>
      <c r="BR9" s="20" t="str">
        <f t="shared" ref="BR9:BU9" si="10">BL9</f>
        <v>Type</v>
      </c>
      <c r="BS9" s="20" t="str">
        <f t="shared" si="10"/>
        <v>Category</v>
      </c>
      <c r="BT9" s="20" t="str">
        <f t="shared" si="10"/>
        <v>Cash In</v>
      </c>
      <c r="BU9" s="20" t="str">
        <f t="shared" si="10"/>
        <v>Cash Out</v>
      </c>
    </row>
    <row r="10" spans="2:73" x14ac:dyDescent="0.3">
      <c r="C10" s="106">
        <f>'Cash Flow Entry'!C4</f>
        <v>45292</v>
      </c>
      <c r="D10" s="22" t="str">
        <f>'Cash Flow Entry'!H4</f>
        <v>Inflow</v>
      </c>
      <c r="E10" s="22" t="str">
        <f>'Cash Flow Entry'!D4</f>
        <v>Operating</v>
      </c>
      <c r="F10" s="23">
        <f>IF(D10="Inflow",'Cash Flow Entry'!F4,0)</f>
        <v>4750</v>
      </c>
      <c r="G10" s="24">
        <f>IF(D10="Outflow",-'Cash Flow Entry'!F4,0)</f>
        <v>0</v>
      </c>
      <c r="I10" s="106">
        <f>'Cash Flow Entry'!C35</f>
        <v>45323</v>
      </c>
      <c r="J10" s="22" t="str">
        <f>'Cash Flow Entry'!H35</f>
        <v>Outflow</v>
      </c>
      <c r="K10" s="22" t="str">
        <f>'Cash Flow Entry'!D35</f>
        <v>Operating</v>
      </c>
      <c r="L10" s="23">
        <f>'Cash Flow Tracking'!H35</f>
        <v>0</v>
      </c>
      <c r="M10" s="24">
        <f>'Cash Flow Tracking'!I35</f>
        <v>-14000</v>
      </c>
      <c r="O10" s="106">
        <f>'Cash Flow Entry'!C64</f>
        <v>45352</v>
      </c>
      <c r="P10" s="22" t="str">
        <f>'Cash Flow Entry'!H64</f>
        <v>Outflow</v>
      </c>
      <c r="Q10" s="22" t="str">
        <f>'Cash Flow Entry'!D64</f>
        <v>Operating</v>
      </c>
      <c r="R10" s="23">
        <f>'Cash Flow Tracking'!H64</f>
        <v>0</v>
      </c>
      <c r="S10" s="24">
        <f>'Cash Flow Tracking'!I64</f>
        <v>-15000</v>
      </c>
      <c r="U10" s="106">
        <f>'Cash Flow Entry'!C95</f>
        <v>45383</v>
      </c>
      <c r="V10" s="22" t="str">
        <f>'Cash Flow Entry'!H95</f>
        <v>Outflow</v>
      </c>
      <c r="W10" s="22" t="str">
        <f>'Cash Flow Entry'!D95</f>
        <v>Operating</v>
      </c>
      <c r="X10" s="23">
        <f>'Cash Flow Tracking'!H95</f>
        <v>0</v>
      </c>
      <c r="Y10" s="24">
        <f>'Cash Flow Tracking'!I95</f>
        <v>-2500</v>
      </c>
      <c r="AA10" s="106">
        <f>'Cash Flow Entry'!C125</f>
        <v>45413</v>
      </c>
      <c r="AB10" s="22" t="str">
        <f>IF(ISBLANK(AC10),"N/A",AC10)</f>
        <v>N/A</v>
      </c>
      <c r="AC10" s="22" t="str">
        <f>IF(ISBLANK(AD10),"N/A",AD10)</f>
        <v>N/A</v>
      </c>
      <c r="AD10" s="23"/>
      <c r="AE10" s="24"/>
      <c r="AF10" s="25"/>
      <c r="AG10" s="106">
        <f>'Cash Flow Entry'!C156</f>
        <v>45444</v>
      </c>
      <c r="AH10" s="22" t="str">
        <f>'Cash Flow Entry'!H156</f>
        <v>Outflow</v>
      </c>
      <c r="AI10" s="22" t="str">
        <f>'Cash Flow Entry'!D156</f>
        <v>Operating</v>
      </c>
      <c r="AJ10" s="23">
        <f>'Cash Flow Tracking'!H156</f>
        <v>0</v>
      </c>
      <c r="AK10" s="24">
        <f>'Cash Flow Tracking'!I156</f>
        <v>-12000</v>
      </c>
      <c r="AM10" s="21">
        <f>'Cash Flow Entry'!C186</f>
        <v>45474</v>
      </c>
      <c r="AN10" s="22" t="str">
        <f>'Cash Flow Entry'!H186</f>
        <v>Inflow</v>
      </c>
      <c r="AO10" s="22" t="str">
        <f>'Cash Flow Entry'!D186</f>
        <v>Investing</v>
      </c>
      <c r="AP10" s="107">
        <f>'Cash Flow Tracking'!H186</f>
        <v>750</v>
      </c>
      <c r="AQ10" s="24">
        <f>'Cash Flow Tracking'!I186</f>
        <v>0</v>
      </c>
      <c r="AS10" s="106">
        <f>'Cash Flow Entry'!C217</f>
        <v>45505</v>
      </c>
      <c r="AT10" s="22" t="str">
        <f>'Cash Flow Entry'!H217</f>
        <v>Outflow</v>
      </c>
      <c r="AU10" s="22" t="str">
        <f>'Cash Flow Entry'!D217</f>
        <v>Operating</v>
      </c>
      <c r="AV10" s="23">
        <f>'Cash Flow Tracking'!H217</f>
        <v>0</v>
      </c>
      <c r="AW10" s="24">
        <f>'Cash Flow Tracking'!I217</f>
        <v>-1200</v>
      </c>
      <c r="AY10" s="106">
        <f>'Cash Flow Entry'!C248</f>
        <v>45536</v>
      </c>
      <c r="AZ10" s="22" t="str">
        <f>IF(ISBLANK(BA10),"N/A",BA10)</f>
        <v>N/A</v>
      </c>
      <c r="BA10" s="22" t="str">
        <f>IF(ISBLANK(BB10),"N/A",BB10)</f>
        <v>N/A</v>
      </c>
      <c r="BB10" s="23"/>
      <c r="BC10" s="24"/>
      <c r="BE10" s="106">
        <f>'Cash Flow Entry'!C278</f>
        <v>45566</v>
      </c>
      <c r="BF10" s="22" t="str">
        <f>'Cash Flow Entry'!H278</f>
        <v>Inflow</v>
      </c>
      <c r="BG10" s="22" t="str">
        <f>'Cash Flow Entry'!D278</f>
        <v>Operating</v>
      </c>
      <c r="BH10" s="23">
        <f>'Cash Flow Tracking'!H278</f>
        <v>28000</v>
      </c>
      <c r="BI10" s="24">
        <f>'Cash Flow Tracking'!I278</f>
        <v>0</v>
      </c>
      <c r="BK10" s="106">
        <f>'Cash Flow Entry'!C309</f>
        <v>45597</v>
      </c>
      <c r="BL10" s="22" t="str">
        <f>'Cash Flow Entry'!H309</f>
        <v>Outflow</v>
      </c>
      <c r="BM10" s="22" t="str">
        <f>'Cash Flow Entry'!D309</f>
        <v>Operating</v>
      </c>
      <c r="BN10" s="23">
        <f>'Cash Flow Tracking'!H309</f>
        <v>0</v>
      </c>
      <c r="BO10" s="24">
        <f>'Cash Flow Tracking'!I309</f>
        <v>-25000</v>
      </c>
      <c r="BQ10" s="106">
        <f>'Cash Flow Entry'!C339</f>
        <v>45627</v>
      </c>
      <c r="BR10" s="22" t="str">
        <f>'Cash Flow Entry'!H339</f>
        <v>Outflow</v>
      </c>
      <c r="BS10" s="22" t="str">
        <f>'Cash Flow Entry'!D339</f>
        <v>Investing</v>
      </c>
      <c r="BT10" s="23">
        <f>'Cash Flow Tracking'!H339</f>
        <v>0</v>
      </c>
      <c r="BU10" s="24">
        <f>'Cash Flow Tracking'!I339</f>
        <v>-45000</v>
      </c>
    </row>
    <row r="11" spans="2:73" x14ac:dyDescent="0.3">
      <c r="C11" s="21">
        <f>'Cash Flow Entry'!C5</f>
        <v>45293</v>
      </c>
      <c r="D11" s="22" t="str">
        <f>'Cash Flow Entry'!H5</f>
        <v>Inflow</v>
      </c>
      <c r="E11" s="22" t="str">
        <f>'Cash Flow Entry'!D5</f>
        <v>Operating</v>
      </c>
      <c r="F11" s="23">
        <f>IF(D11="Inflow",'Cash Flow Entry'!F5,0)</f>
        <v>225</v>
      </c>
      <c r="G11" s="24">
        <f>IF(D11="Outflow",-'Cash Flow Entry'!F5,0)</f>
        <v>0</v>
      </c>
      <c r="I11" s="21">
        <f>'Cash Flow Entry'!C36</f>
        <v>45324</v>
      </c>
      <c r="J11" s="22" t="str">
        <f>'Cash Flow Entry'!H36</f>
        <v>Outflow</v>
      </c>
      <c r="K11" s="22" t="str">
        <f>'Cash Flow Entry'!D36</f>
        <v>Operating</v>
      </c>
      <c r="L11" s="23">
        <f>'Cash Flow Tracking'!H36</f>
        <v>0</v>
      </c>
      <c r="M11" s="24">
        <f>'Cash Flow Tracking'!I36</f>
        <v>-2000</v>
      </c>
      <c r="O11" s="21">
        <f>'Cash Flow Entry'!C65</f>
        <v>45353</v>
      </c>
      <c r="P11" s="22" t="str">
        <f>'Cash Flow Entry'!H65</f>
        <v>Outflow</v>
      </c>
      <c r="Q11" s="22" t="str">
        <f>'Cash Flow Entry'!D65</f>
        <v>Operating</v>
      </c>
      <c r="R11" s="23">
        <f>'Cash Flow Tracking'!H65</f>
        <v>0</v>
      </c>
      <c r="S11" s="24">
        <f>'Cash Flow Tracking'!I65</f>
        <v>-27000</v>
      </c>
      <c r="U11" s="21">
        <f>'Cash Flow Entry'!C96</f>
        <v>45384</v>
      </c>
      <c r="V11" s="22" t="str">
        <f>'Cash Flow Entry'!H96</f>
        <v>Outflow</v>
      </c>
      <c r="W11" s="22" t="str">
        <f>'Cash Flow Entry'!D96</f>
        <v>Operating</v>
      </c>
      <c r="X11" s="23">
        <f>'Cash Flow Tracking'!H96</f>
        <v>0</v>
      </c>
      <c r="Y11" s="24">
        <f>'Cash Flow Tracking'!I96</f>
        <v>-45000</v>
      </c>
      <c r="AA11" s="21">
        <f>'Cash Flow Entry'!C126</f>
        <v>45414</v>
      </c>
      <c r="AB11" s="22" t="str">
        <f>'Cash Flow Entry'!H126</f>
        <v>Outflow</v>
      </c>
      <c r="AC11" s="22" t="str">
        <f>'Cash Flow Entry'!D126</f>
        <v>Operating</v>
      </c>
      <c r="AD11" s="23">
        <f>'Cash Flow Tracking'!H126</f>
        <v>0</v>
      </c>
      <c r="AE11" s="24">
        <f>'Cash Flow Tracking'!I126</f>
        <v>-2500</v>
      </c>
      <c r="AF11" s="25"/>
      <c r="AG11" s="21">
        <f>'Cash Flow Entry'!C157</f>
        <v>45445</v>
      </c>
      <c r="AH11" s="22" t="str">
        <f>'Cash Flow Entry'!H157</f>
        <v>Inflow</v>
      </c>
      <c r="AI11" s="22" t="str">
        <f>'Cash Flow Entry'!D157</f>
        <v>Financing</v>
      </c>
      <c r="AJ11" s="23">
        <f>'Cash Flow Tracking'!H157</f>
        <v>15000</v>
      </c>
      <c r="AK11" s="24">
        <f>'Cash Flow Tracking'!I157</f>
        <v>0</v>
      </c>
      <c r="AM11" s="21">
        <f>'Cash Flow Entry'!C187</f>
        <v>45475</v>
      </c>
      <c r="AN11" s="22" t="str">
        <f>'Cash Flow Entry'!H187</f>
        <v>Inflow</v>
      </c>
      <c r="AO11" s="22" t="str">
        <f>'Cash Flow Entry'!D187</f>
        <v>Operating</v>
      </c>
      <c r="AP11" s="23">
        <f>'Cash Flow Tracking'!H187</f>
        <v>20000</v>
      </c>
      <c r="AQ11" s="24">
        <f>'Cash Flow Tracking'!I187</f>
        <v>0</v>
      </c>
      <c r="AS11" s="21">
        <f>'Cash Flow Entry'!C218</f>
        <v>45506</v>
      </c>
      <c r="AT11" s="22" t="str">
        <f>'Cash Flow Entry'!H218</f>
        <v>Inflow</v>
      </c>
      <c r="AU11" s="22" t="str">
        <f>'Cash Flow Entry'!D218</f>
        <v>Operating</v>
      </c>
      <c r="AV11" s="23">
        <f>'Cash Flow Tracking'!H218</f>
        <v>1250</v>
      </c>
      <c r="AW11" s="24">
        <f>'Cash Flow Tracking'!I218</f>
        <v>0</v>
      </c>
      <c r="AY11" s="21">
        <f>'Cash Flow Entry'!C249</f>
        <v>45537</v>
      </c>
      <c r="AZ11" s="22" t="str">
        <f>IF(ISBLANK(BA11),"N/A",BA11)</f>
        <v>N/A</v>
      </c>
      <c r="BA11" s="22" t="str">
        <f>IF(ISBLANK(BB11),"N/A",BB11)</f>
        <v>N/A</v>
      </c>
      <c r="BB11" s="23"/>
      <c r="BC11" s="24"/>
      <c r="BE11" s="21">
        <f>'Cash Flow Entry'!C279</f>
        <v>45567</v>
      </c>
      <c r="BF11" s="22" t="str">
        <f>'Cash Flow Entry'!H279</f>
        <v>Outflow</v>
      </c>
      <c r="BG11" s="22" t="str">
        <f>'Cash Flow Entry'!D279</f>
        <v>Operating</v>
      </c>
      <c r="BH11" s="23">
        <f>'Cash Flow Tracking'!H279</f>
        <v>0</v>
      </c>
      <c r="BI11" s="24">
        <f>'Cash Flow Tracking'!I279</f>
        <v>-400</v>
      </c>
      <c r="BK11" s="21">
        <f>'Cash Flow Entry'!C310</f>
        <v>45598</v>
      </c>
      <c r="BL11" s="22" t="str">
        <f>'Cash Flow Entry'!H310</f>
        <v>Outflow</v>
      </c>
      <c r="BM11" s="22" t="str">
        <f>'Cash Flow Entry'!D310</f>
        <v>Operating</v>
      </c>
      <c r="BN11" s="23">
        <f>'Cash Flow Tracking'!H310</f>
        <v>0</v>
      </c>
      <c r="BO11" s="24">
        <f>'Cash Flow Tracking'!I310</f>
        <v>-1200</v>
      </c>
      <c r="BQ11" s="21">
        <f>'Cash Flow Entry'!C340</f>
        <v>45628</v>
      </c>
      <c r="BR11" s="22" t="str">
        <f>IF(ISBLANK(BS11),"N/A",BS11)</f>
        <v>N/A</v>
      </c>
      <c r="BS11" s="22" t="str">
        <f>IF(ISBLANK(BT11),"N/A",BT11)</f>
        <v>N/A</v>
      </c>
      <c r="BT11" s="23"/>
      <c r="BU11" s="24"/>
    </row>
    <row r="12" spans="2:73" x14ac:dyDescent="0.3">
      <c r="C12" s="21">
        <f>'Cash Flow Entry'!C6</f>
        <v>45294</v>
      </c>
      <c r="D12" s="22" t="str">
        <f>'Cash Flow Entry'!H6</f>
        <v>Outflow</v>
      </c>
      <c r="E12" s="22" t="str">
        <f>'Cash Flow Entry'!D6</f>
        <v>Operating</v>
      </c>
      <c r="F12" s="23">
        <f>IF(D12="Inflow",'Cash Flow Entry'!F6,0)</f>
        <v>0</v>
      </c>
      <c r="G12" s="24">
        <f>IF(D12="Outflow",-'Cash Flow Entry'!F6,0)</f>
        <v>-115</v>
      </c>
      <c r="I12" s="21">
        <f>'Cash Flow Entry'!C37</f>
        <v>45325</v>
      </c>
      <c r="J12" s="22" t="str">
        <f>'Cash Flow Entry'!H37</f>
        <v>Inflow</v>
      </c>
      <c r="K12" s="22" t="str">
        <f>'Cash Flow Entry'!D37</f>
        <v>Operating</v>
      </c>
      <c r="L12" s="23">
        <f>'Cash Flow Tracking'!H37</f>
        <v>8000</v>
      </c>
      <c r="M12" s="24">
        <f>'Cash Flow Tracking'!I37</f>
        <v>0</v>
      </c>
      <c r="O12" s="21">
        <f>'Cash Flow Entry'!C66</f>
        <v>45354</v>
      </c>
      <c r="P12" s="22" t="str">
        <f>'Cash Flow Entry'!H66</f>
        <v>Inflow</v>
      </c>
      <c r="Q12" s="22" t="str">
        <f>'Cash Flow Entry'!D66</f>
        <v>Operating</v>
      </c>
      <c r="R12" s="23">
        <f>'Cash Flow Tracking'!H66</f>
        <v>22000</v>
      </c>
      <c r="S12" s="24">
        <f>'Cash Flow Tracking'!I66</f>
        <v>0</v>
      </c>
      <c r="U12" s="21">
        <f>'Cash Flow Entry'!C97</f>
        <v>45385</v>
      </c>
      <c r="V12" s="22" t="str">
        <f>IF(ISBLANK(W12),"N/A",W12)</f>
        <v>N/A</v>
      </c>
      <c r="W12" s="22" t="str">
        <f>IF(ISBLANK(X12),"N/A",X12)</f>
        <v>N/A</v>
      </c>
      <c r="X12" s="23"/>
      <c r="Y12" s="24"/>
      <c r="AA12" s="21">
        <f>'Cash Flow Entry'!C127</f>
        <v>45415</v>
      </c>
      <c r="AB12" s="22" t="str">
        <f>'Cash Flow Entry'!H127</f>
        <v>Outflow</v>
      </c>
      <c r="AC12" s="22" t="str">
        <f>'Cash Flow Entry'!D127</f>
        <v>Operating</v>
      </c>
      <c r="AD12" s="23">
        <f>'Cash Flow Tracking'!H127</f>
        <v>0</v>
      </c>
      <c r="AE12" s="24">
        <f>'Cash Flow Tracking'!I127</f>
        <v>-26000</v>
      </c>
      <c r="AF12" s="25"/>
      <c r="AG12" s="21">
        <f>'Cash Flow Entry'!C158</f>
        <v>45446</v>
      </c>
      <c r="AH12" s="22" t="str">
        <f>IF(ISBLANK(AI12),"N/A",AI12)</f>
        <v>N/A</v>
      </c>
      <c r="AI12" s="22" t="str">
        <f>IF(ISBLANK(AJ12),"N/A",AJ12)</f>
        <v>N/A</v>
      </c>
      <c r="AJ12" s="23"/>
      <c r="AK12" s="24"/>
      <c r="AM12" s="21">
        <f>'Cash Flow Entry'!C188</f>
        <v>45476</v>
      </c>
      <c r="AN12" s="22" t="str">
        <f>IF(ISBLANK(AO12),"N/A",AO12)</f>
        <v>N/A</v>
      </c>
      <c r="AO12" s="22" t="str">
        <f>IF(ISBLANK(AP12),"N/A",AP12)</f>
        <v>N/A</v>
      </c>
      <c r="AP12" s="23"/>
      <c r="AQ12" s="24"/>
      <c r="AS12" s="21">
        <f>'Cash Flow Entry'!C219</f>
        <v>45507</v>
      </c>
      <c r="AT12" s="22" t="str">
        <f>IF(ISBLANK(AU12),"N/A",AU12)</f>
        <v>N/A</v>
      </c>
      <c r="AU12" s="22" t="str">
        <f>IF(ISBLANK(AV12),"N/A",AV12)</f>
        <v>N/A</v>
      </c>
      <c r="AV12" s="23"/>
      <c r="AW12" s="24"/>
      <c r="AY12" s="21">
        <f>'Cash Flow Entry'!C250</f>
        <v>45538</v>
      </c>
      <c r="AZ12" s="22" t="str">
        <f>'Cash Flow Entry'!H250</f>
        <v>Outflow</v>
      </c>
      <c r="BA12" s="22" t="str">
        <f>'Cash Flow Entry'!D250</f>
        <v>Operating</v>
      </c>
      <c r="BB12" s="23">
        <f>'Cash Flow Tracking'!H250</f>
        <v>0</v>
      </c>
      <c r="BC12" s="24">
        <f>'Cash Flow Tracking'!I250</f>
        <v>-24000</v>
      </c>
      <c r="BE12" s="21">
        <f>'Cash Flow Entry'!C280</f>
        <v>45568</v>
      </c>
      <c r="BF12" s="22" t="str">
        <f>'Cash Flow Entry'!H280</f>
        <v>Outflow</v>
      </c>
      <c r="BG12" s="22" t="str">
        <f>'Cash Flow Entry'!D280</f>
        <v>Operating</v>
      </c>
      <c r="BH12" s="23">
        <f>'Cash Flow Tracking'!H280</f>
        <v>0</v>
      </c>
      <c r="BI12" s="24">
        <f>'Cash Flow Tracking'!I280</f>
        <v>-14000</v>
      </c>
      <c r="BK12" s="21">
        <f>'Cash Flow Entry'!C311</f>
        <v>45599</v>
      </c>
      <c r="BL12" s="22" t="str">
        <f>IF(ISBLANK(BM12),"N/A",BM12)</f>
        <v>N/A</v>
      </c>
      <c r="BM12" s="22" t="str">
        <f>IF(ISBLANK(BN12),"N/A",BN12)</f>
        <v>N/A</v>
      </c>
      <c r="BN12" s="23"/>
      <c r="BO12" s="24"/>
      <c r="BQ12" s="21">
        <f>'Cash Flow Entry'!C341</f>
        <v>45629</v>
      </c>
      <c r="BR12" s="22" t="str">
        <f>'Cash Flow Entry'!H341</f>
        <v>Outflow</v>
      </c>
      <c r="BS12" s="22" t="str">
        <f>'Cash Flow Entry'!D341</f>
        <v>Operating</v>
      </c>
      <c r="BT12" s="23">
        <f>'Cash Flow Tracking'!H341</f>
        <v>0</v>
      </c>
      <c r="BU12" s="24">
        <f>'Cash Flow Tracking'!I341</f>
        <v>-15000</v>
      </c>
    </row>
    <row r="13" spans="2:73" x14ac:dyDescent="0.3">
      <c r="C13" s="21">
        <f>'Cash Flow Entry'!C7</f>
        <v>45295</v>
      </c>
      <c r="D13" s="22" t="str">
        <f>'Cash Flow Entry'!H7</f>
        <v>Outflow</v>
      </c>
      <c r="E13" s="22" t="str">
        <f>'Cash Flow Entry'!D7</f>
        <v>Operating</v>
      </c>
      <c r="F13" s="23">
        <f>IF(D13="Inflow",'Cash Flow Entry'!F7,0)</f>
        <v>0</v>
      </c>
      <c r="G13" s="24">
        <f>IF(D13="Outflow",-'Cash Flow Entry'!F7,0)</f>
        <v>-2250</v>
      </c>
      <c r="I13" s="21">
        <f>'Cash Flow Entry'!C38</f>
        <v>45326</v>
      </c>
      <c r="J13" s="22" t="str">
        <f>'Cash Flow Entry'!H38</f>
        <v>Inflow</v>
      </c>
      <c r="K13" s="22" t="str">
        <f>'Cash Flow Entry'!D38</f>
        <v>Financing</v>
      </c>
      <c r="L13" s="23">
        <f>'Cash Flow Tracking'!H38</f>
        <v>72000</v>
      </c>
      <c r="M13" s="24">
        <f>'Cash Flow Tracking'!I38</f>
        <v>0</v>
      </c>
      <c r="O13" s="21">
        <f>'Cash Flow Entry'!C67</f>
        <v>45355</v>
      </c>
      <c r="P13" s="22" t="str">
        <f>'Cash Flow Entry'!H67</f>
        <v>Outflow</v>
      </c>
      <c r="Q13" s="22" t="str">
        <f>'Cash Flow Entry'!D67</f>
        <v>Financing</v>
      </c>
      <c r="R13" s="23">
        <f>'Cash Flow Tracking'!H67</f>
        <v>0</v>
      </c>
      <c r="S13" s="24">
        <f>'Cash Flow Tracking'!I67</f>
        <v>-12000</v>
      </c>
      <c r="U13" s="21">
        <f>'Cash Flow Entry'!C98</f>
        <v>45386</v>
      </c>
      <c r="V13" s="22" t="str">
        <f>'Cash Flow Entry'!H98</f>
        <v>Outflow</v>
      </c>
      <c r="W13" s="22" t="str">
        <f>'Cash Flow Entry'!D98</f>
        <v>Financing</v>
      </c>
      <c r="X13" s="23">
        <f>'Cash Flow Tracking'!H98</f>
        <v>0</v>
      </c>
      <c r="Y13" s="24">
        <f>'Cash Flow Tracking'!I98</f>
        <v>-8000</v>
      </c>
      <c r="AA13" s="21">
        <f>'Cash Flow Entry'!C128</f>
        <v>45416</v>
      </c>
      <c r="AB13" s="22" t="str">
        <f>'Cash Flow Entry'!H128</f>
        <v>Outflow</v>
      </c>
      <c r="AC13" s="22" t="str">
        <f>'Cash Flow Entry'!D128</f>
        <v>Financing</v>
      </c>
      <c r="AD13" s="23">
        <f>'Cash Flow Tracking'!H128</f>
        <v>0</v>
      </c>
      <c r="AE13" s="24">
        <f>'Cash Flow Tracking'!I128</f>
        <v>-12000</v>
      </c>
      <c r="AF13" s="25"/>
      <c r="AG13" s="21">
        <f>'Cash Flow Entry'!C159</f>
        <v>45447</v>
      </c>
      <c r="AH13" s="22" t="str">
        <f>'Cash Flow Entry'!H159</f>
        <v>Outflow</v>
      </c>
      <c r="AI13" s="22" t="str">
        <f>'Cash Flow Entry'!D159</f>
        <v>Financing</v>
      </c>
      <c r="AJ13" s="23">
        <f>'Cash Flow Tracking'!H159</f>
        <v>0</v>
      </c>
      <c r="AK13" s="24">
        <f>'Cash Flow Tracking'!I159</f>
        <v>-20000</v>
      </c>
      <c r="AM13" s="21">
        <f>'Cash Flow Entry'!C189</f>
        <v>45477</v>
      </c>
      <c r="AN13" s="22" t="str">
        <f>'Cash Flow Entry'!H189</f>
        <v>Outflow</v>
      </c>
      <c r="AO13" s="22" t="str">
        <f>'Cash Flow Entry'!D189</f>
        <v>Operating</v>
      </c>
      <c r="AP13" s="23">
        <f>'Cash Flow Tracking'!H189</f>
        <v>0</v>
      </c>
      <c r="AQ13" s="24">
        <f>'Cash Flow Tracking'!I189</f>
        <v>-2000</v>
      </c>
      <c r="AS13" s="21">
        <f>'Cash Flow Entry'!C220</f>
        <v>45508</v>
      </c>
      <c r="AT13" s="22" t="str">
        <f>'Cash Flow Entry'!H220</f>
        <v>Outflow</v>
      </c>
      <c r="AU13" s="22" t="str">
        <f>'Cash Flow Entry'!D220</f>
        <v>Operating</v>
      </c>
      <c r="AV13" s="23">
        <f>'Cash Flow Tracking'!H220</f>
        <v>0</v>
      </c>
      <c r="AW13" s="24">
        <f>'Cash Flow Tracking'!I220</f>
        <v>-14000</v>
      </c>
      <c r="AY13" s="21">
        <f>'Cash Flow Entry'!C251</f>
        <v>45539</v>
      </c>
      <c r="AZ13" s="22" t="str">
        <f>'Cash Flow Entry'!H251</f>
        <v>Outflow</v>
      </c>
      <c r="BA13" s="22" t="str">
        <f>'Cash Flow Entry'!D251</f>
        <v>Financing</v>
      </c>
      <c r="BB13" s="23">
        <f>'Cash Flow Tracking'!H251</f>
        <v>0</v>
      </c>
      <c r="BC13" s="24">
        <f>'Cash Flow Tracking'!I251</f>
        <v>-14000</v>
      </c>
      <c r="BE13" s="21">
        <f>'Cash Flow Entry'!C281</f>
        <v>45569</v>
      </c>
      <c r="BF13" s="22" t="str">
        <f>IF(ISBLANK(BG13),"N/A",BG13)</f>
        <v>N/A</v>
      </c>
      <c r="BG13" s="22" t="str">
        <f>IF(ISBLANK(BH13),"N/A",BH13)</f>
        <v>N/A</v>
      </c>
      <c r="BH13" s="23"/>
      <c r="BI13" s="24"/>
      <c r="BK13" s="21">
        <f>'Cash Flow Entry'!C312</f>
        <v>45600</v>
      </c>
      <c r="BL13" s="22" t="str">
        <f>'Cash Flow Entry'!H312</f>
        <v>Outflow</v>
      </c>
      <c r="BM13" s="22" t="str">
        <f>'Cash Flow Entry'!D312</f>
        <v>Operating</v>
      </c>
      <c r="BN13" s="23">
        <f>'Cash Flow Tracking'!H312</f>
        <v>0</v>
      </c>
      <c r="BO13" s="24">
        <f>'Cash Flow Tracking'!I312</f>
        <v>-18000</v>
      </c>
      <c r="BQ13" s="21">
        <f>'Cash Flow Entry'!C342</f>
        <v>45630</v>
      </c>
      <c r="BR13" s="22" t="str">
        <f>IF(ISBLANK(BS13),"N/A",BS13)</f>
        <v>N/A</v>
      </c>
      <c r="BS13" s="22" t="str">
        <f>IF(ISBLANK(BT13),"N/A",BT13)</f>
        <v>N/A</v>
      </c>
      <c r="BT13" s="23"/>
      <c r="BU13" s="24"/>
    </row>
    <row r="14" spans="2:73" x14ac:dyDescent="0.3">
      <c r="C14" s="21">
        <f>'Cash Flow Entry'!C8</f>
        <v>45296</v>
      </c>
      <c r="D14" s="22" t="str">
        <f>'Cash Flow Entry'!H8</f>
        <v>Outflow</v>
      </c>
      <c r="E14" s="22" t="str">
        <f>'Cash Flow Entry'!D8</f>
        <v>Operating</v>
      </c>
      <c r="F14" s="23">
        <f>IF(D14="Inflow",'Cash Flow Entry'!F8,0)</f>
        <v>0</v>
      </c>
      <c r="G14" s="24">
        <f>IF(D14="Outflow",-'Cash Flow Entry'!F8,0)</f>
        <v>-1455</v>
      </c>
      <c r="I14" s="21">
        <f>'Cash Flow Entry'!C39</f>
        <v>45327</v>
      </c>
      <c r="J14" s="22" t="str">
        <f>'Cash Flow Entry'!H39</f>
        <v>Outflow</v>
      </c>
      <c r="K14" s="22" t="str">
        <f>'Cash Flow Entry'!D39</f>
        <v>Operating</v>
      </c>
      <c r="L14" s="23">
        <f>'Cash Flow Tracking'!H39</f>
        <v>0</v>
      </c>
      <c r="M14" s="24">
        <f>'Cash Flow Tracking'!I39</f>
        <v>-36000</v>
      </c>
      <c r="O14" s="21">
        <f>'Cash Flow Entry'!C68</f>
        <v>45356</v>
      </c>
      <c r="P14" s="22" t="str">
        <f t="shared" ref="P14:Q14" si="11">IF(ISBLANK(Q14),"N/A",Q14)</f>
        <v>N/A</v>
      </c>
      <c r="Q14" s="22" t="str">
        <f t="shared" si="11"/>
        <v>N/A</v>
      </c>
      <c r="R14" s="23"/>
      <c r="S14" s="24"/>
      <c r="U14" s="21">
        <f>'Cash Flow Entry'!C99</f>
        <v>45387</v>
      </c>
      <c r="V14" s="22" t="str">
        <f>IF(ISBLANK(W14),"N/A",W14)</f>
        <v>N/A</v>
      </c>
      <c r="W14" s="22" t="str">
        <f>IF(ISBLANK(X14),"N/A",X14)</f>
        <v>N/A</v>
      </c>
      <c r="X14" s="23"/>
      <c r="Y14" s="24"/>
      <c r="AA14" s="21">
        <f>'Cash Flow Entry'!C129</f>
        <v>45417</v>
      </c>
      <c r="AB14" s="22" t="str">
        <f t="shared" ref="AB14:AC14" si="12">IF(ISBLANK(AC14),"N/A",AC14)</f>
        <v>N/A</v>
      </c>
      <c r="AC14" s="22" t="str">
        <f t="shared" si="12"/>
        <v>N/A</v>
      </c>
      <c r="AD14" s="23"/>
      <c r="AE14" s="24"/>
      <c r="AF14" s="25"/>
      <c r="AG14" s="21">
        <f>'Cash Flow Entry'!C160</f>
        <v>45448</v>
      </c>
      <c r="AH14" s="22" t="str">
        <f>IF(ISBLANK(AI14),"N/A",AI14)</f>
        <v>N/A</v>
      </c>
      <c r="AI14" s="22" t="str">
        <f>IF(ISBLANK(AJ14),"N/A",AJ14)</f>
        <v>N/A</v>
      </c>
      <c r="AJ14" s="23"/>
      <c r="AK14" s="24"/>
      <c r="AM14" s="21">
        <f>'Cash Flow Entry'!C190</f>
        <v>45478</v>
      </c>
      <c r="AN14" s="22" t="str">
        <f>IF(ISBLANK(AO14),"N/A",AO14)</f>
        <v>N/A</v>
      </c>
      <c r="AO14" s="22" t="str">
        <f>IF(ISBLANK(AP14),"N/A",AP14)</f>
        <v>N/A</v>
      </c>
      <c r="AP14" s="23"/>
      <c r="AQ14" s="24"/>
      <c r="AS14" s="21">
        <f>'Cash Flow Entry'!C221</f>
        <v>45509</v>
      </c>
      <c r="AT14" s="22" t="str">
        <f>IF(ISBLANK(AU14),"N/A",AU14)</f>
        <v>N/A</v>
      </c>
      <c r="AU14" s="22" t="str">
        <f>IF(ISBLANK(AV14),"N/A",AV14)</f>
        <v>N/A</v>
      </c>
      <c r="AV14" s="23"/>
      <c r="AW14" s="24"/>
      <c r="AY14" s="21">
        <f>'Cash Flow Entry'!C252</f>
        <v>45540</v>
      </c>
      <c r="AZ14" s="22" t="str">
        <f>IF(ISBLANK(BA14),"N/A",BA14)</f>
        <v>N/A</v>
      </c>
      <c r="BA14" s="22" t="str">
        <f>IF(ISBLANK(BB14),"N/A",BB14)</f>
        <v>N/A</v>
      </c>
      <c r="BB14" s="23"/>
      <c r="BC14" s="24"/>
      <c r="BE14" s="21">
        <f>'Cash Flow Entry'!C282</f>
        <v>45570</v>
      </c>
      <c r="BF14" s="22" t="str">
        <f>'Cash Flow Entry'!H282</f>
        <v>Outflow</v>
      </c>
      <c r="BG14" s="22" t="str">
        <f>'Cash Flow Entry'!D282</f>
        <v>Operating</v>
      </c>
      <c r="BH14" s="23">
        <f>'Cash Flow Tracking'!H282</f>
        <v>0</v>
      </c>
      <c r="BI14" s="24">
        <f>'Cash Flow Tracking'!I282</f>
        <v>-15000</v>
      </c>
      <c r="BK14" s="21">
        <f>'Cash Flow Entry'!C313</f>
        <v>45601</v>
      </c>
      <c r="BL14" s="22" t="str">
        <f>IF(ISBLANK(BM14),"N/A",BM14)</f>
        <v>N/A</v>
      </c>
      <c r="BM14" s="22" t="str">
        <f>IF(ISBLANK(BN14),"N/A",BN14)</f>
        <v>N/A</v>
      </c>
      <c r="BN14" s="23"/>
      <c r="BO14" s="24"/>
      <c r="BQ14" s="21">
        <f>'Cash Flow Entry'!C343</f>
        <v>45631</v>
      </c>
      <c r="BR14" s="22" t="str">
        <f>'Cash Flow Entry'!H343</f>
        <v>Inflow</v>
      </c>
      <c r="BS14" s="22" t="str">
        <f>'Cash Flow Entry'!D343</f>
        <v>Operating</v>
      </c>
      <c r="BT14" s="23">
        <f>'Cash Flow Tracking'!H343</f>
        <v>25000</v>
      </c>
      <c r="BU14" s="24">
        <f>'Cash Flow Tracking'!I343</f>
        <v>0</v>
      </c>
    </row>
    <row r="15" spans="2:73" x14ac:dyDescent="0.3">
      <c r="C15" s="21">
        <f>'Cash Flow Entry'!C9</f>
        <v>45297</v>
      </c>
      <c r="D15" s="22" t="str">
        <f>'Cash Flow Entry'!H9</f>
        <v>Inflow</v>
      </c>
      <c r="E15" s="22" t="str">
        <f>'Cash Flow Entry'!D9</f>
        <v>Financing</v>
      </c>
      <c r="F15" s="23">
        <f>IF(D15="Inflow",'Cash Flow Entry'!F9,0)</f>
        <v>20000</v>
      </c>
      <c r="G15" s="24">
        <f>IF(D15="Outflow",-'Cash Flow Entry'!F9,0)</f>
        <v>0</v>
      </c>
      <c r="I15" s="21">
        <f>'Cash Flow Entry'!C40</f>
        <v>45328</v>
      </c>
      <c r="J15" s="22" t="str">
        <f>'Cash Flow Entry'!H40</f>
        <v>Outflow</v>
      </c>
      <c r="K15" s="22" t="str">
        <f>'Cash Flow Entry'!D40</f>
        <v>Operating</v>
      </c>
      <c r="L15" s="23">
        <f>'Cash Flow Tracking'!H40</f>
        <v>0</v>
      </c>
      <c r="M15" s="24">
        <f>'Cash Flow Tracking'!I40</f>
        <v>-1480</v>
      </c>
      <c r="O15" s="21">
        <f>'Cash Flow Entry'!C69</f>
        <v>45357</v>
      </c>
      <c r="P15" s="22" t="str">
        <f t="shared" ref="P15:Q15" si="13">IF(ISBLANK(Q15),"N/A",Q15)</f>
        <v>N/A</v>
      </c>
      <c r="Q15" s="22" t="str">
        <f t="shared" si="13"/>
        <v>N/A</v>
      </c>
      <c r="R15" s="23"/>
      <c r="S15" s="24"/>
      <c r="U15" s="21">
        <f>'Cash Flow Entry'!C100</f>
        <v>45388</v>
      </c>
      <c r="V15" s="22" t="str">
        <f>'Cash Flow Entry'!H100</f>
        <v>Outflow</v>
      </c>
      <c r="W15" s="22" t="str">
        <f>'Cash Flow Entry'!D100</f>
        <v>Investing</v>
      </c>
      <c r="X15" s="23">
        <f>'Cash Flow Tracking'!H100</f>
        <v>0</v>
      </c>
      <c r="Y15" s="24">
        <f>'Cash Flow Tracking'!I100</f>
        <v>-25000</v>
      </c>
      <c r="AA15" s="21">
        <f>'Cash Flow Entry'!C130</f>
        <v>45418</v>
      </c>
      <c r="AB15" s="22" t="str">
        <f>'Cash Flow Entry'!H130</f>
        <v>Inflow</v>
      </c>
      <c r="AC15" s="22" t="str">
        <f>'Cash Flow Entry'!D130</f>
        <v>Financing</v>
      </c>
      <c r="AD15" s="23">
        <f>'Cash Flow Tracking'!H130</f>
        <v>25000</v>
      </c>
      <c r="AE15" s="24">
        <f>'Cash Flow Tracking'!I130</f>
        <v>0</v>
      </c>
      <c r="AF15" s="25"/>
      <c r="AG15" s="21">
        <f>'Cash Flow Entry'!C161</f>
        <v>45449</v>
      </c>
      <c r="AH15" s="22" t="str">
        <f>'Cash Flow Entry'!H161</f>
        <v>Outflow</v>
      </c>
      <c r="AI15" s="22" t="str">
        <f>'Cash Flow Entry'!D161</f>
        <v>Operating</v>
      </c>
      <c r="AJ15" s="23">
        <f>'Cash Flow Tracking'!H161</f>
        <v>0</v>
      </c>
      <c r="AK15" s="24">
        <f>'Cash Flow Tracking'!I161</f>
        <v>-25000</v>
      </c>
      <c r="AM15" s="21">
        <f>'Cash Flow Entry'!C191</f>
        <v>45479</v>
      </c>
      <c r="AN15" s="22" t="str">
        <f>'Cash Flow Entry'!H191</f>
        <v>Inflow</v>
      </c>
      <c r="AO15" s="22" t="str">
        <f>'Cash Flow Entry'!D191</f>
        <v>Operating</v>
      </c>
      <c r="AP15" s="23">
        <f>'Cash Flow Tracking'!H191</f>
        <v>1500</v>
      </c>
      <c r="AQ15" s="24">
        <f>'Cash Flow Tracking'!I191</f>
        <v>0</v>
      </c>
      <c r="AS15" s="21">
        <f>'Cash Flow Entry'!C222</f>
        <v>45510</v>
      </c>
      <c r="AT15" s="22" t="str">
        <f>'Cash Flow Entry'!H222</f>
        <v>Outflow</v>
      </c>
      <c r="AU15" s="22" t="str">
        <f>'Cash Flow Entry'!D222</f>
        <v>Operating</v>
      </c>
      <c r="AV15" s="23">
        <f>'Cash Flow Tracking'!H222</f>
        <v>0</v>
      </c>
      <c r="AW15" s="24">
        <f>'Cash Flow Tracking'!I222</f>
        <v>-45000</v>
      </c>
      <c r="AY15" s="21">
        <f>'Cash Flow Entry'!C253</f>
        <v>45541</v>
      </c>
      <c r="AZ15" s="22" t="str">
        <f>'Cash Flow Entry'!H253</f>
        <v>Outflow</v>
      </c>
      <c r="BA15" s="22" t="str">
        <f>'Cash Flow Entry'!D253</f>
        <v>Operating</v>
      </c>
      <c r="BB15" s="23">
        <f>'Cash Flow Tracking'!H253</f>
        <v>0</v>
      </c>
      <c r="BC15" s="24">
        <f>'Cash Flow Tracking'!I253</f>
        <v>-18000</v>
      </c>
      <c r="BE15" s="21">
        <f>'Cash Flow Entry'!C283</f>
        <v>45571</v>
      </c>
      <c r="BF15" s="22" t="str">
        <f>IF(ISBLANK(BG15),"N/A",BG15)</f>
        <v>N/A</v>
      </c>
      <c r="BG15" s="22" t="str">
        <f>IF(ISBLANK(BH15),"N/A",BH15)</f>
        <v>N/A</v>
      </c>
      <c r="BH15" s="23"/>
      <c r="BI15" s="24"/>
      <c r="BK15" s="21">
        <f>'Cash Flow Entry'!C314</f>
        <v>45602</v>
      </c>
      <c r="BL15" s="22" t="str">
        <f>'Cash Flow Entry'!H314</f>
        <v>Inflow</v>
      </c>
      <c r="BM15" s="22" t="str">
        <f>'Cash Flow Entry'!D314</f>
        <v>Operating</v>
      </c>
      <c r="BN15" s="23">
        <f>'Cash Flow Tracking'!H314</f>
        <v>15000</v>
      </c>
      <c r="BO15" s="24">
        <f>'Cash Flow Tracking'!I314</f>
        <v>0</v>
      </c>
      <c r="BQ15" s="21">
        <f>'Cash Flow Entry'!C344</f>
        <v>45632</v>
      </c>
      <c r="BR15" s="22" t="str">
        <f>'Cash Flow Entry'!H344</f>
        <v>Outflow</v>
      </c>
      <c r="BS15" s="22" t="str">
        <f>'Cash Flow Entry'!D344</f>
        <v>Financing</v>
      </c>
      <c r="BT15" s="23">
        <f>'Cash Flow Tracking'!H344</f>
        <v>0</v>
      </c>
      <c r="BU15" s="24">
        <f>'Cash Flow Tracking'!I344</f>
        <v>-650</v>
      </c>
    </row>
    <row r="16" spans="2:73" x14ac:dyDescent="0.3">
      <c r="C16" s="21">
        <f>'Cash Flow Entry'!C10</f>
        <v>45298</v>
      </c>
      <c r="D16" s="22" t="str">
        <f>'Cash Flow Entry'!H10</f>
        <v>Inflow</v>
      </c>
      <c r="E16" s="22" t="str">
        <f>'Cash Flow Entry'!D10</f>
        <v>Operating</v>
      </c>
      <c r="F16" s="23">
        <f>IF(D16="Inflow",'Cash Flow Entry'!F10,0)</f>
        <v>1100</v>
      </c>
      <c r="G16" s="24">
        <f>IF(D16="Outflow",-'Cash Flow Entry'!F10,0)</f>
        <v>0</v>
      </c>
      <c r="I16" s="21">
        <f>'Cash Flow Entry'!C41</f>
        <v>45329</v>
      </c>
      <c r="J16" s="22" t="str">
        <f>'Cash Flow Entry'!H41</f>
        <v>Outflow</v>
      </c>
      <c r="K16" s="22" t="str">
        <f>'Cash Flow Entry'!D41</f>
        <v>Financing</v>
      </c>
      <c r="L16" s="23">
        <f>'Cash Flow Tracking'!H41</f>
        <v>0</v>
      </c>
      <c r="M16" s="24">
        <f>'Cash Flow Tracking'!I41</f>
        <v>-900</v>
      </c>
      <c r="O16" s="21">
        <f>'Cash Flow Entry'!C70</f>
        <v>45358</v>
      </c>
      <c r="P16" s="22" t="str">
        <f t="shared" ref="P16:Q16" si="14">IF(ISBLANK(Q16),"N/A",Q16)</f>
        <v>N/A</v>
      </c>
      <c r="Q16" s="22" t="str">
        <f t="shared" si="14"/>
        <v>N/A</v>
      </c>
      <c r="R16" s="23"/>
      <c r="S16" s="24"/>
      <c r="U16" s="21">
        <f>'Cash Flow Entry'!C101</f>
        <v>45389</v>
      </c>
      <c r="V16" s="22" t="str">
        <f>'Cash Flow Entry'!H101</f>
        <v>Inflow</v>
      </c>
      <c r="W16" s="22" t="str">
        <f>'Cash Flow Entry'!D101</f>
        <v>Financing</v>
      </c>
      <c r="X16" s="23">
        <f>'Cash Flow Tracking'!H101</f>
        <v>25000</v>
      </c>
      <c r="Y16" s="24">
        <f>'Cash Flow Tracking'!I101</f>
        <v>0</v>
      </c>
      <c r="AA16" s="21">
        <f>'Cash Flow Entry'!C131</f>
        <v>45419</v>
      </c>
      <c r="AB16" s="22" t="str">
        <f>'Cash Flow Entry'!H131</f>
        <v>Inflow</v>
      </c>
      <c r="AC16" s="22" t="str">
        <f>'Cash Flow Entry'!D131</f>
        <v>Operating</v>
      </c>
      <c r="AD16" s="23">
        <f>'Cash Flow Tracking'!H131</f>
        <v>4000</v>
      </c>
      <c r="AE16" s="24">
        <f>'Cash Flow Tracking'!I131</f>
        <v>0</v>
      </c>
      <c r="AF16" s="25"/>
      <c r="AG16" s="21">
        <f>'Cash Flow Entry'!C162</f>
        <v>45450</v>
      </c>
      <c r="AH16" s="22" t="str">
        <f>'Cash Flow Entry'!H162</f>
        <v>Inflow</v>
      </c>
      <c r="AI16" s="22" t="str">
        <f>'Cash Flow Entry'!D162</f>
        <v>Investing</v>
      </c>
      <c r="AJ16" s="23">
        <f>'Cash Flow Tracking'!H162</f>
        <v>4000</v>
      </c>
      <c r="AK16" s="24">
        <f>'Cash Flow Tracking'!I162</f>
        <v>0</v>
      </c>
      <c r="AM16" s="21">
        <f>'Cash Flow Entry'!C192</f>
        <v>45480</v>
      </c>
      <c r="AN16" s="22" t="str">
        <f>IF(ISBLANK(AO16),"N/A",AO16)</f>
        <v>N/A</v>
      </c>
      <c r="AO16" s="22" t="str">
        <f>IF(ISBLANK(AP16),"N/A",AP16)</f>
        <v>N/A</v>
      </c>
      <c r="AP16" s="23"/>
      <c r="AQ16" s="24"/>
      <c r="AS16" s="21">
        <f>'Cash Flow Entry'!C223</f>
        <v>45511</v>
      </c>
      <c r="AT16" s="22" t="str">
        <f>IF(ISBLANK(AU16),"N/A",AU16)</f>
        <v>N/A</v>
      </c>
      <c r="AU16" s="22" t="str">
        <f>IF(ISBLANK(AV16),"N/A",AV16)</f>
        <v>N/A</v>
      </c>
      <c r="AV16" s="23"/>
      <c r="AW16" s="24"/>
      <c r="AY16" s="21">
        <f>'Cash Flow Entry'!C254</f>
        <v>45542</v>
      </c>
      <c r="AZ16" s="22" t="str">
        <f>'Cash Flow Entry'!H254</f>
        <v>Inflow</v>
      </c>
      <c r="BA16" s="22" t="str">
        <f>'Cash Flow Entry'!D254</f>
        <v>Investing</v>
      </c>
      <c r="BB16" s="23">
        <f>'Cash Flow Tracking'!H254</f>
        <v>145</v>
      </c>
      <c r="BC16" s="24">
        <f>'Cash Flow Tracking'!I254</f>
        <v>0</v>
      </c>
      <c r="BE16" s="21">
        <f>'Cash Flow Entry'!C284</f>
        <v>45572</v>
      </c>
      <c r="BF16" s="22" t="str">
        <f>'Cash Flow Entry'!H284</f>
        <v>Outflow</v>
      </c>
      <c r="BG16" s="22" t="str">
        <f>'Cash Flow Entry'!D284</f>
        <v>Operating</v>
      </c>
      <c r="BH16" s="23">
        <f>'Cash Flow Tracking'!H284</f>
        <v>0</v>
      </c>
      <c r="BI16" s="24">
        <f>'Cash Flow Tracking'!I284</f>
        <v>-38000</v>
      </c>
      <c r="BK16" s="21">
        <f>'Cash Flow Entry'!C315</f>
        <v>45603</v>
      </c>
      <c r="BL16" s="22" t="str">
        <f>'Cash Flow Entry'!H315</f>
        <v>Inflow</v>
      </c>
      <c r="BM16" s="22" t="str">
        <f>'Cash Flow Entry'!D315</f>
        <v>Operating</v>
      </c>
      <c r="BN16" s="23">
        <f>'Cash Flow Tracking'!H315</f>
        <v>15000</v>
      </c>
      <c r="BO16" s="24">
        <f>'Cash Flow Tracking'!I315</f>
        <v>0</v>
      </c>
      <c r="BQ16" s="21">
        <f>'Cash Flow Entry'!C345</f>
        <v>45633</v>
      </c>
      <c r="BR16" s="22" t="str">
        <f>IF(ISBLANK(BS16),"N/A",BS16)</f>
        <v>N/A</v>
      </c>
      <c r="BS16" s="22" t="str">
        <f>IF(ISBLANK(BT16),"N/A",BT16)</f>
        <v>N/A</v>
      </c>
      <c r="BT16" s="23"/>
      <c r="BU16" s="24"/>
    </row>
    <row r="17" spans="3:73" x14ac:dyDescent="0.3">
      <c r="C17" s="21">
        <f>'Cash Flow Entry'!C11</f>
        <v>45299</v>
      </c>
      <c r="D17" s="22" t="str">
        <f>'Cash Flow Entry'!H11</f>
        <v>Inflow</v>
      </c>
      <c r="E17" s="22" t="str">
        <f>'Cash Flow Entry'!D11</f>
        <v>Operating</v>
      </c>
      <c r="F17" s="23">
        <f>IF(D17="Inflow",'Cash Flow Entry'!F11,0)</f>
        <v>12500</v>
      </c>
      <c r="G17" s="24">
        <f>IF(D17="Outflow",-'Cash Flow Entry'!F11,0)</f>
        <v>0</v>
      </c>
      <c r="I17" s="21">
        <f>'Cash Flow Entry'!C42</f>
        <v>45330</v>
      </c>
      <c r="J17" s="22" t="str">
        <f>'Cash Flow Entry'!H42</f>
        <v>Outflow</v>
      </c>
      <c r="K17" s="22" t="str">
        <f>'Cash Flow Entry'!D42</f>
        <v>Investing</v>
      </c>
      <c r="L17" s="23">
        <f>'Cash Flow Tracking'!H42</f>
        <v>0</v>
      </c>
      <c r="M17" s="24">
        <f>'Cash Flow Tracking'!I42</f>
        <v>-12000</v>
      </c>
      <c r="O17" s="21">
        <f>'Cash Flow Entry'!C71</f>
        <v>45359</v>
      </c>
      <c r="P17" s="22" t="str">
        <f>'Cash Flow Entry'!H71</f>
        <v>Inflow</v>
      </c>
      <c r="Q17" s="22" t="str">
        <f>'Cash Flow Entry'!D71</f>
        <v>Operating</v>
      </c>
      <c r="R17" s="23">
        <f>'Cash Flow Tracking'!H71</f>
        <v>28000</v>
      </c>
      <c r="S17" s="24">
        <f>'Cash Flow Tracking'!I71</f>
        <v>0</v>
      </c>
      <c r="U17" s="21">
        <f>'Cash Flow Entry'!C102</f>
        <v>45390</v>
      </c>
      <c r="V17" s="22" t="str">
        <f t="shared" ref="V17:W17" si="15">IF(ISBLANK(W17),"N/A",W17)</f>
        <v>N/A</v>
      </c>
      <c r="W17" s="22" t="str">
        <f t="shared" si="15"/>
        <v>N/A</v>
      </c>
      <c r="X17" s="23"/>
      <c r="Y17" s="24"/>
      <c r="AA17" s="21">
        <f>'Cash Flow Entry'!C132</f>
        <v>45420</v>
      </c>
      <c r="AB17" s="22" t="str">
        <f t="shared" ref="AB17" si="16">IF(ISBLANK(AC17),"N/A",AC17)</f>
        <v>N/A</v>
      </c>
      <c r="AC17" s="22" t="str">
        <f>IF(ISBLANK(AD17),"N/A",AD17)</f>
        <v>N/A</v>
      </c>
      <c r="AD17" s="23"/>
      <c r="AE17" s="24"/>
      <c r="AF17" s="25"/>
      <c r="AG17" s="21">
        <f>'Cash Flow Entry'!C163</f>
        <v>45451</v>
      </c>
      <c r="AH17" s="22" t="str">
        <f>IF(ISBLANK(AI17),"N/A",AI17)</f>
        <v>N/A</v>
      </c>
      <c r="AI17" s="22" t="str">
        <f>IF(ISBLANK(AJ17),"N/A",AJ17)</f>
        <v>N/A</v>
      </c>
      <c r="AJ17" s="23"/>
      <c r="AK17" s="24"/>
      <c r="AM17" s="21">
        <f>'Cash Flow Entry'!C193</f>
        <v>45481</v>
      </c>
      <c r="AN17" s="22" t="str">
        <f>'Cash Flow Entry'!H193</f>
        <v>Outflow</v>
      </c>
      <c r="AO17" s="22" t="str">
        <f>'Cash Flow Entry'!D193</f>
        <v>Operating</v>
      </c>
      <c r="AP17" s="23">
        <f>'Cash Flow Tracking'!H193</f>
        <v>0</v>
      </c>
      <c r="AQ17" s="24">
        <f>'Cash Flow Tracking'!I193</f>
        <v>-18000</v>
      </c>
      <c r="AS17" s="21">
        <f>'Cash Flow Entry'!C224</f>
        <v>45512</v>
      </c>
      <c r="AT17" s="22" t="str">
        <f>'Cash Flow Entry'!H224</f>
        <v>Outflow</v>
      </c>
      <c r="AU17" s="22" t="str">
        <f>'Cash Flow Entry'!D224</f>
        <v>Financing</v>
      </c>
      <c r="AV17" s="23">
        <f>'Cash Flow Tracking'!H224</f>
        <v>0</v>
      </c>
      <c r="AW17" s="24">
        <f>'Cash Flow Tracking'!I224</f>
        <v>-15000</v>
      </c>
      <c r="AY17" s="21">
        <f>'Cash Flow Entry'!C255</f>
        <v>45543</v>
      </c>
      <c r="AZ17" s="22" t="str">
        <f>'Cash Flow Entry'!H255</f>
        <v>Outflow</v>
      </c>
      <c r="BA17" s="22" t="str">
        <f>'Cash Flow Entry'!D255</f>
        <v>Operating</v>
      </c>
      <c r="BB17" s="23">
        <f>'Cash Flow Tracking'!H255</f>
        <v>0</v>
      </c>
      <c r="BC17" s="24">
        <f>'Cash Flow Tracking'!I255</f>
        <v>-2110</v>
      </c>
      <c r="BE17" s="21">
        <f>'Cash Flow Entry'!C285</f>
        <v>45573</v>
      </c>
      <c r="BF17" s="22" t="str">
        <f>IF(ISBLANK(BG17),"N/A",BG17)</f>
        <v>N/A</v>
      </c>
      <c r="BG17" s="22" t="str">
        <f>IF(ISBLANK(BH17),"N/A",BH17)</f>
        <v>N/A</v>
      </c>
      <c r="BH17" s="23"/>
      <c r="BI17" s="24"/>
      <c r="BK17" s="21">
        <f>'Cash Flow Entry'!C316</f>
        <v>45604</v>
      </c>
      <c r="BL17" s="22" t="str">
        <f>IF(ISBLANK(BM17),"N/A",BM17)</f>
        <v>N/A</v>
      </c>
      <c r="BM17" s="22" t="str">
        <f>IF(ISBLANK(BN17),"N/A",BN17)</f>
        <v>N/A</v>
      </c>
      <c r="BN17" s="23"/>
      <c r="BO17" s="24"/>
      <c r="BQ17" s="21">
        <f>'Cash Flow Entry'!C346</f>
        <v>45634</v>
      </c>
      <c r="BR17" s="22" t="str">
        <f>'Cash Flow Entry'!H346</f>
        <v>Outflow</v>
      </c>
      <c r="BS17" s="22" t="str">
        <f>'Cash Flow Entry'!D346</f>
        <v>Operating</v>
      </c>
      <c r="BT17" s="23">
        <f>'Cash Flow Tracking'!H346</f>
        <v>0</v>
      </c>
      <c r="BU17" s="24">
        <f>'Cash Flow Tracking'!I346</f>
        <v>-45000</v>
      </c>
    </row>
    <row r="18" spans="3:73" x14ac:dyDescent="0.3">
      <c r="C18" s="21">
        <f>'Cash Flow Entry'!C12</f>
        <v>45300</v>
      </c>
      <c r="D18" s="22" t="str">
        <f>'Cash Flow Entry'!H12</f>
        <v>Outflow</v>
      </c>
      <c r="E18" s="22" t="str">
        <f>'Cash Flow Entry'!D12</f>
        <v>Operating</v>
      </c>
      <c r="F18" s="23">
        <f>IF(D18="Inflow",'Cash Flow Entry'!F12,0)</f>
        <v>0</v>
      </c>
      <c r="G18" s="24">
        <f>IF(D18="Outflow",-'Cash Flow Entry'!F12,0)</f>
        <v>-11000</v>
      </c>
      <c r="I18" s="21">
        <f>'Cash Flow Entry'!C43</f>
        <v>45331</v>
      </c>
      <c r="J18" s="22" t="str">
        <f>'Cash Flow Entry'!H43</f>
        <v>Outflow</v>
      </c>
      <c r="K18" s="22" t="str">
        <f>'Cash Flow Entry'!D43</f>
        <v>Operating</v>
      </c>
      <c r="L18" s="23">
        <f>'Cash Flow Tracking'!H43</f>
        <v>0</v>
      </c>
      <c r="M18" s="24">
        <f>'Cash Flow Tracking'!I43</f>
        <v>-4500</v>
      </c>
      <c r="O18" s="21">
        <f>'Cash Flow Entry'!C72</f>
        <v>45360</v>
      </c>
      <c r="P18" s="22" t="str">
        <f>'Cash Flow Entry'!H72</f>
        <v>Outflow</v>
      </c>
      <c r="Q18" s="22" t="str">
        <f>'Cash Flow Entry'!D72</f>
        <v>Operating</v>
      </c>
      <c r="R18" s="23">
        <f>'Cash Flow Tracking'!H72</f>
        <v>0</v>
      </c>
      <c r="S18" s="24">
        <f>'Cash Flow Tracking'!I72</f>
        <v>-12000</v>
      </c>
      <c r="U18" s="21">
        <f>'Cash Flow Entry'!C103</f>
        <v>45391</v>
      </c>
      <c r="V18" s="22" t="str">
        <f t="shared" ref="V18:W18" si="17">IF(ISBLANK(W18),"N/A",W18)</f>
        <v>N/A</v>
      </c>
      <c r="W18" s="22" t="str">
        <f t="shared" si="17"/>
        <v>N/A</v>
      </c>
      <c r="X18" s="23"/>
      <c r="Y18" s="24"/>
      <c r="AA18" s="21">
        <f>'Cash Flow Entry'!C133</f>
        <v>45421</v>
      </c>
      <c r="AB18" s="22" t="str">
        <f t="shared" ref="AB18:AC18" si="18">IF(ISBLANK(AC18),"N/A",AC18)</f>
        <v>N/A</v>
      </c>
      <c r="AC18" s="22" t="str">
        <f t="shared" si="18"/>
        <v>N/A</v>
      </c>
      <c r="AD18" s="23"/>
      <c r="AE18" s="24"/>
      <c r="AF18" s="25"/>
      <c r="AG18" s="21">
        <f>'Cash Flow Entry'!C164</f>
        <v>45452</v>
      </c>
      <c r="AH18" s="22" t="str">
        <f t="shared" ref="AH18:AI19" si="19">IF(ISBLANK(AI18),"N/A",AI18)</f>
        <v>N/A</v>
      </c>
      <c r="AI18" s="22" t="str">
        <f t="shared" si="19"/>
        <v>N/A</v>
      </c>
      <c r="AJ18" s="23"/>
      <c r="AK18" s="24"/>
      <c r="AM18" s="21">
        <f>'Cash Flow Entry'!C194</f>
        <v>45482</v>
      </c>
      <c r="AN18" s="22" t="str">
        <f>IF(ISBLANK(AO18),"N/A",AO18)</f>
        <v>N/A</v>
      </c>
      <c r="AO18" s="22" t="str">
        <f>IF(ISBLANK(AP18),"N/A",AP18)</f>
        <v>N/A</v>
      </c>
      <c r="AP18" s="23"/>
      <c r="AQ18" s="24"/>
      <c r="AS18" s="21">
        <f>'Cash Flow Entry'!C225</f>
        <v>45513</v>
      </c>
      <c r="AT18" s="22" t="str">
        <f>IF(ISBLANK(AU18),"N/A",AU18)</f>
        <v>N/A</v>
      </c>
      <c r="AU18" s="22" t="str">
        <f>IF(ISBLANK(AV18),"N/A",AV18)</f>
        <v>N/A</v>
      </c>
      <c r="AV18" s="23"/>
      <c r="AW18" s="24"/>
      <c r="AY18" s="21">
        <f>'Cash Flow Entry'!C256</f>
        <v>45544</v>
      </c>
      <c r="AZ18" s="22" t="str">
        <f>'Cash Flow Entry'!H256</f>
        <v>Outflow</v>
      </c>
      <c r="BA18" s="22" t="str">
        <f>'Cash Flow Entry'!D256</f>
        <v>Investing</v>
      </c>
      <c r="BB18" s="23">
        <f>'Cash Flow Tracking'!H256</f>
        <v>0</v>
      </c>
      <c r="BC18" s="24">
        <f>'Cash Flow Tracking'!I256</f>
        <v>-6000</v>
      </c>
      <c r="BE18" s="21">
        <f>'Cash Flow Entry'!C286</f>
        <v>45574</v>
      </c>
      <c r="BF18" s="22" t="str">
        <f>IF(ISBLANK(BG18),"N/A",BG18)</f>
        <v>N/A</v>
      </c>
      <c r="BG18" s="22" t="str">
        <f>IF(ISBLANK(BH18),"N/A",BH18)</f>
        <v>N/A</v>
      </c>
      <c r="BH18" s="23"/>
      <c r="BI18" s="24"/>
      <c r="BK18" s="21">
        <f>'Cash Flow Entry'!C317</f>
        <v>45605</v>
      </c>
      <c r="BL18" s="22" t="str">
        <f>'Cash Flow Entry'!H317</f>
        <v>Outflow</v>
      </c>
      <c r="BM18" s="22" t="str">
        <f>'Cash Flow Entry'!D317</f>
        <v>Financing</v>
      </c>
      <c r="BN18" s="23">
        <f>'Cash Flow Tracking'!H317</f>
        <v>0</v>
      </c>
      <c r="BO18" s="24">
        <f>'Cash Flow Tracking'!I317</f>
        <v>-8000</v>
      </c>
      <c r="BQ18" s="21">
        <f>'Cash Flow Entry'!C347</f>
        <v>45635</v>
      </c>
      <c r="BR18" s="22" t="str">
        <f>'Cash Flow Entry'!H347</f>
        <v>Outflow</v>
      </c>
      <c r="BS18" s="22" t="str">
        <f>'Cash Flow Entry'!D347</f>
        <v>Operating</v>
      </c>
      <c r="BT18" s="23">
        <f>'Cash Flow Tracking'!H347</f>
        <v>0</v>
      </c>
      <c r="BU18" s="24">
        <f>'Cash Flow Tracking'!I347</f>
        <v>-15000</v>
      </c>
    </row>
    <row r="19" spans="3:73" x14ac:dyDescent="0.3">
      <c r="C19" s="21">
        <f>'Cash Flow Entry'!C13</f>
        <v>45301</v>
      </c>
      <c r="D19" s="22" t="str">
        <f>'Cash Flow Entry'!H13</f>
        <v>Outflow</v>
      </c>
      <c r="E19" s="22" t="str">
        <f>'Cash Flow Entry'!D13</f>
        <v>Investing</v>
      </c>
      <c r="F19" s="23">
        <f>IF(D19="Inflow",'Cash Flow Entry'!F13,0)</f>
        <v>0</v>
      </c>
      <c r="G19" s="24">
        <f>IF(D19="Outflow",-'Cash Flow Entry'!F13,0)</f>
        <v>-15000</v>
      </c>
      <c r="I19" s="21">
        <f>'Cash Flow Entry'!C44</f>
        <v>45332</v>
      </c>
      <c r="J19" s="22" t="str">
        <f>'Cash Flow Entry'!H44</f>
        <v>Inflow</v>
      </c>
      <c r="K19" s="22" t="str">
        <f>'Cash Flow Entry'!D44</f>
        <v>Operating</v>
      </c>
      <c r="L19" s="23">
        <f>'Cash Flow Tracking'!H44</f>
        <v>45000</v>
      </c>
      <c r="M19" s="24">
        <f>'Cash Flow Tracking'!I44</f>
        <v>0</v>
      </c>
      <c r="O19" s="21">
        <f>'Cash Flow Entry'!C73</f>
        <v>45361</v>
      </c>
      <c r="P19" s="22" t="str">
        <f>'Cash Flow Entry'!H73</f>
        <v>Outflow</v>
      </c>
      <c r="Q19" s="22" t="str">
        <f>'Cash Flow Entry'!D73</f>
        <v>Financing</v>
      </c>
      <c r="R19" s="23">
        <f>'Cash Flow Tracking'!H73</f>
        <v>0</v>
      </c>
      <c r="S19" s="24">
        <f>'Cash Flow Tracking'!I73</f>
        <v>-10000</v>
      </c>
      <c r="U19" s="21">
        <f>'Cash Flow Entry'!C104</f>
        <v>45392</v>
      </c>
      <c r="V19" s="22" t="str">
        <f t="shared" ref="V19:W19" si="20">IF(ISBLANK(W19),"N/A",W19)</f>
        <v>N/A</v>
      </c>
      <c r="W19" s="22" t="str">
        <f t="shared" si="20"/>
        <v>N/A</v>
      </c>
      <c r="X19" s="23"/>
      <c r="Y19" s="24"/>
      <c r="AA19" s="21">
        <f>'Cash Flow Entry'!C134</f>
        <v>45422</v>
      </c>
      <c r="AB19" s="22" t="str">
        <f t="shared" ref="AB19:AC19" si="21">IF(ISBLANK(AC19),"N/A",AC19)</f>
        <v>N/A</v>
      </c>
      <c r="AC19" s="22" t="str">
        <f t="shared" si="21"/>
        <v>N/A</v>
      </c>
      <c r="AD19" s="23"/>
      <c r="AE19" s="24"/>
      <c r="AF19" s="25"/>
      <c r="AG19" s="21">
        <f>'Cash Flow Entry'!C165</f>
        <v>45453</v>
      </c>
      <c r="AH19" s="22" t="str">
        <f t="shared" si="19"/>
        <v>N/A</v>
      </c>
      <c r="AI19" s="22" t="str">
        <f t="shared" si="19"/>
        <v>N/A</v>
      </c>
      <c r="AJ19" s="23"/>
      <c r="AK19" s="24"/>
      <c r="AM19" s="21">
        <f>'Cash Flow Entry'!C195</f>
        <v>45483</v>
      </c>
      <c r="AN19" s="22" t="str">
        <f>'Cash Flow Entry'!H195</f>
        <v>Inflow</v>
      </c>
      <c r="AO19" s="22" t="str">
        <f>'Cash Flow Entry'!D195</f>
        <v>Investing</v>
      </c>
      <c r="AP19" s="23">
        <f>'Cash Flow Tracking'!H195</f>
        <v>25000</v>
      </c>
      <c r="AQ19" s="24">
        <f>'Cash Flow Tracking'!I195</f>
        <v>0</v>
      </c>
      <c r="AS19" s="21">
        <f>'Cash Flow Entry'!C226</f>
        <v>45514</v>
      </c>
      <c r="AT19" s="22" t="str">
        <f>'Cash Flow Entry'!H226</f>
        <v>Inflow</v>
      </c>
      <c r="AU19" s="22" t="str">
        <f>'Cash Flow Entry'!D226</f>
        <v>Operating</v>
      </c>
      <c r="AV19" s="23">
        <f>'Cash Flow Tracking'!H226</f>
        <v>2400</v>
      </c>
      <c r="AW19" s="24">
        <f>'Cash Flow Tracking'!I226</f>
        <v>0</v>
      </c>
      <c r="AY19" s="21">
        <f>'Cash Flow Entry'!C257</f>
        <v>45545</v>
      </c>
      <c r="AZ19" s="22" t="str">
        <f>IF(ISBLANK(BA19),"N/A",BA19)</f>
        <v>N/A</v>
      </c>
      <c r="BA19" s="22" t="str">
        <f>IF(ISBLANK(BB19),"N/A",BB19)</f>
        <v>N/A</v>
      </c>
      <c r="BB19" s="23"/>
      <c r="BC19" s="24"/>
      <c r="BE19" s="21">
        <f>'Cash Flow Entry'!C287</f>
        <v>45575</v>
      </c>
      <c r="BF19" s="22" t="str">
        <f>'Cash Flow Entry'!H287</f>
        <v>Outflow</v>
      </c>
      <c r="BG19" s="22" t="str">
        <f>'Cash Flow Entry'!D287</f>
        <v>Financing</v>
      </c>
      <c r="BH19" s="23">
        <f>'Cash Flow Tracking'!H287</f>
        <v>0</v>
      </c>
      <c r="BI19" s="24">
        <f>'Cash Flow Tracking'!I287</f>
        <v>-12000</v>
      </c>
      <c r="BK19" s="21">
        <f>'Cash Flow Entry'!C318</f>
        <v>45606</v>
      </c>
      <c r="BL19" s="22" t="str">
        <f>'Cash Flow Entry'!H318</f>
        <v>Inflow</v>
      </c>
      <c r="BM19" s="22" t="str">
        <f>'Cash Flow Entry'!D318</f>
        <v>Financing</v>
      </c>
      <c r="BN19" s="23">
        <f>'Cash Flow Tracking'!H318</f>
        <v>140000</v>
      </c>
      <c r="BO19" s="24">
        <f>'Cash Flow Tracking'!I318</f>
        <v>0</v>
      </c>
      <c r="BQ19" s="21">
        <f>'Cash Flow Entry'!C348</f>
        <v>45636</v>
      </c>
      <c r="BR19" s="22" t="str">
        <f>IF(ISBLANK(BS19),"N/A",BS19)</f>
        <v>N/A</v>
      </c>
      <c r="BS19" s="22" t="str">
        <f>IF(ISBLANK(BT19),"N/A",BT19)</f>
        <v>N/A</v>
      </c>
      <c r="BT19" s="23"/>
      <c r="BU19" s="24"/>
    </row>
    <row r="20" spans="3:73" x14ac:dyDescent="0.3">
      <c r="C20" s="21">
        <f>'Cash Flow Entry'!C14</f>
        <v>45302</v>
      </c>
      <c r="D20" s="22" t="str">
        <f>'Cash Flow Entry'!H14</f>
        <v>Outflow</v>
      </c>
      <c r="E20" s="22" t="str">
        <f>'Cash Flow Entry'!D14</f>
        <v>Operating</v>
      </c>
      <c r="F20" s="23">
        <f>IF(D20="Inflow",'Cash Flow Entry'!F14,0)</f>
        <v>0</v>
      </c>
      <c r="G20" s="24">
        <f>IF(D20="Outflow",-'Cash Flow Entry'!F14,0)</f>
        <v>-1250</v>
      </c>
      <c r="I20" s="21">
        <f>'Cash Flow Entry'!C45</f>
        <v>45333</v>
      </c>
      <c r="J20" s="22" t="str">
        <f>'Cash Flow Entry'!H45</f>
        <v>Outflow</v>
      </c>
      <c r="K20" s="22" t="str">
        <f>'Cash Flow Entry'!D45</f>
        <v>Financing</v>
      </c>
      <c r="L20" s="23">
        <f>'Cash Flow Tracking'!H45</f>
        <v>0</v>
      </c>
      <c r="M20" s="24">
        <f>'Cash Flow Tracking'!I45</f>
        <v>-10000</v>
      </c>
      <c r="O20" s="21">
        <f>'Cash Flow Entry'!C74</f>
        <v>45362</v>
      </c>
      <c r="P20" s="22" t="str">
        <f>'Cash Flow Entry'!H74</f>
        <v>Inflow</v>
      </c>
      <c r="Q20" s="22" t="str">
        <f>'Cash Flow Entry'!D74</f>
        <v>Operating</v>
      </c>
      <c r="R20" s="23">
        <f>'Cash Flow Tracking'!H74</f>
        <v>30000</v>
      </c>
      <c r="S20" s="24">
        <f>'Cash Flow Tracking'!I74</f>
        <v>0</v>
      </c>
      <c r="U20" s="21">
        <f>'Cash Flow Entry'!C105</f>
        <v>45393</v>
      </c>
      <c r="V20" s="22" t="str">
        <f t="shared" ref="V20:W20" si="22">IF(ISBLANK(W20),"N/A",W20)</f>
        <v>N/A</v>
      </c>
      <c r="W20" s="22" t="str">
        <f t="shared" si="22"/>
        <v>N/A</v>
      </c>
      <c r="X20" s="23"/>
      <c r="Y20" s="24"/>
      <c r="AA20" s="21">
        <f>'Cash Flow Entry'!C135</f>
        <v>45423</v>
      </c>
      <c r="AB20" s="22" t="str">
        <f t="shared" ref="AB20:AC20" si="23">IF(ISBLANK(AC20),"N/A",AC20)</f>
        <v>N/A</v>
      </c>
      <c r="AC20" s="22" t="str">
        <f t="shared" si="23"/>
        <v>N/A</v>
      </c>
      <c r="AD20" s="23"/>
      <c r="AE20" s="24"/>
      <c r="AF20" s="25"/>
      <c r="AG20" s="21">
        <f>'Cash Flow Entry'!C166</f>
        <v>45454</v>
      </c>
      <c r="AH20" s="22" t="str">
        <f>'Cash Flow Entry'!H166</f>
        <v>Inflow</v>
      </c>
      <c r="AI20" s="22" t="str">
        <f>'Cash Flow Entry'!D166</f>
        <v>Operating</v>
      </c>
      <c r="AJ20" s="23">
        <f>'Cash Flow Tracking'!H166</f>
        <v>28000</v>
      </c>
      <c r="AK20" s="24">
        <f>'Cash Flow Tracking'!I166</f>
        <v>0</v>
      </c>
      <c r="AM20" s="21">
        <f>'Cash Flow Entry'!C196</f>
        <v>45484</v>
      </c>
      <c r="AN20" s="22" t="str">
        <f>IF(ISBLANK(AO20),"N/A",AO20)</f>
        <v>N/A</v>
      </c>
      <c r="AO20" s="22" t="str">
        <f>IF(ISBLANK(AP20),"N/A",AP20)</f>
        <v>N/A</v>
      </c>
      <c r="AP20" s="23"/>
      <c r="AQ20" s="24"/>
      <c r="AS20" s="21">
        <f>'Cash Flow Entry'!C227</f>
        <v>45515</v>
      </c>
      <c r="AT20" s="22" t="str">
        <f>'Cash Flow Entry'!H227</f>
        <v>Outflow</v>
      </c>
      <c r="AU20" s="22" t="str">
        <f>'Cash Flow Entry'!D227</f>
        <v>Investing</v>
      </c>
      <c r="AV20" s="23">
        <f>'Cash Flow Tracking'!H227</f>
        <v>0</v>
      </c>
      <c r="AW20" s="24">
        <f>'Cash Flow Tracking'!I227</f>
        <v>-20000</v>
      </c>
      <c r="AY20" s="21">
        <f>'Cash Flow Entry'!C258</f>
        <v>45546</v>
      </c>
      <c r="AZ20" s="22" t="str">
        <f>'Cash Flow Entry'!H258</f>
        <v>Inflow</v>
      </c>
      <c r="BA20" s="22" t="str">
        <f>'Cash Flow Entry'!D258</f>
        <v>Operating</v>
      </c>
      <c r="BB20" s="23">
        <f>'Cash Flow Tracking'!H258</f>
        <v>35000</v>
      </c>
      <c r="BC20" s="24">
        <f>'Cash Flow Tracking'!I258</f>
        <v>0</v>
      </c>
      <c r="BE20" s="21">
        <f>'Cash Flow Entry'!C288</f>
        <v>45576</v>
      </c>
      <c r="BF20" s="22" t="str">
        <f>IF(ISBLANK(BG20),"N/A",BG20)</f>
        <v>N/A</v>
      </c>
      <c r="BG20" s="22" t="str">
        <f>IF(ISBLANK(BH20),"N/A",BH20)</f>
        <v>N/A</v>
      </c>
      <c r="BH20" s="23"/>
      <c r="BI20" s="24"/>
      <c r="BK20" s="21">
        <f>'Cash Flow Entry'!C319</f>
        <v>45607</v>
      </c>
      <c r="BL20" s="22" t="str">
        <f>'Cash Flow Entry'!H319</f>
        <v>Outflow</v>
      </c>
      <c r="BM20" s="22" t="str">
        <f>'Cash Flow Entry'!D319</f>
        <v>Investing</v>
      </c>
      <c r="BN20" s="23">
        <f>'Cash Flow Tracking'!H319</f>
        <v>0</v>
      </c>
      <c r="BO20" s="24">
        <f>'Cash Flow Tracking'!I319</f>
        <v>-300000</v>
      </c>
      <c r="BQ20" s="21">
        <f>'Cash Flow Entry'!C349</f>
        <v>45637</v>
      </c>
      <c r="BR20" s="22" t="str">
        <f>'Cash Flow Entry'!H349</f>
        <v>Outflow</v>
      </c>
      <c r="BS20" s="22" t="str">
        <f>'Cash Flow Entry'!D349</f>
        <v>Operating</v>
      </c>
      <c r="BT20" s="23">
        <f>'Cash Flow Tracking'!H349</f>
        <v>0</v>
      </c>
      <c r="BU20" s="24">
        <f>'Cash Flow Tracking'!I349</f>
        <v>-20000</v>
      </c>
    </row>
    <row r="21" spans="3:73" x14ac:dyDescent="0.3">
      <c r="C21" s="21">
        <f>'Cash Flow Entry'!C15</f>
        <v>45303</v>
      </c>
      <c r="D21" s="22" t="str">
        <f>'Cash Flow Entry'!H15</f>
        <v>Outflow</v>
      </c>
      <c r="E21" s="22" t="str">
        <f>'Cash Flow Entry'!D15</f>
        <v>Operating</v>
      </c>
      <c r="F21" s="23">
        <f>IF(D21="Inflow",'Cash Flow Entry'!F15,0)</f>
        <v>0</v>
      </c>
      <c r="G21" s="24">
        <f>IF(D21="Outflow",-'Cash Flow Entry'!F15,0)</f>
        <v>-4500</v>
      </c>
      <c r="I21" s="21">
        <f>'Cash Flow Entry'!C46</f>
        <v>45334</v>
      </c>
      <c r="J21" s="22" t="str">
        <f>'Cash Flow Entry'!H46</f>
        <v>Inflow</v>
      </c>
      <c r="K21" s="22" t="str">
        <f>'Cash Flow Entry'!D46</f>
        <v>Operating</v>
      </c>
      <c r="L21" s="23">
        <f>'Cash Flow Tracking'!H46</f>
        <v>19000</v>
      </c>
      <c r="M21" s="24">
        <f>'Cash Flow Tracking'!I46</f>
        <v>0</v>
      </c>
      <c r="O21" s="21">
        <f>'Cash Flow Entry'!C75</f>
        <v>45363</v>
      </c>
      <c r="P21" s="22" t="str">
        <f t="shared" ref="P21:Q21" si="24">IF(ISBLANK(Q21),"N/A",Q21)</f>
        <v>N/A</v>
      </c>
      <c r="Q21" s="22" t="str">
        <f t="shared" si="24"/>
        <v>N/A</v>
      </c>
      <c r="R21" s="23"/>
      <c r="S21" s="24"/>
      <c r="U21" s="21">
        <f>'Cash Flow Entry'!C106</f>
        <v>45394</v>
      </c>
      <c r="V21" s="22" t="str">
        <f t="shared" ref="V21:W21" si="25">IF(ISBLANK(W21),"N/A",W21)</f>
        <v>N/A</v>
      </c>
      <c r="W21" s="22" t="str">
        <f t="shared" si="25"/>
        <v>N/A</v>
      </c>
      <c r="X21" s="23"/>
      <c r="Y21" s="24"/>
      <c r="AA21" s="21">
        <f>'Cash Flow Entry'!C136</f>
        <v>45424</v>
      </c>
      <c r="AB21" s="22" t="str">
        <f t="shared" ref="AB21:AC21" si="26">IF(ISBLANK(AC21),"N/A",AC21)</f>
        <v>N/A</v>
      </c>
      <c r="AC21" s="22" t="str">
        <f t="shared" si="26"/>
        <v>N/A</v>
      </c>
      <c r="AD21" s="23"/>
      <c r="AE21" s="24"/>
      <c r="AF21" s="25"/>
      <c r="AG21" s="21">
        <f>'Cash Flow Entry'!C167</f>
        <v>45455</v>
      </c>
      <c r="AH21" s="22" t="str">
        <f>'Cash Flow Entry'!H167</f>
        <v>Inflow</v>
      </c>
      <c r="AI21" s="22" t="str">
        <f>'Cash Flow Entry'!D167</f>
        <v>Financing</v>
      </c>
      <c r="AJ21" s="23">
        <f>'Cash Flow Tracking'!H167</f>
        <v>25000</v>
      </c>
      <c r="AK21" s="24">
        <f>'Cash Flow Tracking'!I167</f>
        <v>0</v>
      </c>
      <c r="AM21" s="21">
        <f>'Cash Flow Entry'!C197</f>
        <v>45485</v>
      </c>
      <c r="AN21" s="22" t="str">
        <f>'Cash Flow Entry'!H197</f>
        <v>Outflow</v>
      </c>
      <c r="AO21" s="22" t="str">
        <f>'Cash Flow Entry'!D197</f>
        <v>Operating</v>
      </c>
      <c r="AP21" s="23">
        <f>'Cash Flow Tracking'!H197</f>
        <v>0</v>
      </c>
      <c r="AQ21" s="24">
        <f>'Cash Flow Tracking'!I197</f>
        <v>-28000</v>
      </c>
      <c r="AS21" s="21">
        <f>'Cash Flow Entry'!C228</f>
        <v>45516</v>
      </c>
      <c r="AT21" s="22" t="str">
        <f>IF(ISBLANK(AU21),"N/A",AU21)</f>
        <v>N/A</v>
      </c>
      <c r="AU21" s="22" t="str">
        <f>IF(ISBLANK(AV21),"N/A",AV21)</f>
        <v>N/A</v>
      </c>
      <c r="AV21" s="23"/>
      <c r="AW21" s="24"/>
      <c r="AY21" s="21">
        <f>'Cash Flow Entry'!C259</f>
        <v>45547</v>
      </c>
      <c r="AZ21" s="22" t="str">
        <f>IF(ISBLANK(BA21),"N/A",BA21)</f>
        <v>N/A</v>
      </c>
      <c r="BA21" s="22" t="str">
        <f>IF(ISBLANK(BB21),"N/A",BB21)</f>
        <v>N/A</v>
      </c>
      <c r="BB21" s="23"/>
      <c r="BC21" s="24"/>
      <c r="BE21" s="21">
        <f>'Cash Flow Entry'!C289</f>
        <v>45577</v>
      </c>
      <c r="BF21" s="22" t="str">
        <f>'Cash Flow Entry'!H289</f>
        <v>Inflow</v>
      </c>
      <c r="BG21" s="22" t="str">
        <f>'Cash Flow Entry'!D289</f>
        <v>Investing</v>
      </c>
      <c r="BH21" s="23">
        <f>'Cash Flow Tracking'!H289</f>
        <v>26000</v>
      </c>
      <c r="BI21" s="24">
        <f>'Cash Flow Tracking'!I289</f>
        <v>0</v>
      </c>
      <c r="BK21" s="21">
        <f>'Cash Flow Entry'!C320</f>
        <v>45608</v>
      </c>
      <c r="BL21" s="22" t="str">
        <f>IF(ISBLANK(BM21),"N/A",BM21)</f>
        <v>N/A</v>
      </c>
      <c r="BM21" s="22" t="str">
        <f>IF(ISBLANK(BN21),"N/A",BN21)</f>
        <v>N/A</v>
      </c>
      <c r="BN21" s="23"/>
      <c r="BO21" s="24"/>
      <c r="BQ21" s="21">
        <f>'Cash Flow Entry'!C350</f>
        <v>45638</v>
      </c>
      <c r="BR21" s="22" t="str">
        <f>'Cash Flow Entry'!H350</f>
        <v>Outflow</v>
      </c>
      <c r="BS21" s="22" t="str">
        <f>'Cash Flow Entry'!D350</f>
        <v>Operating</v>
      </c>
      <c r="BT21" s="23">
        <f>'Cash Flow Tracking'!H350</f>
        <v>0</v>
      </c>
      <c r="BU21" s="24">
        <f>'Cash Flow Tracking'!I350</f>
        <v>-1800</v>
      </c>
    </row>
    <row r="22" spans="3:73" x14ac:dyDescent="0.3">
      <c r="C22" s="21">
        <f>'Cash Flow Entry'!C16</f>
        <v>45304</v>
      </c>
      <c r="D22" s="22" t="str">
        <f>'Cash Flow Entry'!H16</f>
        <v>Outflow</v>
      </c>
      <c r="E22" s="22" t="str">
        <f>'Cash Flow Entry'!D16</f>
        <v>Operating</v>
      </c>
      <c r="F22" s="23">
        <f>IF(D22="Inflow",'Cash Flow Entry'!F16,0)</f>
        <v>0</v>
      </c>
      <c r="G22" s="24">
        <f>IF(D22="Outflow",-'Cash Flow Entry'!F16,0)</f>
        <v>-5000</v>
      </c>
      <c r="I22" s="21">
        <f>'Cash Flow Entry'!C47</f>
        <v>45335</v>
      </c>
      <c r="J22" s="22" t="str">
        <f>'Cash Flow Entry'!H47</f>
        <v>Outflow</v>
      </c>
      <c r="K22" s="22" t="str">
        <f>'Cash Flow Entry'!D47</f>
        <v>Operating</v>
      </c>
      <c r="L22" s="23">
        <f>'Cash Flow Tracking'!H47</f>
        <v>0</v>
      </c>
      <c r="M22" s="24">
        <f>'Cash Flow Tracking'!I47</f>
        <v>-1800</v>
      </c>
      <c r="O22" s="21">
        <f>'Cash Flow Entry'!C76</f>
        <v>45364</v>
      </c>
      <c r="P22" s="22" t="str">
        <f t="shared" ref="P22:Q22" si="27">IF(ISBLANK(Q22),"N/A",Q22)</f>
        <v>N/A</v>
      </c>
      <c r="Q22" s="22" t="str">
        <f t="shared" si="27"/>
        <v>N/A</v>
      </c>
      <c r="R22" s="23"/>
      <c r="S22" s="24"/>
      <c r="U22" s="21">
        <f>'Cash Flow Entry'!C107</f>
        <v>45395</v>
      </c>
      <c r="V22" s="22" t="str">
        <f t="shared" ref="V22:W22" si="28">IF(ISBLANK(W22),"N/A",W22)</f>
        <v>N/A</v>
      </c>
      <c r="W22" s="22" t="str">
        <f t="shared" si="28"/>
        <v>N/A</v>
      </c>
      <c r="X22" s="23"/>
      <c r="Y22" s="24"/>
      <c r="AA22" s="21">
        <f>'Cash Flow Entry'!C137</f>
        <v>45425</v>
      </c>
      <c r="AB22" s="22" t="str">
        <f>'Cash Flow Entry'!H137</f>
        <v>Outflow</v>
      </c>
      <c r="AC22" s="22" t="str">
        <f>'Cash Flow Entry'!D137</f>
        <v>Operating</v>
      </c>
      <c r="AD22" s="23">
        <f>'Cash Flow Tracking'!H137</f>
        <v>0</v>
      </c>
      <c r="AE22" s="24">
        <f>'Cash Flow Tracking'!I137</f>
        <v>-24000</v>
      </c>
      <c r="AF22" s="25"/>
      <c r="AG22" s="21">
        <f>'Cash Flow Entry'!C168</f>
        <v>45456</v>
      </c>
      <c r="AH22" s="22" t="str">
        <f>IF(ISBLANK(AI22),"N/A",AI22)</f>
        <v>N/A</v>
      </c>
      <c r="AI22" s="22" t="str">
        <f>IF(ISBLANK(AJ22),"N/A",AJ22)</f>
        <v>N/A</v>
      </c>
      <c r="AJ22" s="23"/>
      <c r="AK22" s="24"/>
      <c r="AM22" s="21">
        <f>'Cash Flow Entry'!C198</f>
        <v>45486</v>
      </c>
      <c r="AN22" s="22" t="str">
        <f>'Cash Flow Entry'!H198</f>
        <v>Inflow</v>
      </c>
      <c r="AO22" s="22" t="str">
        <f>'Cash Flow Entry'!D198</f>
        <v>Operating</v>
      </c>
      <c r="AP22" s="23">
        <f>'Cash Flow Tracking'!H198</f>
        <v>20000</v>
      </c>
      <c r="AQ22" s="24">
        <f>'Cash Flow Tracking'!I198</f>
        <v>0</v>
      </c>
      <c r="AS22" s="21">
        <f>'Cash Flow Entry'!C229</f>
        <v>45517</v>
      </c>
      <c r="AT22" s="22" t="str">
        <f>IF(ISBLANK(AU22),"N/A",AU22)</f>
        <v>N/A</v>
      </c>
      <c r="AU22" s="22" t="str">
        <f>IF(ISBLANK(AV22),"N/A",AV22)</f>
        <v>N/A</v>
      </c>
      <c r="AV22" s="23"/>
      <c r="AW22" s="24"/>
      <c r="AY22" s="21">
        <f>'Cash Flow Entry'!C260</f>
        <v>45548</v>
      </c>
      <c r="AZ22" s="22" t="str">
        <f>'Cash Flow Entry'!H260</f>
        <v>Inflow</v>
      </c>
      <c r="BA22" s="22" t="str">
        <f>'Cash Flow Entry'!D260</f>
        <v>Operating</v>
      </c>
      <c r="BB22" s="23">
        <f>'Cash Flow Tracking'!H260</f>
        <v>1400</v>
      </c>
      <c r="BC22" s="24">
        <f>'Cash Flow Tracking'!I260</f>
        <v>0</v>
      </c>
      <c r="BE22" s="21">
        <f>'Cash Flow Entry'!C290</f>
        <v>45578</v>
      </c>
      <c r="BF22" s="22" t="str">
        <f>IF(ISBLANK(BG22),"N/A",BG22)</f>
        <v>N/A</v>
      </c>
      <c r="BG22" s="22" t="str">
        <f>IF(ISBLANK(BH22),"N/A",BH22)</f>
        <v>N/A</v>
      </c>
      <c r="BH22" s="23"/>
      <c r="BI22" s="24"/>
      <c r="BK22" s="21">
        <f>'Cash Flow Entry'!C321</f>
        <v>45609</v>
      </c>
      <c r="BL22" s="22" t="str">
        <f>'Cash Flow Entry'!H321</f>
        <v>Inflow</v>
      </c>
      <c r="BM22" s="22" t="str">
        <f>'Cash Flow Entry'!D321</f>
        <v>Operating</v>
      </c>
      <c r="BN22" s="23">
        <f>'Cash Flow Tracking'!H321</f>
        <v>2800</v>
      </c>
      <c r="BO22" s="24">
        <f>'Cash Flow Tracking'!I321</f>
        <v>0</v>
      </c>
      <c r="BQ22" s="21">
        <f>'Cash Flow Entry'!C351</f>
        <v>45639</v>
      </c>
      <c r="BR22" s="22" t="str">
        <f>'Cash Flow Entry'!H351</f>
        <v>Outflow</v>
      </c>
      <c r="BS22" s="22" t="str">
        <f>'Cash Flow Entry'!D351</f>
        <v>Financing</v>
      </c>
      <c r="BT22" s="23">
        <f>'Cash Flow Tracking'!H351</f>
        <v>0</v>
      </c>
      <c r="BU22" s="24">
        <f>'Cash Flow Tracking'!I351</f>
        <v>-100</v>
      </c>
    </row>
    <row r="23" spans="3:73" x14ac:dyDescent="0.3">
      <c r="C23" s="21">
        <f>'Cash Flow Entry'!C17</f>
        <v>45305</v>
      </c>
      <c r="D23" s="22" t="str">
        <f>'Cash Flow Entry'!H17</f>
        <v>Inflow</v>
      </c>
      <c r="E23" s="22" t="str">
        <f>'Cash Flow Entry'!D17</f>
        <v>Operating</v>
      </c>
      <c r="F23" s="23">
        <f>IF(D23="Inflow",'Cash Flow Entry'!F17,0)</f>
        <v>25000</v>
      </c>
      <c r="G23" s="24">
        <f>IF(D23="Outflow",-'Cash Flow Entry'!F17,0)</f>
        <v>0</v>
      </c>
      <c r="I23" s="21">
        <f>'Cash Flow Entry'!C48</f>
        <v>45336</v>
      </c>
      <c r="J23" s="22" t="str">
        <f>'Cash Flow Entry'!H48</f>
        <v>Inflow</v>
      </c>
      <c r="K23" s="22" t="str">
        <f>'Cash Flow Entry'!D48</f>
        <v>Operating</v>
      </c>
      <c r="L23" s="23">
        <f>'Cash Flow Tracking'!H48</f>
        <v>24000</v>
      </c>
      <c r="M23" s="24">
        <f>'Cash Flow Tracking'!I48</f>
        <v>0</v>
      </c>
      <c r="O23" s="21">
        <f>'Cash Flow Entry'!C77</f>
        <v>45365</v>
      </c>
      <c r="P23" s="22" t="str">
        <f t="shared" ref="P23:Q23" si="29">IF(ISBLANK(Q23),"N/A",Q23)</f>
        <v>N/A</v>
      </c>
      <c r="Q23" s="22" t="str">
        <f t="shared" si="29"/>
        <v>N/A</v>
      </c>
      <c r="R23" s="23"/>
      <c r="S23" s="24"/>
      <c r="U23" s="21">
        <f>'Cash Flow Entry'!C108</f>
        <v>45396</v>
      </c>
      <c r="V23" s="22" t="str">
        <f t="shared" ref="V23:W23" si="30">IF(ISBLANK(W23),"N/A",W23)</f>
        <v>N/A</v>
      </c>
      <c r="W23" s="22" t="str">
        <f t="shared" si="30"/>
        <v>N/A</v>
      </c>
      <c r="X23" s="23"/>
      <c r="Y23" s="24"/>
      <c r="AA23" s="21">
        <f>'Cash Flow Entry'!C138</f>
        <v>45426</v>
      </c>
      <c r="AB23" s="22" t="str">
        <f>IF(ISBLANK(AC23),"N/A",AC23)</f>
        <v>N/A</v>
      </c>
      <c r="AC23" s="22" t="str">
        <f>IF(ISBLANK(AD23),"N/A",AD23)</f>
        <v>N/A</v>
      </c>
      <c r="AD23" s="23"/>
      <c r="AE23" s="24"/>
      <c r="AF23" s="25"/>
      <c r="AG23" s="21">
        <f>'Cash Flow Entry'!C169</f>
        <v>45457</v>
      </c>
      <c r="AH23" s="22" t="str">
        <f>'Cash Flow Entry'!H169</f>
        <v>Outflow</v>
      </c>
      <c r="AI23" s="22" t="str">
        <f>'Cash Flow Entry'!D169</f>
        <v>Operating</v>
      </c>
      <c r="AJ23" s="23">
        <f>'Cash Flow Tracking'!H169</f>
        <v>0</v>
      </c>
      <c r="AK23" s="24">
        <f>'Cash Flow Tracking'!I169</f>
        <v>-1700</v>
      </c>
      <c r="AM23" s="21">
        <f>'Cash Flow Entry'!C199</f>
        <v>45487</v>
      </c>
      <c r="AN23" s="22" t="str">
        <f t="shared" ref="AN23:AO23" si="31">IF(ISBLANK(AO23),"N/A",AO23)</f>
        <v>N/A</v>
      </c>
      <c r="AO23" s="22" t="str">
        <f t="shared" si="31"/>
        <v>N/A</v>
      </c>
      <c r="AP23" s="23"/>
      <c r="AQ23" s="24"/>
      <c r="AS23" s="21">
        <f>'Cash Flow Entry'!C230</f>
        <v>45518</v>
      </c>
      <c r="AT23" s="22" t="str">
        <f>'Cash Flow Entry'!H230</f>
        <v>Inflow</v>
      </c>
      <c r="AU23" s="22" t="str">
        <f>'Cash Flow Entry'!D230</f>
        <v>Operating</v>
      </c>
      <c r="AV23" s="23">
        <f>'Cash Flow Tracking'!H230</f>
        <v>38000</v>
      </c>
      <c r="AW23" s="24">
        <f>'Cash Flow Tracking'!I230</f>
        <v>0</v>
      </c>
      <c r="AY23" s="21">
        <f>'Cash Flow Entry'!C261</f>
        <v>45549</v>
      </c>
      <c r="AZ23" s="22" t="str">
        <f>IF(ISBLANK(BA23),"N/A",BA23)</f>
        <v>N/A</v>
      </c>
      <c r="BA23" s="22" t="str">
        <f>IF(ISBLANK(BB23),"N/A",BB23)</f>
        <v>N/A</v>
      </c>
      <c r="BB23" s="23"/>
      <c r="BC23" s="24"/>
      <c r="BE23" s="21">
        <f>'Cash Flow Entry'!C291</f>
        <v>45579</v>
      </c>
      <c r="BF23" s="22" t="str">
        <f>'Cash Flow Entry'!H291</f>
        <v>Inflow</v>
      </c>
      <c r="BG23" s="22" t="str">
        <f>'Cash Flow Entry'!D291</f>
        <v>Operating</v>
      </c>
      <c r="BH23" s="23">
        <f>'Cash Flow Tracking'!H291</f>
        <v>40000</v>
      </c>
      <c r="BI23" s="24">
        <f>'Cash Flow Tracking'!I291</f>
        <v>0</v>
      </c>
      <c r="BK23" s="21">
        <f>'Cash Flow Entry'!C322</f>
        <v>45610</v>
      </c>
      <c r="BL23" s="22" t="str">
        <f>IF(ISBLANK(BM23),"N/A",BM23)</f>
        <v>N/A</v>
      </c>
      <c r="BM23" s="22" t="str">
        <f>IF(ISBLANK(BN23),"N/A",BN23)</f>
        <v>N/A</v>
      </c>
      <c r="BN23" s="23"/>
      <c r="BO23" s="24"/>
      <c r="BQ23" s="21">
        <f>'Cash Flow Entry'!C352</f>
        <v>45640</v>
      </c>
      <c r="BR23" s="22" t="str">
        <f>IF(ISBLANK(BS23),"N/A",BS23)</f>
        <v>N/A</v>
      </c>
      <c r="BS23" s="22" t="str">
        <f>IF(ISBLANK(BT23),"N/A",BT23)</f>
        <v>N/A</v>
      </c>
      <c r="BT23" s="23"/>
      <c r="BU23" s="24"/>
    </row>
    <row r="24" spans="3:73" x14ac:dyDescent="0.3">
      <c r="C24" s="21">
        <f>'Cash Flow Entry'!C18</f>
        <v>45306</v>
      </c>
      <c r="D24" s="22" t="str">
        <f>'Cash Flow Entry'!H18</f>
        <v>Outflow</v>
      </c>
      <c r="E24" s="22" t="str">
        <f>'Cash Flow Entry'!D18</f>
        <v>Operating</v>
      </c>
      <c r="F24" s="23">
        <f>IF(D24="Inflow",'Cash Flow Entry'!F18,0)</f>
        <v>0</v>
      </c>
      <c r="G24" s="24">
        <f>IF(D24="Outflow",-'Cash Flow Entry'!F18,0)</f>
        <v>-110</v>
      </c>
      <c r="I24" s="21">
        <f>'Cash Flow Entry'!C49</f>
        <v>45337</v>
      </c>
      <c r="J24" s="22" t="str">
        <f>'Cash Flow Entry'!H49</f>
        <v>Inflow</v>
      </c>
      <c r="K24" s="22" t="str">
        <f>'Cash Flow Entry'!D49</f>
        <v>Operating</v>
      </c>
      <c r="L24" s="23">
        <f>'Cash Flow Tracking'!H49</f>
        <v>1400</v>
      </c>
      <c r="M24" s="24">
        <f>'Cash Flow Tracking'!I49</f>
        <v>0</v>
      </c>
      <c r="O24" s="21">
        <f>'Cash Flow Entry'!C78</f>
        <v>45366</v>
      </c>
      <c r="P24" s="22" t="str">
        <f t="shared" ref="P24:Q24" si="32">IF(ISBLANK(Q24),"N/A",Q24)</f>
        <v>N/A</v>
      </c>
      <c r="Q24" s="22" t="str">
        <f t="shared" si="32"/>
        <v>N/A</v>
      </c>
      <c r="R24" s="23"/>
      <c r="S24" s="24"/>
      <c r="U24" s="21">
        <f>'Cash Flow Entry'!C109</f>
        <v>45397</v>
      </c>
      <c r="V24" s="22" t="str">
        <f>'Cash Flow Entry'!H109</f>
        <v>Inflow</v>
      </c>
      <c r="W24" s="22" t="str">
        <f>'Cash Flow Entry'!D109</f>
        <v>Operating</v>
      </c>
      <c r="X24" s="23">
        <f>'Cash Flow Tracking'!H109</f>
        <v>25000</v>
      </c>
      <c r="Y24" s="24">
        <f>'Cash Flow Tracking'!I109</f>
        <v>0</v>
      </c>
      <c r="AA24" s="21">
        <f>'Cash Flow Entry'!C139</f>
        <v>45427</v>
      </c>
      <c r="AB24" s="22" t="str">
        <f>'Cash Flow Entry'!H139</f>
        <v>Inflow</v>
      </c>
      <c r="AC24" s="22" t="str">
        <f>'Cash Flow Entry'!D139</f>
        <v>Investing</v>
      </c>
      <c r="AD24" s="23">
        <f>'Cash Flow Tracking'!H139</f>
        <v>1587</v>
      </c>
      <c r="AE24" s="24">
        <f>'Cash Flow Tracking'!I139</f>
        <v>0</v>
      </c>
      <c r="AF24" s="25"/>
      <c r="AG24" s="21">
        <f>'Cash Flow Entry'!C170</f>
        <v>45458</v>
      </c>
      <c r="AH24" s="22" t="str">
        <f>IF(ISBLANK(AI24),"N/A",AI24)</f>
        <v>N/A</v>
      </c>
      <c r="AI24" s="22" t="str">
        <f>IF(ISBLANK(AJ24),"N/A",AJ24)</f>
        <v>N/A</v>
      </c>
      <c r="AJ24" s="23"/>
      <c r="AK24" s="24"/>
      <c r="AM24" s="21">
        <f>'Cash Flow Entry'!C200</f>
        <v>45488</v>
      </c>
      <c r="AN24" s="22" t="str">
        <f t="shared" ref="AN24:AO24" si="33">IF(ISBLANK(AO24),"N/A",AO24)</f>
        <v>N/A</v>
      </c>
      <c r="AO24" s="22" t="str">
        <f t="shared" si="33"/>
        <v>N/A</v>
      </c>
      <c r="AP24" s="23"/>
      <c r="AQ24" s="24"/>
      <c r="AS24" s="21">
        <f>'Cash Flow Entry'!C231</f>
        <v>45519</v>
      </c>
      <c r="AT24" s="22" t="str">
        <f>IF(ISBLANK(AU24),"N/A",AU24)</f>
        <v>N/A</v>
      </c>
      <c r="AU24" s="22" t="str">
        <f>IF(ISBLANK(AV24),"N/A",AV24)</f>
        <v>N/A</v>
      </c>
      <c r="AV24" s="23"/>
      <c r="AW24" s="24"/>
      <c r="AY24" s="21">
        <f>'Cash Flow Entry'!C262</f>
        <v>45550</v>
      </c>
      <c r="AZ24" s="22" t="str">
        <f>'Cash Flow Entry'!H262</f>
        <v>Inflow</v>
      </c>
      <c r="BA24" s="22" t="str">
        <f>'Cash Flow Entry'!D262</f>
        <v>Financing</v>
      </c>
      <c r="BB24" s="23">
        <f>'Cash Flow Tracking'!H262</f>
        <v>44000</v>
      </c>
      <c r="BC24" s="24">
        <f>'Cash Flow Tracking'!I262</f>
        <v>0</v>
      </c>
      <c r="BE24" s="21">
        <f>'Cash Flow Entry'!C292</f>
        <v>45580</v>
      </c>
      <c r="BF24" s="22" t="str">
        <f>'Cash Flow Entry'!H292</f>
        <v>Outflow</v>
      </c>
      <c r="BG24" s="22" t="str">
        <f>'Cash Flow Entry'!D292</f>
        <v>Financing</v>
      </c>
      <c r="BH24" s="23">
        <f>'Cash Flow Tracking'!H292</f>
        <v>0</v>
      </c>
      <c r="BI24" s="24">
        <f>'Cash Flow Tracking'!I292</f>
        <v>-800</v>
      </c>
      <c r="BK24" s="21">
        <f>'Cash Flow Entry'!C323</f>
        <v>45611</v>
      </c>
      <c r="BL24" s="22" t="str">
        <f>'Cash Flow Entry'!H323</f>
        <v>Outflow</v>
      </c>
      <c r="BM24" s="22" t="str">
        <f>'Cash Flow Entry'!D323</f>
        <v>Operating</v>
      </c>
      <c r="BN24" s="23">
        <f>'Cash Flow Tracking'!H323</f>
        <v>0</v>
      </c>
      <c r="BO24" s="24">
        <f>'Cash Flow Tracking'!I323</f>
        <v>-80000</v>
      </c>
      <c r="BQ24" s="21">
        <f>'Cash Flow Entry'!C353</f>
        <v>45641</v>
      </c>
      <c r="BR24" s="22" t="str">
        <f t="shared" ref="BR24:BS25" si="34">IF(ISBLANK(BS24),"N/A",BS24)</f>
        <v>N/A</v>
      </c>
      <c r="BS24" s="22" t="str">
        <f t="shared" si="34"/>
        <v>N/A</v>
      </c>
      <c r="BT24" s="23"/>
      <c r="BU24" s="24"/>
    </row>
    <row r="25" spans="3:73" x14ac:dyDescent="0.3">
      <c r="C25" s="21">
        <f>'Cash Flow Entry'!C19</f>
        <v>45307</v>
      </c>
      <c r="D25" s="22" t="str">
        <f>'Cash Flow Entry'!H19</f>
        <v>Inflow</v>
      </c>
      <c r="E25" s="22" t="str">
        <f>'Cash Flow Entry'!D19</f>
        <v>Investing</v>
      </c>
      <c r="F25" s="23">
        <f>IF(D25="Inflow",'Cash Flow Entry'!F19,0)</f>
        <v>14000</v>
      </c>
      <c r="G25" s="24">
        <f>IF(D25="Outflow",-'Cash Flow Entry'!F19,0)</f>
        <v>0</v>
      </c>
      <c r="I25" s="21">
        <f>'Cash Flow Entry'!C50</f>
        <v>45338</v>
      </c>
      <c r="J25" s="22" t="str">
        <f>'Cash Flow Entry'!H50</f>
        <v>Outflow</v>
      </c>
      <c r="K25" s="22" t="str">
        <f>'Cash Flow Entry'!D50</f>
        <v>Operating</v>
      </c>
      <c r="L25" s="23">
        <f>'Cash Flow Tracking'!H50</f>
        <v>0</v>
      </c>
      <c r="M25" s="24">
        <f>'Cash Flow Tracking'!I50</f>
        <v>-17000</v>
      </c>
      <c r="O25" s="21">
        <f>'Cash Flow Entry'!C79</f>
        <v>45367</v>
      </c>
      <c r="P25" s="22" t="str">
        <f>'Cash Flow Entry'!H79</f>
        <v>Inflow</v>
      </c>
      <c r="Q25" s="22" t="str">
        <f>'Cash Flow Entry'!D79</f>
        <v>Investing</v>
      </c>
      <c r="R25" s="23">
        <f>'Cash Flow Tracking'!H79</f>
        <v>6000</v>
      </c>
      <c r="S25" s="24">
        <f>'Cash Flow Tracking'!I79</f>
        <v>0</v>
      </c>
      <c r="U25" s="21">
        <f>'Cash Flow Entry'!C110</f>
        <v>45398</v>
      </c>
      <c r="V25" s="22" t="str">
        <f t="shared" ref="V25:W25" si="35">IF(ISBLANK(W25),"N/A",W25)</f>
        <v>N/A</v>
      </c>
      <c r="W25" s="22" t="str">
        <f t="shared" si="35"/>
        <v>N/A</v>
      </c>
      <c r="X25" s="23"/>
      <c r="Y25" s="24"/>
      <c r="AA25" s="21">
        <f>'Cash Flow Entry'!C140</f>
        <v>45428</v>
      </c>
      <c r="AB25" s="22" t="str">
        <f>'Cash Flow Entry'!H140</f>
        <v>Inflow</v>
      </c>
      <c r="AC25" s="22" t="str">
        <f>'Cash Flow Entry'!D140</f>
        <v>Investing</v>
      </c>
      <c r="AD25" s="23">
        <f>'Cash Flow Tracking'!H140</f>
        <v>15000</v>
      </c>
      <c r="AE25" s="24">
        <f>'Cash Flow Tracking'!I140</f>
        <v>0</v>
      </c>
      <c r="AF25" s="25"/>
      <c r="AG25" s="21">
        <f>'Cash Flow Entry'!C171</f>
        <v>45459</v>
      </c>
      <c r="AH25" s="22" t="str">
        <f>'Cash Flow Entry'!H171</f>
        <v>Outflow</v>
      </c>
      <c r="AI25" s="22" t="str">
        <f>'Cash Flow Entry'!D171</f>
        <v>Operating</v>
      </c>
      <c r="AJ25" s="23">
        <f>'Cash Flow Tracking'!H171</f>
        <v>0</v>
      </c>
      <c r="AK25" s="24">
        <f>'Cash Flow Tracking'!I171</f>
        <v>-2300</v>
      </c>
      <c r="AM25" s="21">
        <f>'Cash Flow Entry'!C201</f>
        <v>45489</v>
      </c>
      <c r="AN25" s="22" t="str">
        <f t="shared" ref="AN25:AO25" si="36">IF(ISBLANK(AO25),"N/A",AO25)</f>
        <v>N/A</v>
      </c>
      <c r="AO25" s="22" t="str">
        <f t="shared" si="36"/>
        <v>N/A</v>
      </c>
      <c r="AP25" s="23"/>
      <c r="AQ25" s="24"/>
      <c r="AS25" s="21">
        <f>'Cash Flow Entry'!C232</f>
        <v>45520</v>
      </c>
      <c r="AT25" s="22" t="str">
        <f>IF(ISBLANK(AU25),"N/A",AU25)</f>
        <v>N/A</v>
      </c>
      <c r="AU25" s="22" t="str">
        <f>IF(ISBLANK(AV25),"N/A",AV25)</f>
        <v>N/A</v>
      </c>
      <c r="AV25" s="23"/>
      <c r="AW25" s="24"/>
      <c r="AY25" s="21">
        <f>'Cash Flow Entry'!C263</f>
        <v>45551</v>
      </c>
      <c r="AZ25" s="22" t="str">
        <f>IF(ISBLANK(BA25),"N/A",BA25)</f>
        <v>N/A</v>
      </c>
      <c r="BA25" s="22" t="str">
        <f>IF(ISBLANK(BB25),"N/A",BB25)</f>
        <v>N/A</v>
      </c>
      <c r="BB25" s="23"/>
      <c r="BC25" s="24"/>
      <c r="BE25" s="21">
        <f>'Cash Flow Entry'!C293</f>
        <v>45581</v>
      </c>
      <c r="BF25" s="22" t="str">
        <f>IF(ISBLANK(BG25),"N/A",BG25)</f>
        <v>N/A</v>
      </c>
      <c r="BG25" s="22" t="str">
        <f>IF(ISBLANK(BH25),"N/A",BH25)</f>
        <v>N/A</v>
      </c>
      <c r="BH25" s="23"/>
      <c r="BI25" s="24"/>
      <c r="BK25" s="21">
        <f>'Cash Flow Entry'!C324</f>
        <v>45612</v>
      </c>
      <c r="BL25" s="22" t="str">
        <f>'Cash Flow Entry'!H324</f>
        <v>Inflow</v>
      </c>
      <c r="BM25" s="22" t="str">
        <f>'Cash Flow Entry'!D324</f>
        <v>Investing</v>
      </c>
      <c r="BN25" s="23">
        <f>'Cash Flow Tracking'!H324</f>
        <v>800</v>
      </c>
      <c r="BO25" s="24">
        <f>'Cash Flow Tracking'!I324</f>
        <v>0</v>
      </c>
      <c r="BQ25" s="21">
        <f>'Cash Flow Entry'!C354</f>
        <v>45642</v>
      </c>
      <c r="BR25" s="22" t="str">
        <f t="shared" si="34"/>
        <v>N/A</v>
      </c>
      <c r="BS25" s="22" t="str">
        <f t="shared" si="34"/>
        <v>N/A</v>
      </c>
      <c r="BT25" s="23"/>
      <c r="BU25" s="24"/>
    </row>
    <row r="26" spans="3:73" x14ac:dyDescent="0.3">
      <c r="C26" s="21">
        <f>'Cash Flow Entry'!C20</f>
        <v>45308</v>
      </c>
      <c r="D26" s="22" t="str">
        <f>'Cash Flow Entry'!H20</f>
        <v>Outflow</v>
      </c>
      <c r="E26" s="22" t="str">
        <f>'Cash Flow Entry'!D20</f>
        <v>Investing</v>
      </c>
      <c r="F26" s="23">
        <f>IF(D26="Inflow",'Cash Flow Entry'!F20,0)</f>
        <v>0</v>
      </c>
      <c r="G26" s="24">
        <f>IF(D26="Outflow",-'Cash Flow Entry'!F20,0)</f>
        <v>-5000</v>
      </c>
      <c r="I26" s="21">
        <f>'Cash Flow Entry'!C51</f>
        <v>45339</v>
      </c>
      <c r="J26" s="22" t="str">
        <f>'Cash Flow Entry'!H51</f>
        <v>Outflow</v>
      </c>
      <c r="K26" s="22" t="str">
        <f>'Cash Flow Entry'!D51</f>
        <v>Operating</v>
      </c>
      <c r="L26" s="23">
        <f>'Cash Flow Tracking'!H51</f>
        <v>0</v>
      </c>
      <c r="M26" s="24">
        <f>'Cash Flow Tracking'!I51</f>
        <v>-15000</v>
      </c>
      <c r="O26" s="21">
        <f>'Cash Flow Entry'!C80</f>
        <v>45368</v>
      </c>
      <c r="P26" s="22" t="str">
        <f>'Cash Flow Entry'!H80</f>
        <v>Outflow</v>
      </c>
      <c r="Q26" s="22" t="str">
        <f>'Cash Flow Entry'!D80</f>
        <v>Operating</v>
      </c>
      <c r="R26" s="23">
        <f>'Cash Flow Tracking'!H80</f>
        <v>0</v>
      </c>
      <c r="S26" s="24">
        <f>'Cash Flow Tracking'!I80</f>
        <v>-4000</v>
      </c>
      <c r="U26" s="21">
        <f>'Cash Flow Entry'!C111</f>
        <v>45399</v>
      </c>
      <c r="V26" s="22" t="str">
        <f t="shared" ref="V26:W26" si="37">IF(ISBLANK(W26),"N/A",W26)</f>
        <v>N/A</v>
      </c>
      <c r="W26" s="22" t="str">
        <f t="shared" si="37"/>
        <v>N/A</v>
      </c>
      <c r="X26" s="23"/>
      <c r="Y26" s="24"/>
      <c r="AA26" s="21">
        <f>'Cash Flow Entry'!C141</f>
        <v>45429</v>
      </c>
      <c r="AB26" s="22" t="str">
        <f>IF(ISBLANK(AC26),"N/A",AC26)</f>
        <v>N/A</v>
      </c>
      <c r="AC26" s="22" t="str">
        <f>IF(ISBLANK(AD26),"N/A",AD26)</f>
        <v>N/A</v>
      </c>
      <c r="AD26" s="23"/>
      <c r="AE26" s="24"/>
      <c r="AF26" s="25"/>
      <c r="AG26" s="21">
        <f>'Cash Flow Entry'!C172</f>
        <v>45460</v>
      </c>
      <c r="AH26" s="22" t="str">
        <f>'Cash Flow Entry'!H172</f>
        <v>Inflow</v>
      </c>
      <c r="AI26" s="22" t="str">
        <f>'Cash Flow Entry'!D172</f>
        <v>Operating</v>
      </c>
      <c r="AJ26" s="23">
        <f>'Cash Flow Tracking'!H172</f>
        <v>4500</v>
      </c>
      <c r="AK26" s="24">
        <f>'Cash Flow Tracking'!I172</f>
        <v>0</v>
      </c>
      <c r="AM26" s="21">
        <f>'Cash Flow Entry'!C202</f>
        <v>45490</v>
      </c>
      <c r="AN26" s="22" t="str">
        <f t="shared" ref="AN26:AO26" si="38">IF(ISBLANK(AO26),"N/A",AO26)</f>
        <v>N/A</v>
      </c>
      <c r="AO26" s="22" t="str">
        <f t="shared" si="38"/>
        <v>N/A</v>
      </c>
      <c r="AP26" s="23"/>
      <c r="AQ26" s="24"/>
      <c r="AS26" s="21">
        <f>'Cash Flow Entry'!C233</f>
        <v>45521</v>
      </c>
      <c r="AT26" s="22" t="str">
        <f>'Cash Flow Entry'!H233</f>
        <v>Inflow</v>
      </c>
      <c r="AU26" s="22" t="str">
        <f>'Cash Flow Entry'!D233</f>
        <v>Investing</v>
      </c>
      <c r="AV26" s="23">
        <f>'Cash Flow Tracking'!H233</f>
        <v>677</v>
      </c>
      <c r="AW26" s="24">
        <f>'Cash Flow Tracking'!I233</f>
        <v>0</v>
      </c>
      <c r="AY26" s="21">
        <f>'Cash Flow Entry'!C264</f>
        <v>45552</v>
      </c>
      <c r="AZ26" s="22" t="str">
        <f>'Cash Flow Entry'!H264</f>
        <v>Inflow</v>
      </c>
      <c r="BA26" s="22" t="str">
        <f>'Cash Flow Entry'!D264</f>
        <v>Operating</v>
      </c>
      <c r="BB26" s="23">
        <f>'Cash Flow Tracking'!H264</f>
        <v>14000</v>
      </c>
      <c r="BC26" s="24">
        <f>'Cash Flow Tracking'!I264</f>
        <v>0</v>
      </c>
      <c r="BE26" s="21">
        <f>'Cash Flow Entry'!C294</f>
        <v>45582</v>
      </c>
      <c r="BF26" s="22" t="str">
        <f>IF(ISBLANK(BG26),"N/A",BG26)</f>
        <v>N/A</v>
      </c>
      <c r="BG26" s="22" t="str">
        <f>IF(ISBLANK(BH26),"N/A",BH26)</f>
        <v>N/A</v>
      </c>
      <c r="BH26" s="23"/>
      <c r="BI26" s="24"/>
      <c r="BK26" s="21">
        <f>'Cash Flow Entry'!C325</f>
        <v>45613</v>
      </c>
      <c r="BL26" s="22" t="str">
        <f>IF(ISBLANK(BM26),"N/A",BM26)</f>
        <v>N/A</v>
      </c>
      <c r="BM26" s="22" t="str">
        <f>IF(ISBLANK(BN26),"N/A",BN26)</f>
        <v>N/A</v>
      </c>
      <c r="BN26" s="23"/>
      <c r="BO26" s="24"/>
      <c r="BQ26" s="21">
        <f>'Cash Flow Entry'!C355</f>
        <v>45643</v>
      </c>
      <c r="BR26" s="22" t="str">
        <f>'Cash Flow Entry'!H355</f>
        <v>Inflow</v>
      </c>
      <c r="BS26" s="22" t="str">
        <f>'Cash Flow Entry'!D355</f>
        <v>Operating</v>
      </c>
      <c r="BT26" s="23">
        <f>'Cash Flow Tracking'!H355</f>
        <v>40000</v>
      </c>
      <c r="BU26" s="24">
        <f>'Cash Flow Tracking'!I355</f>
        <v>0</v>
      </c>
    </row>
    <row r="27" spans="3:73" x14ac:dyDescent="0.3">
      <c r="C27" s="21">
        <f>'Cash Flow Entry'!C21</f>
        <v>45309</v>
      </c>
      <c r="D27" s="22" t="str">
        <f>'Cash Flow Entry'!H21</f>
        <v>Outflow</v>
      </c>
      <c r="E27" s="22" t="str">
        <f>'Cash Flow Entry'!D21</f>
        <v>Operating</v>
      </c>
      <c r="F27" s="23">
        <f>IF(D27="Inflow",'Cash Flow Entry'!F21,0)</f>
        <v>0</v>
      </c>
      <c r="G27" s="24">
        <f>IF(D27="Outflow",-'Cash Flow Entry'!F21,0)</f>
        <v>-1255</v>
      </c>
      <c r="I27" s="21">
        <f>'Cash Flow Entry'!C52</f>
        <v>45340</v>
      </c>
      <c r="J27" s="22" t="str">
        <f>'Cash Flow Entry'!H52</f>
        <v>Outflow</v>
      </c>
      <c r="K27" s="22" t="str">
        <f>'Cash Flow Entry'!D52</f>
        <v>Investing</v>
      </c>
      <c r="L27" s="23">
        <f>'Cash Flow Tracking'!H52</f>
        <v>0</v>
      </c>
      <c r="M27" s="24">
        <f>'Cash Flow Tracking'!I52</f>
        <v>-26000</v>
      </c>
      <c r="O27" s="21">
        <f>'Cash Flow Entry'!C81</f>
        <v>45369</v>
      </c>
      <c r="P27" s="22" t="str">
        <f t="shared" ref="P27:Q27" si="39">IF(ISBLANK(Q27),"N/A",Q27)</f>
        <v>N/A</v>
      </c>
      <c r="Q27" s="22" t="str">
        <f t="shared" si="39"/>
        <v>N/A</v>
      </c>
      <c r="R27" s="23"/>
      <c r="S27" s="24"/>
      <c r="U27" s="21">
        <f>'Cash Flow Entry'!C112</f>
        <v>45400</v>
      </c>
      <c r="V27" s="22" t="str">
        <f t="shared" ref="V27:W27" si="40">IF(ISBLANK(W27),"N/A",W27)</f>
        <v>N/A</v>
      </c>
      <c r="W27" s="22" t="str">
        <f t="shared" si="40"/>
        <v>N/A</v>
      </c>
      <c r="X27" s="23"/>
      <c r="Y27" s="24"/>
      <c r="AA27" s="21">
        <f>'Cash Flow Entry'!C142</f>
        <v>45430</v>
      </c>
      <c r="AB27" s="22" t="str">
        <f>'Cash Flow Entry'!H142</f>
        <v>Outflow</v>
      </c>
      <c r="AC27" s="22" t="str">
        <f>'Cash Flow Entry'!D142</f>
        <v>Operating</v>
      </c>
      <c r="AD27" s="23">
        <f>'Cash Flow Tracking'!H142</f>
        <v>0</v>
      </c>
      <c r="AE27" s="24">
        <f>'Cash Flow Tracking'!I142</f>
        <v>-8000</v>
      </c>
      <c r="AF27" s="25"/>
      <c r="AG27" s="21">
        <f>'Cash Flow Entry'!C173</f>
        <v>45461</v>
      </c>
      <c r="AH27" s="22" t="str">
        <f>IF(ISBLANK(AI27),"N/A",AI27)</f>
        <v>N/A</v>
      </c>
      <c r="AI27" s="22" t="str">
        <f>IF(ISBLANK(AJ27),"N/A",AJ27)</f>
        <v>N/A</v>
      </c>
      <c r="AJ27" s="23"/>
      <c r="AK27" s="24"/>
      <c r="AM27" s="21">
        <f>'Cash Flow Entry'!C203</f>
        <v>45491</v>
      </c>
      <c r="AN27" s="22" t="str">
        <f>'Cash Flow Entry'!H203</f>
        <v>Outflow</v>
      </c>
      <c r="AO27" s="22" t="str">
        <f>'Cash Flow Entry'!D203</f>
        <v>Financing</v>
      </c>
      <c r="AP27" s="23">
        <f>'Cash Flow Tracking'!H203</f>
        <v>0</v>
      </c>
      <c r="AQ27" s="24">
        <f>'Cash Flow Tracking'!I203</f>
        <v>-14000</v>
      </c>
      <c r="AS27" s="21">
        <f>'Cash Flow Entry'!C234</f>
        <v>45522</v>
      </c>
      <c r="AT27" s="22" t="str">
        <f>IF(ISBLANK(AU27),"N/A",AU27)</f>
        <v>N/A</v>
      </c>
      <c r="AU27" s="22" t="str">
        <f>IF(ISBLANK(AV27),"N/A",AV27)</f>
        <v>N/A</v>
      </c>
      <c r="AV27" s="23"/>
      <c r="AW27" s="24"/>
      <c r="AY27" s="21">
        <f>'Cash Flow Entry'!C265</f>
        <v>45553</v>
      </c>
      <c r="AZ27" s="22" t="str">
        <f>IF(ISBLANK(BA27),"N/A",BA27)</f>
        <v>N/A</v>
      </c>
      <c r="BA27" s="22" t="str">
        <f>IF(ISBLANK(BB27),"N/A",BB27)</f>
        <v>N/A</v>
      </c>
      <c r="BB27" s="23"/>
      <c r="BC27" s="24"/>
      <c r="BE27" s="21">
        <f>'Cash Flow Entry'!C295</f>
        <v>45583</v>
      </c>
      <c r="BF27" s="22" t="str">
        <f>'Cash Flow Entry'!H295</f>
        <v>Outflow</v>
      </c>
      <c r="BG27" s="22" t="str">
        <f>'Cash Flow Entry'!D295</f>
        <v>Financing</v>
      </c>
      <c r="BH27" s="23">
        <f>'Cash Flow Tracking'!H295</f>
        <v>0</v>
      </c>
      <c r="BI27" s="24">
        <f>'Cash Flow Tracking'!I295</f>
        <v>-5000</v>
      </c>
      <c r="BK27" s="21">
        <f>'Cash Flow Entry'!C326</f>
        <v>45614</v>
      </c>
      <c r="BL27" s="22" t="str">
        <f>'Cash Flow Entry'!H326</f>
        <v>Outflow</v>
      </c>
      <c r="BM27" s="22" t="str">
        <f>'Cash Flow Entry'!D326</f>
        <v>Operating</v>
      </c>
      <c r="BN27" s="23">
        <f>'Cash Flow Tracking'!H326</f>
        <v>0</v>
      </c>
      <c r="BO27" s="24">
        <f>'Cash Flow Tracking'!I326</f>
        <v>-40000</v>
      </c>
      <c r="BQ27" s="21">
        <f>'Cash Flow Entry'!C356</f>
        <v>45644</v>
      </c>
      <c r="BR27" s="22" t="str">
        <f>'Cash Flow Entry'!H356</f>
        <v>Inflow</v>
      </c>
      <c r="BS27" s="22" t="str">
        <f>'Cash Flow Entry'!D356</f>
        <v>Operating</v>
      </c>
      <c r="BT27" s="23">
        <f>'Cash Flow Tracking'!H356</f>
        <v>5000</v>
      </c>
      <c r="BU27" s="24">
        <f>'Cash Flow Tracking'!I356</f>
        <v>0</v>
      </c>
    </row>
    <row r="28" spans="3:73" x14ac:dyDescent="0.3">
      <c r="C28" s="21">
        <f>'Cash Flow Entry'!C22</f>
        <v>45310</v>
      </c>
      <c r="D28" s="22" t="str">
        <f>'Cash Flow Entry'!H22</f>
        <v>Outflow</v>
      </c>
      <c r="E28" s="22" t="str">
        <f>'Cash Flow Entry'!D22</f>
        <v>Operating</v>
      </c>
      <c r="F28" s="23">
        <f>IF(D28="Inflow",'Cash Flow Entry'!F22,0)</f>
        <v>0</v>
      </c>
      <c r="G28" s="24">
        <f>IF(D28="Outflow",-'Cash Flow Entry'!F22,0)</f>
        <v>-4400</v>
      </c>
      <c r="I28" s="21">
        <f>'Cash Flow Entry'!C53</f>
        <v>45341</v>
      </c>
      <c r="J28" s="22" t="str">
        <f>'Cash Flow Entry'!H53</f>
        <v>Outflow</v>
      </c>
      <c r="K28" s="22" t="str">
        <f>'Cash Flow Entry'!D53</f>
        <v>Operating</v>
      </c>
      <c r="L28" s="23">
        <f>'Cash Flow Tracking'!H53</f>
        <v>0</v>
      </c>
      <c r="M28" s="24">
        <f>'Cash Flow Tracking'!I53</f>
        <v>-2500</v>
      </c>
      <c r="O28" s="21">
        <f>'Cash Flow Entry'!C82</f>
        <v>45370</v>
      </c>
      <c r="P28" s="22" t="str">
        <f t="shared" ref="P28:Q28" si="41">IF(ISBLANK(Q28),"N/A",Q28)</f>
        <v>N/A</v>
      </c>
      <c r="Q28" s="22" t="str">
        <f t="shared" si="41"/>
        <v>N/A</v>
      </c>
      <c r="R28" s="23"/>
      <c r="S28" s="24"/>
      <c r="U28" s="21">
        <f>'Cash Flow Entry'!C113</f>
        <v>45401</v>
      </c>
      <c r="V28" s="22" t="str">
        <f t="shared" ref="V28:W28" si="42">IF(ISBLANK(W28),"N/A",W28)</f>
        <v>N/A</v>
      </c>
      <c r="W28" s="22" t="str">
        <f t="shared" si="42"/>
        <v>N/A</v>
      </c>
      <c r="X28" s="23"/>
      <c r="Y28" s="24"/>
      <c r="AA28" s="21">
        <f>'Cash Flow Entry'!C143</f>
        <v>45431</v>
      </c>
      <c r="AB28" s="22" t="str">
        <f>IF(ISBLANK(AC28),"N/A",AC28)</f>
        <v>N/A</v>
      </c>
      <c r="AC28" s="22" t="str">
        <f>IF(ISBLANK(AD28),"N/A",AD28)</f>
        <v>N/A</v>
      </c>
      <c r="AD28" s="23"/>
      <c r="AE28" s="24"/>
      <c r="AF28" s="25"/>
      <c r="AG28" s="21">
        <f>'Cash Flow Entry'!C174</f>
        <v>45462</v>
      </c>
      <c r="AH28" s="22" t="str">
        <f>IF(ISBLANK(AI28),"N/A",AI28)</f>
        <v>N/A</v>
      </c>
      <c r="AI28" s="22" t="str">
        <f>IF(ISBLANK(AJ28),"N/A",AJ28)</f>
        <v>N/A</v>
      </c>
      <c r="AJ28" s="23"/>
      <c r="AK28" s="24"/>
      <c r="AM28" s="21">
        <f>'Cash Flow Entry'!C204</f>
        <v>45492</v>
      </c>
      <c r="AN28" s="22" t="str">
        <f>IF(ISBLANK(AO28),"N/A",AO28)</f>
        <v>N/A</v>
      </c>
      <c r="AO28" s="22" t="str">
        <f>IF(ISBLANK(AP28),"N/A",AP28)</f>
        <v>N/A</v>
      </c>
      <c r="AP28" s="23"/>
      <c r="AQ28" s="24"/>
      <c r="AS28" s="21">
        <f>'Cash Flow Entry'!C235</f>
        <v>45523</v>
      </c>
      <c r="AT28" s="22" t="str">
        <f t="shared" ref="AT28:AU30" si="43">IF(ISBLANK(AU28),"N/A",AU28)</f>
        <v>N/A</v>
      </c>
      <c r="AU28" s="22" t="str">
        <f t="shared" si="43"/>
        <v>N/A</v>
      </c>
      <c r="AV28" s="23"/>
      <c r="AW28" s="24"/>
      <c r="AY28" s="21">
        <f>'Cash Flow Entry'!C266</f>
        <v>45554</v>
      </c>
      <c r="AZ28" s="22" t="str">
        <f t="shared" ref="AZ28:BA29" si="44">IF(ISBLANK(BA28),"N/A",BA28)</f>
        <v>N/A</v>
      </c>
      <c r="BA28" s="22" t="str">
        <f t="shared" si="44"/>
        <v>N/A</v>
      </c>
      <c r="BB28" s="23"/>
      <c r="BC28" s="24"/>
      <c r="BE28" s="21">
        <f>'Cash Flow Entry'!C296</f>
        <v>45584</v>
      </c>
      <c r="BF28" s="22" t="str">
        <f>IF(ISBLANK(BG28),"N/A",BG28)</f>
        <v>N/A</v>
      </c>
      <c r="BG28" s="22" t="str">
        <f>IF(ISBLANK(BH28),"N/A",BH28)</f>
        <v>N/A</v>
      </c>
      <c r="BH28" s="23"/>
      <c r="BI28" s="24"/>
      <c r="BK28" s="21">
        <f>'Cash Flow Entry'!C327</f>
        <v>45615</v>
      </c>
      <c r="BL28" s="22" t="str">
        <f>IF(ISBLANK(BM28),"N/A",BM28)</f>
        <v>N/A</v>
      </c>
      <c r="BM28" s="22" t="str">
        <f>IF(ISBLANK(BN28),"N/A",BN28)</f>
        <v>N/A</v>
      </c>
      <c r="BN28" s="23"/>
      <c r="BO28" s="24"/>
      <c r="BQ28" s="21">
        <f>'Cash Flow Entry'!C357</f>
        <v>45645</v>
      </c>
      <c r="BR28" s="22" t="str">
        <f>IF(ISBLANK(BS28),"N/A",BS28)</f>
        <v>N/A</v>
      </c>
      <c r="BS28" s="22" t="str">
        <f>IF(ISBLANK(BT28),"N/A",BT28)</f>
        <v>N/A</v>
      </c>
      <c r="BT28" s="23"/>
      <c r="BU28" s="24"/>
    </row>
    <row r="29" spans="3:73" x14ac:dyDescent="0.3">
      <c r="C29" s="21">
        <f>'Cash Flow Entry'!C23</f>
        <v>45311</v>
      </c>
      <c r="D29" s="22" t="str">
        <f>'Cash Flow Entry'!H23</f>
        <v>Inflow</v>
      </c>
      <c r="E29" s="22" t="str">
        <f>'Cash Flow Entry'!D23</f>
        <v>Financing</v>
      </c>
      <c r="F29" s="23">
        <f>IF(D29="Inflow",'Cash Flow Entry'!F23,0)</f>
        <v>5500</v>
      </c>
      <c r="G29" s="24">
        <f>IF(D29="Outflow",-'Cash Flow Entry'!F23,0)</f>
        <v>0</v>
      </c>
      <c r="I29" s="21">
        <f>'Cash Flow Entry'!C54</f>
        <v>45342</v>
      </c>
      <c r="J29" s="22" t="str">
        <f>IF(ISBLANK(K29),"N/A",K29)</f>
        <v>N/A</v>
      </c>
      <c r="K29" s="22" t="str">
        <f>IF(ISBLANK(L29),"N/A",L29)</f>
        <v>N/A</v>
      </c>
      <c r="L29" s="23"/>
      <c r="M29" s="24"/>
      <c r="O29" s="21">
        <f>'Cash Flow Entry'!C83</f>
        <v>45371</v>
      </c>
      <c r="P29" s="22" t="str">
        <f t="shared" ref="P29:Q29" si="45">IF(ISBLANK(Q29),"N/A",Q29)</f>
        <v>N/A</v>
      </c>
      <c r="Q29" s="22" t="str">
        <f t="shared" si="45"/>
        <v>N/A</v>
      </c>
      <c r="R29" s="23"/>
      <c r="S29" s="24"/>
      <c r="U29" s="21">
        <f>'Cash Flow Entry'!C114</f>
        <v>45402</v>
      </c>
      <c r="V29" s="22" t="str">
        <f>'Cash Flow Entry'!H114</f>
        <v>Outflow</v>
      </c>
      <c r="W29" s="22" t="str">
        <f>'Cash Flow Entry'!D114</f>
        <v>Operating</v>
      </c>
      <c r="X29" s="23">
        <f>'Cash Flow Tracking'!H114</f>
        <v>0</v>
      </c>
      <c r="Y29" s="24">
        <f>'Cash Flow Tracking'!I114</f>
        <v>-18000</v>
      </c>
      <c r="AA29" s="21">
        <f>'Cash Flow Entry'!C144</f>
        <v>45432</v>
      </c>
      <c r="AB29" s="22" t="str">
        <f>'Cash Flow Entry'!H144</f>
        <v>Inflow</v>
      </c>
      <c r="AC29" s="22" t="str">
        <f>'Cash Flow Entry'!D144</f>
        <v>Operating</v>
      </c>
      <c r="AD29" s="23">
        <f>'Cash Flow Tracking'!H144</f>
        <v>18000</v>
      </c>
      <c r="AE29" s="24">
        <f>'Cash Flow Tracking'!I144</f>
        <v>0</v>
      </c>
      <c r="AF29" s="25"/>
      <c r="AG29" s="21">
        <f>'Cash Flow Entry'!C175</f>
        <v>45463</v>
      </c>
      <c r="AH29" s="22" t="str">
        <f>'Cash Flow Entry'!H175</f>
        <v>Inflow</v>
      </c>
      <c r="AI29" s="22" t="str">
        <f>'Cash Flow Entry'!D175</f>
        <v>Operating</v>
      </c>
      <c r="AJ29" s="23">
        <f>'Cash Flow Tracking'!H175</f>
        <v>32000</v>
      </c>
      <c r="AK29" s="24">
        <f>'Cash Flow Tracking'!I175</f>
        <v>0</v>
      </c>
      <c r="AM29" s="21">
        <f>'Cash Flow Entry'!C205</f>
        <v>45493</v>
      </c>
      <c r="AN29" s="22" t="str">
        <f>'Cash Flow Entry'!H205</f>
        <v>Outflow</v>
      </c>
      <c r="AO29" s="22" t="str">
        <f>'Cash Flow Entry'!D205</f>
        <v>Operating</v>
      </c>
      <c r="AP29" s="23">
        <f>'Cash Flow Tracking'!H205</f>
        <v>0</v>
      </c>
      <c r="AQ29" s="24">
        <f>'Cash Flow Tracking'!I205</f>
        <v>-20000</v>
      </c>
      <c r="AS29" s="21">
        <f>'Cash Flow Entry'!C236</f>
        <v>45524</v>
      </c>
      <c r="AT29" s="22" t="str">
        <f t="shared" si="43"/>
        <v>N/A</v>
      </c>
      <c r="AU29" s="22" t="str">
        <f t="shared" si="43"/>
        <v>N/A</v>
      </c>
      <c r="AV29" s="23"/>
      <c r="AW29" s="24"/>
      <c r="AY29" s="21">
        <f>'Cash Flow Entry'!C267</f>
        <v>45555</v>
      </c>
      <c r="AZ29" s="22" t="str">
        <f t="shared" si="44"/>
        <v>N/A</v>
      </c>
      <c r="BA29" s="22" t="str">
        <f t="shared" si="44"/>
        <v>N/A</v>
      </c>
      <c r="BB29" s="23"/>
      <c r="BC29" s="24"/>
      <c r="BE29" s="21">
        <f>'Cash Flow Entry'!C297</f>
        <v>45585</v>
      </c>
      <c r="BF29" s="22" t="str">
        <f>IF(ISBLANK(BG29),"N/A",BG29)</f>
        <v>N/A</v>
      </c>
      <c r="BG29" s="22" t="str">
        <f>IF(ISBLANK(BH29),"N/A",BH29)</f>
        <v>N/A</v>
      </c>
      <c r="BH29" s="23"/>
      <c r="BI29" s="24"/>
      <c r="BK29" s="21">
        <f>'Cash Flow Entry'!C328</f>
        <v>45616</v>
      </c>
      <c r="BL29" s="22" t="str">
        <f>'Cash Flow Entry'!H328</f>
        <v>Inflow</v>
      </c>
      <c r="BM29" s="22" t="str">
        <f>'Cash Flow Entry'!D328</f>
        <v>Operating</v>
      </c>
      <c r="BN29" s="23">
        <f>'Cash Flow Tracking'!H328</f>
        <v>180000</v>
      </c>
      <c r="BO29" s="24">
        <f>'Cash Flow Tracking'!I328</f>
        <v>0</v>
      </c>
      <c r="BQ29" s="21">
        <f>'Cash Flow Entry'!C358</f>
        <v>45646</v>
      </c>
      <c r="BR29" s="22" t="str">
        <f>IF(ISBLANK(BS29),"N/A",BS29)</f>
        <v>N/A</v>
      </c>
      <c r="BS29" s="22" t="str">
        <f>IF(ISBLANK(BT29),"N/A",BT29)</f>
        <v>N/A</v>
      </c>
      <c r="BT29" s="23"/>
      <c r="BU29" s="24"/>
    </row>
    <row r="30" spans="3:73" x14ac:dyDescent="0.3">
      <c r="C30" s="21">
        <f>'Cash Flow Entry'!C24</f>
        <v>45312</v>
      </c>
      <c r="D30" s="22" t="str">
        <f>'Cash Flow Entry'!H24</f>
        <v>Inflow</v>
      </c>
      <c r="E30" s="22" t="str">
        <f>'Cash Flow Entry'!D24</f>
        <v>Operating</v>
      </c>
      <c r="F30" s="23">
        <f>IF(D30="Inflow",'Cash Flow Entry'!F24,0)</f>
        <v>11100</v>
      </c>
      <c r="G30" s="24">
        <f>IF(D30="Outflow",-'Cash Flow Entry'!F24,0)</f>
        <v>0</v>
      </c>
      <c r="I30" s="21">
        <f>'Cash Flow Entry'!C55</f>
        <v>45343</v>
      </c>
      <c r="J30" s="22" t="str">
        <f>IF(ISBLANK(K30),"N/A",K30)</f>
        <v>N/A</v>
      </c>
      <c r="K30" s="22" t="str">
        <f>IF(ISBLANK(L30),"N/A",L30)</f>
        <v>N/A</v>
      </c>
      <c r="L30" s="23"/>
      <c r="M30" s="24"/>
      <c r="O30" s="21">
        <f>'Cash Flow Entry'!C84</f>
        <v>45372</v>
      </c>
      <c r="P30" s="22" t="str">
        <f t="shared" ref="P30:Q30" si="46">IF(ISBLANK(Q30),"N/A",Q30)</f>
        <v>N/A</v>
      </c>
      <c r="Q30" s="22" t="str">
        <f t="shared" si="46"/>
        <v>N/A</v>
      </c>
      <c r="R30" s="23"/>
      <c r="S30" s="24"/>
      <c r="U30" s="21">
        <f>'Cash Flow Entry'!C115</f>
        <v>45403</v>
      </c>
      <c r="V30" s="22" t="str">
        <f t="shared" ref="V30:W30" si="47">IF(ISBLANK(W30),"N/A",W30)</f>
        <v>N/A</v>
      </c>
      <c r="W30" s="22" t="str">
        <f t="shared" si="47"/>
        <v>N/A</v>
      </c>
      <c r="X30" s="23"/>
      <c r="Y30" s="24"/>
      <c r="AA30" s="21">
        <f>'Cash Flow Entry'!C145</f>
        <v>45433</v>
      </c>
      <c r="AB30" s="22" t="str">
        <f t="shared" ref="AB30:AC30" si="48">IF(ISBLANK(AC30),"N/A",AC30)</f>
        <v>N/A</v>
      </c>
      <c r="AC30" s="22" t="str">
        <f t="shared" si="48"/>
        <v>N/A</v>
      </c>
      <c r="AD30" s="23"/>
      <c r="AE30" s="24"/>
      <c r="AF30" s="25"/>
      <c r="AG30" s="21">
        <f>'Cash Flow Entry'!C176</f>
        <v>45464</v>
      </c>
      <c r="AH30" s="22" t="str">
        <f>IF(ISBLANK(AI30),"N/A",AI30)</f>
        <v>N/A</v>
      </c>
      <c r="AI30" s="22" t="str">
        <f>IF(ISBLANK(AJ30),"N/A",AJ30)</f>
        <v>N/A</v>
      </c>
      <c r="AJ30" s="23"/>
      <c r="AK30" s="24"/>
      <c r="AM30" s="21">
        <f>'Cash Flow Entry'!C206</f>
        <v>45494</v>
      </c>
      <c r="AN30" s="22" t="str">
        <f>'Cash Flow Entry'!H206</f>
        <v>Inflow</v>
      </c>
      <c r="AO30" s="22" t="str">
        <f>'Cash Flow Entry'!D206</f>
        <v>Investing</v>
      </c>
      <c r="AP30" s="23">
        <f>'Cash Flow Tracking'!H206</f>
        <v>10000</v>
      </c>
      <c r="AQ30" s="24">
        <f>'Cash Flow Tracking'!I206</f>
        <v>0</v>
      </c>
      <c r="AS30" s="21">
        <f>'Cash Flow Entry'!C237</f>
        <v>45525</v>
      </c>
      <c r="AT30" s="22" t="str">
        <f t="shared" si="43"/>
        <v>N/A</v>
      </c>
      <c r="AU30" s="22" t="str">
        <f t="shared" si="43"/>
        <v>N/A</v>
      </c>
      <c r="AV30" s="23"/>
      <c r="AW30" s="24"/>
      <c r="AY30" s="21">
        <f>'Cash Flow Entry'!C268</f>
        <v>45556</v>
      </c>
      <c r="AZ30" s="22" t="str">
        <f>'Cash Flow Entry'!H268</f>
        <v>Outflow</v>
      </c>
      <c r="BA30" s="22" t="str">
        <f>'Cash Flow Entry'!D268</f>
        <v>Operating</v>
      </c>
      <c r="BB30" s="23">
        <f>'Cash Flow Tracking'!H268</f>
        <v>0</v>
      </c>
      <c r="BC30" s="24">
        <f>'Cash Flow Tracking'!I268</f>
        <v>-1000</v>
      </c>
      <c r="BE30" s="21">
        <f>'Cash Flow Entry'!C298</f>
        <v>45586</v>
      </c>
      <c r="BF30" s="22" t="str">
        <f>'Cash Flow Entry'!H298</f>
        <v>Outflow</v>
      </c>
      <c r="BG30" s="22" t="str">
        <f>'Cash Flow Entry'!D298</f>
        <v>Operating</v>
      </c>
      <c r="BH30" s="23">
        <f>'Cash Flow Tracking'!H298</f>
        <v>0</v>
      </c>
      <c r="BI30" s="24">
        <f>'Cash Flow Tracking'!I298</f>
        <v>-1800</v>
      </c>
      <c r="BK30" s="21">
        <f>'Cash Flow Entry'!C329</f>
        <v>45617</v>
      </c>
      <c r="BL30" s="22" t="str">
        <f>IF(ISBLANK(BM30),"N/A",BM30)</f>
        <v>N/A</v>
      </c>
      <c r="BM30" s="22" t="str">
        <f>IF(ISBLANK(BN30),"N/A",BN30)</f>
        <v>N/A</v>
      </c>
      <c r="BN30" s="23"/>
      <c r="BO30" s="24"/>
      <c r="BQ30" s="21">
        <f>'Cash Flow Entry'!C359</f>
        <v>45647</v>
      </c>
      <c r="BR30" s="22" t="str">
        <f>'Cash Flow Entry'!H359</f>
        <v>Outflow</v>
      </c>
      <c r="BS30" s="22" t="str">
        <f>'Cash Flow Entry'!D359</f>
        <v>Investing</v>
      </c>
      <c r="BT30" s="23">
        <f>'Cash Flow Tracking'!H359</f>
        <v>0</v>
      </c>
      <c r="BU30" s="24">
        <f>'Cash Flow Tracking'!I359</f>
        <v>-20000</v>
      </c>
    </row>
    <row r="31" spans="3:73" x14ac:dyDescent="0.3">
      <c r="C31" s="21">
        <f>'Cash Flow Entry'!C25</f>
        <v>45313</v>
      </c>
      <c r="D31" s="22" t="str">
        <f>'Cash Flow Entry'!H25</f>
        <v>Outflow</v>
      </c>
      <c r="E31" s="22" t="str">
        <f>'Cash Flow Entry'!D25</f>
        <v>Operating</v>
      </c>
      <c r="F31" s="23">
        <f>IF(D31="Inflow",'Cash Flow Entry'!F25,0)</f>
        <v>0</v>
      </c>
      <c r="G31" s="24">
        <f>IF(D31="Outflow",-'Cash Flow Entry'!F25,0)</f>
        <v>-2000</v>
      </c>
      <c r="I31" s="21">
        <f>'Cash Flow Entry'!C56</f>
        <v>45344</v>
      </c>
      <c r="J31" s="22" t="str">
        <f>'Cash Flow Entry'!H56</f>
        <v>Inflow</v>
      </c>
      <c r="K31" s="22" t="str">
        <f>'Cash Flow Entry'!D56</f>
        <v>Operating</v>
      </c>
      <c r="L31" s="23">
        <f>'Cash Flow Tracking'!H56</f>
        <v>15800</v>
      </c>
      <c r="M31" s="24">
        <f>'Cash Flow Tracking'!I56</f>
        <v>0</v>
      </c>
      <c r="O31" s="21">
        <f>'Cash Flow Entry'!C85</f>
        <v>45373</v>
      </c>
      <c r="P31" s="22" t="str">
        <f t="shared" ref="P31:Q31" si="49">IF(ISBLANK(Q31),"N/A",Q31)</f>
        <v>N/A</v>
      </c>
      <c r="Q31" s="22" t="str">
        <f t="shared" si="49"/>
        <v>N/A</v>
      </c>
      <c r="R31" s="23"/>
      <c r="S31" s="24"/>
      <c r="U31" s="21">
        <f>'Cash Flow Entry'!C116</f>
        <v>45404</v>
      </c>
      <c r="V31" s="22" t="str">
        <f t="shared" ref="V31:W31" si="50">IF(ISBLANK(W31),"N/A",W31)</f>
        <v>N/A</v>
      </c>
      <c r="W31" s="22" t="str">
        <f t="shared" si="50"/>
        <v>N/A</v>
      </c>
      <c r="X31" s="23"/>
      <c r="Y31" s="24"/>
      <c r="AA31" s="21">
        <f>'Cash Flow Entry'!C146</f>
        <v>45434</v>
      </c>
      <c r="AB31" s="22" t="str">
        <f t="shared" ref="AB31:AC31" si="51">IF(ISBLANK(AC31),"N/A",AC31)</f>
        <v>N/A</v>
      </c>
      <c r="AC31" s="22" t="str">
        <f t="shared" si="51"/>
        <v>N/A</v>
      </c>
      <c r="AD31" s="23"/>
      <c r="AE31" s="24"/>
      <c r="AF31" s="25"/>
      <c r="AG31" s="21">
        <f>'Cash Flow Entry'!C177</f>
        <v>45465</v>
      </c>
      <c r="AH31" s="22" t="str">
        <f>'Cash Flow Entry'!H177</f>
        <v>Outflow</v>
      </c>
      <c r="AI31" s="22" t="str">
        <f>'Cash Flow Entry'!D177</f>
        <v>Operating</v>
      </c>
      <c r="AJ31" s="23">
        <f>'Cash Flow Tracking'!H177</f>
        <v>0</v>
      </c>
      <c r="AK31" s="24">
        <f>'Cash Flow Tracking'!I177</f>
        <v>-30000</v>
      </c>
      <c r="AM31" s="21">
        <f>'Cash Flow Entry'!C207</f>
        <v>45495</v>
      </c>
      <c r="AN31" s="22" t="str">
        <f t="shared" ref="AN31:AO31" si="52">IF(ISBLANK(AO31),"N/A",AO31)</f>
        <v>N/A</v>
      </c>
      <c r="AO31" s="22" t="str">
        <f t="shared" si="52"/>
        <v>N/A</v>
      </c>
      <c r="AP31" s="23"/>
      <c r="AQ31" s="24"/>
      <c r="AS31" s="21">
        <f>'Cash Flow Entry'!C238</f>
        <v>45526</v>
      </c>
      <c r="AT31" s="22" t="str">
        <f>'Cash Flow Entry'!H238</f>
        <v>Inflow</v>
      </c>
      <c r="AU31" s="22" t="str">
        <f>'Cash Flow Entry'!D238</f>
        <v>Operating</v>
      </c>
      <c r="AV31" s="23">
        <f>'Cash Flow Tracking'!H238</f>
        <v>25000</v>
      </c>
      <c r="AW31" s="24">
        <f>'Cash Flow Tracking'!I238</f>
        <v>0</v>
      </c>
      <c r="AY31" s="21">
        <f>'Cash Flow Entry'!C269</f>
        <v>45557</v>
      </c>
      <c r="AZ31" s="22" t="str">
        <f>'Cash Flow Entry'!H269</f>
        <v>Inflow</v>
      </c>
      <c r="BA31" s="22" t="str">
        <f>'Cash Flow Entry'!D269</f>
        <v>Investing</v>
      </c>
      <c r="BB31" s="23">
        <f>'Cash Flow Tracking'!H269</f>
        <v>125000</v>
      </c>
      <c r="BC31" s="24">
        <f>'Cash Flow Tracking'!I269</f>
        <v>0</v>
      </c>
      <c r="BE31" s="21">
        <f>'Cash Flow Entry'!C299</f>
        <v>45587</v>
      </c>
      <c r="BF31" s="22" t="str">
        <f>IF(ISBLANK(BG31),"N/A",BG31)</f>
        <v>N/A</v>
      </c>
      <c r="BG31" s="22" t="str">
        <f>IF(ISBLANK(BH31),"N/A",BH31)</f>
        <v>N/A</v>
      </c>
      <c r="BH31" s="23"/>
      <c r="BI31" s="24"/>
      <c r="BK31" s="21">
        <f>'Cash Flow Entry'!C330</f>
        <v>45618</v>
      </c>
      <c r="BL31" s="22" t="str">
        <f t="shared" ref="BL31:BM32" si="53">IF(ISBLANK(BM31),"N/A",BM31)</f>
        <v>N/A</v>
      </c>
      <c r="BM31" s="22" t="str">
        <f t="shared" si="53"/>
        <v>N/A</v>
      </c>
      <c r="BN31" s="23"/>
      <c r="BO31" s="24"/>
      <c r="BQ31" s="21">
        <f>'Cash Flow Entry'!C360</f>
        <v>45648</v>
      </c>
      <c r="BR31" s="22" t="str">
        <f>'Cash Flow Entry'!H360</f>
        <v>Outflow</v>
      </c>
      <c r="BS31" s="22" t="str">
        <f>'Cash Flow Entry'!D360</f>
        <v>Operating</v>
      </c>
      <c r="BT31" s="23">
        <f>'Cash Flow Tracking'!H360</f>
        <v>0</v>
      </c>
      <c r="BU31" s="24">
        <f>'Cash Flow Tracking'!I360</f>
        <v>-2000</v>
      </c>
    </row>
    <row r="32" spans="3:73" x14ac:dyDescent="0.3">
      <c r="C32" s="21">
        <f>'Cash Flow Entry'!C26</f>
        <v>45314</v>
      </c>
      <c r="D32" s="22" t="str">
        <f>'Cash Flow Entry'!H26</f>
        <v>Outflow</v>
      </c>
      <c r="E32" s="22" t="str">
        <f>'Cash Flow Entry'!D26</f>
        <v>Operating</v>
      </c>
      <c r="F32" s="23">
        <f>IF(D32="Inflow",'Cash Flow Entry'!F26,0)</f>
        <v>0</v>
      </c>
      <c r="G32" s="24">
        <f>IF(D32="Outflow",-'Cash Flow Entry'!F26,0)</f>
        <v>-5600</v>
      </c>
      <c r="I32" s="21">
        <f>'Cash Flow Entry'!C57</f>
        <v>45345</v>
      </c>
      <c r="J32" s="22" t="str">
        <f>'Cash Flow Entry'!H57</f>
        <v>Inflow</v>
      </c>
      <c r="K32" s="22" t="str">
        <f>'Cash Flow Entry'!D57</f>
        <v>Investing</v>
      </c>
      <c r="L32" s="23">
        <f>'Cash Flow Tracking'!H57</f>
        <v>18000</v>
      </c>
      <c r="M32" s="24">
        <f>'Cash Flow Tracking'!I57</f>
        <v>0</v>
      </c>
      <c r="O32" s="21">
        <f>'Cash Flow Entry'!C86</f>
        <v>45374</v>
      </c>
      <c r="P32" s="22" t="str">
        <f t="shared" ref="P32:Q32" si="54">IF(ISBLANK(Q32),"N/A",Q32)</f>
        <v>N/A</v>
      </c>
      <c r="Q32" s="22" t="str">
        <f t="shared" si="54"/>
        <v>N/A</v>
      </c>
      <c r="R32" s="23"/>
      <c r="S32" s="24"/>
      <c r="U32" s="21">
        <f>'Cash Flow Entry'!C117</f>
        <v>45405</v>
      </c>
      <c r="V32" s="22" t="str">
        <f t="shared" ref="V32:W32" si="55">IF(ISBLANK(W32),"N/A",W32)</f>
        <v>N/A</v>
      </c>
      <c r="W32" s="22" t="str">
        <f t="shared" si="55"/>
        <v>N/A</v>
      </c>
      <c r="X32" s="23"/>
      <c r="Y32" s="24"/>
      <c r="AA32" s="21">
        <f>'Cash Flow Entry'!C147</f>
        <v>45435</v>
      </c>
      <c r="AB32" s="22" t="str">
        <f t="shared" ref="AB32:AC32" si="56">IF(ISBLANK(AC32),"N/A",AC32)</f>
        <v>N/A</v>
      </c>
      <c r="AC32" s="22" t="str">
        <f t="shared" si="56"/>
        <v>N/A</v>
      </c>
      <c r="AD32" s="23"/>
      <c r="AE32" s="24"/>
      <c r="AF32" s="25"/>
      <c r="AG32" s="21">
        <f>'Cash Flow Entry'!C178</f>
        <v>45466</v>
      </c>
      <c r="AH32" s="22" t="str">
        <f>IF(ISBLANK(AI32),"N/A",AI32)</f>
        <v>N/A</v>
      </c>
      <c r="AI32" s="22" t="str">
        <f>IF(ISBLANK(AJ32),"N/A",AJ32)</f>
        <v>N/A</v>
      </c>
      <c r="AJ32" s="23"/>
      <c r="AK32" s="24"/>
      <c r="AM32" s="21">
        <f>'Cash Flow Entry'!C208</f>
        <v>45496</v>
      </c>
      <c r="AN32" s="22" t="str">
        <f t="shared" ref="AN32:AO32" si="57">IF(ISBLANK(AO32),"N/A",AO32)</f>
        <v>N/A</v>
      </c>
      <c r="AO32" s="22" t="str">
        <f t="shared" si="57"/>
        <v>N/A</v>
      </c>
      <c r="AP32" s="23"/>
      <c r="AQ32" s="24"/>
      <c r="AS32" s="21">
        <f>'Cash Flow Entry'!C239</f>
        <v>45527</v>
      </c>
      <c r="AT32" s="22" t="str">
        <f>'Cash Flow Entry'!H239</f>
        <v>Outflow</v>
      </c>
      <c r="AU32" s="22" t="str">
        <f>'Cash Flow Entry'!D239</f>
        <v>Operating</v>
      </c>
      <c r="AV32" s="23">
        <f>'Cash Flow Tracking'!H239</f>
        <v>0</v>
      </c>
      <c r="AW32" s="24">
        <f>'Cash Flow Tracking'!I239</f>
        <v>-1400</v>
      </c>
      <c r="AY32" s="21">
        <f>'Cash Flow Entry'!C270</f>
        <v>45558</v>
      </c>
      <c r="AZ32" s="22" t="str">
        <f>IF(ISBLANK(BA32),"N/A",BA32)</f>
        <v>N/A</v>
      </c>
      <c r="BA32" s="22" t="str">
        <f>IF(ISBLANK(BB32),"N/A",BB32)</f>
        <v>N/A</v>
      </c>
      <c r="BB32" s="23"/>
      <c r="BC32" s="24"/>
      <c r="BE32" s="21">
        <f>'Cash Flow Entry'!C300</f>
        <v>45588</v>
      </c>
      <c r="BF32" s="22" t="str">
        <f>'Cash Flow Entry'!H300</f>
        <v>Inflow</v>
      </c>
      <c r="BG32" s="22" t="str">
        <f>'Cash Flow Entry'!D300</f>
        <v>Operating</v>
      </c>
      <c r="BH32" s="23">
        <f>'Cash Flow Tracking'!H300</f>
        <v>1800</v>
      </c>
      <c r="BI32" s="24">
        <f>'Cash Flow Tracking'!I300</f>
        <v>0</v>
      </c>
      <c r="BK32" s="21">
        <f>'Cash Flow Entry'!C331</f>
        <v>45619</v>
      </c>
      <c r="BL32" s="22" t="str">
        <f t="shared" si="53"/>
        <v>N/A</v>
      </c>
      <c r="BM32" s="22" t="str">
        <f t="shared" si="53"/>
        <v>N/A</v>
      </c>
      <c r="BN32" s="23"/>
      <c r="BO32" s="24"/>
      <c r="BQ32" s="21">
        <f>'Cash Flow Entry'!C361</f>
        <v>45649</v>
      </c>
      <c r="BR32" s="22" t="str">
        <f>IF(ISBLANK(BS32),"N/A",BS32)</f>
        <v>N/A</v>
      </c>
      <c r="BS32" s="22" t="str">
        <f>IF(ISBLANK(BT32),"N/A",BT32)</f>
        <v>N/A</v>
      </c>
      <c r="BT32" s="23"/>
      <c r="BU32" s="24"/>
    </row>
    <row r="33" spans="3:73" x14ac:dyDescent="0.3">
      <c r="C33" s="21">
        <f>'Cash Flow Entry'!C27</f>
        <v>45315</v>
      </c>
      <c r="D33" s="22" t="str">
        <f>'Cash Flow Entry'!H27</f>
        <v>Outflow</v>
      </c>
      <c r="E33" s="22" t="str">
        <f>'Cash Flow Entry'!D27</f>
        <v>Operating</v>
      </c>
      <c r="F33" s="23">
        <f>IF(D33="Inflow",'Cash Flow Entry'!F27,0)</f>
        <v>0</v>
      </c>
      <c r="G33" s="24">
        <f>IF(D33="Outflow",-'Cash Flow Entry'!F27,0)</f>
        <v>-18000</v>
      </c>
      <c r="I33" s="21">
        <f>'Cash Flow Entry'!C58</f>
        <v>45346</v>
      </c>
      <c r="J33" s="22" t="str">
        <f>IF(ISBLANK(K33),"N/A",K33)</f>
        <v>N/A</v>
      </c>
      <c r="K33" s="22" t="str">
        <f>IF(ISBLANK(L33),"N/A",L33)</f>
        <v>N/A</v>
      </c>
      <c r="L33" s="23"/>
      <c r="M33" s="24"/>
      <c r="O33" s="21">
        <f>'Cash Flow Entry'!C87</f>
        <v>45375</v>
      </c>
      <c r="P33" s="22" t="str">
        <f t="shared" ref="P33:Q33" si="58">IF(ISBLANK(Q33),"N/A",Q33)</f>
        <v>N/A</v>
      </c>
      <c r="Q33" s="22" t="str">
        <f t="shared" si="58"/>
        <v>N/A</v>
      </c>
      <c r="R33" s="23"/>
      <c r="S33" s="24"/>
      <c r="U33" s="21">
        <f>'Cash Flow Entry'!C118</f>
        <v>45406</v>
      </c>
      <c r="V33" s="22" t="str">
        <f>'Cash Flow Entry'!H118</f>
        <v>Inflow</v>
      </c>
      <c r="W33" s="22" t="str">
        <f>'Cash Flow Entry'!D118</f>
        <v>Operating</v>
      </c>
      <c r="X33" s="23">
        <f>'Cash Flow Tracking'!H118</f>
        <v>30000</v>
      </c>
      <c r="Y33" s="24">
        <f>'Cash Flow Tracking'!I118</f>
        <v>0</v>
      </c>
      <c r="AA33" s="21">
        <f>'Cash Flow Entry'!C148</f>
        <v>45436</v>
      </c>
      <c r="AB33" s="22" t="str">
        <f t="shared" ref="AB33:AC33" si="59">IF(ISBLANK(AC33),"N/A",AC33)</f>
        <v>N/A</v>
      </c>
      <c r="AC33" s="22" t="str">
        <f t="shared" si="59"/>
        <v>N/A</v>
      </c>
      <c r="AD33" s="23"/>
      <c r="AE33" s="24"/>
      <c r="AF33" s="25"/>
      <c r="AG33" s="21">
        <f>'Cash Flow Entry'!C179</f>
        <v>45467</v>
      </c>
      <c r="AH33" s="22" t="str">
        <f t="shared" ref="AH33:AI35" si="60">IF(ISBLANK(AI33),"N/A",AI33)</f>
        <v>N/A</v>
      </c>
      <c r="AI33" s="22" t="str">
        <f t="shared" si="60"/>
        <v>N/A</v>
      </c>
      <c r="AJ33" s="23"/>
      <c r="AK33" s="24"/>
      <c r="AM33" s="21">
        <f>'Cash Flow Entry'!C209</f>
        <v>45497</v>
      </c>
      <c r="AN33" s="22" t="str">
        <f>'Cash Flow Entry'!H209</f>
        <v>Outflow</v>
      </c>
      <c r="AO33" s="22" t="str">
        <f>'Cash Flow Entry'!D209</f>
        <v>Operating</v>
      </c>
      <c r="AP33" s="23">
        <f>'Cash Flow Tracking'!H209</f>
        <v>0</v>
      </c>
      <c r="AQ33" s="24">
        <f>'Cash Flow Tracking'!I209</f>
        <v>-1000</v>
      </c>
      <c r="AS33" s="21">
        <f>'Cash Flow Entry'!C240</f>
        <v>45528</v>
      </c>
      <c r="AT33" s="22" t="str">
        <f>IF(ISBLANK(AU33),"N/A",AU33)</f>
        <v>N/A</v>
      </c>
      <c r="AU33" s="22" t="str">
        <f>IF(ISBLANK(AV33),"N/A",AV33)</f>
        <v>N/A</v>
      </c>
      <c r="AV33" s="23"/>
      <c r="AW33" s="24"/>
      <c r="AY33" s="21">
        <f>'Cash Flow Entry'!C271</f>
        <v>45559</v>
      </c>
      <c r="AZ33" s="22" t="str">
        <f t="shared" ref="AZ33:BA35" si="61">IF(ISBLANK(BA33),"N/A",BA33)</f>
        <v>N/A</v>
      </c>
      <c r="BA33" s="22" t="str">
        <f t="shared" si="61"/>
        <v>N/A</v>
      </c>
      <c r="BB33" s="23"/>
      <c r="BC33" s="24"/>
      <c r="BE33" s="21">
        <f>'Cash Flow Entry'!C301</f>
        <v>45589</v>
      </c>
      <c r="BF33" s="22" t="str">
        <f>IF(ISBLANK(BG33),"N/A",BG33)</f>
        <v>N/A</v>
      </c>
      <c r="BG33" s="22" t="str">
        <f>IF(ISBLANK(BH33),"N/A",BH33)</f>
        <v>N/A</v>
      </c>
      <c r="BH33" s="23"/>
      <c r="BI33" s="24"/>
      <c r="BK33" s="21">
        <f>'Cash Flow Entry'!C332</f>
        <v>45620</v>
      </c>
      <c r="BL33" s="22" t="str">
        <f>'Cash Flow Entry'!H332</f>
        <v>Outflow</v>
      </c>
      <c r="BM33" s="22" t="str">
        <f>'Cash Flow Entry'!D332</f>
        <v>Operating</v>
      </c>
      <c r="BN33" s="23">
        <f>'Cash Flow Tracking'!H332</f>
        <v>0</v>
      </c>
      <c r="BO33" s="24">
        <f>'Cash Flow Tracking'!I332</f>
        <v>-1500</v>
      </c>
      <c r="BQ33" s="21">
        <f>'Cash Flow Entry'!C362</f>
        <v>45650</v>
      </c>
      <c r="BR33" s="22" t="str">
        <f>'Cash Flow Entry'!H362</f>
        <v>Inflow</v>
      </c>
      <c r="BS33" s="22" t="str">
        <f>'Cash Flow Entry'!D362</f>
        <v>Investing</v>
      </c>
      <c r="BT33" s="23">
        <f>'Cash Flow Tracking'!H362</f>
        <v>25000</v>
      </c>
      <c r="BU33" s="24">
        <f>'Cash Flow Tracking'!I362</f>
        <v>0</v>
      </c>
    </row>
    <row r="34" spans="3:73" x14ac:dyDescent="0.3">
      <c r="C34" s="21">
        <f>'Cash Flow Entry'!C28</f>
        <v>45316</v>
      </c>
      <c r="D34" s="22" t="str">
        <f>'Cash Flow Entry'!H28</f>
        <v>Outflow</v>
      </c>
      <c r="E34" s="22" t="str">
        <f>'Cash Flow Entry'!D28</f>
        <v>Operating</v>
      </c>
      <c r="F34" s="23">
        <f>IF(D34="Inflow",'Cash Flow Entry'!F28,0)</f>
        <v>0</v>
      </c>
      <c r="G34" s="24">
        <f>IF(D34="Outflow",-'Cash Flow Entry'!F28,0)</f>
        <v>-12000</v>
      </c>
      <c r="I34" s="21">
        <f>'Cash Flow Entry'!C59</f>
        <v>45347</v>
      </c>
      <c r="J34" s="22" t="str">
        <f>'Cash Flow Entry'!H59</f>
        <v>Outflow</v>
      </c>
      <c r="K34" s="22" t="str">
        <f>'Cash Flow Entry'!D59</f>
        <v>Operating</v>
      </c>
      <c r="L34" s="23">
        <f>'Cash Flow Tracking'!H59</f>
        <v>0</v>
      </c>
      <c r="M34" s="24">
        <f>'Cash Flow Tracking'!I59</f>
        <v>-12000</v>
      </c>
      <c r="O34" s="21">
        <f>'Cash Flow Entry'!C88</f>
        <v>45376</v>
      </c>
      <c r="P34" s="22" t="str">
        <f>'Cash Flow Entry'!H88</f>
        <v>Inflow</v>
      </c>
      <c r="Q34" s="22" t="str">
        <f>'Cash Flow Entry'!D88</f>
        <v>Operating</v>
      </c>
      <c r="R34" s="23">
        <f>'Cash Flow Tracking'!H88</f>
        <v>15000</v>
      </c>
      <c r="S34" s="24">
        <f>'Cash Flow Tracking'!I88</f>
        <v>0</v>
      </c>
      <c r="U34" s="21">
        <f>'Cash Flow Entry'!C119</f>
        <v>45407</v>
      </c>
      <c r="V34" s="22" t="str">
        <f>'Cash Flow Entry'!H119</f>
        <v>Inflow</v>
      </c>
      <c r="W34" s="22" t="str">
        <f>'Cash Flow Entry'!D119</f>
        <v>Operating</v>
      </c>
      <c r="X34" s="23">
        <f>'Cash Flow Tracking'!H119</f>
        <v>220</v>
      </c>
      <c r="Y34" s="24">
        <f>'Cash Flow Tracking'!I119</f>
        <v>0</v>
      </c>
      <c r="AA34" s="21">
        <f>'Cash Flow Entry'!C149</f>
        <v>45437</v>
      </c>
      <c r="AB34" s="22" t="str">
        <f>'Cash Flow Entry'!H149</f>
        <v>Inflow</v>
      </c>
      <c r="AC34" s="22" t="str">
        <f>'Cash Flow Entry'!D149</f>
        <v>Operating</v>
      </c>
      <c r="AD34" s="23">
        <f>'Cash Flow Tracking'!H149</f>
        <v>45000</v>
      </c>
      <c r="AE34" s="24">
        <f>'Cash Flow Tracking'!I149</f>
        <v>0</v>
      </c>
      <c r="AF34" s="25"/>
      <c r="AG34" s="21">
        <f>'Cash Flow Entry'!C180</f>
        <v>45468</v>
      </c>
      <c r="AH34" s="22" t="str">
        <f t="shared" si="60"/>
        <v>N/A</v>
      </c>
      <c r="AI34" s="22" t="str">
        <f t="shared" si="60"/>
        <v>N/A</v>
      </c>
      <c r="AJ34" s="23"/>
      <c r="AK34" s="24"/>
      <c r="AM34" s="21">
        <f>'Cash Flow Entry'!C210</f>
        <v>45498</v>
      </c>
      <c r="AN34" s="22" t="str">
        <f t="shared" ref="AN34:AO34" si="62">IF(ISBLANK(AO34),"N/A",AO34)</f>
        <v>N/A</v>
      </c>
      <c r="AO34" s="22" t="str">
        <f t="shared" si="62"/>
        <v>N/A</v>
      </c>
      <c r="AP34" s="23"/>
      <c r="AQ34" s="24"/>
      <c r="AS34" s="21">
        <f>'Cash Flow Entry'!C241</f>
        <v>45529</v>
      </c>
      <c r="AT34" s="22" t="str">
        <f>'Cash Flow Entry'!H241</f>
        <v>Outflow</v>
      </c>
      <c r="AU34" s="22" t="str">
        <f>'Cash Flow Entry'!D241</f>
        <v>Operating</v>
      </c>
      <c r="AV34" s="23">
        <f>'Cash Flow Tracking'!H241</f>
        <v>0</v>
      </c>
      <c r="AW34" s="24">
        <f>'Cash Flow Tracking'!I241</f>
        <v>-29000</v>
      </c>
      <c r="AY34" s="21">
        <f>'Cash Flow Entry'!C272</f>
        <v>45560</v>
      </c>
      <c r="AZ34" s="22" t="str">
        <f t="shared" si="61"/>
        <v>N/A</v>
      </c>
      <c r="BA34" s="22" t="str">
        <f t="shared" si="61"/>
        <v>N/A</v>
      </c>
      <c r="BB34" s="23"/>
      <c r="BC34" s="24"/>
      <c r="BE34" s="21">
        <f>'Cash Flow Entry'!C302</f>
        <v>45590</v>
      </c>
      <c r="BF34" s="22" t="str">
        <f>'Cash Flow Entry'!H302</f>
        <v>Inflow</v>
      </c>
      <c r="BG34" s="22" t="str">
        <f>'Cash Flow Entry'!D302</f>
        <v>Operating</v>
      </c>
      <c r="BH34" s="23">
        <f>'Cash Flow Tracking'!H302</f>
        <v>60000</v>
      </c>
      <c r="BI34" s="24">
        <f>'Cash Flow Tracking'!I302</f>
        <v>0</v>
      </c>
      <c r="BK34" s="21">
        <f>'Cash Flow Entry'!C333</f>
        <v>45621</v>
      </c>
      <c r="BL34" s="22" t="str">
        <f>IF(ISBLANK(BM34),"N/A",BM34)</f>
        <v>N/A</v>
      </c>
      <c r="BM34" s="22" t="str">
        <f>IF(ISBLANK(BN34),"N/A",BN34)</f>
        <v>N/A</v>
      </c>
      <c r="BN34" s="23"/>
      <c r="BO34" s="24"/>
      <c r="BQ34" s="21">
        <f>'Cash Flow Entry'!C363</f>
        <v>45651</v>
      </c>
      <c r="BR34" s="22" t="str">
        <f>IF(ISBLANK(BS34),"N/A",BS34)</f>
        <v>N/A</v>
      </c>
      <c r="BS34" s="22" t="str">
        <f>IF(ISBLANK(BT34),"N/A",BT34)</f>
        <v>N/A</v>
      </c>
      <c r="BT34" s="23"/>
      <c r="BU34" s="24"/>
    </row>
    <row r="35" spans="3:73" x14ac:dyDescent="0.3">
      <c r="C35" s="21">
        <f>'Cash Flow Entry'!C29</f>
        <v>45317</v>
      </c>
      <c r="D35" s="22" t="str">
        <f>'Cash Flow Entry'!H29</f>
        <v>Inflow</v>
      </c>
      <c r="E35" s="22" t="str">
        <f>'Cash Flow Entry'!D29</f>
        <v>Operating</v>
      </c>
      <c r="F35" s="23">
        <f>IF(D35="Inflow",'Cash Flow Entry'!F29,0)</f>
        <v>24000</v>
      </c>
      <c r="G35" s="24">
        <f>IF(D35="Outflow",-'Cash Flow Entry'!F29,0)</f>
        <v>0</v>
      </c>
      <c r="I35" s="21">
        <f>'Cash Flow Entry'!C60</f>
        <v>45348</v>
      </c>
      <c r="J35" s="22" t="str">
        <f t="shared" ref="J35:K37" si="63">IF(ISBLANK(K35),"N/A",K35)</f>
        <v>N/A</v>
      </c>
      <c r="K35" s="22" t="str">
        <f t="shared" si="63"/>
        <v>N/A</v>
      </c>
      <c r="L35" s="23"/>
      <c r="M35" s="24"/>
      <c r="O35" s="21">
        <f>'Cash Flow Entry'!C89</f>
        <v>45377</v>
      </c>
      <c r="P35" s="22" t="str">
        <f t="shared" ref="P35:Q35" si="64">IF(ISBLANK(Q35),"N/A",Q35)</f>
        <v>N/A</v>
      </c>
      <c r="Q35" s="22" t="str">
        <f t="shared" si="64"/>
        <v>N/A</v>
      </c>
      <c r="R35" s="23"/>
      <c r="S35" s="24"/>
      <c r="U35" s="21">
        <f>'Cash Flow Entry'!C120</f>
        <v>45408</v>
      </c>
      <c r="V35" s="22" t="str">
        <f t="shared" ref="V35:W35" si="65">IF(ISBLANK(W35),"N/A",W35)</f>
        <v>N/A</v>
      </c>
      <c r="W35" s="22" t="str">
        <f t="shared" si="65"/>
        <v>N/A</v>
      </c>
      <c r="X35" s="23"/>
      <c r="Y35" s="24"/>
      <c r="AA35" s="21">
        <f>'Cash Flow Entry'!C150</f>
        <v>45438</v>
      </c>
      <c r="AB35" s="22" t="str">
        <f>'Cash Flow Entry'!H150</f>
        <v>Inflow</v>
      </c>
      <c r="AC35" s="22" t="str">
        <f>'Cash Flow Entry'!D150</f>
        <v>Investing</v>
      </c>
      <c r="AD35" s="23">
        <f>'Cash Flow Tracking'!H150</f>
        <v>15000</v>
      </c>
      <c r="AE35" s="24">
        <f>'Cash Flow Tracking'!I150</f>
        <v>0</v>
      </c>
      <c r="AF35" s="25"/>
      <c r="AG35" s="21">
        <f>'Cash Flow Entry'!C181</f>
        <v>45469</v>
      </c>
      <c r="AH35" s="22" t="str">
        <f t="shared" si="60"/>
        <v>N/A</v>
      </c>
      <c r="AI35" s="22" t="str">
        <f t="shared" si="60"/>
        <v>N/A</v>
      </c>
      <c r="AJ35" s="23"/>
      <c r="AK35" s="24"/>
      <c r="AM35" s="21">
        <f>'Cash Flow Entry'!C211</f>
        <v>45499</v>
      </c>
      <c r="AN35" s="22" t="str">
        <f t="shared" ref="AN35:AO35" si="66">IF(ISBLANK(AO35),"N/A",AO35)</f>
        <v>N/A</v>
      </c>
      <c r="AO35" s="22" t="str">
        <f t="shared" si="66"/>
        <v>N/A</v>
      </c>
      <c r="AP35" s="23"/>
      <c r="AQ35" s="24"/>
      <c r="AS35" s="21">
        <f>'Cash Flow Entry'!C242</f>
        <v>45530</v>
      </c>
      <c r="AT35" s="22" t="str">
        <f>IF(ISBLANK(AU35),"N/A",AU35)</f>
        <v>N/A</v>
      </c>
      <c r="AU35" s="22" t="str">
        <f>IF(ISBLANK(AV35),"N/A",AV35)</f>
        <v>N/A</v>
      </c>
      <c r="AV35" s="23"/>
      <c r="AW35" s="24"/>
      <c r="AY35" s="21">
        <f>'Cash Flow Entry'!C273</f>
        <v>45561</v>
      </c>
      <c r="AZ35" s="22" t="str">
        <f t="shared" si="61"/>
        <v>N/A</v>
      </c>
      <c r="BA35" s="22" t="str">
        <f t="shared" si="61"/>
        <v>N/A</v>
      </c>
      <c r="BB35" s="23"/>
      <c r="BC35" s="24"/>
      <c r="BE35" s="21">
        <f>'Cash Flow Entry'!C303</f>
        <v>45591</v>
      </c>
      <c r="BF35" s="22" t="str">
        <f>IF(ISBLANK(BG35),"N/A",BG35)</f>
        <v>N/A</v>
      </c>
      <c r="BG35" s="22" t="str">
        <f>IF(ISBLANK(BH35),"N/A",BH35)</f>
        <v>N/A</v>
      </c>
      <c r="BH35" s="23"/>
      <c r="BI35" s="24"/>
      <c r="BK35" s="21">
        <f>'Cash Flow Entry'!C334</f>
        <v>45622</v>
      </c>
      <c r="BL35" s="22" t="str">
        <f t="shared" ref="BL35:BM37" si="67">IF(ISBLANK(BM35),"N/A",BM35)</f>
        <v>N/A</v>
      </c>
      <c r="BM35" s="22" t="str">
        <f t="shared" si="67"/>
        <v>N/A</v>
      </c>
      <c r="BN35" s="23"/>
      <c r="BO35" s="24"/>
      <c r="BQ35" s="21">
        <f>'Cash Flow Entry'!C364</f>
        <v>45652</v>
      </c>
      <c r="BR35" s="22" t="str">
        <f>'Cash Flow Entry'!H364</f>
        <v>Outflow</v>
      </c>
      <c r="BS35" s="22" t="str">
        <f>'Cash Flow Entry'!D364</f>
        <v>Operating</v>
      </c>
      <c r="BT35" s="23">
        <f>'Cash Flow Tracking'!H364</f>
        <v>0</v>
      </c>
      <c r="BU35" s="24">
        <f>'Cash Flow Tracking'!I364</f>
        <v>-18000</v>
      </c>
    </row>
    <row r="36" spans="3:73" x14ac:dyDescent="0.3">
      <c r="C36" s="21">
        <f>'Cash Flow Entry'!C30</f>
        <v>45318</v>
      </c>
      <c r="D36" s="22" t="str">
        <f>'Cash Flow Entry'!H30</f>
        <v>Inflow</v>
      </c>
      <c r="E36" s="22" t="str">
        <f>'Cash Flow Entry'!D30</f>
        <v>Operating</v>
      </c>
      <c r="F36" s="23">
        <f>IF(D36="Inflow",'Cash Flow Entry'!F30,0)</f>
        <v>1400</v>
      </c>
      <c r="G36" s="24">
        <f>IF(D36="Outflow",-'Cash Flow Entry'!F30,0)</f>
        <v>0</v>
      </c>
      <c r="I36" s="21">
        <f>'Cash Flow Entry'!C61</f>
        <v>45349</v>
      </c>
      <c r="J36" s="22" t="str">
        <f t="shared" si="63"/>
        <v>N/A</v>
      </c>
      <c r="K36" s="22" t="str">
        <f t="shared" si="63"/>
        <v>N/A</v>
      </c>
      <c r="L36" s="23"/>
      <c r="M36" s="24"/>
      <c r="O36" s="21">
        <f>'Cash Flow Entry'!C90</f>
        <v>45378</v>
      </c>
      <c r="P36" s="22" t="str">
        <f t="shared" ref="P36:Q36" si="68">IF(ISBLANK(Q36),"N/A",Q36)</f>
        <v>N/A</v>
      </c>
      <c r="Q36" s="22" t="str">
        <f t="shared" si="68"/>
        <v>N/A</v>
      </c>
      <c r="R36" s="23"/>
      <c r="S36" s="24"/>
      <c r="U36" s="21">
        <f>'Cash Flow Entry'!C121</f>
        <v>45409</v>
      </c>
      <c r="V36" s="22" t="str">
        <f t="shared" ref="V36:W36" si="69">IF(ISBLANK(W36),"N/A",W36)</f>
        <v>N/A</v>
      </c>
      <c r="W36" s="22" t="str">
        <f t="shared" si="69"/>
        <v>N/A</v>
      </c>
      <c r="X36" s="23"/>
      <c r="Y36" s="24"/>
      <c r="AA36" s="21">
        <f>'Cash Flow Entry'!C151</f>
        <v>45439</v>
      </c>
      <c r="AB36" s="22" t="str">
        <f t="shared" ref="AB36:AC36" si="70">IF(ISBLANK(AC36),"N/A",AC36)</f>
        <v>N/A</v>
      </c>
      <c r="AC36" s="22" t="str">
        <f t="shared" si="70"/>
        <v>N/A</v>
      </c>
      <c r="AD36" s="23"/>
      <c r="AE36" s="24"/>
      <c r="AF36" s="25"/>
      <c r="AG36" s="21">
        <f>'Cash Flow Entry'!C182</f>
        <v>45470</v>
      </c>
      <c r="AH36" s="22" t="str">
        <f>'Cash Flow Entry'!H182</f>
        <v>Outflow</v>
      </c>
      <c r="AI36" s="22" t="str">
        <f>'Cash Flow Entry'!D182</f>
        <v>Investing</v>
      </c>
      <c r="AJ36" s="23">
        <f>'Cash Flow Tracking'!H182</f>
        <v>0</v>
      </c>
      <c r="AK36" s="24">
        <f>'Cash Flow Tracking'!I182</f>
        <v>-40000</v>
      </c>
      <c r="AM36" s="21">
        <f>'Cash Flow Entry'!C212</f>
        <v>45500</v>
      </c>
      <c r="AN36" s="22" t="str">
        <f t="shared" ref="AN36:AO36" si="71">IF(ISBLANK(AO36),"N/A",AO36)</f>
        <v>N/A</v>
      </c>
      <c r="AO36" s="22" t="str">
        <f t="shared" si="71"/>
        <v>N/A</v>
      </c>
      <c r="AP36" s="23"/>
      <c r="AQ36" s="24"/>
      <c r="AS36" s="21">
        <f>'Cash Flow Entry'!C243</f>
        <v>45531</v>
      </c>
      <c r="AT36" s="22" t="str">
        <f>'Cash Flow Entry'!H243</f>
        <v>Outflow</v>
      </c>
      <c r="AU36" s="22" t="str">
        <f>'Cash Flow Entry'!D243</f>
        <v>Operating</v>
      </c>
      <c r="AV36" s="23">
        <f>'Cash Flow Tracking'!H243</f>
        <v>0</v>
      </c>
      <c r="AW36" s="24">
        <f>'Cash Flow Tracking'!I243</f>
        <v>-6000</v>
      </c>
      <c r="AY36" s="21">
        <f>'Cash Flow Entry'!C274</f>
        <v>45562</v>
      </c>
      <c r="AZ36" s="22" t="str">
        <f>'Cash Flow Entry'!H274</f>
        <v>Outflow</v>
      </c>
      <c r="BA36" s="22" t="str">
        <f>'Cash Flow Entry'!D274</f>
        <v>Operating</v>
      </c>
      <c r="BB36" s="23">
        <f>'Cash Flow Tracking'!H274</f>
        <v>0</v>
      </c>
      <c r="BC36" s="24">
        <f>'Cash Flow Tracking'!I274</f>
        <v>-45000</v>
      </c>
      <c r="BE36" s="21">
        <f>'Cash Flow Entry'!C304</f>
        <v>45592</v>
      </c>
      <c r="BF36" s="22" t="str">
        <f>IF(ISBLANK(BG36),"N/A",BG36)</f>
        <v>N/A</v>
      </c>
      <c r="BG36" s="22" t="str">
        <f>IF(ISBLANK(BH36),"N/A",BH36)</f>
        <v>N/A</v>
      </c>
      <c r="BH36" s="23"/>
      <c r="BI36" s="24"/>
      <c r="BK36" s="21">
        <f>'Cash Flow Entry'!C335</f>
        <v>45623</v>
      </c>
      <c r="BL36" s="22" t="str">
        <f t="shared" si="67"/>
        <v>N/A</v>
      </c>
      <c r="BM36" s="22" t="str">
        <f t="shared" si="67"/>
        <v>N/A</v>
      </c>
      <c r="BN36" s="23"/>
      <c r="BO36" s="24"/>
      <c r="BQ36" s="21">
        <f>'Cash Flow Entry'!C365</f>
        <v>45653</v>
      </c>
      <c r="BR36" s="22" t="str">
        <f>IF(ISBLANK(BS36),"N/A",BS36)</f>
        <v>N/A</v>
      </c>
      <c r="BS36" s="22" t="str">
        <f>IF(ISBLANK(BT36),"N/A",BT36)</f>
        <v>N/A</v>
      </c>
      <c r="BT36" s="23"/>
      <c r="BU36" s="24"/>
    </row>
    <row r="37" spans="3:73" x14ac:dyDescent="0.3">
      <c r="C37" s="21">
        <f>'Cash Flow Entry'!C31</f>
        <v>45319</v>
      </c>
      <c r="D37" s="22" t="str">
        <f>'Cash Flow Entry'!H31</f>
        <v>Outflow</v>
      </c>
      <c r="E37" s="22" t="str">
        <f>'Cash Flow Entry'!D31</f>
        <v>Investing</v>
      </c>
      <c r="F37" s="23">
        <f>IF(D37="Inflow",'Cash Flow Entry'!F31,0)</f>
        <v>0</v>
      </c>
      <c r="G37" s="24">
        <f>IF(D37="Outflow",-'Cash Flow Entry'!F31,0)</f>
        <v>-12000</v>
      </c>
      <c r="I37" s="21">
        <f>'Cash Flow Entry'!C62</f>
        <v>45350</v>
      </c>
      <c r="J37" s="22" t="str">
        <f t="shared" si="63"/>
        <v>N/A</v>
      </c>
      <c r="K37" s="22" t="str">
        <f t="shared" si="63"/>
        <v>N/A</v>
      </c>
      <c r="L37" s="23"/>
      <c r="M37" s="24"/>
      <c r="O37" s="21">
        <f>'Cash Flow Entry'!C91</f>
        <v>45379</v>
      </c>
      <c r="P37" s="22" t="str">
        <f t="shared" ref="P37:Q37" si="72">IF(ISBLANK(Q37),"N/A",Q37)</f>
        <v>N/A</v>
      </c>
      <c r="Q37" s="22" t="str">
        <f t="shared" si="72"/>
        <v>N/A</v>
      </c>
      <c r="R37" s="23"/>
      <c r="S37" s="24"/>
      <c r="U37" s="21">
        <f>'Cash Flow Entry'!C122</f>
        <v>45410</v>
      </c>
      <c r="V37" s="22" t="str">
        <f>'Cash Flow Entry'!H122</f>
        <v>Outflow</v>
      </c>
      <c r="W37" s="22" t="str">
        <f>'Cash Flow Entry'!D122</f>
        <v>Operating</v>
      </c>
      <c r="X37" s="23">
        <f>'Cash Flow Tracking'!H122</f>
        <v>0</v>
      </c>
      <c r="Y37" s="24">
        <f>'Cash Flow Tracking'!I122</f>
        <v>-18500</v>
      </c>
      <c r="AA37" s="21">
        <f>'Cash Flow Entry'!C152</f>
        <v>45440</v>
      </c>
      <c r="AB37" s="22" t="str">
        <f t="shared" ref="AB37:AC37" si="73">IF(ISBLANK(AC37),"N/A",AC37)</f>
        <v>N/A</v>
      </c>
      <c r="AC37" s="22" t="str">
        <f t="shared" si="73"/>
        <v>N/A</v>
      </c>
      <c r="AD37" s="23"/>
      <c r="AE37" s="24"/>
      <c r="AF37" s="25"/>
      <c r="AG37" s="21">
        <f>'Cash Flow Entry'!C183</f>
        <v>45471</v>
      </c>
      <c r="AH37" s="22" t="str">
        <f>IF(ISBLANK(AI37),"N/A",AI37)</f>
        <v>N/A</v>
      </c>
      <c r="AI37" s="22" t="str">
        <f>IF(ISBLANK(AJ37),"N/A",AJ37)</f>
        <v>N/A</v>
      </c>
      <c r="AJ37" s="23"/>
      <c r="AK37" s="24"/>
      <c r="AM37" s="21">
        <f>'Cash Flow Entry'!C213</f>
        <v>45501</v>
      </c>
      <c r="AN37" s="22" t="str">
        <f>'Cash Flow Entry'!H213</f>
        <v>Outflow</v>
      </c>
      <c r="AO37" s="22" t="str">
        <f>'Cash Flow Entry'!D213</f>
        <v>Investing</v>
      </c>
      <c r="AP37" s="23">
        <f>'Cash Flow Tracking'!H213</f>
        <v>0</v>
      </c>
      <c r="AQ37" s="24">
        <f>'Cash Flow Tracking'!I213</f>
        <v>-250</v>
      </c>
      <c r="AS37" s="21">
        <f>'Cash Flow Entry'!C244</f>
        <v>45532</v>
      </c>
      <c r="AT37" s="22" t="str">
        <f>'Cash Flow Entry'!H244</f>
        <v>Outflow</v>
      </c>
      <c r="AU37" s="22" t="str">
        <f>'Cash Flow Entry'!D244</f>
        <v>Operating</v>
      </c>
      <c r="AV37" s="23">
        <f>'Cash Flow Tracking'!H244</f>
        <v>0</v>
      </c>
      <c r="AW37" s="24">
        <f>'Cash Flow Tracking'!I244</f>
        <v>-5000</v>
      </c>
      <c r="AY37" s="21">
        <f>'Cash Flow Entry'!C275</f>
        <v>45563</v>
      </c>
      <c r="AZ37" s="22" t="str">
        <f>IF(ISBLANK(BA37),"N/A",BA37)</f>
        <v>N/A</v>
      </c>
      <c r="BA37" s="22" t="str">
        <f>IF(ISBLANK(BB37),"N/A",BB37)</f>
        <v>N/A</v>
      </c>
      <c r="BB37" s="23"/>
      <c r="BC37" s="24"/>
      <c r="BE37" s="21">
        <f>'Cash Flow Entry'!C305</f>
        <v>45593</v>
      </c>
      <c r="BF37" s="22" t="str">
        <f>'Cash Flow Entry'!H305</f>
        <v>Outflow</v>
      </c>
      <c r="BG37" s="22" t="str">
        <f>'Cash Flow Entry'!D305</f>
        <v>Investing</v>
      </c>
      <c r="BH37" s="23">
        <f>'Cash Flow Tracking'!H305</f>
        <v>0</v>
      </c>
      <c r="BI37" s="24">
        <f>'Cash Flow Tracking'!I305</f>
        <v>-8000</v>
      </c>
      <c r="BK37" s="21">
        <f>'Cash Flow Entry'!C336</f>
        <v>45624</v>
      </c>
      <c r="BL37" s="22" t="str">
        <f t="shared" si="67"/>
        <v>N/A</v>
      </c>
      <c r="BM37" s="22" t="str">
        <f t="shared" si="67"/>
        <v>N/A</v>
      </c>
      <c r="BN37" s="23"/>
      <c r="BO37" s="24"/>
      <c r="BQ37" s="21">
        <f>'Cash Flow Entry'!C366</f>
        <v>45654</v>
      </c>
      <c r="BR37" s="22" t="str">
        <f>'Cash Flow Entry'!H366</f>
        <v>Outflow</v>
      </c>
      <c r="BS37" s="22" t="str">
        <f>'Cash Flow Entry'!D366</f>
        <v>Operating</v>
      </c>
      <c r="BT37" s="23">
        <f>'Cash Flow Tracking'!H366</f>
        <v>0</v>
      </c>
      <c r="BU37" s="24">
        <f>'Cash Flow Tracking'!I366</f>
        <v>-30000</v>
      </c>
    </row>
    <row r="38" spans="3:73" x14ac:dyDescent="0.3">
      <c r="C38" s="21">
        <f>'Cash Flow Entry'!C32</f>
        <v>45320</v>
      </c>
      <c r="D38" s="22" t="str">
        <f>'Cash Flow Entry'!H32</f>
        <v>Outflow</v>
      </c>
      <c r="E38" s="22" t="str">
        <f>'Cash Flow Entry'!D32</f>
        <v>Operating</v>
      </c>
      <c r="F38" s="23">
        <f>IF(D38="Inflow",'Cash Flow Entry'!F32,0)</f>
        <v>0</v>
      </c>
      <c r="G38" s="24">
        <f>IF(D38="Outflow",-'Cash Flow Entry'!F32,0)</f>
        <v>-1000</v>
      </c>
      <c r="I38" s="21">
        <f>'Cash Flow Entry'!C63</f>
        <v>45351</v>
      </c>
      <c r="J38" s="22" t="str">
        <f>'Cash Flow Entry'!H63</f>
        <v>Inflow</v>
      </c>
      <c r="K38" s="22" t="str">
        <f>'Cash Flow Entry'!D63</f>
        <v>Operating</v>
      </c>
      <c r="L38" s="23">
        <f>'Cash Flow Tracking'!H63</f>
        <v>2000</v>
      </c>
      <c r="M38" s="24">
        <f>'Cash Flow Tracking'!I63</f>
        <v>0</v>
      </c>
      <c r="O38" s="21">
        <f>'Cash Flow Entry'!C92</f>
        <v>45380</v>
      </c>
      <c r="P38" s="22" t="str">
        <f>'Cash Flow Entry'!H92</f>
        <v>Outflow</v>
      </c>
      <c r="Q38" s="22" t="str">
        <f>'Cash Flow Entry'!D92</f>
        <v>Financing</v>
      </c>
      <c r="R38" s="23">
        <f>'Cash Flow Tracking'!H92</f>
        <v>0</v>
      </c>
      <c r="S38" s="24">
        <f>'Cash Flow Tracking'!I92</f>
        <v>-210</v>
      </c>
      <c r="U38" s="21">
        <f>'Cash Flow Entry'!C123</f>
        <v>45411</v>
      </c>
      <c r="V38" s="22" t="str">
        <f>'Cash Flow Entry'!H123</f>
        <v>Outflow</v>
      </c>
      <c r="W38" s="22" t="str">
        <f>'Cash Flow Entry'!D123</f>
        <v>Operating</v>
      </c>
      <c r="X38" s="23">
        <f>'Cash Flow Tracking'!H123</f>
        <v>0</v>
      </c>
      <c r="Y38" s="24">
        <f>'Cash Flow Tracking'!I123</f>
        <v>-2000</v>
      </c>
      <c r="AA38" s="21">
        <f>'Cash Flow Entry'!C153</f>
        <v>45441</v>
      </c>
      <c r="AB38" s="22" t="str">
        <f>'Cash Flow Entry'!H153</f>
        <v>Inflow</v>
      </c>
      <c r="AC38" s="22" t="str">
        <f>'Cash Flow Entry'!D153</f>
        <v>Operating</v>
      </c>
      <c r="AD38" s="23">
        <f>'Cash Flow Tracking'!H153</f>
        <v>6000</v>
      </c>
      <c r="AE38" s="24">
        <f>'Cash Flow Tracking'!I153</f>
        <v>0</v>
      </c>
      <c r="AF38" s="25"/>
      <c r="AG38" s="21">
        <f>'Cash Flow Entry'!C184</f>
        <v>45472</v>
      </c>
      <c r="AH38" s="22" t="str">
        <f>'Cash Flow Entry'!H184</f>
        <v>Outflow</v>
      </c>
      <c r="AI38" s="22" t="str">
        <f>'Cash Flow Entry'!D184</f>
        <v>Operating</v>
      </c>
      <c r="AJ38" s="23">
        <f>'Cash Flow Tracking'!H184</f>
        <v>0</v>
      </c>
      <c r="AK38" s="24">
        <f>'Cash Flow Tracking'!I184</f>
        <v>-14000</v>
      </c>
      <c r="AM38" s="21">
        <f>'Cash Flow Entry'!C214</f>
        <v>45502</v>
      </c>
      <c r="AN38" s="22" t="str">
        <f t="shared" ref="AN38:AO38" si="74">IF(ISBLANK(AO38),"N/A",AO38)</f>
        <v>N/A</v>
      </c>
      <c r="AO38" s="22" t="str">
        <f t="shared" si="74"/>
        <v>N/A</v>
      </c>
      <c r="AP38" s="23"/>
      <c r="AQ38" s="24"/>
      <c r="AS38" s="21">
        <f>'Cash Flow Entry'!C245</f>
        <v>45533</v>
      </c>
      <c r="AT38" s="22" t="str">
        <f>IF(ISBLANK(AU38),"N/A",AU38)</f>
        <v>N/A</v>
      </c>
      <c r="AU38" s="22" t="str">
        <f>IF(ISBLANK(AV38),"N/A",AV38)</f>
        <v>N/A</v>
      </c>
      <c r="AV38" s="23"/>
      <c r="AW38" s="24"/>
      <c r="AY38" s="21">
        <f>'Cash Flow Entry'!C276</f>
        <v>45564</v>
      </c>
      <c r="AZ38" s="22" t="str">
        <f>IF(ISBLANK(BA38),"N/A",BA38)</f>
        <v>N/A</v>
      </c>
      <c r="BA38" s="22" t="str">
        <f>IF(ISBLANK(BB38),"N/A",BB38)</f>
        <v>N/A</v>
      </c>
      <c r="BB38" s="23"/>
      <c r="BC38" s="24"/>
      <c r="BE38" s="21">
        <f>'Cash Flow Entry'!C306</f>
        <v>45594</v>
      </c>
      <c r="BF38" s="22" t="str">
        <f>IF(ISBLANK(BG38),"N/A",BG38)</f>
        <v>N/A</v>
      </c>
      <c r="BG38" s="22" t="str">
        <f>IF(ISBLANK(BH38),"N/A",BH38)</f>
        <v>N/A</v>
      </c>
      <c r="BH38" s="23"/>
      <c r="BI38" s="24"/>
      <c r="BK38" s="21">
        <f>'Cash Flow Entry'!C337</f>
        <v>45625</v>
      </c>
      <c r="BL38" s="22" t="str">
        <f>'Cash Flow Entry'!H337</f>
        <v>Inflow</v>
      </c>
      <c r="BM38" s="22" t="str">
        <f>'Cash Flow Entry'!D337</f>
        <v>Operating</v>
      </c>
      <c r="BN38" s="23">
        <f>'Cash Flow Tracking'!H337</f>
        <v>2600</v>
      </c>
      <c r="BO38" s="24">
        <f>'Cash Flow Tracking'!I337</f>
        <v>0</v>
      </c>
      <c r="BQ38" s="21">
        <f>'Cash Flow Entry'!C367</f>
        <v>45655</v>
      </c>
      <c r="BR38" s="22" t="str">
        <f>IF(ISBLANK(BS38),"N/A",BS38)</f>
        <v>N/A</v>
      </c>
      <c r="BS38" s="22" t="str">
        <f>IF(ISBLANK(BT38),"N/A",BT38)</f>
        <v>N/A</v>
      </c>
      <c r="BT38" s="23"/>
      <c r="BU38" s="24"/>
    </row>
    <row r="39" spans="3:73" x14ac:dyDescent="0.3">
      <c r="C39" s="21">
        <f>'Cash Flow Entry'!C33</f>
        <v>45321</v>
      </c>
      <c r="D39" s="22" t="str">
        <f>'Cash Flow Entry'!H33</f>
        <v>Inflow</v>
      </c>
      <c r="E39" s="22" t="str">
        <f>'Cash Flow Entry'!D33</f>
        <v>Operating</v>
      </c>
      <c r="F39" s="23">
        <f>IF(D39="Inflow",'Cash Flow Entry'!F33,0)</f>
        <v>4000</v>
      </c>
      <c r="G39" s="24">
        <f>IF(D39="Outflow",-'Cash Flow Entry'!F33,0)</f>
        <v>0</v>
      </c>
      <c r="I39" s="18"/>
      <c r="O39" s="21">
        <f>'Cash Flow Entry'!C93</f>
        <v>45381</v>
      </c>
      <c r="P39" s="22" t="str">
        <f>'Cash Flow Entry'!H93</f>
        <v>Outflow</v>
      </c>
      <c r="Q39" s="22" t="str">
        <f>'Cash Flow Entry'!D93</f>
        <v>Operating</v>
      </c>
      <c r="R39" s="23">
        <f>'Cash Flow Tracking'!H93</f>
        <v>0</v>
      </c>
      <c r="S39" s="24">
        <f>'Cash Flow Tracking'!I93</f>
        <v>-8800</v>
      </c>
      <c r="U39" s="21">
        <f>'Cash Flow Entry'!C124</f>
        <v>45412</v>
      </c>
      <c r="V39" s="22" t="str">
        <f>'Cash Flow Entry'!H124</f>
        <v>Outflow</v>
      </c>
      <c r="W39" s="22" t="str">
        <f>'Cash Flow Entry'!D124</f>
        <v>Investing</v>
      </c>
      <c r="X39" s="23">
        <f>'Cash Flow Tracking'!H124</f>
        <v>0</v>
      </c>
      <c r="Y39" s="24">
        <f>'Cash Flow Tracking'!I124</f>
        <v>-40000</v>
      </c>
      <c r="AA39" s="21">
        <f>'Cash Flow Entry'!C154</f>
        <v>45442</v>
      </c>
      <c r="AB39" s="22" t="str">
        <f t="shared" ref="AB39:AC39" si="75">IF(ISBLANK(AC39),"N/A",AC39)</f>
        <v>N/A</v>
      </c>
      <c r="AC39" s="22" t="str">
        <f t="shared" si="75"/>
        <v>N/A</v>
      </c>
      <c r="AD39" s="23"/>
      <c r="AE39" s="24"/>
      <c r="AF39" s="25"/>
      <c r="AG39" s="21">
        <f>'Cash Flow Entry'!C185</f>
        <v>45473</v>
      </c>
      <c r="AH39" s="22" t="str">
        <f>IF(ISBLANK(AI39),"N/A",AI39)</f>
        <v>N/A</v>
      </c>
      <c r="AI39" s="22" t="str">
        <f>IF(ISBLANK(AJ39),"N/A",AJ39)</f>
        <v>N/A</v>
      </c>
      <c r="AJ39" s="23"/>
      <c r="AK39" s="24"/>
      <c r="AM39" s="21">
        <f>'Cash Flow Entry'!C215</f>
        <v>45503</v>
      </c>
      <c r="AN39" s="22" t="str">
        <f t="shared" ref="AN39:AO39" si="76">IF(ISBLANK(AO39),"N/A",AO39)</f>
        <v>N/A</v>
      </c>
      <c r="AO39" s="22" t="str">
        <f t="shared" si="76"/>
        <v>N/A</v>
      </c>
      <c r="AP39" s="23"/>
      <c r="AQ39" s="24"/>
      <c r="AS39" s="21">
        <f>'Cash Flow Entry'!C246</f>
        <v>45534</v>
      </c>
      <c r="AT39" s="22" t="str">
        <f>'Cash Flow Entry'!H246</f>
        <v>Inflow</v>
      </c>
      <c r="AU39" s="22" t="str">
        <f>'Cash Flow Entry'!D246</f>
        <v>Operating</v>
      </c>
      <c r="AV39" s="23">
        <f>'Cash Flow Tracking'!H246</f>
        <v>70000</v>
      </c>
      <c r="AW39" s="24">
        <f>'Cash Flow Tracking'!I246</f>
        <v>0</v>
      </c>
      <c r="AY39" s="21">
        <f>'Cash Flow Entry'!C277</f>
        <v>45565</v>
      </c>
      <c r="AZ39" s="22" t="str">
        <f>'Cash Flow Entry'!H277</f>
        <v>Outflow</v>
      </c>
      <c r="BA39" s="22" t="str">
        <f>'Cash Flow Entry'!D277</f>
        <v>Operating</v>
      </c>
      <c r="BB39" s="23">
        <f>'Cash Flow Tracking'!H277</f>
        <v>0</v>
      </c>
      <c r="BC39" s="24">
        <f>'Cash Flow Tracking'!I277</f>
        <v>-12000</v>
      </c>
      <c r="BE39" s="21">
        <f>'Cash Flow Entry'!C307</f>
        <v>45595</v>
      </c>
      <c r="BF39" s="22" t="str">
        <f>IF(ISBLANK(BG39),"N/A",BG39)</f>
        <v>N/A</v>
      </c>
      <c r="BG39" s="22" t="str">
        <f>IF(ISBLANK(BH39),"N/A",BH39)</f>
        <v>N/A</v>
      </c>
      <c r="BH39" s="23"/>
      <c r="BI39" s="24"/>
      <c r="BK39" s="21">
        <f>'Cash Flow Entry'!C338</f>
        <v>45626</v>
      </c>
      <c r="BL39" s="22" t="str">
        <f>IF(ISBLANK(BM39),"N/A",BM39)</f>
        <v>N/A</v>
      </c>
      <c r="BM39" s="22" t="str">
        <f>IF(ISBLANK(BN39),"N/A",BN39)</f>
        <v>N/A</v>
      </c>
      <c r="BN39" s="23"/>
      <c r="BO39" s="24"/>
      <c r="BQ39" s="21">
        <f>'Cash Flow Entry'!C368</f>
        <v>45656</v>
      </c>
      <c r="BR39" s="22" t="str">
        <f>'Cash Flow Entry'!H368</f>
        <v>Outflow</v>
      </c>
      <c r="BS39" s="22" t="str">
        <f>'Cash Flow Entry'!D368</f>
        <v>Operating</v>
      </c>
      <c r="BT39" s="23">
        <f>'Cash Flow Tracking'!H368</f>
        <v>0</v>
      </c>
      <c r="BU39" s="24">
        <f>'Cash Flow Tracking'!I368</f>
        <v>-11800</v>
      </c>
    </row>
    <row r="40" spans="3:73" x14ac:dyDescent="0.3">
      <c r="C40" s="21">
        <f>'Cash Flow Entry'!C34</f>
        <v>45322</v>
      </c>
      <c r="D40" s="22" t="str">
        <f>'Cash Flow Entry'!H34</f>
        <v>Inflow</v>
      </c>
      <c r="E40" s="22" t="str">
        <f>'Cash Flow Entry'!D34</f>
        <v>Investing</v>
      </c>
      <c r="F40" s="23">
        <f>IF(D40="Inflow",'Cash Flow Entry'!F34,0)</f>
        <v>240</v>
      </c>
      <c r="G40" s="24">
        <f>IF(D40="Outflow",-'Cash Flow Entry'!F34,0)</f>
        <v>0</v>
      </c>
      <c r="I40" s="18"/>
      <c r="O40" s="21">
        <f>'Cash Flow Entry'!C94</f>
        <v>45382</v>
      </c>
      <c r="P40" s="22" t="str">
        <f>IF(ISBLANK(Q40),"N/A",Q40)</f>
        <v>N/A</v>
      </c>
      <c r="Q40" s="22" t="str">
        <f>IF(ISBLANK(R40),"N/A",R40)</f>
        <v>N/A</v>
      </c>
      <c r="R40" s="23"/>
      <c r="S40" s="24"/>
      <c r="U40" s="18"/>
      <c r="AA40" s="21">
        <f>'Cash Flow Entry'!C155</f>
        <v>45443</v>
      </c>
      <c r="AB40" s="22" t="str">
        <f>'Cash Flow Entry'!H155</f>
        <v>Outflow</v>
      </c>
      <c r="AC40" s="22" t="str">
        <f>'Cash Flow Entry'!D155</f>
        <v>Operating</v>
      </c>
      <c r="AD40" s="23">
        <f>'Cash Flow Tracking'!H155</f>
        <v>0</v>
      </c>
      <c r="AE40" s="24">
        <f>'Cash Flow Tracking'!I155</f>
        <v>-3000</v>
      </c>
      <c r="AF40" s="25"/>
      <c r="AG40" s="18"/>
      <c r="AM40" s="21">
        <f>'Cash Flow Entry'!C216</f>
        <v>45504</v>
      </c>
      <c r="AN40" s="22" t="str">
        <f>'Cash Flow Entry'!H216</f>
        <v>Inflow</v>
      </c>
      <c r="AO40" s="22" t="str">
        <f>'Cash Flow Entry'!D216</f>
        <v>Operating</v>
      </c>
      <c r="AP40" s="23">
        <f>'Cash Flow Tracking'!H216</f>
        <v>40000</v>
      </c>
      <c r="AQ40" s="24">
        <f>'Cash Flow Tracking'!I216</f>
        <v>0</v>
      </c>
      <c r="AS40" s="21">
        <f>'Cash Flow Entry'!C247</f>
        <v>45535</v>
      </c>
      <c r="AT40" s="22" t="str">
        <f>IF(ISBLANK(AU40),"N/A",AU40)</f>
        <v>N/A</v>
      </c>
      <c r="AU40" s="22" t="str">
        <f>IF(ISBLANK(AV40),"N/A",AV40)</f>
        <v>N/A</v>
      </c>
      <c r="AV40" s="23"/>
      <c r="AW40" s="24"/>
      <c r="AY40" s="18"/>
      <c r="BE40" s="21">
        <f>'Cash Flow Entry'!C308</f>
        <v>45596</v>
      </c>
      <c r="BF40" s="22" t="str">
        <f>'Cash Flow Entry'!H308</f>
        <v>Outflow</v>
      </c>
      <c r="BG40" s="22" t="str">
        <f>'Cash Flow Entry'!D308</f>
        <v>Operating</v>
      </c>
      <c r="BH40" s="23">
        <f>'Cash Flow Tracking'!H308</f>
        <v>0</v>
      </c>
      <c r="BI40" s="24">
        <f>'Cash Flow Tracking'!I308</f>
        <v>-600</v>
      </c>
      <c r="BK40" s="18"/>
      <c r="BQ40" s="21">
        <f>'Cash Flow Entry'!C369</f>
        <v>45657</v>
      </c>
      <c r="BR40" s="22" t="str">
        <f>IF(ISBLANK(BS40),"N/A",BS40)</f>
        <v>N/A</v>
      </c>
      <c r="BS40" s="22" t="str">
        <f>IF(ISBLANK(BT40),"N/A",BT40)</f>
        <v>N/A</v>
      </c>
      <c r="BT40" s="23"/>
      <c r="BU40" s="24"/>
    </row>
  </sheetData>
  <sheetProtection algorithmName="SHA-512" hashValue="QSIYPgKam29wxE8NQLtTHwm9/cOGgotHzFir8X6dtIip+qyceDsnY1oi+3jtvqIdxW/6jxyOWYBelNR9Je36fg==" saltValue="adjiczH58xA/mGuJF8bESg==" spinCount="100000" sheet="1" objects="1" scenarios="1" selectLockedCells="1"/>
  <mergeCells count="13">
    <mergeCell ref="BE8:BI8"/>
    <mergeCell ref="BK8:BO8"/>
    <mergeCell ref="BQ8:BU8"/>
    <mergeCell ref="C8:G8"/>
    <mergeCell ref="I8:M8"/>
    <mergeCell ref="O8:S8"/>
    <mergeCell ref="U8:Y8"/>
    <mergeCell ref="AA8:AE8"/>
    <mergeCell ref="I2:M2"/>
    <mergeCell ref="AG8:AK8"/>
    <mergeCell ref="AM8:AQ8"/>
    <mergeCell ref="AS8:AW8"/>
    <mergeCell ref="AY8:BC8"/>
  </mergeCells>
  <phoneticPr fontId="10" type="noConversion"/>
  <conditionalFormatting sqref="D10:D40">
    <cfRule type="expression" dxfId="241" priority="219">
      <formula>D10="Outflow"</formula>
    </cfRule>
    <cfRule type="expression" dxfId="240" priority="220">
      <formula>D10="Inflow"</formula>
    </cfRule>
  </conditionalFormatting>
  <conditionalFormatting sqref="E10:E40">
    <cfRule type="expression" dxfId="239" priority="221">
      <formula>E10="Investing"</formula>
    </cfRule>
    <cfRule type="expression" dxfId="238" priority="222">
      <formula>E10="Financing"</formula>
    </cfRule>
    <cfRule type="expression" dxfId="237" priority="223">
      <formula>E10="Operating"</formula>
    </cfRule>
  </conditionalFormatting>
  <conditionalFormatting sqref="F10:F40">
    <cfRule type="cellIs" dxfId="236" priority="224" operator="greaterThan">
      <formula>0</formula>
    </cfRule>
  </conditionalFormatting>
  <conditionalFormatting sqref="G10:G40">
    <cfRule type="cellIs" dxfId="235" priority="225" operator="lessThan">
      <formula>0</formula>
    </cfRule>
  </conditionalFormatting>
  <conditionalFormatting sqref="J10:J38 K29:K30 K33 K35:K37">
    <cfRule type="expression" dxfId="234" priority="212">
      <formula>J10="Outflow"</formula>
    </cfRule>
    <cfRule type="expression" dxfId="233" priority="213">
      <formula>J10="Inflow"</formula>
    </cfRule>
  </conditionalFormatting>
  <conditionalFormatting sqref="K10:K28 K31:K32 K34 K38">
    <cfRule type="expression" dxfId="232" priority="214">
      <formula>K10="Investing"</formula>
    </cfRule>
    <cfRule type="expression" dxfId="231" priority="215">
      <formula>K10="Financing"</formula>
    </cfRule>
    <cfRule type="expression" dxfId="230" priority="216">
      <formula>K10="Operating"</formula>
    </cfRule>
  </conditionalFormatting>
  <conditionalFormatting sqref="L10:L38">
    <cfRule type="cellIs" dxfId="229" priority="217" operator="greaterThan">
      <formula>0</formula>
    </cfRule>
  </conditionalFormatting>
  <conditionalFormatting sqref="M10:M38">
    <cfRule type="cellIs" dxfId="228" priority="218" operator="lessThan">
      <formula>0</formula>
    </cfRule>
  </conditionalFormatting>
  <conditionalFormatting sqref="P10:P13 P17:P20 P25:P26 P34 P38:P39">
    <cfRule type="expression" dxfId="227" priority="205">
      <formula>P10="Outflow"</formula>
    </cfRule>
    <cfRule type="expression" dxfId="226" priority="206">
      <formula>P10="Inflow"</formula>
    </cfRule>
  </conditionalFormatting>
  <conditionalFormatting sqref="P14:Q16 P21:Q24">
    <cfRule type="expression" dxfId="225" priority="161">
      <formula>P14="Outflow"</formula>
    </cfRule>
    <cfRule type="expression" dxfId="224" priority="162">
      <formula>P14="Inflow"</formula>
    </cfRule>
  </conditionalFormatting>
  <conditionalFormatting sqref="P27:Q33">
    <cfRule type="expression" dxfId="223" priority="159">
      <formula>P27="Outflow"</formula>
    </cfRule>
    <cfRule type="expression" dxfId="222" priority="160">
      <formula>P27="Inflow"</formula>
    </cfRule>
  </conditionalFormatting>
  <conditionalFormatting sqref="P35:Q37">
    <cfRule type="expression" dxfId="221" priority="157">
      <formula>P35="Outflow"</formula>
    </cfRule>
    <cfRule type="expression" dxfId="220" priority="158">
      <formula>P35="Inflow"</formula>
    </cfRule>
  </conditionalFormatting>
  <conditionalFormatting sqref="P40:Q40">
    <cfRule type="expression" dxfId="219" priority="155">
      <formula>P40="Outflow"</formula>
    </cfRule>
    <cfRule type="expression" dxfId="218" priority="156">
      <formula>P40="Inflow"</formula>
    </cfRule>
  </conditionalFormatting>
  <conditionalFormatting sqref="Q10:Q13 Q17:Q20 Q25:Q26 Q34 Q38:Q39">
    <cfRule type="expression" dxfId="217" priority="207">
      <formula>Q10="Investing"</formula>
    </cfRule>
    <cfRule type="expression" dxfId="216" priority="208">
      <formula>Q10="Financing"</formula>
    </cfRule>
    <cfRule type="expression" dxfId="215" priority="209">
      <formula>Q10="Operating"</formula>
    </cfRule>
  </conditionalFormatting>
  <conditionalFormatting sqref="R10:R40">
    <cfRule type="cellIs" dxfId="214" priority="210" operator="greaterThan">
      <formula>0</formula>
    </cfRule>
  </conditionalFormatting>
  <conditionalFormatting sqref="S10:S40">
    <cfRule type="cellIs" dxfId="213" priority="211" operator="lessThan">
      <formula>0</formula>
    </cfRule>
  </conditionalFormatting>
  <conditionalFormatting sqref="V10:V11 V13 V15:V16 V24 V29 V33:V34 V37:V39">
    <cfRule type="expression" dxfId="212" priority="198">
      <formula>V10="Outflow"</formula>
    </cfRule>
    <cfRule type="expression" dxfId="211" priority="199">
      <formula>V10="Inflow"</formula>
    </cfRule>
  </conditionalFormatting>
  <conditionalFormatting sqref="V12:W12">
    <cfRule type="expression" dxfId="210" priority="153">
      <formula>V12="Outflow"</formula>
    </cfRule>
    <cfRule type="expression" dxfId="209" priority="154">
      <formula>V12="Inflow"</formula>
    </cfRule>
  </conditionalFormatting>
  <conditionalFormatting sqref="V14:W14 V17:W23 V25:W28 V30:W32 V35:W36">
    <cfRule type="expression" dxfId="208" priority="151">
      <formula>V14="Outflow"</formula>
    </cfRule>
    <cfRule type="expression" dxfId="207" priority="152">
      <formula>V14="Inflow"</formula>
    </cfRule>
  </conditionalFormatting>
  <conditionalFormatting sqref="W10:W11 W13 W15:W16 W24 W29 W33:W34 W37:W39">
    <cfRule type="expression" dxfId="206" priority="200">
      <formula>W10="Investing"</formula>
    </cfRule>
    <cfRule type="expression" dxfId="205" priority="201">
      <formula>W10="Financing"</formula>
    </cfRule>
    <cfRule type="expression" dxfId="204" priority="202">
      <formula>W10="Operating"</formula>
    </cfRule>
  </conditionalFormatting>
  <conditionalFormatting sqref="X10:X39">
    <cfRule type="cellIs" dxfId="203" priority="203" operator="greaterThan">
      <formula>0</formula>
    </cfRule>
  </conditionalFormatting>
  <conditionalFormatting sqref="Y10:Y39">
    <cfRule type="cellIs" dxfId="202" priority="204" operator="lessThan">
      <formula>0</formula>
    </cfRule>
  </conditionalFormatting>
  <conditionalFormatting sqref="AB10:AB13">
    <cfRule type="expression" dxfId="201" priority="149">
      <formula>AB10="Outflow"</formula>
    </cfRule>
    <cfRule type="expression" dxfId="200" priority="150">
      <formula>AB10="Inflow"</formula>
    </cfRule>
  </conditionalFormatting>
  <conditionalFormatting sqref="AB15:AB16 AB22 AB24:AB25 AB27 AB29 AB34:AB35 AB38 AB40">
    <cfRule type="expression" dxfId="199" priority="191">
      <formula>AB15="Outflow"</formula>
    </cfRule>
    <cfRule type="expression" dxfId="198" priority="192">
      <formula>AB15="Inflow"</formula>
    </cfRule>
  </conditionalFormatting>
  <conditionalFormatting sqref="AB14:AC14 AB17:AC21 AB23:AC23 AB26:AC26 AB28:AC28 AB30:AC33 AB36:AC37 AB39:AC39">
    <cfRule type="expression" dxfId="197" priority="145">
      <formula>AB14="Outflow"</formula>
    </cfRule>
    <cfRule type="expression" dxfId="196" priority="146">
      <formula>AB14="Inflow"</formula>
    </cfRule>
  </conditionalFormatting>
  <conditionalFormatting sqref="AC10">
    <cfRule type="expression" dxfId="195" priority="147">
      <formula>AC10="Outflow"</formula>
    </cfRule>
    <cfRule type="expression" dxfId="194" priority="148">
      <formula>AC10="Inflow"</formula>
    </cfRule>
  </conditionalFormatting>
  <conditionalFormatting sqref="AC11:AC13 AC15:AC16 AC22 AC24:AC25 AC27 AC29 AC34:AC35 AC38 AC40">
    <cfRule type="expression" dxfId="193" priority="193">
      <formula>AC11="Investing"</formula>
    </cfRule>
    <cfRule type="expression" dxfId="192" priority="194">
      <formula>AC11="Financing"</formula>
    </cfRule>
    <cfRule type="expression" dxfId="191" priority="195">
      <formula>AC11="Operating"</formula>
    </cfRule>
  </conditionalFormatting>
  <conditionalFormatting sqref="AD10:AD40">
    <cfRule type="cellIs" dxfId="190" priority="196" operator="greaterThan">
      <formula>0</formula>
    </cfRule>
  </conditionalFormatting>
  <conditionalFormatting sqref="AE10:AF40">
    <cfRule type="cellIs" dxfId="189" priority="197" operator="lessThan">
      <formula>0</formula>
    </cfRule>
  </conditionalFormatting>
  <conditionalFormatting sqref="AH10:AH11 AH13 AH15:AH16 AH20:AH21 AH23 AH25:AH26 AH29 AH31 AH36 AH38">
    <cfRule type="expression" dxfId="188" priority="184">
      <formula>AH10="Outflow"</formula>
    </cfRule>
    <cfRule type="expression" dxfId="187" priority="185">
      <formula>AH10="Inflow"</formula>
    </cfRule>
  </conditionalFormatting>
  <conditionalFormatting sqref="AH12:AI12">
    <cfRule type="expression" dxfId="186" priority="143">
      <formula>AH12="Outflow"</formula>
    </cfRule>
    <cfRule type="expression" dxfId="185" priority="144">
      <formula>AH12="Inflow"</formula>
    </cfRule>
  </conditionalFormatting>
  <conditionalFormatting sqref="AH14:AI14">
    <cfRule type="expression" dxfId="184" priority="141">
      <formula>AH14="Outflow"</formula>
    </cfRule>
    <cfRule type="expression" dxfId="183" priority="142">
      <formula>AH14="Inflow"</formula>
    </cfRule>
  </conditionalFormatting>
  <conditionalFormatting sqref="AH17:AI19">
    <cfRule type="expression" dxfId="182" priority="139">
      <formula>AH17="Outflow"</formula>
    </cfRule>
    <cfRule type="expression" dxfId="181" priority="140">
      <formula>AH17="Inflow"</formula>
    </cfRule>
  </conditionalFormatting>
  <conditionalFormatting sqref="AH22:AI22">
    <cfRule type="expression" dxfId="180" priority="137">
      <formula>AH22="Outflow"</formula>
    </cfRule>
    <cfRule type="expression" dxfId="179" priority="138">
      <formula>AH22="Inflow"</formula>
    </cfRule>
  </conditionalFormatting>
  <conditionalFormatting sqref="AH24:AI24">
    <cfRule type="expression" dxfId="178" priority="135">
      <formula>AH24="Outflow"</formula>
    </cfRule>
    <cfRule type="expression" dxfId="177" priority="136">
      <formula>AH24="Inflow"</formula>
    </cfRule>
  </conditionalFormatting>
  <conditionalFormatting sqref="AH27:AI28">
    <cfRule type="expression" dxfId="176" priority="133">
      <formula>AH27="Outflow"</formula>
    </cfRule>
    <cfRule type="expression" dxfId="175" priority="134">
      <formula>AH27="Inflow"</formula>
    </cfRule>
  </conditionalFormatting>
  <conditionalFormatting sqref="AH30:AI30">
    <cfRule type="expression" dxfId="174" priority="131">
      <formula>AH30="Outflow"</formula>
    </cfRule>
    <cfRule type="expression" dxfId="173" priority="132">
      <formula>AH30="Inflow"</formula>
    </cfRule>
  </conditionalFormatting>
  <conditionalFormatting sqref="AH32:AI35">
    <cfRule type="expression" dxfId="172" priority="129">
      <formula>AH32="Outflow"</formula>
    </cfRule>
    <cfRule type="expression" dxfId="171" priority="130">
      <formula>AH32="Inflow"</formula>
    </cfRule>
  </conditionalFormatting>
  <conditionalFormatting sqref="AH37:AI37">
    <cfRule type="expression" dxfId="170" priority="127">
      <formula>AH37="Outflow"</formula>
    </cfRule>
    <cfRule type="expression" dxfId="169" priority="128">
      <formula>AH37="Inflow"</formula>
    </cfRule>
  </conditionalFormatting>
  <conditionalFormatting sqref="AH39:AI39">
    <cfRule type="expression" dxfId="168" priority="125">
      <formula>AH39="Outflow"</formula>
    </cfRule>
    <cfRule type="expression" dxfId="167" priority="126">
      <formula>AH39="Inflow"</formula>
    </cfRule>
  </conditionalFormatting>
  <conditionalFormatting sqref="AI10:AI11 AI13 AI15:AI16 AI20:AI21 AI23 AI25:AI26 AI29 AI31 AI36 AI38">
    <cfRule type="expression" dxfId="166" priority="186">
      <formula>AI10="Investing"</formula>
    </cfRule>
    <cfRule type="expression" dxfId="165" priority="187">
      <formula>AI10="Financing"</formula>
    </cfRule>
    <cfRule type="expression" dxfId="164" priority="188">
      <formula>AI10="Operating"</formula>
    </cfRule>
  </conditionalFormatting>
  <conditionalFormatting sqref="AJ10:AJ39">
    <cfRule type="cellIs" dxfId="163" priority="189" operator="greaterThan">
      <formula>0</formula>
    </cfRule>
  </conditionalFormatting>
  <conditionalFormatting sqref="AK10:AK39">
    <cfRule type="cellIs" dxfId="162" priority="190" operator="lessThan">
      <formula>0</formula>
    </cfRule>
  </conditionalFormatting>
  <conditionalFormatting sqref="AN10:AN11 AN13 AN15 AN17 AN19 AN21:AN22 AN27 AN29:AN30 AN33 AN37 AN40">
    <cfRule type="expression" dxfId="161" priority="177">
      <formula>AN10="Outflow"</formula>
    </cfRule>
    <cfRule type="expression" dxfId="160" priority="178">
      <formula>AN10="Inflow"</formula>
    </cfRule>
  </conditionalFormatting>
  <conditionalFormatting sqref="AN12:AO12 AN14:AO14 AN16:AO16 AN18:AO18 AN20:AO20 AN23:AO26 AN28:AO28 AN31:AO32 AN34:AO36 AN38:AO39">
    <cfRule type="expression" dxfId="159" priority="123">
      <formula>AN12="Outflow"</formula>
    </cfRule>
    <cfRule type="expression" dxfId="158" priority="124">
      <formula>AN12="Inflow"</formula>
    </cfRule>
  </conditionalFormatting>
  <conditionalFormatting sqref="AO10:AO11 AO13 AO15 AO17 AO19 AO21:AO22 AO27 AO29:AO30 AO33 AO37 AO40">
    <cfRule type="expression" dxfId="157" priority="179">
      <formula>AO10="Investing"</formula>
    </cfRule>
    <cfRule type="expression" dxfId="156" priority="180">
      <formula>AO10="Financing"</formula>
    </cfRule>
    <cfRule type="expression" dxfId="155" priority="181">
      <formula>AO10="Operating"</formula>
    </cfRule>
  </conditionalFormatting>
  <conditionalFormatting sqref="AP10:AP40">
    <cfRule type="cellIs" dxfId="154" priority="182" operator="greaterThan">
      <formula>0</formula>
    </cfRule>
  </conditionalFormatting>
  <conditionalFormatting sqref="AQ10:AQ40">
    <cfRule type="cellIs" dxfId="153" priority="183" operator="lessThan">
      <formula>0</formula>
    </cfRule>
  </conditionalFormatting>
  <conditionalFormatting sqref="AT10:AT11 AT13 AT15 AT17 AT19:AT20 AT23 AT26 AT31:AT32 AT34 AT36:AT37 AT39">
    <cfRule type="expression" dxfId="152" priority="170">
      <formula>AT10="Outflow"</formula>
    </cfRule>
    <cfRule type="expression" dxfId="151" priority="171">
      <formula>AT10="Inflow"</formula>
    </cfRule>
  </conditionalFormatting>
  <conditionalFormatting sqref="AT12:AU12">
    <cfRule type="expression" dxfId="150" priority="121">
      <formula>AT12="Outflow"</formula>
    </cfRule>
    <cfRule type="expression" dxfId="149" priority="122">
      <formula>AT12="Inflow"</formula>
    </cfRule>
  </conditionalFormatting>
  <conditionalFormatting sqref="AT14:AU14">
    <cfRule type="expression" dxfId="148" priority="119">
      <formula>AT14="Outflow"</formula>
    </cfRule>
    <cfRule type="expression" dxfId="147" priority="120">
      <formula>AT14="Inflow"</formula>
    </cfRule>
  </conditionalFormatting>
  <conditionalFormatting sqref="AT16:AU16">
    <cfRule type="expression" dxfId="146" priority="117">
      <formula>AT16="Outflow"</formula>
    </cfRule>
    <cfRule type="expression" dxfId="145" priority="118">
      <formula>AT16="Inflow"</formula>
    </cfRule>
  </conditionalFormatting>
  <conditionalFormatting sqref="AT18:AU18">
    <cfRule type="expression" dxfId="144" priority="115">
      <formula>AT18="Outflow"</formula>
    </cfRule>
    <cfRule type="expression" dxfId="143" priority="116">
      <formula>AT18="Inflow"</formula>
    </cfRule>
  </conditionalFormatting>
  <conditionalFormatting sqref="AT21:AU22">
    <cfRule type="expression" dxfId="142" priority="113">
      <formula>AT21="Outflow"</formula>
    </cfRule>
    <cfRule type="expression" dxfId="141" priority="114">
      <formula>AT21="Inflow"</formula>
    </cfRule>
  </conditionalFormatting>
  <conditionalFormatting sqref="AT24:AU25 AT40:AU40">
    <cfRule type="expression" dxfId="140" priority="97">
      <formula>AT24="Outflow"</formula>
    </cfRule>
    <cfRule type="expression" dxfId="139" priority="98">
      <formula>AT24="Inflow"</formula>
    </cfRule>
  </conditionalFormatting>
  <conditionalFormatting sqref="AT27:AU30">
    <cfRule type="expression" dxfId="138" priority="105">
      <formula>AT27="Outflow"</formula>
    </cfRule>
    <cfRule type="expression" dxfId="137" priority="106">
      <formula>AT27="Inflow"</formula>
    </cfRule>
  </conditionalFormatting>
  <conditionalFormatting sqref="AT33:AU33">
    <cfRule type="expression" dxfId="136" priority="103">
      <formula>AT33="Outflow"</formula>
    </cfRule>
    <cfRule type="expression" dxfId="135" priority="104">
      <formula>AT33="Inflow"</formula>
    </cfRule>
  </conditionalFormatting>
  <conditionalFormatting sqref="AT35:AU35">
    <cfRule type="expression" dxfId="134" priority="101">
      <formula>AT35="Outflow"</formula>
    </cfRule>
    <cfRule type="expression" dxfId="133" priority="102">
      <formula>AT35="Inflow"</formula>
    </cfRule>
  </conditionalFormatting>
  <conditionalFormatting sqref="AT38:AU38">
    <cfRule type="expression" dxfId="132" priority="99">
      <formula>AT38="Outflow"</formula>
    </cfRule>
    <cfRule type="expression" dxfId="131" priority="100">
      <formula>AT38="Inflow"</formula>
    </cfRule>
  </conditionalFormatting>
  <conditionalFormatting sqref="AU10:AU11 AU13 AU15 AU17 AU19:AU20 AU23 AU26 AU31:AU32 AU34 AU36:AU37 AU39">
    <cfRule type="expression" dxfId="130" priority="172">
      <formula>AU10="Investing"</formula>
    </cfRule>
    <cfRule type="expression" dxfId="129" priority="173">
      <formula>AU10="Financing"</formula>
    </cfRule>
    <cfRule type="expression" dxfId="128" priority="174">
      <formula>AU10="Operating"</formula>
    </cfRule>
  </conditionalFormatting>
  <conditionalFormatting sqref="AV10:AV40">
    <cfRule type="cellIs" dxfId="127" priority="175" operator="greaterThan">
      <formula>0</formula>
    </cfRule>
  </conditionalFormatting>
  <conditionalFormatting sqref="AW10:AW40">
    <cfRule type="cellIs" dxfId="126" priority="176" operator="lessThan">
      <formula>0</formula>
    </cfRule>
  </conditionalFormatting>
  <conditionalFormatting sqref="AZ12:AZ13 AZ15:AZ18 AZ20 AZ22 AZ24 AZ26 AZ30:AZ31 AZ36 AZ39">
    <cfRule type="expression" dxfId="125" priority="163">
      <formula>AZ12="Outflow"</formula>
    </cfRule>
    <cfRule type="expression" dxfId="124" priority="164">
      <formula>AZ12="Inflow"</formula>
    </cfRule>
  </conditionalFormatting>
  <conditionalFormatting sqref="AZ10:BA11">
    <cfRule type="expression" dxfId="123" priority="81">
      <formula>AZ10="Outflow"</formula>
    </cfRule>
    <cfRule type="expression" dxfId="122" priority="82">
      <formula>AZ10="Inflow"</formula>
    </cfRule>
  </conditionalFormatting>
  <conditionalFormatting sqref="AZ14:BA14">
    <cfRule type="expression" dxfId="121" priority="79">
      <formula>AZ14="Outflow"</formula>
    </cfRule>
    <cfRule type="expression" dxfId="120" priority="80">
      <formula>AZ14="Inflow"</formula>
    </cfRule>
  </conditionalFormatting>
  <conditionalFormatting sqref="AZ19:BA19">
    <cfRule type="expression" dxfId="119" priority="77">
      <formula>AZ19="Outflow"</formula>
    </cfRule>
    <cfRule type="expression" dxfId="118" priority="78">
      <formula>AZ19="Inflow"</formula>
    </cfRule>
  </conditionalFormatting>
  <conditionalFormatting sqref="AZ21:BA21">
    <cfRule type="expression" dxfId="117" priority="75">
      <formula>AZ21="Outflow"</formula>
    </cfRule>
    <cfRule type="expression" dxfId="116" priority="76">
      <formula>AZ21="Inflow"</formula>
    </cfRule>
  </conditionalFormatting>
  <conditionalFormatting sqref="AZ23:BA23">
    <cfRule type="expression" dxfId="115" priority="73">
      <formula>AZ23="Outflow"</formula>
    </cfRule>
    <cfRule type="expression" dxfId="114" priority="74">
      <formula>AZ23="Inflow"</formula>
    </cfRule>
  </conditionalFormatting>
  <conditionalFormatting sqref="AZ25:BA25">
    <cfRule type="expression" dxfId="113" priority="71">
      <formula>AZ25="Outflow"</formula>
    </cfRule>
    <cfRule type="expression" dxfId="112" priority="72">
      <formula>AZ25="Inflow"</formula>
    </cfRule>
  </conditionalFormatting>
  <conditionalFormatting sqref="AZ27:BA29">
    <cfRule type="expression" dxfId="111" priority="69">
      <formula>AZ27="Outflow"</formula>
    </cfRule>
    <cfRule type="expression" dxfId="110" priority="70">
      <formula>AZ27="Inflow"</formula>
    </cfRule>
  </conditionalFormatting>
  <conditionalFormatting sqref="AZ32:BA35">
    <cfRule type="expression" dxfId="109" priority="67">
      <formula>AZ32="Outflow"</formula>
    </cfRule>
    <cfRule type="expression" dxfId="108" priority="68">
      <formula>AZ32="Inflow"</formula>
    </cfRule>
  </conditionalFormatting>
  <conditionalFormatting sqref="AZ37:BA38">
    <cfRule type="expression" dxfId="107" priority="65">
      <formula>AZ37="Outflow"</formula>
    </cfRule>
    <cfRule type="expression" dxfId="106" priority="66">
      <formula>AZ37="Inflow"</formula>
    </cfRule>
  </conditionalFormatting>
  <conditionalFormatting sqref="BA12:BA13 BA15:BA18 BA20 BA22 BA24 BA26 BA30:BA31 BA36 BA39">
    <cfRule type="expression" dxfId="105" priority="165">
      <formula>BA12="Investing"</formula>
    </cfRule>
    <cfRule type="expression" dxfId="104" priority="166">
      <formula>BA12="Financing"</formula>
    </cfRule>
    <cfRule type="expression" dxfId="103" priority="167">
      <formula>BA12="Operating"</formula>
    </cfRule>
  </conditionalFormatting>
  <conditionalFormatting sqref="BB10:BB39">
    <cfRule type="cellIs" dxfId="102" priority="168" operator="greaterThan">
      <formula>0</formula>
    </cfRule>
  </conditionalFormatting>
  <conditionalFormatting sqref="BC10:BC39">
    <cfRule type="cellIs" dxfId="101" priority="169" operator="lessThan">
      <formula>0</formula>
    </cfRule>
  </conditionalFormatting>
  <conditionalFormatting sqref="BF10:BF12 BF14 BF16 BF19 BF21 BF23:BF24 BF27 BF30 BF32 BF34 BF37 BF40">
    <cfRule type="expression" dxfId="100" priority="90">
      <formula>BF10="Outflow"</formula>
    </cfRule>
    <cfRule type="expression" dxfId="99" priority="91">
      <formula>BF10="Inflow"</formula>
    </cfRule>
  </conditionalFormatting>
  <conditionalFormatting sqref="BF13:BG13">
    <cfRule type="expression" dxfId="98" priority="63">
      <formula>BF13="Outflow"</formula>
    </cfRule>
    <cfRule type="expression" dxfId="97" priority="64">
      <formula>BF13="Inflow"</formula>
    </cfRule>
  </conditionalFormatting>
  <conditionalFormatting sqref="BF15:BG15">
    <cfRule type="expression" dxfId="96" priority="61">
      <formula>BF15="Outflow"</formula>
    </cfRule>
    <cfRule type="expression" dxfId="95" priority="62">
      <formula>BF15="Inflow"</formula>
    </cfRule>
  </conditionalFormatting>
  <conditionalFormatting sqref="BF17:BG18">
    <cfRule type="expression" dxfId="94" priority="59">
      <formula>BF17="Outflow"</formula>
    </cfRule>
    <cfRule type="expression" dxfId="93" priority="60">
      <formula>BF17="Inflow"</formula>
    </cfRule>
  </conditionalFormatting>
  <conditionalFormatting sqref="BF20:BG20">
    <cfRule type="expression" dxfId="92" priority="57">
      <formula>BF20="Outflow"</formula>
    </cfRule>
    <cfRule type="expression" dxfId="91" priority="58">
      <formula>BF20="Inflow"</formula>
    </cfRule>
  </conditionalFormatting>
  <conditionalFormatting sqref="BF22:BG22">
    <cfRule type="expression" dxfId="90" priority="55">
      <formula>BF22="Outflow"</formula>
    </cfRule>
    <cfRule type="expression" dxfId="89" priority="56">
      <formula>BF22="Inflow"</formula>
    </cfRule>
  </conditionalFormatting>
  <conditionalFormatting sqref="BF25:BG26">
    <cfRule type="expression" dxfId="88" priority="53">
      <formula>BF25="Outflow"</formula>
    </cfRule>
    <cfRule type="expression" dxfId="87" priority="54">
      <formula>BF25="Inflow"</formula>
    </cfRule>
  </conditionalFormatting>
  <conditionalFormatting sqref="BF28:BG29">
    <cfRule type="expression" dxfId="86" priority="51">
      <formula>BF28="Outflow"</formula>
    </cfRule>
    <cfRule type="expression" dxfId="85" priority="52">
      <formula>BF28="Inflow"</formula>
    </cfRule>
  </conditionalFormatting>
  <conditionalFormatting sqref="BF31:BG31">
    <cfRule type="expression" dxfId="84" priority="49">
      <formula>BF31="Outflow"</formula>
    </cfRule>
    <cfRule type="expression" dxfId="83" priority="50">
      <formula>BF31="Inflow"</formula>
    </cfRule>
  </conditionalFormatting>
  <conditionalFormatting sqref="BF33:BG33">
    <cfRule type="expression" dxfId="82" priority="47">
      <formula>BF33="Outflow"</formula>
    </cfRule>
    <cfRule type="expression" dxfId="81" priority="48">
      <formula>BF33="Inflow"</formula>
    </cfRule>
  </conditionalFormatting>
  <conditionalFormatting sqref="BF35:BG36">
    <cfRule type="expression" dxfId="80" priority="45">
      <formula>BF35="Outflow"</formula>
    </cfRule>
    <cfRule type="expression" dxfId="79" priority="46">
      <formula>BF35="Inflow"</formula>
    </cfRule>
  </conditionalFormatting>
  <conditionalFormatting sqref="BF38:BG39">
    <cfRule type="expression" dxfId="78" priority="43">
      <formula>BF38="Outflow"</formula>
    </cfRule>
    <cfRule type="expression" dxfId="77" priority="44">
      <formula>BF38="Inflow"</formula>
    </cfRule>
  </conditionalFormatting>
  <conditionalFormatting sqref="BG10:BG12 BG14 BG16 BG19 BG21 BG23:BG24 BG27 BG30 BG32 BG34 BG37 BG40">
    <cfRule type="expression" dxfId="76" priority="92">
      <formula>BG10="Investing"</formula>
    </cfRule>
    <cfRule type="expression" dxfId="75" priority="93">
      <formula>BG10="Financing"</formula>
    </cfRule>
    <cfRule type="expression" dxfId="74" priority="94">
      <formula>BG10="Operating"</formula>
    </cfRule>
  </conditionalFormatting>
  <conditionalFormatting sqref="BH10:BH40">
    <cfRule type="cellIs" dxfId="73" priority="95" operator="greaterThan">
      <formula>0</formula>
    </cfRule>
  </conditionalFormatting>
  <conditionalFormatting sqref="BI10:BI40">
    <cfRule type="cellIs" dxfId="72" priority="96" operator="lessThan">
      <formula>0</formula>
    </cfRule>
  </conditionalFormatting>
  <conditionalFormatting sqref="BL12:BM12">
    <cfRule type="expression" dxfId="71" priority="41">
      <formula>BL12="Outflow"</formula>
    </cfRule>
    <cfRule type="expression" dxfId="70" priority="42">
      <formula>BL12="Inflow"</formula>
    </cfRule>
  </conditionalFormatting>
  <conditionalFormatting sqref="BL14:BM14">
    <cfRule type="expression" dxfId="69" priority="39">
      <formula>BL14="Outflow"</formula>
    </cfRule>
    <cfRule type="expression" dxfId="68" priority="40">
      <formula>BL14="Inflow"</formula>
    </cfRule>
  </conditionalFormatting>
  <conditionalFormatting sqref="BL17:BM17">
    <cfRule type="expression" dxfId="67" priority="37">
      <formula>BL17="Outflow"</formula>
    </cfRule>
    <cfRule type="expression" dxfId="66" priority="38">
      <formula>BL17="Inflow"</formula>
    </cfRule>
  </conditionalFormatting>
  <conditionalFormatting sqref="BL21:BM21">
    <cfRule type="expression" dxfId="65" priority="35">
      <formula>BL21="Outflow"</formula>
    </cfRule>
    <cfRule type="expression" dxfId="64" priority="36">
      <formula>BL21="Inflow"</formula>
    </cfRule>
  </conditionalFormatting>
  <conditionalFormatting sqref="BL23:BM23">
    <cfRule type="expression" dxfId="63" priority="33">
      <formula>BL23="Outflow"</formula>
    </cfRule>
    <cfRule type="expression" dxfId="62" priority="34">
      <formula>BL23="Inflow"</formula>
    </cfRule>
  </conditionalFormatting>
  <conditionalFormatting sqref="BL26:BM26">
    <cfRule type="expression" dxfId="61" priority="31">
      <formula>BL26="Outflow"</formula>
    </cfRule>
    <cfRule type="expression" dxfId="60" priority="32">
      <formula>BL26="Inflow"</formula>
    </cfRule>
  </conditionalFormatting>
  <conditionalFormatting sqref="BL28:BM28">
    <cfRule type="expression" dxfId="59" priority="29">
      <formula>BL28="Outflow"</formula>
    </cfRule>
    <cfRule type="expression" dxfId="58" priority="30">
      <formula>BL28="Inflow"</formula>
    </cfRule>
  </conditionalFormatting>
  <conditionalFormatting sqref="BL30:BM32">
    <cfRule type="expression" dxfId="57" priority="27">
      <formula>BL30="Outflow"</formula>
    </cfRule>
    <cfRule type="expression" dxfId="56" priority="28">
      <formula>BL30="Inflow"</formula>
    </cfRule>
  </conditionalFormatting>
  <conditionalFormatting sqref="BL34:BM37">
    <cfRule type="expression" dxfId="55" priority="25">
      <formula>BL34="Outflow"</formula>
    </cfRule>
    <cfRule type="expression" dxfId="54" priority="26">
      <formula>BL34="Inflow"</formula>
    </cfRule>
  </conditionalFormatting>
  <conditionalFormatting sqref="BL39:BM39">
    <cfRule type="expression" dxfId="53" priority="23">
      <formula>BL39="Outflow"</formula>
    </cfRule>
    <cfRule type="expression" dxfId="52" priority="24">
      <formula>BL39="Inflow"</formula>
    </cfRule>
  </conditionalFormatting>
  <conditionalFormatting sqref="BN10:BN39 BT10:BT40">
    <cfRule type="cellIs" dxfId="51" priority="88" operator="greaterThan">
      <formula>0</formula>
    </cfRule>
  </conditionalFormatting>
  <conditionalFormatting sqref="BO10:BO39 BU10:BU40">
    <cfRule type="cellIs" dxfId="50" priority="89" operator="lessThan">
      <formula>0</formula>
    </cfRule>
  </conditionalFormatting>
  <conditionalFormatting sqref="BR10 BL10:BL11 BR12 BL13 BR14:BR15 BL15:BL16 BR17:BR18 BL18:BL20 BR20:BR22 BL22 BL24:BL25 BR26:BR27 BL27 BL29 BR30:BR31 BL33 BR33 BR35 BR37 BL38 BR39">
    <cfRule type="expression" dxfId="49" priority="83">
      <formula>BL10="Outflow"</formula>
    </cfRule>
    <cfRule type="expression" dxfId="48" priority="84">
      <formula>BL10="Inflow"</formula>
    </cfRule>
  </conditionalFormatting>
  <conditionalFormatting sqref="BR11:BS11">
    <cfRule type="expression" dxfId="47" priority="21">
      <formula>BR11="Outflow"</formula>
    </cfRule>
    <cfRule type="expression" dxfId="46" priority="22">
      <formula>BR11="Inflow"</formula>
    </cfRule>
  </conditionalFormatting>
  <conditionalFormatting sqref="BR13:BS13">
    <cfRule type="expression" dxfId="45" priority="19">
      <formula>BR13="Outflow"</formula>
    </cfRule>
    <cfRule type="expression" dxfId="44" priority="20">
      <formula>BR13="Inflow"</formula>
    </cfRule>
  </conditionalFormatting>
  <conditionalFormatting sqref="BR16:BS16">
    <cfRule type="expression" dxfId="43" priority="17">
      <formula>BR16="Outflow"</formula>
    </cfRule>
    <cfRule type="expression" dxfId="42" priority="18">
      <formula>BR16="Inflow"</formula>
    </cfRule>
  </conditionalFormatting>
  <conditionalFormatting sqref="BR19:BS19">
    <cfRule type="expression" dxfId="41" priority="15">
      <formula>BR19="Outflow"</formula>
    </cfRule>
    <cfRule type="expression" dxfId="40" priority="16">
      <formula>BR19="Inflow"</formula>
    </cfRule>
  </conditionalFormatting>
  <conditionalFormatting sqref="BR23:BS25">
    <cfRule type="expression" dxfId="39" priority="13">
      <formula>BR23="Outflow"</formula>
    </cfRule>
    <cfRule type="expression" dxfId="38" priority="14">
      <formula>BR23="Inflow"</formula>
    </cfRule>
  </conditionalFormatting>
  <conditionalFormatting sqref="BR28:BS29">
    <cfRule type="expression" dxfId="37" priority="11">
      <formula>BR28="Outflow"</formula>
    </cfRule>
    <cfRule type="expression" dxfId="36" priority="12">
      <formula>BR28="Inflow"</formula>
    </cfRule>
  </conditionalFormatting>
  <conditionalFormatting sqref="BR32:BS32">
    <cfRule type="expression" dxfId="35" priority="9">
      <formula>BR32="Outflow"</formula>
    </cfRule>
    <cfRule type="expression" dxfId="34" priority="10">
      <formula>BR32="Inflow"</formula>
    </cfRule>
  </conditionalFormatting>
  <conditionalFormatting sqref="BR34:BS34">
    <cfRule type="expression" dxfId="33" priority="7">
      <formula>BR34="Outflow"</formula>
    </cfRule>
    <cfRule type="expression" dxfId="32" priority="8">
      <formula>BR34="Inflow"</formula>
    </cfRule>
  </conditionalFormatting>
  <conditionalFormatting sqref="BR36:BS36">
    <cfRule type="expression" dxfId="31" priority="5">
      <formula>BR36="Outflow"</formula>
    </cfRule>
    <cfRule type="expression" dxfId="30" priority="6">
      <formula>BR36="Inflow"</formula>
    </cfRule>
  </conditionalFormatting>
  <conditionalFormatting sqref="BR38:BS38">
    <cfRule type="expression" dxfId="29" priority="3">
      <formula>BR38="Outflow"</formula>
    </cfRule>
    <cfRule type="expression" dxfId="28" priority="4">
      <formula>BR38="Inflow"</formula>
    </cfRule>
  </conditionalFormatting>
  <conditionalFormatting sqref="BR40:BS40">
    <cfRule type="expression" dxfId="27" priority="1">
      <formula>BR40="Outflow"</formula>
    </cfRule>
    <cfRule type="expression" dxfId="26" priority="2">
      <formula>BR40="Inflow"</formula>
    </cfRule>
  </conditionalFormatting>
  <conditionalFormatting sqref="BS10 BM10:BM11 BS12 BM13 BS14:BS15 BM15:BM16 BS17:BS18 BM18:BM20 BS20:BS22 BM22 BM24:BM25 BS26:BS27 BM27 BM29 BS30:BS31 BM33 BS33 BS35 BS37 BM38 BS39">
    <cfRule type="expression" dxfId="25" priority="85">
      <formula>BM10="Investing"</formula>
    </cfRule>
    <cfRule type="expression" dxfId="24" priority="86">
      <formula>BM10="Financing"</formula>
    </cfRule>
    <cfRule type="expression" dxfId="23" priority="87">
      <formula>BM10="Operating"</formula>
    </cfRule>
  </conditionalFormatting>
  <hyperlinks>
    <hyperlink ref="E4" location="JanStart" display="Go to Jan" xr:uid="{26E9913B-E1D3-4DA0-BA63-B1BBC7C498AE}"/>
    <hyperlink ref="F4" location="FebStart" display="Go to Feb" xr:uid="{0E0F94C1-AC53-4ADC-A662-4DE2EF382900}"/>
    <hyperlink ref="G4" location="MarStart" display="Go to Mar" xr:uid="{988EC33A-1A36-447E-9D4F-EAFD68636978}"/>
    <hyperlink ref="H4" location="AprStart" display="Go to Apr" xr:uid="{9E95EC12-33F9-4F81-B010-6923557B48C7}"/>
    <hyperlink ref="I4" location="MayStart" display="Go to May" xr:uid="{D0306C85-6DA1-4BB4-9D0D-08BC23CF6892}"/>
    <hyperlink ref="J4" location="JunStart" display="Go to Jun" xr:uid="{352B792F-DEB1-415F-A1E0-1118A89707AA}"/>
    <hyperlink ref="K4" location="JulStart" display="Go to Jul" xr:uid="{73F43334-DA3E-4CD3-8E3A-9AA0BD255585}"/>
    <hyperlink ref="L4" location="Aug_Start" display="Go to Aug" xr:uid="{E3B687BA-A159-475D-B9B7-A28533F7F2DB}"/>
    <hyperlink ref="M4" location="Sep_Start" display="Go to Sep" xr:uid="{2F8E5644-6E99-4CC4-B6E9-6A5BEDF61D33}"/>
    <hyperlink ref="N4" location="Oct_Start" display="Go to Oct" xr:uid="{D75F3952-EE8C-4ACE-BB7F-7A5D42686708}"/>
    <hyperlink ref="O4" location="Nov_Start" display="Go to Nov" xr:uid="{624298EB-7DDD-4707-BC7C-B2BB30FC7536}"/>
    <hyperlink ref="P4" location="Dec_Start" display="Go to Dec" xr:uid="{BDEECDF9-6F64-415B-8997-7C7FC028134D}"/>
  </hyperlinks>
  <pageMargins left="0.7" right="0.7" top="0.75" bottom="0.75" header="0.3" footer="0.3"/>
  <ignoredErrors>
    <ignoredError sqref="J34:K34 P34:Q34 AB22:AC22 AB27:AC27 AB29:AC29 AB38:AC38 V24:W24 V13:W13 V29:W29 AH38:AI38 AH36:AI36 AH31:AI31 AH29:AI29 AH23:AI23 AH13:AI13 AN13:AO13 AN15:AO15 AN17:AO17 AN19:AO19 AN27:AO27 AN33:AO33 AN37:AO37 AT13:AU13 AT15:AU15 AT17:AU17 AT23:AU23 AT26:AU26 AT34:AU34 AT39:AU39 AZ20:BA20 AZ22:BA22 AZ24:BA24 AZ26:BA26 AZ36:BA36 BF14:BG14 BF16:BG16 BF19:BG19 BF21:BG21 BF27:BG27 BF30:BG30 BF32:BG32 BF34:BG34 BF37:BG37 BL38:BM38 BL33:BM33 BL29:BM29 BL27:BM27 BL22:BM22 BL13:BM13 BR33:BS33 BR35:BS35 BR37:BS37 BR39:BS39 BR12:BS12" formula="1"/>
    <ignoredError sqref="C10 I10 O10 U10 AA10 AG10 AP10 AS10 AY10 BE10 BK10 BQ1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9711-72D8-4AB7-A0BC-0B93E7E26653}">
  <sheetPr>
    <tabColor theme="9" tint="-0.249977111117893"/>
  </sheetPr>
  <dimension ref="B2:X27"/>
  <sheetViews>
    <sheetView showGridLines="0" zoomScaleNormal="100" workbookViewId="0">
      <pane ySplit="2" topLeftCell="A3" activePane="bottomLeft" state="frozen"/>
      <selection pane="bottomLeft" activeCell="W87" sqref="W87"/>
    </sheetView>
  </sheetViews>
  <sheetFormatPr defaultRowHeight="14.4" x14ac:dyDescent="0.3"/>
  <cols>
    <col min="1" max="1" width="3.33203125" customWidth="1"/>
    <col min="2" max="2" width="24.44140625" bestFit="1" customWidth="1"/>
    <col min="3" max="3" width="11.44140625" bestFit="1" customWidth="1"/>
    <col min="4" max="4" width="10" bestFit="1" customWidth="1"/>
    <col min="5" max="5" width="10.6640625" bestFit="1" customWidth="1"/>
    <col min="6" max="6" width="9.5546875" style="6" bestFit="1" customWidth="1"/>
    <col min="7" max="7" width="3.33203125" customWidth="1"/>
    <col min="8" max="8" width="24.44140625" bestFit="1" customWidth="1"/>
    <col min="12" max="12" width="8.88671875" style="6"/>
    <col min="13" max="13" width="3.33203125" customWidth="1"/>
    <col min="14" max="14" width="24.88671875" bestFit="1" customWidth="1"/>
    <col min="16" max="16" width="9" bestFit="1" customWidth="1"/>
    <col min="17" max="17" width="8.77734375" bestFit="1" customWidth="1"/>
    <col min="18" max="18" width="8.88671875" style="6"/>
    <col min="19" max="19" width="3.33203125" customWidth="1"/>
    <col min="20" max="20" width="24.88671875" bestFit="1" customWidth="1"/>
    <col min="22" max="22" width="9" bestFit="1" customWidth="1"/>
    <col min="23" max="23" width="9.88671875" bestFit="1" customWidth="1"/>
    <col min="24" max="24" width="10.33203125" bestFit="1" customWidth="1"/>
  </cols>
  <sheetData>
    <row r="2" spans="2:24" x14ac:dyDescent="0.3">
      <c r="B2" s="93" t="s">
        <v>107</v>
      </c>
      <c r="C2" s="93"/>
      <c r="D2" s="93"/>
      <c r="E2" s="93"/>
      <c r="F2" s="93"/>
      <c r="H2" s="93" t="s">
        <v>113</v>
      </c>
      <c r="I2" s="93"/>
      <c r="J2" s="93"/>
      <c r="K2" s="93"/>
      <c r="L2" s="93"/>
      <c r="N2" s="93" t="s">
        <v>115</v>
      </c>
      <c r="O2" s="93"/>
      <c r="P2" s="93"/>
      <c r="Q2" s="93"/>
      <c r="R2" s="93"/>
      <c r="T2" s="93" t="s">
        <v>116</v>
      </c>
      <c r="U2" s="93"/>
      <c r="V2" s="93"/>
      <c r="W2" s="93"/>
      <c r="X2" s="93"/>
    </row>
    <row r="3" spans="2:24" x14ac:dyDescent="0.3">
      <c r="B3" s="67" t="s">
        <v>108</v>
      </c>
      <c r="C3" s="68" t="s">
        <v>24</v>
      </c>
      <c r="D3" s="68" t="s">
        <v>23</v>
      </c>
      <c r="E3" s="68" t="s">
        <v>37</v>
      </c>
      <c r="F3" s="68" t="s">
        <v>99</v>
      </c>
      <c r="H3" s="67" t="str">
        <f>B3</f>
        <v>Metric</v>
      </c>
      <c r="I3" s="68" t="str">
        <f t="shared" ref="I3:L3" si="0">C3</f>
        <v>Operating</v>
      </c>
      <c r="J3" s="68" t="str">
        <f t="shared" si="0"/>
        <v>Financing</v>
      </c>
      <c r="K3" s="68" t="str">
        <f t="shared" si="0"/>
        <v>Investing</v>
      </c>
      <c r="L3" s="68" t="str">
        <f t="shared" si="0"/>
        <v>Total</v>
      </c>
      <c r="N3" s="67" t="str">
        <f>H3</f>
        <v>Metric</v>
      </c>
      <c r="O3" s="68" t="str">
        <f t="shared" ref="O3:R3" si="1">I3</f>
        <v>Operating</v>
      </c>
      <c r="P3" s="68" t="str">
        <f t="shared" si="1"/>
        <v>Financing</v>
      </c>
      <c r="Q3" s="68" t="str">
        <f t="shared" si="1"/>
        <v>Investing</v>
      </c>
      <c r="R3" s="68" t="str">
        <f t="shared" si="1"/>
        <v>Total</v>
      </c>
      <c r="T3" s="67" t="str">
        <f>N3</f>
        <v>Metric</v>
      </c>
      <c r="U3" s="68" t="str">
        <f t="shared" ref="U3:X3" si="2">O3</f>
        <v>Operating</v>
      </c>
      <c r="V3" s="68" t="str">
        <f t="shared" si="2"/>
        <v>Financing</v>
      </c>
      <c r="W3" s="68" t="str">
        <f t="shared" si="2"/>
        <v>Investing</v>
      </c>
      <c r="X3" s="68" t="str">
        <f t="shared" si="2"/>
        <v>Total</v>
      </c>
    </row>
    <row r="4" spans="2:24" x14ac:dyDescent="0.3">
      <c r="B4" s="69" t="s">
        <v>92</v>
      </c>
      <c r="C4" s="70">
        <f>SUM(Calculations!C11:E11)</f>
        <v>294275</v>
      </c>
      <c r="D4" s="70">
        <f>SUM(Calculations!C12:E12)</f>
        <v>97500</v>
      </c>
      <c r="E4" s="70">
        <f>SUM(Calculations!C13:E13)</f>
        <v>38240</v>
      </c>
      <c r="F4" s="78">
        <f>SUM(C4:E4)</f>
        <v>430015</v>
      </c>
      <c r="H4" s="77" t="str">
        <f t="shared" ref="H4:H12" si="3">B4</f>
        <v>Cash-In</v>
      </c>
      <c r="I4" s="70">
        <f>SUM(Calculations!F11:H11)</f>
        <v>192720</v>
      </c>
      <c r="J4" s="70">
        <f>SUM(Calculations!F12:H12)</f>
        <v>90000</v>
      </c>
      <c r="K4" s="70">
        <f>SUM(Calculations!F13:H13)</f>
        <v>35587</v>
      </c>
      <c r="L4" s="78">
        <f>SUM(I4:K4)</f>
        <v>318307</v>
      </c>
      <c r="N4" s="77" t="str">
        <f>H4</f>
        <v>Cash-In</v>
      </c>
      <c r="O4" s="70">
        <f>SUM(Calculations!I11:K11)</f>
        <v>268550</v>
      </c>
      <c r="P4" s="70">
        <f>SUM(Calculations!I12:K12)</f>
        <v>44000</v>
      </c>
      <c r="Q4" s="70">
        <f>SUM(Calculations!I13:K13)</f>
        <v>161572</v>
      </c>
      <c r="R4" s="78">
        <f>SUM(O4:Q4)</f>
        <v>474122</v>
      </c>
      <c r="T4" s="77" t="str">
        <f>N4</f>
        <v>Cash-In</v>
      </c>
      <c r="U4" s="70">
        <f>SUM(Calculations!L11:N11)</f>
        <v>415200</v>
      </c>
      <c r="V4" s="70">
        <f>SUM(Calculations!L12:N12)</f>
        <v>140000</v>
      </c>
      <c r="W4" s="70">
        <f>SUM(Calculations!L13:N13)</f>
        <v>51800</v>
      </c>
      <c r="X4" s="78">
        <f>SUM(U4:W4)</f>
        <v>607000</v>
      </c>
    </row>
    <row r="5" spans="2:24" x14ac:dyDescent="0.3">
      <c r="B5" s="71" t="s">
        <v>93</v>
      </c>
      <c r="C5" s="72">
        <f>SUM(Calculations!C18:E18)</f>
        <v>243015</v>
      </c>
      <c r="D5" s="72">
        <f>SUM(Calculations!C19:E19)</f>
        <v>33110</v>
      </c>
      <c r="E5" s="72">
        <f>SUM(Calculations!C20:E20)</f>
        <v>70000</v>
      </c>
      <c r="F5" s="79">
        <f>SUM(C5:E5)</f>
        <v>346125</v>
      </c>
      <c r="H5" s="77" t="str">
        <f t="shared" si="3"/>
        <v>Cash-Out</v>
      </c>
      <c r="I5" s="72">
        <f>SUM(Calculations!F18:H18)</f>
        <v>234500</v>
      </c>
      <c r="J5" s="72">
        <f>SUM(Calculations!F19:H19)</f>
        <v>40000</v>
      </c>
      <c r="K5" s="72">
        <f>SUM(Calculations!F20:H20)</f>
        <v>105000</v>
      </c>
      <c r="L5" s="79">
        <f t="shared" ref="L5:L12" si="4">SUM(I5:K5)</f>
        <v>379500</v>
      </c>
      <c r="N5" s="77" t="str">
        <f t="shared" ref="N5:N12" si="5">H5</f>
        <v>Cash-Out</v>
      </c>
      <c r="O5" s="72">
        <f>SUM(Calculations!I18:K18)</f>
        <v>272710</v>
      </c>
      <c r="P5" s="72">
        <f>SUM(Calculations!I19:K19)</f>
        <v>43000</v>
      </c>
      <c r="Q5" s="72">
        <f>SUM(Calculations!I20:K20)</f>
        <v>26250</v>
      </c>
      <c r="R5" s="79">
        <f t="shared" ref="R5:R12" si="6">SUM(O5:Q5)</f>
        <v>341960</v>
      </c>
      <c r="T5" s="77" t="str">
        <f t="shared" ref="T5:T12" si="7">N5</f>
        <v>Cash-Out</v>
      </c>
      <c r="U5" s="72">
        <f>SUM(Calculations!L18:N18)</f>
        <v>394100</v>
      </c>
      <c r="V5" s="72">
        <f>SUM(Calculations!L19:N19)</f>
        <v>26550</v>
      </c>
      <c r="W5" s="72">
        <f>SUM(Calculations!L20:N20)</f>
        <v>373000</v>
      </c>
      <c r="X5" s="79">
        <f t="shared" ref="X5:X12" si="8">SUM(U5:W5)</f>
        <v>793650</v>
      </c>
    </row>
    <row r="6" spans="2:24" x14ac:dyDescent="0.3">
      <c r="B6" s="71" t="s">
        <v>94</v>
      </c>
      <c r="C6" s="72">
        <f>C4-C5</f>
        <v>51260</v>
      </c>
      <c r="D6" s="72">
        <f t="shared" ref="D6:E6" si="9">D4-D5</f>
        <v>64390</v>
      </c>
      <c r="E6" s="73">
        <f t="shared" si="9"/>
        <v>-31760</v>
      </c>
      <c r="F6" s="79">
        <f>SUM(C6:E6)</f>
        <v>83890</v>
      </c>
      <c r="H6" s="77" t="str">
        <f t="shared" si="3"/>
        <v>Net Cash Flow</v>
      </c>
      <c r="I6" s="73">
        <f>I4-I5</f>
        <v>-41780</v>
      </c>
      <c r="J6" s="72">
        <f t="shared" ref="J6:K6" si="10">J4-J5</f>
        <v>50000</v>
      </c>
      <c r="K6" s="73">
        <f t="shared" si="10"/>
        <v>-69413</v>
      </c>
      <c r="L6" s="83">
        <f t="shared" si="4"/>
        <v>-61193</v>
      </c>
      <c r="N6" s="77" t="str">
        <f t="shared" si="5"/>
        <v>Net Cash Flow</v>
      </c>
      <c r="O6" s="73">
        <f>O4-O5</f>
        <v>-4160</v>
      </c>
      <c r="P6" s="72">
        <f t="shared" ref="P6:Q6" si="11">P4-P5</f>
        <v>1000</v>
      </c>
      <c r="Q6" s="73">
        <f t="shared" si="11"/>
        <v>135322</v>
      </c>
      <c r="R6" s="83">
        <f t="shared" si="6"/>
        <v>132162</v>
      </c>
      <c r="T6" s="77" t="str">
        <f t="shared" si="7"/>
        <v>Net Cash Flow</v>
      </c>
      <c r="U6" s="73">
        <f>U4-U5</f>
        <v>21100</v>
      </c>
      <c r="V6" s="72">
        <f t="shared" ref="V6:W6" si="12">V4-V5</f>
        <v>113450</v>
      </c>
      <c r="W6" s="73">
        <f t="shared" si="12"/>
        <v>-321200</v>
      </c>
      <c r="X6" s="83">
        <f t="shared" si="8"/>
        <v>-186650</v>
      </c>
    </row>
    <row r="7" spans="2:24" ht="4.8" customHeight="1" x14ac:dyDescent="0.3">
      <c r="B7" s="71"/>
      <c r="C7" s="71"/>
      <c r="D7" s="71"/>
      <c r="E7" s="71"/>
      <c r="F7" s="80"/>
      <c r="H7" s="77"/>
      <c r="I7" s="71"/>
      <c r="J7" s="71"/>
      <c r="K7" s="71"/>
      <c r="L7" s="80"/>
      <c r="N7" s="77"/>
      <c r="O7" s="71"/>
      <c r="P7" s="71"/>
      <c r="Q7" s="71"/>
      <c r="R7" s="80"/>
      <c r="T7" s="77"/>
      <c r="U7" s="71"/>
      <c r="V7" s="71"/>
      <c r="W7" s="71"/>
      <c r="X7" s="80"/>
    </row>
    <row r="8" spans="2:24" x14ac:dyDescent="0.3">
      <c r="B8" s="71" t="s">
        <v>109</v>
      </c>
      <c r="C8" s="71">
        <f>SUM(Calculations!C28:E28)</f>
        <v>20</v>
      </c>
      <c r="D8" s="71">
        <f>SUM(Calculations!C29:E29)</f>
        <v>3</v>
      </c>
      <c r="E8" s="71">
        <f>SUM(Calculations!C30:E30)</f>
        <v>4</v>
      </c>
      <c r="F8" s="80">
        <f>SUM(C8:E8)</f>
        <v>27</v>
      </c>
      <c r="H8" s="77" t="str">
        <f t="shared" si="3"/>
        <v>No. of Inflow Transactions</v>
      </c>
      <c r="I8" s="71">
        <f>SUM(Calculations!F28:H28)</f>
        <v>10</v>
      </c>
      <c r="J8" s="71">
        <f>SUM(Calculations!F29:H29)</f>
        <v>4</v>
      </c>
      <c r="K8" s="71">
        <f>SUM(Calculations!F30:H30)</f>
        <v>4</v>
      </c>
      <c r="L8" s="80">
        <f t="shared" si="4"/>
        <v>18</v>
      </c>
      <c r="N8" s="77" t="str">
        <f t="shared" si="5"/>
        <v>No. of Inflow Transactions</v>
      </c>
      <c r="O8" s="71">
        <v>12</v>
      </c>
      <c r="P8" s="71">
        <v>1</v>
      </c>
      <c r="Q8" s="71">
        <v>6</v>
      </c>
      <c r="R8" s="80">
        <f t="shared" si="6"/>
        <v>19</v>
      </c>
      <c r="T8" s="77" t="str">
        <f t="shared" si="7"/>
        <v>No. of Inflow Transactions</v>
      </c>
      <c r="U8" s="71">
        <f>SUM(Calculations!L28:N28)</f>
        <v>12</v>
      </c>
      <c r="V8" s="71">
        <f>SUM(Calculations!L29:N29)</f>
        <v>1</v>
      </c>
      <c r="W8" s="71">
        <v>3</v>
      </c>
      <c r="X8" s="80">
        <f t="shared" si="8"/>
        <v>16</v>
      </c>
    </row>
    <row r="9" spans="2:24" x14ac:dyDescent="0.3">
      <c r="B9" s="71" t="s">
        <v>110</v>
      </c>
      <c r="C9" s="71">
        <f>SUM(Calculations!C35:E35)</f>
        <v>30</v>
      </c>
      <c r="D9" s="71">
        <f>SUM(Calculations!C36:E36)</f>
        <v>5</v>
      </c>
      <c r="E9" s="71">
        <f>SUM(Calculations!C37:E37)</f>
        <v>5</v>
      </c>
      <c r="F9" s="80">
        <f>SUM(C9:E9)</f>
        <v>40</v>
      </c>
      <c r="H9" s="77" t="str">
        <f t="shared" si="3"/>
        <v>No. of Outflow Transactions</v>
      </c>
      <c r="I9" s="71">
        <f>SUM(Calculations!F35:H35)</f>
        <v>16</v>
      </c>
      <c r="J9" s="71">
        <f>SUM(Calculations!F36:H36)</f>
        <v>3</v>
      </c>
      <c r="K9" s="71">
        <f>SUM(Calculations!F37:H37)</f>
        <v>3</v>
      </c>
      <c r="L9" s="80">
        <f t="shared" si="4"/>
        <v>22</v>
      </c>
      <c r="N9" s="77" t="str">
        <f t="shared" si="5"/>
        <v>No. of Outflow Transactions</v>
      </c>
      <c r="O9" s="71">
        <v>18</v>
      </c>
      <c r="P9" s="71">
        <v>3</v>
      </c>
      <c r="Q9" s="71">
        <v>3</v>
      </c>
      <c r="R9" s="80">
        <f t="shared" si="6"/>
        <v>24</v>
      </c>
      <c r="T9" s="77" t="str">
        <f t="shared" si="7"/>
        <v>No. of Outflow Transactions</v>
      </c>
      <c r="U9" s="71">
        <f>SUM(Calculations!L35:N35)</f>
        <v>21</v>
      </c>
      <c r="V9" s="71">
        <f>SUM(Calculations!L36:N36)</f>
        <v>6</v>
      </c>
      <c r="W9" s="71">
        <v>4</v>
      </c>
      <c r="X9" s="80">
        <f t="shared" si="8"/>
        <v>31</v>
      </c>
    </row>
    <row r="10" spans="2:24" ht="7.2" customHeight="1" x14ac:dyDescent="0.3">
      <c r="B10" s="71"/>
      <c r="C10" s="71"/>
      <c r="D10" s="71"/>
      <c r="E10" s="71"/>
      <c r="F10" s="80"/>
      <c r="H10" s="77"/>
      <c r="I10" s="71"/>
      <c r="J10" s="71"/>
      <c r="K10" s="71"/>
      <c r="L10" s="80"/>
      <c r="N10" s="77"/>
      <c r="O10" s="71"/>
      <c r="P10" s="71"/>
      <c r="Q10" s="71"/>
      <c r="R10" s="80"/>
      <c r="T10" s="77"/>
      <c r="U10" s="71"/>
      <c r="V10" s="71"/>
      <c r="W10" s="71"/>
      <c r="X10" s="80"/>
    </row>
    <row r="11" spans="2:24" x14ac:dyDescent="0.3">
      <c r="B11" s="71" t="s">
        <v>111</v>
      </c>
      <c r="C11" s="74">
        <f>C4/C5</f>
        <v>1.2109334814723371</v>
      </c>
      <c r="D11" s="74">
        <f t="shared" ref="D11:F11" si="13">D4/D5</f>
        <v>2.9447296889157353</v>
      </c>
      <c r="E11" s="74">
        <f t="shared" si="13"/>
        <v>0.54628571428571426</v>
      </c>
      <c r="F11" s="81">
        <f t="shared" si="13"/>
        <v>1.2423690863127483</v>
      </c>
      <c r="H11" s="77" t="str">
        <f t="shared" si="3"/>
        <v>Cash Efficiency Ratio</v>
      </c>
      <c r="I11" s="74">
        <f>I4/I5</f>
        <v>0.82183368869936035</v>
      </c>
      <c r="J11" s="74">
        <f t="shared" ref="J11:K11" si="14">J4/J5</f>
        <v>2.25</v>
      </c>
      <c r="K11" s="74">
        <f t="shared" si="14"/>
        <v>0.33892380952380952</v>
      </c>
      <c r="L11" s="81">
        <f t="shared" si="4"/>
        <v>3.4107574982231701</v>
      </c>
      <c r="N11" s="77" t="str">
        <f t="shared" si="5"/>
        <v>Cash Efficiency Ratio</v>
      </c>
      <c r="O11" s="74">
        <f>O4/O5</f>
        <v>0.9847457005610355</v>
      </c>
      <c r="P11" s="74">
        <f t="shared" ref="P11:Q11" si="15">P4/P5</f>
        <v>1.0232558139534884</v>
      </c>
      <c r="Q11" s="74">
        <f t="shared" si="15"/>
        <v>6.1551238095238094</v>
      </c>
      <c r="R11" s="81">
        <f t="shared" si="6"/>
        <v>8.163125324038333</v>
      </c>
      <c r="T11" s="77" t="str">
        <f t="shared" si="7"/>
        <v>Cash Efficiency Ratio</v>
      </c>
      <c r="U11" s="74">
        <f>U4/U5</f>
        <v>1.0535397107333164</v>
      </c>
      <c r="V11" s="74">
        <f t="shared" ref="V11:W11" si="16">V4/V5</f>
        <v>5.2730696798493408</v>
      </c>
      <c r="W11" s="74">
        <f t="shared" si="16"/>
        <v>0.13887399463806971</v>
      </c>
      <c r="X11" s="81">
        <f t="shared" si="8"/>
        <v>6.4654833852207272</v>
      </c>
    </row>
    <row r="12" spans="2:24" x14ac:dyDescent="0.3">
      <c r="B12" s="75" t="s">
        <v>114</v>
      </c>
      <c r="C12" s="76">
        <f>C6/C5</f>
        <v>0.21093348147233709</v>
      </c>
      <c r="D12" s="76">
        <f t="shared" ref="D12:F12" si="17">D6/D5</f>
        <v>1.9447296889157355</v>
      </c>
      <c r="E12" s="76">
        <f t="shared" si="17"/>
        <v>-0.45371428571428574</v>
      </c>
      <c r="F12" s="82">
        <f t="shared" si="17"/>
        <v>0.24236908631274828</v>
      </c>
      <c r="H12" s="77" t="str">
        <f t="shared" si="3"/>
        <v>Net Cash / $1 (Spent/Earned)</v>
      </c>
      <c r="I12" s="76">
        <f>I6/I5</f>
        <v>-0.17816631130063965</v>
      </c>
      <c r="J12" s="76">
        <f t="shared" ref="J12:K12" si="18">J6/J5</f>
        <v>1.25</v>
      </c>
      <c r="K12" s="76">
        <f t="shared" si="18"/>
        <v>-0.66107619047619048</v>
      </c>
      <c r="L12" s="82">
        <f t="shared" si="4"/>
        <v>0.41075749822316998</v>
      </c>
      <c r="N12" s="77" t="str">
        <f t="shared" si="5"/>
        <v>Net Cash / $1 (Spent/Earned)</v>
      </c>
      <c r="O12" s="76">
        <f>O6/O5</f>
        <v>-1.5254299438964468E-2</v>
      </c>
      <c r="P12" s="76">
        <f t="shared" ref="P12:Q12" si="19">P6/P5</f>
        <v>2.3255813953488372E-2</v>
      </c>
      <c r="Q12" s="76">
        <f t="shared" si="19"/>
        <v>5.1551238095238094</v>
      </c>
      <c r="R12" s="82">
        <f t="shared" si="6"/>
        <v>5.163125324038333</v>
      </c>
      <c r="T12" s="77" t="str">
        <f t="shared" si="7"/>
        <v>Net Cash / $1 (Spent/Earned)</v>
      </c>
      <c r="U12" s="76">
        <f>U6/U5</f>
        <v>5.3539710733316419E-2</v>
      </c>
      <c r="V12" s="76">
        <f>V6/V5</f>
        <v>4.2730696798493408</v>
      </c>
      <c r="W12" s="76">
        <f>W6/W5</f>
        <v>-0.86112600536193029</v>
      </c>
      <c r="X12" s="82">
        <f t="shared" si="8"/>
        <v>3.4654833852207272</v>
      </c>
    </row>
    <row r="27" ht="22.8" customHeight="1" x14ac:dyDescent="0.3"/>
  </sheetData>
  <sheetProtection algorithmName="SHA-512" hashValue="pAj/M+SOeydRvMD4l5b8kh03jXAKLuzm3e/dQwhp6UpHos0HPEFo9smoh22lyYHLsfvJW8A0aFGEr2paqAfy2Q==" saltValue="ct4byq2APf/A4yYZgz0PDg==" spinCount="100000" sheet="1" objects="1" scenarios="1" selectLockedCells="1"/>
  <mergeCells count="4">
    <mergeCell ref="B2:F2"/>
    <mergeCell ref="H2:L2"/>
    <mergeCell ref="N2:R2"/>
    <mergeCell ref="T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A81-87E0-4B66-8723-8F2F1B053545}">
  <sheetPr>
    <tabColor rgb="FF00B050"/>
  </sheetPr>
  <dimension ref="A1:N369"/>
  <sheetViews>
    <sheetView showGridLines="0" zoomScale="98" zoomScaleNormal="400" workbookViewId="0">
      <pane xSplit="2" ySplit="3" topLeftCell="C4" activePane="bottomRight" state="frozen"/>
      <selection pane="topRight" activeCell="C1" sqref="C1"/>
      <selection pane="bottomLeft" activeCell="A12" sqref="A12"/>
      <selection pane="bottomRight" activeCell="F202" sqref="F202"/>
    </sheetView>
  </sheetViews>
  <sheetFormatPr defaultRowHeight="14.4" x14ac:dyDescent="0.3"/>
  <cols>
    <col min="1" max="1" width="1.21875" customWidth="1"/>
    <col min="2" max="2" width="2.44140625" customWidth="1"/>
    <col min="3" max="3" width="11.5546875" customWidth="1"/>
    <col min="4" max="4" width="13" customWidth="1"/>
    <col min="5" max="5" width="14" customWidth="1"/>
    <col min="6" max="6" width="49" customWidth="1"/>
    <col min="7" max="7" width="17.44140625" customWidth="1"/>
    <col min="8" max="8" width="12.6640625" customWidth="1"/>
    <col min="9" max="9" width="15.21875" customWidth="1"/>
    <col min="10" max="10" width="18.77734375" customWidth="1"/>
    <col min="11" max="11" width="18.6640625" customWidth="1"/>
    <col min="12" max="12" width="35.44140625" customWidth="1"/>
  </cols>
  <sheetData>
    <row r="1" spans="1:14" s="16" customFormat="1" ht="14.4" customHeight="1" x14ac:dyDescent="0.3">
      <c r="A1" s="16" t="s">
        <v>14</v>
      </c>
      <c r="I1" s="65"/>
    </row>
    <row r="3" spans="1:14" x14ac:dyDescent="0.3">
      <c r="C3" s="26" t="s">
        <v>11</v>
      </c>
      <c r="D3" s="26" t="s">
        <v>12</v>
      </c>
      <c r="E3" s="26" t="s">
        <v>13</v>
      </c>
      <c r="F3" s="26" t="s">
        <v>18</v>
      </c>
      <c r="G3" s="26" t="s">
        <v>49</v>
      </c>
      <c r="H3" s="27" t="s">
        <v>15</v>
      </c>
      <c r="I3" s="27" t="s">
        <v>16</v>
      </c>
      <c r="J3" s="111" t="s">
        <v>50</v>
      </c>
      <c r="K3" s="111" t="s">
        <v>17</v>
      </c>
      <c r="L3" s="111" t="s">
        <v>51</v>
      </c>
      <c r="M3" s="14"/>
      <c r="N3" s="14"/>
    </row>
    <row r="4" spans="1:14" x14ac:dyDescent="0.3">
      <c r="C4" s="123">
        <f>'Cash Flow Entry'!C4</f>
        <v>45292</v>
      </c>
      <c r="D4" s="124" t="str">
        <f>'Cash Flow Entry'!H4</f>
        <v>Inflow</v>
      </c>
      <c r="E4" s="124" t="str">
        <f>'Cash Flow Entry'!D4</f>
        <v>Operating</v>
      </c>
      <c r="F4" s="124" t="str">
        <f>'Cash Flow Entry'!E4</f>
        <v>Cash-received from customers</v>
      </c>
      <c r="G4" s="127">
        <f>'Cash Flow Entry'!F4</f>
        <v>4750</v>
      </c>
      <c r="H4" s="128">
        <f>IF(Tracking[[#This Row],[Type]]="Inflow",Tracking[[#This Row],[Amount(USD)]],0)</f>
        <v>4750</v>
      </c>
      <c r="I4" s="129">
        <f>IF(Tracking[[#This Row],[Type]]="Outflow",-Tracking[[#This Row],[Amount(USD)]],0)</f>
        <v>0</v>
      </c>
      <c r="J4" s="138" t="str">
        <f t="shared" ref="J4:J67" si="0">select_currency</f>
        <v>EUR</v>
      </c>
      <c r="K4" s="149">
        <f>IFERROR(Tracking[[#This Row],[Cash In]]+Tracking[[#This Row],[Cash Out]],0)</f>
        <v>4750</v>
      </c>
      <c r="L4" s="149">
        <f>Tracking[[#This Row],[Running Balance]]*Settings!$E$15</f>
        <v>4085</v>
      </c>
      <c r="M4" s="15"/>
      <c r="N4" s="13"/>
    </row>
    <row r="5" spans="1:14" x14ac:dyDescent="0.3">
      <c r="C5" s="123">
        <f>'Cash Flow Entry'!C5</f>
        <v>45293</v>
      </c>
      <c r="D5" s="124" t="str">
        <f>'Cash Flow Entry'!H5</f>
        <v>Inflow</v>
      </c>
      <c r="E5" s="124" t="str">
        <f>'Cash Flow Entry'!D5</f>
        <v>Operating</v>
      </c>
      <c r="F5" s="124" t="str">
        <f>'Cash Flow Entry'!E5</f>
        <v>Cash-received from customers</v>
      </c>
      <c r="G5" s="127">
        <f>'Cash Flow Entry'!F5</f>
        <v>225</v>
      </c>
      <c r="H5" s="128">
        <f>IF(Tracking[[#This Row],[Type]]="Inflow",Tracking[[#This Row],[Amount(USD)]],0)</f>
        <v>225</v>
      </c>
      <c r="I5" s="129">
        <f>IF(Tracking[[#This Row],[Type]]="Outflow",-Tracking[[#This Row],[Amount(USD)]],0)</f>
        <v>0</v>
      </c>
      <c r="J5" s="139" t="str">
        <f t="shared" si="0"/>
        <v>EUR</v>
      </c>
      <c r="K5" s="150">
        <f>IFERROR(K4+Tracking[[#This Row],[Cash In]]+Tracking[[#This Row],[Cash Out]],0)</f>
        <v>4975</v>
      </c>
      <c r="L5" s="150">
        <f>Tracking[[#This Row],[Running Balance]]*Settings!$E$15</f>
        <v>4278.5</v>
      </c>
      <c r="M5" s="15"/>
      <c r="N5" s="13"/>
    </row>
    <row r="6" spans="1:14" x14ac:dyDescent="0.3">
      <c r="C6" s="123">
        <f>'Cash Flow Entry'!C6</f>
        <v>45294</v>
      </c>
      <c r="D6" s="124" t="str">
        <f>'Cash Flow Entry'!H6</f>
        <v>Outflow</v>
      </c>
      <c r="E6" s="124" t="str">
        <f>'Cash Flow Entry'!D6</f>
        <v>Operating</v>
      </c>
      <c r="F6" s="124" t="str">
        <f>'Cash Flow Entry'!E6</f>
        <v>Cash paid for Operating expenses</v>
      </c>
      <c r="G6" s="127">
        <f>'Cash Flow Entry'!F6</f>
        <v>115</v>
      </c>
      <c r="H6" s="128">
        <f>IF(Tracking[[#This Row],[Type]]="Inflow",Tracking[[#This Row],[Amount(USD)]],0)</f>
        <v>0</v>
      </c>
      <c r="I6" s="129">
        <f>IF(Tracking[[#This Row],[Type]]="Outflow",-Tracking[[#This Row],[Amount(USD)]],0)</f>
        <v>-115</v>
      </c>
      <c r="J6" s="138" t="str">
        <f t="shared" si="0"/>
        <v>EUR</v>
      </c>
      <c r="K6" s="149">
        <f>IFERROR(K5+Tracking[[#This Row],[Cash In]]+Tracking[[#This Row],[Cash Out]],0)</f>
        <v>4860</v>
      </c>
      <c r="L6" s="149">
        <f>Tracking[[#This Row],[Running Balance]]*Settings!$E$15</f>
        <v>4179.6000000000004</v>
      </c>
      <c r="M6" s="15"/>
      <c r="N6" s="13"/>
    </row>
    <row r="7" spans="1:14" x14ac:dyDescent="0.3">
      <c r="C7" s="123">
        <f>'Cash Flow Entry'!C7</f>
        <v>45295</v>
      </c>
      <c r="D7" s="124" t="str">
        <f>'Cash Flow Entry'!H7</f>
        <v>Outflow</v>
      </c>
      <c r="E7" s="124" t="str">
        <f>'Cash Flow Entry'!D7</f>
        <v>Operating</v>
      </c>
      <c r="F7" s="124" t="str">
        <f>'Cash Flow Entry'!E7</f>
        <v>Cash-paid to suppliers</v>
      </c>
      <c r="G7" s="127">
        <f>'Cash Flow Entry'!F7</f>
        <v>2250</v>
      </c>
      <c r="H7" s="128">
        <f>IF(Tracking[[#This Row],[Type]]="Inflow",Tracking[[#This Row],[Amount(USD)]],0)</f>
        <v>0</v>
      </c>
      <c r="I7" s="129">
        <f>IF(Tracking[[#This Row],[Type]]="Outflow",-Tracking[[#This Row],[Amount(USD)]],0)</f>
        <v>-2250</v>
      </c>
      <c r="J7" s="139" t="str">
        <f t="shared" si="0"/>
        <v>EUR</v>
      </c>
      <c r="K7" s="150">
        <f>IFERROR(K6+Tracking[[#This Row],[Cash In]]+Tracking[[#This Row],[Cash Out]],0)</f>
        <v>2610</v>
      </c>
      <c r="L7" s="150">
        <f>Tracking[[#This Row],[Running Balance]]*Settings!$E$15</f>
        <v>2244.6</v>
      </c>
      <c r="M7" s="15"/>
      <c r="N7" s="13"/>
    </row>
    <row r="8" spans="1:14" x14ac:dyDescent="0.3">
      <c r="C8" s="123">
        <f>'Cash Flow Entry'!C8</f>
        <v>45296</v>
      </c>
      <c r="D8" s="124" t="str">
        <f>'Cash Flow Entry'!H8</f>
        <v>Outflow</v>
      </c>
      <c r="E8" s="124" t="str">
        <f>'Cash Flow Entry'!D8</f>
        <v>Operating</v>
      </c>
      <c r="F8" s="124" t="str">
        <f>'Cash Flow Entry'!E8</f>
        <v>Cash-paid to suppliers</v>
      </c>
      <c r="G8" s="127">
        <f>'Cash Flow Entry'!F8</f>
        <v>1455</v>
      </c>
      <c r="H8" s="128">
        <f>IF(Tracking[[#This Row],[Type]]="Inflow",Tracking[[#This Row],[Amount(USD)]],0)</f>
        <v>0</v>
      </c>
      <c r="I8" s="129">
        <f>IF(Tracking[[#This Row],[Type]]="Outflow",-Tracking[[#This Row],[Amount(USD)]],0)</f>
        <v>-1455</v>
      </c>
      <c r="J8" s="138" t="str">
        <f t="shared" si="0"/>
        <v>EUR</v>
      </c>
      <c r="K8" s="149">
        <f>IFERROR(K7+Tracking[[#This Row],[Cash In]]+Tracking[[#This Row],[Cash Out]],0)</f>
        <v>1155</v>
      </c>
      <c r="L8" s="149">
        <f>Tracking[[#This Row],[Running Balance]]*Settings!$E$15</f>
        <v>993.3</v>
      </c>
      <c r="M8" s="15"/>
      <c r="N8" s="13"/>
    </row>
    <row r="9" spans="1:14" x14ac:dyDescent="0.3">
      <c r="C9" s="123">
        <f>'Cash Flow Entry'!C9</f>
        <v>45297</v>
      </c>
      <c r="D9" s="124" t="str">
        <f>'Cash Flow Entry'!H9</f>
        <v>Inflow</v>
      </c>
      <c r="E9" s="124" t="str">
        <f>'Cash Flow Entry'!D9</f>
        <v>Financing</v>
      </c>
      <c r="F9" s="124" t="str">
        <f>'Cash Flow Entry'!E9</f>
        <v>Proceeds from short-term borrowings</v>
      </c>
      <c r="G9" s="127">
        <f>'Cash Flow Entry'!F9</f>
        <v>20000</v>
      </c>
      <c r="H9" s="128">
        <f>IF(Tracking[[#This Row],[Type]]="Inflow",Tracking[[#This Row],[Amount(USD)]],0)</f>
        <v>20000</v>
      </c>
      <c r="I9" s="129">
        <f>IF(Tracking[[#This Row],[Type]]="Outflow",-Tracking[[#This Row],[Amount(USD)]],0)</f>
        <v>0</v>
      </c>
      <c r="J9" s="140" t="str">
        <f t="shared" si="0"/>
        <v>EUR</v>
      </c>
      <c r="K9" s="150">
        <f>IFERROR(K8+Tracking[[#This Row],[Cash In]]+Tracking[[#This Row],[Cash Out]],0)</f>
        <v>21155</v>
      </c>
      <c r="L9" s="151">
        <f>Tracking[[#This Row],[Running Balance]]*Settings!$E$15</f>
        <v>18193.3</v>
      </c>
      <c r="M9" s="13"/>
      <c r="N9" s="13"/>
    </row>
    <row r="10" spans="1:14" x14ac:dyDescent="0.3">
      <c r="C10" s="123">
        <f>'Cash Flow Entry'!C10</f>
        <v>45298</v>
      </c>
      <c r="D10" s="124" t="str">
        <f>'Cash Flow Entry'!H10</f>
        <v>Inflow</v>
      </c>
      <c r="E10" s="124" t="str">
        <f>'Cash Flow Entry'!D10</f>
        <v>Operating</v>
      </c>
      <c r="F10" s="124" t="str">
        <f>'Cash Flow Entry'!E10</f>
        <v>Cash-received from customers</v>
      </c>
      <c r="G10" s="127">
        <f>'Cash Flow Entry'!F10</f>
        <v>1100</v>
      </c>
      <c r="H10" s="128">
        <f>IF(Tracking[[#This Row],[Type]]="Inflow",Tracking[[#This Row],[Amount(USD)]],0)</f>
        <v>1100</v>
      </c>
      <c r="I10" s="129">
        <f>IF(Tracking[[#This Row],[Type]]="Outflow",-Tracking[[#This Row],[Amount(USD)]],0)</f>
        <v>0</v>
      </c>
      <c r="J10" s="140" t="str">
        <f t="shared" si="0"/>
        <v>EUR</v>
      </c>
      <c r="K10" s="149">
        <f>IFERROR(K9+Tracking[[#This Row],[Cash In]]+Tracking[[#This Row],[Cash Out]],0)</f>
        <v>22255</v>
      </c>
      <c r="L10" s="151">
        <f>Tracking[[#This Row],[Running Balance]]*Settings!$E$15</f>
        <v>19139.3</v>
      </c>
      <c r="M10" s="13"/>
      <c r="N10" s="13"/>
    </row>
    <row r="11" spans="1:14" x14ac:dyDescent="0.3">
      <c r="C11" s="123">
        <f>'Cash Flow Entry'!C11</f>
        <v>45299</v>
      </c>
      <c r="D11" s="124" t="str">
        <f>'Cash Flow Entry'!H11</f>
        <v>Inflow</v>
      </c>
      <c r="E11" s="124" t="str">
        <f>'Cash Flow Entry'!D11</f>
        <v>Operating</v>
      </c>
      <c r="F11" s="124" t="str">
        <f>'Cash Flow Entry'!E11</f>
        <v>Cash-received from customers</v>
      </c>
      <c r="G11" s="127">
        <f>'Cash Flow Entry'!F11</f>
        <v>12500</v>
      </c>
      <c r="H11" s="128">
        <f>IF(Tracking[[#This Row],[Type]]="Inflow",Tracking[[#This Row],[Amount(USD)]],0)</f>
        <v>12500</v>
      </c>
      <c r="I11" s="129">
        <f>IF(Tracking[[#This Row],[Type]]="Outflow",-Tracking[[#This Row],[Amount(USD)]],0)</f>
        <v>0</v>
      </c>
      <c r="J11" s="140" t="str">
        <f t="shared" si="0"/>
        <v>EUR</v>
      </c>
      <c r="K11" s="150">
        <f>IFERROR(K10+Tracking[[#This Row],[Cash In]]+Tracking[[#This Row],[Cash Out]],0)</f>
        <v>34755</v>
      </c>
      <c r="L11" s="151">
        <f>Tracking[[#This Row],[Running Balance]]*Settings!$E$15</f>
        <v>29889.3</v>
      </c>
      <c r="M11" s="13"/>
      <c r="N11" s="13"/>
    </row>
    <row r="12" spans="1:14" x14ac:dyDescent="0.3">
      <c r="C12" s="123">
        <f>'Cash Flow Entry'!C12</f>
        <v>45300</v>
      </c>
      <c r="D12" s="124" t="str">
        <f>'Cash Flow Entry'!H12</f>
        <v>Outflow</v>
      </c>
      <c r="E12" s="124" t="str">
        <f>'Cash Flow Entry'!D12</f>
        <v>Operating</v>
      </c>
      <c r="F12" s="124" t="str">
        <f>'Cash Flow Entry'!E12</f>
        <v>Cash-paid to suppliers</v>
      </c>
      <c r="G12" s="127">
        <f>'Cash Flow Entry'!F12</f>
        <v>11000</v>
      </c>
      <c r="H12" s="128">
        <f>IF(Tracking[[#This Row],[Type]]="Inflow",Tracking[[#This Row],[Amount(USD)]],0)</f>
        <v>0</v>
      </c>
      <c r="I12" s="129">
        <f>IF(Tracking[[#This Row],[Type]]="Outflow",-Tracking[[#This Row],[Amount(USD)]],0)</f>
        <v>-11000</v>
      </c>
      <c r="J12" s="140" t="str">
        <f t="shared" si="0"/>
        <v>EUR</v>
      </c>
      <c r="K12" s="149">
        <f>IFERROR(K11+Tracking[[#This Row],[Cash In]]+Tracking[[#This Row],[Cash Out]],0)</f>
        <v>23755</v>
      </c>
      <c r="L12" s="151">
        <f>Tracking[[#This Row],[Running Balance]]*Settings!$E$15</f>
        <v>20429.3</v>
      </c>
      <c r="M12" s="13"/>
      <c r="N12" s="13"/>
    </row>
    <row r="13" spans="1:14" x14ac:dyDescent="0.3">
      <c r="C13" s="123">
        <f>'Cash Flow Entry'!C13</f>
        <v>45301</v>
      </c>
      <c r="D13" s="124" t="str">
        <f>'Cash Flow Entry'!H13</f>
        <v>Outflow</v>
      </c>
      <c r="E13" s="124" t="str">
        <f>'Cash Flow Entry'!D13</f>
        <v>Investing</v>
      </c>
      <c r="F13" s="124" t="str">
        <f>'Cash Flow Entry'!E13</f>
        <v>Purchase of property, plant, or equipment</v>
      </c>
      <c r="G13" s="127">
        <f>'Cash Flow Entry'!F13</f>
        <v>15000</v>
      </c>
      <c r="H13" s="128">
        <f>IF(Tracking[[#This Row],[Type]]="Inflow",Tracking[[#This Row],[Amount(USD)]],0)</f>
        <v>0</v>
      </c>
      <c r="I13" s="129">
        <f>IF(Tracking[[#This Row],[Type]]="Outflow",-Tracking[[#This Row],[Amount(USD)]],0)</f>
        <v>-15000</v>
      </c>
      <c r="J13" s="140" t="str">
        <f t="shared" si="0"/>
        <v>EUR</v>
      </c>
      <c r="K13" s="150">
        <f>IFERROR(K12+Tracking[[#This Row],[Cash In]]+Tracking[[#This Row],[Cash Out]],0)</f>
        <v>8755</v>
      </c>
      <c r="L13" s="151">
        <f>Tracking[[#This Row],[Running Balance]]*Settings!$E$15</f>
        <v>7529.3</v>
      </c>
      <c r="M13" s="13"/>
      <c r="N13" s="13"/>
    </row>
    <row r="14" spans="1:14" x14ac:dyDescent="0.3">
      <c r="C14" s="123">
        <f>'Cash Flow Entry'!C14</f>
        <v>45302</v>
      </c>
      <c r="D14" s="124" t="str">
        <f>'Cash Flow Entry'!H14</f>
        <v>Outflow</v>
      </c>
      <c r="E14" s="124" t="str">
        <f>'Cash Flow Entry'!D14</f>
        <v>Operating</v>
      </c>
      <c r="F14" s="124" t="str">
        <f>'Cash Flow Entry'!E14</f>
        <v>Cash paid for Operating expenses</v>
      </c>
      <c r="G14" s="127">
        <f>'Cash Flow Entry'!F14</f>
        <v>1250</v>
      </c>
      <c r="H14" s="128">
        <f>IF(Tracking[[#This Row],[Type]]="Inflow",Tracking[[#This Row],[Amount(USD)]],0)</f>
        <v>0</v>
      </c>
      <c r="I14" s="129">
        <f>IF(Tracking[[#This Row],[Type]]="Outflow",-Tracking[[#This Row],[Amount(USD)]],0)</f>
        <v>-1250</v>
      </c>
      <c r="J14" s="140" t="str">
        <f t="shared" si="0"/>
        <v>EUR</v>
      </c>
      <c r="K14" s="149">
        <f>IFERROR(K13+Tracking[[#This Row],[Cash In]]+Tracking[[#This Row],[Cash Out]],0)</f>
        <v>7505</v>
      </c>
      <c r="L14" s="151">
        <f>Tracking[[#This Row],[Running Balance]]*Settings!$E$15</f>
        <v>6454.3</v>
      </c>
      <c r="M14" s="13"/>
      <c r="N14" s="13"/>
    </row>
    <row r="15" spans="1:14" x14ac:dyDescent="0.3">
      <c r="C15" s="123">
        <f>'Cash Flow Entry'!C15</f>
        <v>45303</v>
      </c>
      <c r="D15" s="124" t="str">
        <f>'Cash Flow Entry'!H15</f>
        <v>Outflow</v>
      </c>
      <c r="E15" s="124" t="str">
        <f>'Cash Flow Entry'!D15</f>
        <v>Operating</v>
      </c>
      <c r="F15" s="124" t="str">
        <f>'Cash Flow Entry'!E15</f>
        <v>Cash paid for Operating expenses</v>
      </c>
      <c r="G15" s="127">
        <f>'Cash Flow Entry'!F15</f>
        <v>4500</v>
      </c>
      <c r="H15" s="128">
        <f>IF(Tracking[[#This Row],[Type]]="Inflow",Tracking[[#This Row],[Amount(USD)]],0)</f>
        <v>0</v>
      </c>
      <c r="I15" s="129">
        <f>IF(Tracking[[#This Row],[Type]]="Outflow",-Tracking[[#This Row],[Amount(USD)]],0)</f>
        <v>-4500</v>
      </c>
      <c r="J15" s="140" t="str">
        <f t="shared" si="0"/>
        <v>EUR</v>
      </c>
      <c r="K15" s="150">
        <f>IFERROR(K14+Tracking[[#This Row],[Cash In]]+Tracking[[#This Row],[Cash Out]],0)</f>
        <v>3005</v>
      </c>
      <c r="L15" s="151">
        <f>Tracking[[#This Row],[Running Balance]]*Settings!$E$15</f>
        <v>2584.3000000000002</v>
      </c>
      <c r="M15" s="13"/>
      <c r="N15" s="13"/>
    </row>
    <row r="16" spans="1:14" x14ac:dyDescent="0.3">
      <c r="C16" s="123">
        <f>'Cash Flow Entry'!C16</f>
        <v>45304</v>
      </c>
      <c r="D16" s="124" t="str">
        <f>'Cash Flow Entry'!H16</f>
        <v>Outflow</v>
      </c>
      <c r="E16" s="124" t="str">
        <f>'Cash Flow Entry'!D16</f>
        <v>Operating</v>
      </c>
      <c r="F16" s="124" t="str">
        <f>'Cash Flow Entry'!E16</f>
        <v>Cash-paid to suppliers</v>
      </c>
      <c r="G16" s="127">
        <f>'Cash Flow Entry'!F16</f>
        <v>5000</v>
      </c>
      <c r="H16" s="128">
        <f>IF(Tracking[[#This Row],[Type]]="Inflow",Tracking[[#This Row],[Amount(USD)]],0)</f>
        <v>0</v>
      </c>
      <c r="I16" s="129">
        <f>IF(Tracking[[#This Row],[Type]]="Outflow",-Tracking[[#This Row],[Amount(USD)]],0)</f>
        <v>-5000</v>
      </c>
      <c r="J16" s="140" t="str">
        <f t="shared" si="0"/>
        <v>EUR</v>
      </c>
      <c r="K16" s="149">
        <f>IFERROR(K15+Tracking[[#This Row],[Cash In]]+Tracking[[#This Row],[Cash Out]],0)</f>
        <v>-1995</v>
      </c>
      <c r="L16" s="151">
        <f>Tracking[[#This Row],[Running Balance]]*Settings!$E$15</f>
        <v>-1715.7</v>
      </c>
      <c r="M16" s="13"/>
      <c r="N16" s="13"/>
    </row>
    <row r="17" spans="3:14" x14ac:dyDescent="0.3">
      <c r="C17" s="123">
        <f>'Cash Flow Entry'!C17</f>
        <v>45305</v>
      </c>
      <c r="D17" s="124" t="str">
        <f>'Cash Flow Entry'!H17</f>
        <v>Inflow</v>
      </c>
      <c r="E17" s="124" t="str">
        <f>'Cash Flow Entry'!D17</f>
        <v>Operating</v>
      </c>
      <c r="F17" s="124" t="str">
        <f>'Cash Flow Entry'!E17</f>
        <v>Cash-received from customers</v>
      </c>
      <c r="G17" s="127">
        <f>'Cash Flow Entry'!F17</f>
        <v>25000</v>
      </c>
      <c r="H17" s="128">
        <f>IF(Tracking[[#This Row],[Type]]="Inflow",Tracking[[#This Row],[Amount(USD)]],0)</f>
        <v>25000</v>
      </c>
      <c r="I17" s="129">
        <f>IF(Tracking[[#This Row],[Type]]="Outflow",-Tracking[[#This Row],[Amount(USD)]],0)</f>
        <v>0</v>
      </c>
      <c r="J17" s="140" t="str">
        <f t="shared" si="0"/>
        <v>EUR</v>
      </c>
      <c r="K17" s="150">
        <f>IFERROR(K16+Tracking[[#This Row],[Cash In]]+Tracking[[#This Row],[Cash Out]],0)</f>
        <v>23005</v>
      </c>
      <c r="L17" s="151">
        <f>Tracking[[#This Row],[Running Balance]]*Settings!$E$15</f>
        <v>19784.3</v>
      </c>
      <c r="M17" s="13"/>
      <c r="N17" s="13"/>
    </row>
    <row r="18" spans="3:14" x14ac:dyDescent="0.3">
      <c r="C18" s="123">
        <f>'Cash Flow Entry'!C18</f>
        <v>45306</v>
      </c>
      <c r="D18" s="124" t="str">
        <f>'Cash Flow Entry'!H18</f>
        <v>Outflow</v>
      </c>
      <c r="E18" s="124" t="str">
        <f>'Cash Flow Entry'!D18</f>
        <v>Operating</v>
      </c>
      <c r="F18" s="124" t="str">
        <f>'Cash Flow Entry'!E18</f>
        <v>Cash paid for Operating expenses</v>
      </c>
      <c r="G18" s="127">
        <f>'Cash Flow Entry'!F18</f>
        <v>110</v>
      </c>
      <c r="H18" s="128">
        <f>IF(Tracking[[#This Row],[Type]]="Inflow",Tracking[[#This Row],[Amount(USD)]],0)</f>
        <v>0</v>
      </c>
      <c r="I18" s="129">
        <f>IF(Tracking[[#This Row],[Type]]="Outflow",-Tracking[[#This Row],[Amount(USD)]],0)</f>
        <v>-110</v>
      </c>
      <c r="J18" s="140" t="str">
        <f t="shared" si="0"/>
        <v>EUR</v>
      </c>
      <c r="K18" s="149">
        <f>IFERROR(K17+Tracking[[#This Row],[Cash In]]+Tracking[[#This Row],[Cash Out]],0)</f>
        <v>22895</v>
      </c>
      <c r="L18" s="151">
        <f>Tracking[[#This Row],[Running Balance]]*Settings!$E$15</f>
        <v>19689.7</v>
      </c>
      <c r="M18" s="13"/>
      <c r="N18" s="13"/>
    </row>
    <row r="19" spans="3:14" x14ac:dyDescent="0.3">
      <c r="C19" s="123">
        <f>'Cash Flow Entry'!C19</f>
        <v>45307</v>
      </c>
      <c r="D19" s="124" t="str">
        <f>'Cash Flow Entry'!H19</f>
        <v>Inflow</v>
      </c>
      <c r="E19" s="124" t="str">
        <f>'Cash Flow Entry'!D19</f>
        <v>Investing</v>
      </c>
      <c r="F19" s="124" t="str">
        <f>'Cash Flow Entry'!E19</f>
        <v>Proceeds from sale of investments</v>
      </c>
      <c r="G19" s="130">
        <f>'Cash Flow Entry'!F19</f>
        <v>14000</v>
      </c>
      <c r="H19" s="128">
        <f>IF(Tracking[[#This Row],[Type]]="Inflow",Tracking[[#This Row],[Amount(USD)]],0)</f>
        <v>14000</v>
      </c>
      <c r="I19" s="129">
        <f>IF(Tracking[[#This Row],[Type]]="Outflow",-Tracking[[#This Row],[Amount(USD)]],0)</f>
        <v>0</v>
      </c>
      <c r="J19" s="140" t="str">
        <f t="shared" si="0"/>
        <v>EUR</v>
      </c>
      <c r="K19" s="150">
        <f>IFERROR(K18+Tracking[[#This Row],[Cash In]]+Tracking[[#This Row],[Cash Out]],0)</f>
        <v>36895</v>
      </c>
      <c r="L19" s="151">
        <f>Tracking[[#This Row],[Running Balance]]*Settings!$E$15</f>
        <v>31729.7</v>
      </c>
      <c r="M19" s="13"/>
      <c r="N19" s="13"/>
    </row>
    <row r="20" spans="3:14" x14ac:dyDescent="0.3">
      <c r="C20" s="123">
        <f>'Cash Flow Entry'!C20</f>
        <v>45308</v>
      </c>
      <c r="D20" s="124" t="str">
        <f>'Cash Flow Entry'!H20</f>
        <v>Outflow</v>
      </c>
      <c r="E20" s="124" t="str">
        <f>'Cash Flow Entry'!D20</f>
        <v>Investing</v>
      </c>
      <c r="F20" s="124" t="str">
        <f>'Cash Flow Entry'!E20</f>
        <v>Loan/Debt given to third parties</v>
      </c>
      <c r="G20" s="127">
        <f>'Cash Flow Entry'!F20</f>
        <v>5000</v>
      </c>
      <c r="H20" s="128">
        <f>IF(Tracking[[#This Row],[Type]]="Inflow",Tracking[[#This Row],[Amount(USD)]],0)</f>
        <v>0</v>
      </c>
      <c r="I20" s="129">
        <f>IF(Tracking[[#This Row],[Type]]="Outflow",-Tracking[[#This Row],[Amount(USD)]],0)</f>
        <v>-5000</v>
      </c>
      <c r="J20" s="140" t="str">
        <f t="shared" si="0"/>
        <v>EUR</v>
      </c>
      <c r="K20" s="149">
        <f>IFERROR(K19+Tracking[[#This Row],[Cash In]]+Tracking[[#This Row],[Cash Out]],0)</f>
        <v>31895</v>
      </c>
      <c r="L20" s="151">
        <f>Tracking[[#This Row],[Running Balance]]*Settings!$E$15</f>
        <v>27429.7</v>
      </c>
      <c r="M20" s="13"/>
      <c r="N20" s="13"/>
    </row>
    <row r="21" spans="3:14" x14ac:dyDescent="0.3">
      <c r="C21" s="123">
        <f>'Cash Flow Entry'!C21</f>
        <v>45309</v>
      </c>
      <c r="D21" s="124" t="str">
        <f>'Cash Flow Entry'!H21</f>
        <v>Outflow</v>
      </c>
      <c r="E21" s="124" t="str">
        <f>'Cash Flow Entry'!D21</f>
        <v>Operating</v>
      </c>
      <c r="F21" s="124" t="str">
        <f>'Cash Flow Entry'!E21</f>
        <v>Cash-paid to suppliers</v>
      </c>
      <c r="G21" s="127">
        <f>'Cash Flow Entry'!F21</f>
        <v>1255</v>
      </c>
      <c r="H21" s="128">
        <f>IF(Tracking[[#This Row],[Type]]="Inflow",Tracking[[#This Row],[Amount(USD)]],0)</f>
        <v>0</v>
      </c>
      <c r="I21" s="129">
        <f>IF(Tracking[[#This Row],[Type]]="Outflow",-Tracking[[#This Row],[Amount(USD)]],0)</f>
        <v>-1255</v>
      </c>
      <c r="J21" s="140" t="str">
        <f t="shared" si="0"/>
        <v>EUR</v>
      </c>
      <c r="K21" s="150">
        <f>IFERROR(K20+Tracking[[#This Row],[Cash In]]+Tracking[[#This Row],[Cash Out]],0)</f>
        <v>30640</v>
      </c>
      <c r="L21" s="151">
        <f>Tracking[[#This Row],[Running Balance]]*Settings!$E$15</f>
        <v>26350.399999999998</v>
      </c>
      <c r="M21" s="13"/>
      <c r="N21" s="13"/>
    </row>
    <row r="22" spans="3:14" x14ac:dyDescent="0.3">
      <c r="C22" s="123">
        <f>'Cash Flow Entry'!C22</f>
        <v>45310</v>
      </c>
      <c r="D22" s="124" t="str">
        <f>'Cash Flow Entry'!H22</f>
        <v>Outflow</v>
      </c>
      <c r="E22" s="124" t="str">
        <f>'Cash Flow Entry'!D22</f>
        <v>Operating</v>
      </c>
      <c r="F22" s="124" t="str">
        <f>'Cash Flow Entry'!E22</f>
        <v>Cash paid to employees</v>
      </c>
      <c r="G22" s="127">
        <f>'Cash Flow Entry'!F22</f>
        <v>4400</v>
      </c>
      <c r="H22" s="128">
        <f>IF(Tracking[[#This Row],[Type]]="Inflow",Tracking[[#This Row],[Amount(USD)]],0)</f>
        <v>0</v>
      </c>
      <c r="I22" s="129">
        <f>IF(Tracking[[#This Row],[Type]]="Outflow",-Tracking[[#This Row],[Amount(USD)]],0)</f>
        <v>-4400</v>
      </c>
      <c r="J22" s="140" t="str">
        <f t="shared" si="0"/>
        <v>EUR</v>
      </c>
      <c r="K22" s="149">
        <f>IFERROR(K21+Tracking[[#This Row],[Cash In]]+Tracking[[#This Row],[Cash Out]],0)</f>
        <v>26240</v>
      </c>
      <c r="L22" s="151">
        <f>Tracking[[#This Row],[Running Balance]]*Settings!$E$15</f>
        <v>22566.400000000001</v>
      </c>
      <c r="M22" s="13"/>
      <c r="N22" s="13"/>
    </row>
    <row r="23" spans="3:14" x14ac:dyDescent="0.3">
      <c r="C23" s="123">
        <f>'Cash Flow Entry'!C23</f>
        <v>45311</v>
      </c>
      <c r="D23" s="124" t="str">
        <f>'Cash Flow Entry'!H23</f>
        <v>Inflow</v>
      </c>
      <c r="E23" s="124" t="str">
        <f>'Cash Flow Entry'!D23</f>
        <v>Financing</v>
      </c>
      <c r="F23" s="124" t="str">
        <f>'Cash Flow Entry'!E23</f>
        <v>Proceeds from short-term borrowings</v>
      </c>
      <c r="G23" s="127">
        <f>'Cash Flow Entry'!F23</f>
        <v>5500</v>
      </c>
      <c r="H23" s="128">
        <f>IF(Tracking[[#This Row],[Type]]="Inflow",Tracking[[#This Row],[Amount(USD)]],0)</f>
        <v>5500</v>
      </c>
      <c r="I23" s="129">
        <f>IF(Tracking[[#This Row],[Type]]="Outflow",-Tracking[[#This Row],[Amount(USD)]],0)</f>
        <v>0</v>
      </c>
      <c r="J23" s="140" t="str">
        <f t="shared" si="0"/>
        <v>EUR</v>
      </c>
      <c r="K23" s="150">
        <f>IFERROR(K22+Tracking[[#This Row],[Cash In]]+Tracking[[#This Row],[Cash Out]],0)</f>
        <v>31740</v>
      </c>
      <c r="L23" s="151">
        <f>Tracking[[#This Row],[Running Balance]]*Settings!$E$15</f>
        <v>27296.399999999998</v>
      </c>
      <c r="M23" s="13"/>
      <c r="N23" s="13"/>
    </row>
    <row r="24" spans="3:14" x14ac:dyDescent="0.3">
      <c r="C24" s="123">
        <f>'Cash Flow Entry'!C24</f>
        <v>45312</v>
      </c>
      <c r="D24" s="124" t="str">
        <f>'Cash Flow Entry'!H24</f>
        <v>Inflow</v>
      </c>
      <c r="E24" s="124" t="str">
        <f>'Cash Flow Entry'!D24</f>
        <v>Operating</v>
      </c>
      <c r="F24" s="124" t="str">
        <f>'Cash Flow Entry'!E24</f>
        <v>Cash-received from customers</v>
      </c>
      <c r="G24" s="127">
        <f>'Cash Flow Entry'!F24</f>
        <v>11100</v>
      </c>
      <c r="H24" s="128">
        <f>IF(Tracking[[#This Row],[Type]]="Inflow",Tracking[[#This Row],[Amount(USD)]],0)</f>
        <v>11100</v>
      </c>
      <c r="I24" s="129">
        <f>IF(Tracking[[#This Row],[Type]]="Outflow",-Tracking[[#This Row],[Amount(USD)]],0)</f>
        <v>0</v>
      </c>
      <c r="J24" s="140" t="str">
        <f t="shared" si="0"/>
        <v>EUR</v>
      </c>
      <c r="K24" s="149">
        <f>IFERROR(K23+Tracking[[#This Row],[Cash In]]+Tracking[[#This Row],[Cash Out]],0)</f>
        <v>42840</v>
      </c>
      <c r="L24" s="151">
        <f>Tracking[[#This Row],[Running Balance]]*Settings!$E$15</f>
        <v>36842.400000000001</v>
      </c>
      <c r="M24" s="13"/>
      <c r="N24" s="13"/>
    </row>
    <row r="25" spans="3:14" x14ac:dyDescent="0.3">
      <c r="C25" s="123">
        <f>'Cash Flow Entry'!C25</f>
        <v>45313</v>
      </c>
      <c r="D25" s="124" t="str">
        <f>'Cash Flow Entry'!H25</f>
        <v>Outflow</v>
      </c>
      <c r="E25" s="124" t="str">
        <f>'Cash Flow Entry'!D25</f>
        <v>Operating</v>
      </c>
      <c r="F25" s="124" t="str">
        <f>'Cash Flow Entry'!E25</f>
        <v>Cash paid for Operating expenses</v>
      </c>
      <c r="G25" s="127">
        <f>'Cash Flow Entry'!F25</f>
        <v>2000</v>
      </c>
      <c r="H25" s="128">
        <f>IF(Tracking[[#This Row],[Type]]="Inflow",Tracking[[#This Row],[Amount(USD)]],0)</f>
        <v>0</v>
      </c>
      <c r="I25" s="129">
        <f>IF(Tracking[[#This Row],[Type]]="Outflow",-Tracking[[#This Row],[Amount(USD)]],0)</f>
        <v>-2000</v>
      </c>
      <c r="J25" s="140" t="str">
        <f t="shared" si="0"/>
        <v>EUR</v>
      </c>
      <c r="K25" s="150">
        <f>IFERROR(K24+Tracking[[#This Row],[Cash In]]+Tracking[[#This Row],[Cash Out]],0)</f>
        <v>40840</v>
      </c>
      <c r="L25" s="151">
        <f>Tracking[[#This Row],[Running Balance]]*Settings!$E$15</f>
        <v>35122.400000000001</v>
      </c>
      <c r="M25" s="13"/>
      <c r="N25" s="13"/>
    </row>
    <row r="26" spans="3:14" x14ac:dyDescent="0.3">
      <c r="C26" s="123">
        <f>'Cash Flow Entry'!C26</f>
        <v>45314</v>
      </c>
      <c r="D26" s="124" t="str">
        <f>'Cash Flow Entry'!H26</f>
        <v>Outflow</v>
      </c>
      <c r="E26" s="124" t="str">
        <f>'Cash Flow Entry'!D26</f>
        <v>Operating</v>
      </c>
      <c r="F26" s="124" t="str">
        <f>'Cash Flow Entry'!E26</f>
        <v>Cash paid to employees</v>
      </c>
      <c r="G26" s="127">
        <f>'Cash Flow Entry'!F26</f>
        <v>5600</v>
      </c>
      <c r="H26" s="128">
        <f>IF(Tracking[[#This Row],[Type]]="Inflow",Tracking[[#This Row],[Amount(USD)]],0)</f>
        <v>0</v>
      </c>
      <c r="I26" s="129">
        <f>IF(Tracking[[#This Row],[Type]]="Outflow",-Tracking[[#This Row],[Amount(USD)]],0)</f>
        <v>-5600</v>
      </c>
      <c r="J26" s="140" t="str">
        <f t="shared" si="0"/>
        <v>EUR</v>
      </c>
      <c r="K26" s="149">
        <f>IFERROR(K25+Tracking[[#This Row],[Cash In]]+Tracking[[#This Row],[Cash Out]],0)</f>
        <v>35240</v>
      </c>
      <c r="L26" s="151">
        <f>Tracking[[#This Row],[Running Balance]]*Settings!$E$15</f>
        <v>30306.399999999998</v>
      </c>
      <c r="M26" s="13"/>
      <c r="N26" s="13"/>
    </row>
    <row r="27" spans="3:14" x14ac:dyDescent="0.3">
      <c r="C27" s="123">
        <f>'Cash Flow Entry'!C27</f>
        <v>45315</v>
      </c>
      <c r="D27" s="124" t="str">
        <f>'Cash Flow Entry'!H27</f>
        <v>Outflow</v>
      </c>
      <c r="E27" s="124" t="str">
        <f>'Cash Flow Entry'!D27</f>
        <v>Operating</v>
      </c>
      <c r="F27" s="124" t="str">
        <f>'Cash Flow Entry'!E27</f>
        <v>Cash-paid to suppliers</v>
      </c>
      <c r="G27" s="127">
        <f>'Cash Flow Entry'!F27</f>
        <v>18000</v>
      </c>
      <c r="H27" s="128">
        <f>IF(Tracking[[#This Row],[Type]]="Inflow",Tracking[[#This Row],[Amount(USD)]],0)</f>
        <v>0</v>
      </c>
      <c r="I27" s="129">
        <f>IF(Tracking[[#This Row],[Type]]="Outflow",-Tracking[[#This Row],[Amount(USD)]],0)</f>
        <v>-18000</v>
      </c>
      <c r="J27" s="140" t="str">
        <f t="shared" si="0"/>
        <v>EUR</v>
      </c>
      <c r="K27" s="150">
        <f>IFERROR(K26+Tracking[[#This Row],[Cash In]]+Tracking[[#This Row],[Cash Out]],0)</f>
        <v>17240</v>
      </c>
      <c r="L27" s="151">
        <f>Tracking[[#This Row],[Running Balance]]*Settings!$E$15</f>
        <v>14826.4</v>
      </c>
      <c r="M27" s="13"/>
      <c r="N27" s="13"/>
    </row>
    <row r="28" spans="3:14" x14ac:dyDescent="0.3">
      <c r="C28" s="123">
        <f>'Cash Flow Entry'!C28</f>
        <v>45316</v>
      </c>
      <c r="D28" s="124" t="str">
        <f>'Cash Flow Entry'!H28</f>
        <v>Outflow</v>
      </c>
      <c r="E28" s="124" t="str">
        <f>'Cash Flow Entry'!D28</f>
        <v>Operating</v>
      </c>
      <c r="F28" s="124" t="str">
        <f>'Cash Flow Entry'!E28</f>
        <v>Cash-paid to suppliers</v>
      </c>
      <c r="G28" s="127">
        <f>'Cash Flow Entry'!F28</f>
        <v>12000</v>
      </c>
      <c r="H28" s="128">
        <f>IF(Tracking[[#This Row],[Type]]="Inflow",Tracking[[#This Row],[Amount(USD)]],0)</f>
        <v>0</v>
      </c>
      <c r="I28" s="129">
        <f>IF(Tracking[[#This Row],[Type]]="Outflow",-Tracking[[#This Row],[Amount(USD)]],0)</f>
        <v>-12000</v>
      </c>
      <c r="J28" s="140" t="str">
        <f t="shared" si="0"/>
        <v>EUR</v>
      </c>
      <c r="K28" s="149">
        <f>IFERROR(K27+Tracking[[#This Row],[Cash In]]+Tracking[[#This Row],[Cash Out]],0)</f>
        <v>5240</v>
      </c>
      <c r="L28" s="151">
        <f>Tracking[[#This Row],[Running Balance]]*Settings!$E$15</f>
        <v>4506.3999999999996</v>
      </c>
      <c r="M28" s="13"/>
      <c r="N28" s="13"/>
    </row>
    <row r="29" spans="3:14" x14ac:dyDescent="0.3">
      <c r="C29" s="123">
        <f>'Cash Flow Entry'!C29</f>
        <v>45317</v>
      </c>
      <c r="D29" s="124" t="str">
        <f>'Cash Flow Entry'!H29</f>
        <v>Inflow</v>
      </c>
      <c r="E29" s="124" t="str">
        <f>'Cash Flow Entry'!D29</f>
        <v>Operating</v>
      </c>
      <c r="F29" s="124" t="str">
        <f>'Cash Flow Entry'!E29</f>
        <v>Cash-received from customers</v>
      </c>
      <c r="G29" s="127">
        <f>'Cash Flow Entry'!F29</f>
        <v>24000</v>
      </c>
      <c r="H29" s="128">
        <f>IF(Tracking[[#This Row],[Type]]="Inflow",Tracking[[#This Row],[Amount(USD)]],0)</f>
        <v>24000</v>
      </c>
      <c r="I29" s="129">
        <f>IF(Tracking[[#This Row],[Type]]="Outflow",-Tracking[[#This Row],[Amount(USD)]],0)</f>
        <v>0</v>
      </c>
      <c r="J29" s="140" t="str">
        <f t="shared" si="0"/>
        <v>EUR</v>
      </c>
      <c r="K29" s="150">
        <f>IFERROR(K28+Tracking[[#This Row],[Cash In]]+Tracking[[#This Row],[Cash Out]],0)</f>
        <v>29240</v>
      </c>
      <c r="L29" s="151">
        <f>Tracking[[#This Row],[Running Balance]]*Settings!$E$15</f>
        <v>25146.399999999998</v>
      </c>
      <c r="M29" s="13"/>
      <c r="N29" s="13"/>
    </row>
    <row r="30" spans="3:14" x14ac:dyDescent="0.3">
      <c r="C30" s="123">
        <f>'Cash Flow Entry'!C30</f>
        <v>45318</v>
      </c>
      <c r="D30" s="124" t="str">
        <f>'Cash Flow Entry'!H30</f>
        <v>Inflow</v>
      </c>
      <c r="E30" s="124" t="str">
        <f>'Cash Flow Entry'!D30</f>
        <v>Operating</v>
      </c>
      <c r="F30" s="124" t="str">
        <f>'Cash Flow Entry'!E30</f>
        <v>Cash received from other operating income</v>
      </c>
      <c r="G30" s="127">
        <f>'Cash Flow Entry'!F30</f>
        <v>1400</v>
      </c>
      <c r="H30" s="128">
        <f>IF(Tracking[[#This Row],[Type]]="Inflow",Tracking[[#This Row],[Amount(USD)]],0)</f>
        <v>1400</v>
      </c>
      <c r="I30" s="129">
        <f>IF(Tracking[[#This Row],[Type]]="Outflow",-Tracking[[#This Row],[Amount(USD)]],0)</f>
        <v>0</v>
      </c>
      <c r="J30" s="140" t="str">
        <f t="shared" si="0"/>
        <v>EUR</v>
      </c>
      <c r="K30" s="149">
        <f>IFERROR(K29+Tracking[[#This Row],[Cash In]]+Tracking[[#This Row],[Cash Out]],0)</f>
        <v>30640</v>
      </c>
      <c r="L30" s="151">
        <f>Tracking[[#This Row],[Running Balance]]*Settings!$E$15</f>
        <v>26350.399999999998</v>
      </c>
      <c r="M30" s="13"/>
      <c r="N30" s="13"/>
    </row>
    <row r="31" spans="3:14" x14ac:dyDescent="0.3">
      <c r="C31" s="123">
        <f>'Cash Flow Entry'!C31</f>
        <v>45319</v>
      </c>
      <c r="D31" s="124" t="str">
        <f>'Cash Flow Entry'!H31</f>
        <v>Outflow</v>
      </c>
      <c r="E31" s="124" t="str">
        <f>'Cash Flow Entry'!D31</f>
        <v>Investing</v>
      </c>
      <c r="F31" s="124" t="str">
        <f>'Cash Flow Entry'!E31</f>
        <v>Purchase of property, plant, or equipment</v>
      </c>
      <c r="G31" s="127">
        <f>'Cash Flow Entry'!F31</f>
        <v>12000</v>
      </c>
      <c r="H31" s="128">
        <f>IF(Tracking[[#This Row],[Type]]="Inflow",Tracking[[#This Row],[Amount(USD)]],0)</f>
        <v>0</v>
      </c>
      <c r="I31" s="129">
        <f>IF(Tracking[[#This Row],[Type]]="Outflow",-Tracking[[#This Row],[Amount(USD)]],0)</f>
        <v>-12000</v>
      </c>
      <c r="J31" s="140" t="str">
        <f t="shared" si="0"/>
        <v>EUR</v>
      </c>
      <c r="K31" s="150">
        <f>IFERROR(K30+Tracking[[#This Row],[Cash In]]+Tracking[[#This Row],[Cash Out]],0)</f>
        <v>18640</v>
      </c>
      <c r="L31" s="151">
        <f>Tracking[[#This Row],[Running Balance]]*Settings!$E$15</f>
        <v>16030.4</v>
      </c>
      <c r="M31" s="13"/>
      <c r="N31" s="13"/>
    </row>
    <row r="32" spans="3:14" x14ac:dyDescent="0.3">
      <c r="C32" s="123">
        <f>'Cash Flow Entry'!C32</f>
        <v>45320</v>
      </c>
      <c r="D32" s="124" t="str">
        <f>'Cash Flow Entry'!H32</f>
        <v>Outflow</v>
      </c>
      <c r="E32" s="124" t="str">
        <f>'Cash Flow Entry'!D32</f>
        <v>Operating</v>
      </c>
      <c r="F32" s="124" t="str">
        <f>'Cash Flow Entry'!E32</f>
        <v>Cash paid for Operating expenses</v>
      </c>
      <c r="G32" s="127">
        <f>'Cash Flow Entry'!F32</f>
        <v>1000</v>
      </c>
      <c r="H32" s="128">
        <f>IF(Tracking[[#This Row],[Type]]="Inflow",Tracking[[#This Row],[Amount(USD)]],0)</f>
        <v>0</v>
      </c>
      <c r="I32" s="129">
        <f>IF(Tracking[[#This Row],[Type]]="Outflow",-Tracking[[#This Row],[Amount(USD)]],0)</f>
        <v>-1000</v>
      </c>
      <c r="J32" s="140" t="str">
        <f t="shared" si="0"/>
        <v>EUR</v>
      </c>
      <c r="K32" s="149">
        <f>IFERROR(K31+Tracking[[#This Row],[Cash In]]+Tracking[[#This Row],[Cash Out]],0)</f>
        <v>17640</v>
      </c>
      <c r="L32" s="151">
        <f>Tracking[[#This Row],[Running Balance]]*Settings!$E$15</f>
        <v>15170.4</v>
      </c>
      <c r="M32" s="13"/>
      <c r="N32" s="13"/>
    </row>
    <row r="33" spans="3:14" ht="15" thickBot="1" x14ac:dyDescent="0.35">
      <c r="C33" s="123">
        <f>'Cash Flow Entry'!C33</f>
        <v>45321</v>
      </c>
      <c r="D33" s="124" t="str">
        <f>'Cash Flow Entry'!H33</f>
        <v>Inflow</v>
      </c>
      <c r="E33" s="124" t="str">
        <f>'Cash Flow Entry'!D33</f>
        <v>Operating</v>
      </c>
      <c r="F33" s="124" t="str">
        <f>'Cash Flow Entry'!E33</f>
        <v>Cash-received from customers</v>
      </c>
      <c r="G33" s="127">
        <f>'Cash Flow Entry'!F33</f>
        <v>4000</v>
      </c>
      <c r="H33" s="128">
        <f>IF(Tracking[[#This Row],[Type]]="Inflow",Tracking[[#This Row],[Amount(USD)]],0)</f>
        <v>4000</v>
      </c>
      <c r="I33" s="129">
        <f>IF(Tracking[[#This Row],[Type]]="Outflow",-Tracking[[#This Row],[Amount(USD)]],0)</f>
        <v>0</v>
      </c>
      <c r="J33" s="140" t="str">
        <f t="shared" si="0"/>
        <v>EUR</v>
      </c>
      <c r="K33" s="150">
        <f>IFERROR(K32+Tracking[[#This Row],[Cash In]]+Tracking[[#This Row],[Cash Out]],0)</f>
        <v>21640</v>
      </c>
      <c r="L33" s="151">
        <f>Tracking[[#This Row],[Running Balance]]*Settings!$E$15</f>
        <v>18610.400000000001</v>
      </c>
      <c r="M33" s="13"/>
      <c r="N33" s="13"/>
    </row>
    <row r="34" spans="3:14" ht="15" thickBot="1" x14ac:dyDescent="0.35">
      <c r="C34" s="125">
        <f>'Cash Flow Entry'!C34</f>
        <v>45322</v>
      </c>
      <c r="D34" s="110" t="str">
        <f>'Cash Flow Entry'!H34</f>
        <v>Inflow</v>
      </c>
      <c r="E34" s="110" t="str">
        <f>'Cash Flow Entry'!D34</f>
        <v>Investing</v>
      </c>
      <c r="F34" s="110" t="str">
        <f>'Cash Flow Entry'!E34</f>
        <v>Interest Received</v>
      </c>
      <c r="G34" s="131">
        <f>'Cash Flow Entry'!F34</f>
        <v>240</v>
      </c>
      <c r="H34" s="132">
        <f>IF(Tracking[[#This Row],[Type]]="Inflow",Tracking[[#This Row],[Amount(USD)]],0)</f>
        <v>240</v>
      </c>
      <c r="I34" s="133">
        <f>IF(Tracking[[#This Row],[Type]]="Outflow",-Tracking[[#This Row],[Amount(USD)]],0)</f>
        <v>0</v>
      </c>
      <c r="J34" s="141" t="str">
        <f t="shared" si="0"/>
        <v>EUR</v>
      </c>
      <c r="K34" s="152">
        <f>IFERROR(K33+Tracking[[#This Row],[Cash In]]+Tracking[[#This Row],[Cash Out]],0)</f>
        <v>21880</v>
      </c>
      <c r="L34" s="153">
        <f>Tracking[[#This Row],[Running Balance]]*Settings!$E$15</f>
        <v>18816.8</v>
      </c>
      <c r="M34" s="13"/>
      <c r="N34" s="13"/>
    </row>
    <row r="35" spans="3:14" x14ac:dyDescent="0.3">
      <c r="C35" s="123">
        <f>'Cash Flow Entry'!C35</f>
        <v>45323</v>
      </c>
      <c r="D35" s="126" t="str">
        <f>'Cash Flow Entry'!H35</f>
        <v>Outflow</v>
      </c>
      <c r="E35" s="124" t="str">
        <f>'Cash Flow Entry'!D35</f>
        <v>Operating</v>
      </c>
      <c r="F35" s="124" t="str">
        <f>'Cash Flow Entry'!E35</f>
        <v>Cash-paid to suppliers</v>
      </c>
      <c r="G35" s="134">
        <f>'Cash Flow Entry'!F35</f>
        <v>14000</v>
      </c>
      <c r="H35" s="128">
        <f>IF(Tracking[[#This Row],[Type]]="Inflow",Tracking[[#This Row],[Amount(USD)]],0)</f>
        <v>0</v>
      </c>
      <c r="I35" s="129">
        <f>IF(Tracking[[#This Row],[Type]]="Outflow",-Tracking[[#This Row],[Amount(USD)]],0)</f>
        <v>-14000</v>
      </c>
      <c r="J35" s="140" t="str">
        <f t="shared" si="0"/>
        <v>EUR</v>
      </c>
      <c r="K35" s="151">
        <f>IFERROR((0*K34)+Tracking[[#This Row],[Cash In]]+Tracking[[#This Row],[Cash Out]],0)</f>
        <v>-14000</v>
      </c>
      <c r="L35" s="151">
        <f>Tracking[[#This Row],[Running Balance]]*Settings!$E$15</f>
        <v>-12040</v>
      </c>
      <c r="M35" s="13"/>
      <c r="N35" s="13"/>
    </row>
    <row r="36" spans="3:14" x14ac:dyDescent="0.3">
      <c r="C36" s="123">
        <f>'Cash Flow Entry'!C36</f>
        <v>45324</v>
      </c>
      <c r="D36" s="126" t="str">
        <f>'Cash Flow Entry'!H36</f>
        <v>Outflow</v>
      </c>
      <c r="E36" s="124" t="str">
        <f>'Cash Flow Entry'!D36</f>
        <v>Operating</v>
      </c>
      <c r="F36" s="124" t="str">
        <f>'Cash Flow Entry'!E36</f>
        <v>Cash paid for Operating expenses</v>
      </c>
      <c r="G36" s="134">
        <f>'Cash Flow Entry'!F36</f>
        <v>2000</v>
      </c>
      <c r="H36" s="128">
        <f>IF(Tracking[[#This Row],[Type]]="Inflow",Tracking[[#This Row],[Amount(USD)]],0)</f>
        <v>0</v>
      </c>
      <c r="I36" s="129">
        <f>IF(Tracking[[#This Row],[Type]]="Outflow",-Tracking[[#This Row],[Amount(USD)]],0)</f>
        <v>-2000</v>
      </c>
      <c r="J36" s="140" t="str">
        <f t="shared" si="0"/>
        <v>EUR</v>
      </c>
      <c r="K36" s="151">
        <f>IFERROR(K35+Tracking[[#This Row],[Cash In]]+Tracking[[#This Row],[Cash Out]],0)</f>
        <v>-16000</v>
      </c>
      <c r="L36" s="151">
        <f>Tracking[[#This Row],[Running Balance]]*Settings!$E$15</f>
        <v>-13760</v>
      </c>
      <c r="M36" s="13"/>
      <c r="N36" s="13"/>
    </row>
    <row r="37" spans="3:14" x14ac:dyDescent="0.3">
      <c r="C37" s="123">
        <f>'Cash Flow Entry'!C37</f>
        <v>45325</v>
      </c>
      <c r="D37" s="126" t="str">
        <f>'Cash Flow Entry'!H37</f>
        <v>Inflow</v>
      </c>
      <c r="E37" s="124" t="str">
        <f>'Cash Flow Entry'!D37</f>
        <v>Operating</v>
      </c>
      <c r="F37" s="124" t="str">
        <f>'Cash Flow Entry'!E37</f>
        <v>Cash-received from customers</v>
      </c>
      <c r="G37" s="134">
        <f>'Cash Flow Entry'!F37</f>
        <v>8000</v>
      </c>
      <c r="H37" s="128">
        <f>IF(Tracking[[#This Row],[Type]]="Inflow",Tracking[[#This Row],[Amount(USD)]],0)</f>
        <v>8000</v>
      </c>
      <c r="I37" s="129">
        <f>IF(Tracking[[#This Row],[Type]]="Outflow",-Tracking[[#This Row],[Amount(USD)]],0)</f>
        <v>0</v>
      </c>
      <c r="J37" s="140" t="str">
        <f t="shared" si="0"/>
        <v>EUR</v>
      </c>
      <c r="K37" s="151">
        <f>IFERROR(K36+Tracking[[#This Row],[Cash In]]+Tracking[[#This Row],[Cash Out]],0)</f>
        <v>-8000</v>
      </c>
      <c r="L37" s="151">
        <f>Tracking[[#This Row],[Running Balance]]*Settings!$E$15</f>
        <v>-6880</v>
      </c>
      <c r="M37" s="13"/>
      <c r="N37" s="13"/>
    </row>
    <row r="38" spans="3:14" x14ac:dyDescent="0.3">
      <c r="C38" s="123">
        <f>'Cash Flow Entry'!C38</f>
        <v>45326</v>
      </c>
      <c r="D38" s="126" t="str">
        <f>'Cash Flow Entry'!H38</f>
        <v>Inflow</v>
      </c>
      <c r="E38" s="124" t="str">
        <f>'Cash Flow Entry'!D38</f>
        <v>Financing</v>
      </c>
      <c r="F38" s="124" t="str">
        <f>'Cash Flow Entry'!E38</f>
        <v>Proceeds from long-term borrowings</v>
      </c>
      <c r="G38" s="134">
        <f>'Cash Flow Entry'!F38</f>
        <v>72000</v>
      </c>
      <c r="H38" s="128">
        <f>IF(Tracking[[#This Row],[Type]]="Inflow",Tracking[[#This Row],[Amount(USD)]],0)</f>
        <v>72000</v>
      </c>
      <c r="I38" s="129">
        <f>IF(Tracking[[#This Row],[Type]]="Outflow",-Tracking[[#This Row],[Amount(USD)]],0)</f>
        <v>0</v>
      </c>
      <c r="J38" s="140" t="str">
        <f t="shared" si="0"/>
        <v>EUR</v>
      </c>
      <c r="K38" s="151">
        <f>IFERROR(K37+Tracking[[#This Row],[Cash In]]+Tracking[[#This Row],[Cash Out]],0)</f>
        <v>64000</v>
      </c>
      <c r="L38" s="151">
        <f>Tracking[[#This Row],[Running Balance]]*Settings!$E$15</f>
        <v>55040</v>
      </c>
      <c r="M38" s="13"/>
      <c r="N38" s="13"/>
    </row>
    <row r="39" spans="3:14" x14ac:dyDescent="0.3">
      <c r="C39" s="123">
        <f>'Cash Flow Entry'!C39</f>
        <v>45327</v>
      </c>
      <c r="D39" s="126" t="str">
        <f>'Cash Flow Entry'!H39</f>
        <v>Outflow</v>
      </c>
      <c r="E39" s="124" t="str">
        <f>'Cash Flow Entry'!D39</f>
        <v>Operating</v>
      </c>
      <c r="F39" s="124" t="str">
        <f>'Cash Flow Entry'!E39</f>
        <v>Cash-paid to suppliers</v>
      </c>
      <c r="G39" s="134">
        <f>'Cash Flow Entry'!F39</f>
        <v>36000</v>
      </c>
      <c r="H39" s="128">
        <f>IF(Tracking[[#This Row],[Type]]="Inflow",Tracking[[#This Row],[Amount(USD)]],0)</f>
        <v>0</v>
      </c>
      <c r="I39" s="129">
        <f>IF(Tracking[[#This Row],[Type]]="Outflow",-Tracking[[#This Row],[Amount(USD)]],0)</f>
        <v>-36000</v>
      </c>
      <c r="J39" s="140" t="str">
        <f t="shared" si="0"/>
        <v>EUR</v>
      </c>
      <c r="K39" s="151">
        <f>IFERROR(K38+Tracking[[#This Row],[Cash In]]+Tracking[[#This Row],[Cash Out]],0)</f>
        <v>28000</v>
      </c>
      <c r="L39" s="151">
        <f>Tracking[[#This Row],[Running Balance]]*Settings!$E$15</f>
        <v>24080</v>
      </c>
      <c r="M39" s="13"/>
      <c r="N39" s="13"/>
    </row>
    <row r="40" spans="3:14" x14ac:dyDescent="0.3">
      <c r="C40" s="123">
        <f>'Cash Flow Entry'!C40</f>
        <v>45328</v>
      </c>
      <c r="D40" s="126" t="str">
        <f>'Cash Flow Entry'!H40</f>
        <v>Outflow</v>
      </c>
      <c r="E40" s="124" t="str">
        <f>'Cash Flow Entry'!D40</f>
        <v>Operating</v>
      </c>
      <c r="F40" s="124" t="str">
        <f>'Cash Flow Entry'!E40</f>
        <v>Cash paid for Operating expenses</v>
      </c>
      <c r="G40" s="127">
        <f>'Cash Flow Entry'!F40</f>
        <v>1480</v>
      </c>
      <c r="H40" s="128">
        <f>IF(Tracking[[#This Row],[Type]]="Inflow",Tracking[[#This Row],[Amount(USD)]],0)</f>
        <v>0</v>
      </c>
      <c r="I40" s="129">
        <f>IF(Tracking[[#This Row],[Type]]="Outflow",-Tracking[[#This Row],[Amount(USD)]],0)</f>
        <v>-1480</v>
      </c>
      <c r="J40" s="140" t="str">
        <f t="shared" si="0"/>
        <v>EUR</v>
      </c>
      <c r="K40" s="151">
        <f>IFERROR(K39+Tracking[[#This Row],[Cash In]]+Tracking[[#This Row],[Cash Out]],0)</f>
        <v>26520</v>
      </c>
      <c r="L40" s="151">
        <f>Tracking[[#This Row],[Running Balance]]*Settings!$E$15</f>
        <v>22807.200000000001</v>
      </c>
    </row>
    <row r="41" spans="3:14" x14ac:dyDescent="0.3">
      <c r="C41" s="123">
        <f>'Cash Flow Entry'!C41</f>
        <v>45329</v>
      </c>
      <c r="D41" s="126" t="str">
        <f>'Cash Flow Entry'!H41</f>
        <v>Outflow</v>
      </c>
      <c r="E41" s="124" t="str">
        <f>'Cash Flow Entry'!D41</f>
        <v>Financing</v>
      </c>
      <c r="F41" s="124" t="str">
        <f>'Cash Flow Entry'!E41</f>
        <v>Interest Paid</v>
      </c>
      <c r="G41" s="127">
        <f>'Cash Flow Entry'!F41</f>
        <v>900</v>
      </c>
      <c r="H41" s="128">
        <f>IF(Tracking[[#This Row],[Type]]="Inflow",Tracking[[#This Row],[Amount(USD)]],0)</f>
        <v>0</v>
      </c>
      <c r="I41" s="129">
        <f>IF(Tracking[[#This Row],[Type]]="Outflow",-Tracking[[#This Row],[Amount(USD)]],0)</f>
        <v>-900</v>
      </c>
      <c r="J41" s="140" t="str">
        <f t="shared" si="0"/>
        <v>EUR</v>
      </c>
      <c r="K41" s="151">
        <f>IFERROR(K40+Tracking[[#This Row],[Cash In]]+Tracking[[#This Row],[Cash Out]],0)</f>
        <v>25620</v>
      </c>
      <c r="L41" s="151">
        <f>Tracking[[#This Row],[Running Balance]]*Settings!$E$15</f>
        <v>22033.200000000001</v>
      </c>
    </row>
    <row r="42" spans="3:14" x14ac:dyDescent="0.3">
      <c r="C42" s="123">
        <f>'Cash Flow Entry'!C42</f>
        <v>45330</v>
      </c>
      <c r="D42" s="126" t="str">
        <f>'Cash Flow Entry'!H42</f>
        <v>Outflow</v>
      </c>
      <c r="E42" s="124" t="str">
        <f>'Cash Flow Entry'!D42</f>
        <v>Investing</v>
      </c>
      <c r="F42" s="124" t="str">
        <f>'Cash Flow Entry'!E42</f>
        <v>Purchase of property, plant, or equipment</v>
      </c>
      <c r="G42" s="127">
        <f>'Cash Flow Entry'!F42</f>
        <v>12000</v>
      </c>
      <c r="H42" s="128">
        <f>IF(Tracking[[#This Row],[Type]]="Inflow",Tracking[[#This Row],[Amount(USD)]],0)</f>
        <v>0</v>
      </c>
      <c r="I42" s="129">
        <f>IF(Tracking[[#This Row],[Type]]="Outflow",-Tracking[[#This Row],[Amount(USD)]],0)</f>
        <v>-12000</v>
      </c>
      <c r="J42" s="140" t="str">
        <f t="shared" si="0"/>
        <v>EUR</v>
      </c>
      <c r="K42" s="151">
        <f>IFERROR(K41+Tracking[[#This Row],[Cash In]]+Tracking[[#This Row],[Cash Out]],0)</f>
        <v>13620</v>
      </c>
      <c r="L42" s="151">
        <f>Tracking[[#This Row],[Running Balance]]*Settings!$E$15</f>
        <v>11713.2</v>
      </c>
    </row>
    <row r="43" spans="3:14" x14ac:dyDescent="0.3">
      <c r="C43" s="123">
        <f>'Cash Flow Entry'!C43</f>
        <v>45331</v>
      </c>
      <c r="D43" s="126" t="str">
        <f>'Cash Flow Entry'!H43</f>
        <v>Outflow</v>
      </c>
      <c r="E43" s="124" t="str">
        <f>'Cash Flow Entry'!D43</f>
        <v>Operating</v>
      </c>
      <c r="F43" s="124" t="str">
        <f>'Cash Flow Entry'!E43</f>
        <v>Cash paid for Operating expenses</v>
      </c>
      <c r="G43" s="127">
        <f>'Cash Flow Entry'!F43</f>
        <v>4500</v>
      </c>
      <c r="H43" s="128">
        <f>IF(Tracking[[#This Row],[Type]]="Inflow",Tracking[[#This Row],[Amount(USD)]],0)</f>
        <v>0</v>
      </c>
      <c r="I43" s="129">
        <f>IF(Tracking[[#This Row],[Type]]="Outflow",-Tracking[[#This Row],[Amount(USD)]],0)</f>
        <v>-4500</v>
      </c>
      <c r="J43" s="140" t="str">
        <f t="shared" si="0"/>
        <v>EUR</v>
      </c>
      <c r="K43" s="151">
        <f>IFERROR(K42+Tracking[[#This Row],[Cash In]]+Tracking[[#This Row],[Cash Out]],0)</f>
        <v>9120</v>
      </c>
      <c r="L43" s="151">
        <f>Tracking[[#This Row],[Running Balance]]*Settings!$E$15</f>
        <v>7843.2</v>
      </c>
    </row>
    <row r="44" spans="3:14" x14ac:dyDescent="0.3">
      <c r="C44" s="123">
        <f>'Cash Flow Entry'!C44</f>
        <v>45332</v>
      </c>
      <c r="D44" s="126" t="str">
        <f>'Cash Flow Entry'!H44</f>
        <v>Inflow</v>
      </c>
      <c r="E44" s="124" t="str">
        <f>'Cash Flow Entry'!D44</f>
        <v>Operating</v>
      </c>
      <c r="F44" s="124" t="str">
        <f>'Cash Flow Entry'!E44</f>
        <v>Cash-received from customers</v>
      </c>
      <c r="G44" s="127">
        <f>'Cash Flow Entry'!F44</f>
        <v>45000</v>
      </c>
      <c r="H44" s="128">
        <f>IF(Tracking[[#This Row],[Type]]="Inflow",Tracking[[#This Row],[Amount(USD)]],0)</f>
        <v>45000</v>
      </c>
      <c r="I44" s="129">
        <f>IF(Tracking[[#This Row],[Type]]="Outflow",-Tracking[[#This Row],[Amount(USD)]],0)</f>
        <v>0</v>
      </c>
      <c r="J44" s="140" t="str">
        <f t="shared" si="0"/>
        <v>EUR</v>
      </c>
      <c r="K44" s="151">
        <f>IFERROR(K43+Tracking[[#This Row],[Cash In]]+Tracking[[#This Row],[Cash Out]],0)</f>
        <v>54120</v>
      </c>
      <c r="L44" s="151">
        <f>Tracking[[#This Row],[Running Balance]]*Settings!$E$15</f>
        <v>46543.199999999997</v>
      </c>
    </row>
    <row r="45" spans="3:14" x14ac:dyDescent="0.3">
      <c r="C45" s="123">
        <f>'Cash Flow Entry'!C45</f>
        <v>45333</v>
      </c>
      <c r="D45" s="126" t="str">
        <f>'Cash Flow Entry'!H45</f>
        <v>Outflow</v>
      </c>
      <c r="E45" s="124" t="str">
        <f>'Cash Flow Entry'!D45</f>
        <v>Financing</v>
      </c>
      <c r="F45" s="124" t="str">
        <f>'Cash Flow Entry'!E45</f>
        <v>Repayment of short-term borrowings</v>
      </c>
      <c r="G45" s="127">
        <f>'Cash Flow Entry'!F45</f>
        <v>10000</v>
      </c>
      <c r="H45" s="128">
        <f>IF(Tracking[[#This Row],[Type]]="Inflow",Tracking[[#This Row],[Amount(USD)]],0)</f>
        <v>0</v>
      </c>
      <c r="I45" s="129">
        <f>IF(Tracking[[#This Row],[Type]]="Outflow",-Tracking[[#This Row],[Amount(USD)]],0)</f>
        <v>-10000</v>
      </c>
      <c r="J45" s="140" t="str">
        <f t="shared" si="0"/>
        <v>EUR</v>
      </c>
      <c r="K45" s="151">
        <f>IFERROR(K44+Tracking[[#This Row],[Cash In]]+Tracking[[#This Row],[Cash Out]],0)</f>
        <v>44120</v>
      </c>
      <c r="L45" s="151">
        <f>Tracking[[#This Row],[Running Balance]]*Settings!$E$15</f>
        <v>37943.199999999997</v>
      </c>
    </row>
    <row r="46" spans="3:14" x14ac:dyDescent="0.3">
      <c r="C46" s="123">
        <f>'Cash Flow Entry'!C46</f>
        <v>45334</v>
      </c>
      <c r="D46" s="126" t="str">
        <f>'Cash Flow Entry'!H46</f>
        <v>Inflow</v>
      </c>
      <c r="E46" s="124" t="str">
        <f>'Cash Flow Entry'!D46</f>
        <v>Operating</v>
      </c>
      <c r="F46" s="124" t="str">
        <f>'Cash Flow Entry'!E46</f>
        <v>Cash-received from customers</v>
      </c>
      <c r="G46" s="127">
        <f>'Cash Flow Entry'!F46</f>
        <v>19000</v>
      </c>
      <c r="H46" s="128">
        <f>IF(Tracking[[#This Row],[Type]]="Inflow",Tracking[[#This Row],[Amount(USD)]],0)</f>
        <v>19000</v>
      </c>
      <c r="I46" s="129">
        <f>IF(Tracking[[#This Row],[Type]]="Outflow",-Tracking[[#This Row],[Amount(USD)]],0)</f>
        <v>0</v>
      </c>
      <c r="J46" s="140" t="str">
        <f t="shared" si="0"/>
        <v>EUR</v>
      </c>
      <c r="K46" s="151">
        <f>IFERROR(K45+Tracking[[#This Row],[Cash In]]+Tracking[[#This Row],[Cash Out]],0)</f>
        <v>63120</v>
      </c>
      <c r="L46" s="151">
        <f>Tracking[[#This Row],[Running Balance]]*Settings!$E$15</f>
        <v>54283.199999999997</v>
      </c>
    </row>
    <row r="47" spans="3:14" x14ac:dyDescent="0.3">
      <c r="C47" s="123">
        <f>'Cash Flow Entry'!C47</f>
        <v>45335</v>
      </c>
      <c r="D47" s="126" t="str">
        <f>'Cash Flow Entry'!H47</f>
        <v>Outflow</v>
      </c>
      <c r="E47" s="124" t="str">
        <f>'Cash Flow Entry'!D47</f>
        <v>Operating</v>
      </c>
      <c r="F47" s="124" t="str">
        <f>'Cash Flow Entry'!E47</f>
        <v>Cash paid for Operating expenses</v>
      </c>
      <c r="G47" s="127">
        <f>'Cash Flow Entry'!F47</f>
        <v>1800</v>
      </c>
      <c r="H47" s="128">
        <f>IF(Tracking[[#This Row],[Type]]="Inflow",Tracking[[#This Row],[Amount(USD)]],0)</f>
        <v>0</v>
      </c>
      <c r="I47" s="129">
        <f>IF(Tracking[[#This Row],[Type]]="Outflow",-Tracking[[#This Row],[Amount(USD)]],0)</f>
        <v>-1800</v>
      </c>
      <c r="J47" s="140" t="str">
        <f t="shared" si="0"/>
        <v>EUR</v>
      </c>
      <c r="K47" s="151">
        <f>IFERROR(K46+Tracking[[#This Row],[Cash In]]+Tracking[[#This Row],[Cash Out]],0)</f>
        <v>61320</v>
      </c>
      <c r="L47" s="151">
        <f>Tracking[[#This Row],[Running Balance]]*Settings!$E$15</f>
        <v>52735.199999999997</v>
      </c>
    </row>
    <row r="48" spans="3:14" x14ac:dyDescent="0.3">
      <c r="C48" s="123">
        <f>'Cash Flow Entry'!C48</f>
        <v>45336</v>
      </c>
      <c r="D48" s="126" t="str">
        <f>'Cash Flow Entry'!H48</f>
        <v>Inflow</v>
      </c>
      <c r="E48" s="124" t="str">
        <f>'Cash Flow Entry'!D48</f>
        <v>Operating</v>
      </c>
      <c r="F48" s="124" t="str">
        <f>'Cash Flow Entry'!E48</f>
        <v>Cash-received from customers</v>
      </c>
      <c r="G48" s="127">
        <f>'Cash Flow Entry'!F48</f>
        <v>24000</v>
      </c>
      <c r="H48" s="128">
        <f>IF(Tracking[[#This Row],[Type]]="Inflow",Tracking[[#This Row],[Amount(USD)]],0)</f>
        <v>24000</v>
      </c>
      <c r="I48" s="129">
        <f>IF(Tracking[[#This Row],[Type]]="Outflow",-Tracking[[#This Row],[Amount(USD)]],0)</f>
        <v>0</v>
      </c>
      <c r="J48" s="140" t="str">
        <f t="shared" si="0"/>
        <v>EUR</v>
      </c>
      <c r="K48" s="151">
        <f>IFERROR(K47+Tracking[[#This Row],[Cash In]]+Tracking[[#This Row],[Cash Out]],0)</f>
        <v>85320</v>
      </c>
      <c r="L48" s="151">
        <f>Tracking[[#This Row],[Running Balance]]*Settings!$E$15</f>
        <v>73375.199999999997</v>
      </c>
    </row>
    <row r="49" spans="3:12" x14ac:dyDescent="0.3">
      <c r="C49" s="123">
        <f>'Cash Flow Entry'!C49</f>
        <v>45337</v>
      </c>
      <c r="D49" s="126" t="str">
        <f>'Cash Flow Entry'!H49</f>
        <v>Inflow</v>
      </c>
      <c r="E49" s="124" t="str">
        <f>'Cash Flow Entry'!D49</f>
        <v>Operating</v>
      </c>
      <c r="F49" s="124" t="str">
        <f>'Cash Flow Entry'!E49</f>
        <v>Cash received from other operating income</v>
      </c>
      <c r="G49" s="127">
        <f>'Cash Flow Entry'!F49</f>
        <v>1400</v>
      </c>
      <c r="H49" s="128">
        <f>IF(Tracking[[#This Row],[Type]]="Inflow",Tracking[[#This Row],[Amount(USD)]],0)</f>
        <v>1400</v>
      </c>
      <c r="I49" s="129">
        <f>IF(Tracking[[#This Row],[Type]]="Outflow",-Tracking[[#This Row],[Amount(USD)]],0)</f>
        <v>0</v>
      </c>
      <c r="J49" s="140" t="str">
        <f t="shared" si="0"/>
        <v>EUR</v>
      </c>
      <c r="K49" s="151">
        <f>IFERROR(K48+Tracking[[#This Row],[Cash In]]+Tracking[[#This Row],[Cash Out]],0)</f>
        <v>86720</v>
      </c>
      <c r="L49" s="151">
        <f>Tracking[[#This Row],[Running Balance]]*Settings!$E$15</f>
        <v>74579.199999999997</v>
      </c>
    </row>
    <row r="50" spans="3:12" x14ac:dyDescent="0.3">
      <c r="C50" s="123">
        <f>'Cash Flow Entry'!C50</f>
        <v>45338</v>
      </c>
      <c r="D50" s="126" t="str">
        <f>'Cash Flow Entry'!H50</f>
        <v>Outflow</v>
      </c>
      <c r="E50" s="124" t="str">
        <f>'Cash Flow Entry'!D50</f>
        <v>Operating</v>
      </c>
      <c r="F50" s="124" t="str">
        <f>'Cash Flow Entry'!E50</f>
        <v>Cash-paid to suppliers</v>
      </c>
      <c r="G50" s="127">
        <f>'Cash Flow Entry'!F50</f>
        <v>17000</v>
      </c>
      <c r="H50" s="128">
        <f>IF(Tracking[[#This Row],[Type]]="Inflow",Tracking[[#This Row],[Amount(USD)]],0)</f>
        <v>0</v>
      </c>
      <c r="I50" s="129">
        <f>IF(Tracking[[#This Row],[Type]]="Outflow",-Tracking[[#This Row],[Amount(USD)]],0)</f>
        <v>-17000</v>
      </c>
      <c r="J50" s="140" t="str">
        <f t="shared" si="0"/>
        <v>EUR</v>
      </c>
      <c r="K50" s="151">
        <f>IFERROR(K49+Tracking[[#This Row],[Cash In]]+Tracking[[#This Row],[Cash Out]],0)</f>
        <v>69720</v>
      </c>
      <c r="L50" s="151">
        <f>Tracking[[#This Row],[Running Balance]]*Settings!$E$15</f>
        <v>59959.199999999997</v>
      </c>
    </row>
    <row r="51" spans="3:12" x14ac:dyDescent="0.3">
      <c r="C51" s="123">
        <f>'Cash Flow Entry'!C51</f>
        <v>45339</v>
      </c>
      <c r="D51" s="126" t="str">
        <f>'Cash Flow Entry'!H51</f>
        <v>Outflow</v>
      </c>
      <c r="E51" s="124" t="str">
        <f>'Cash Flow Entry'!D51</f>
        <v>Operating</v>
      </c>
      <c r="F51" s="124" t="str">
        <f>'Cash Flow Entry'!E51</f>
        <v>Cash paid to employees</v>
      </c>
      <c r="G51" s="127">
        <f>'Cash Flow Entry'!F51</f>
        <v>15000</v>
      </c>
      <c r="H51" s="128">
        <f>IF(Tracking[[#This Row],[Type]]="Inflow",Tracking[[#This Row],[Amount(USD)]],0)</f>
        <v>0</v>
      </c>
      <c r="I51" s="129">
        <f>IF(Tracking[[#This Row],[Type]]="Outflow",-Tracking[[#This Row],[Amount(USD)]],0)</f>
        <v>-15000</v>
      </c>
      <c r="J51" s="140" t="str">
        <f t="shared" si="0"/>
        <v>EUR</v>
      </c>
      <c r="K51" s="151">
        <f>IFERROR(K50+Tracking[[#This Row],[Cash In]]+Tracking[[#This Row],[Cash Out]],0)</f>
        <v>54720</v>
      </c>
      <c r="L51" s="151">
        <f>Tracking[[#This Row],[Running Balance]]*Settings!$E$15</f>
        <v>47059.199999999997</v>
      </c>
    </row>
    <row r="52" spans="3:12" x14ac:dyDescent="0.3">
      <c r="C52" s="123">
        <f>'Cash Flow Entry'!C52</f>
        <v>45340</v>
      </c>
      <c r="D52" s="126" t="str">
        <f>'Cash Flow Entry'!H52</f>
        <v>Outflow</v>
      </c>
      <c r="E52" s="124" t="str">
        <f>'Cash Flow Entry'!D52</f>
        <v>Investing</v>
      </c>
      <c r="F52" s="124" t="str">
        <f>'Cash Flow Entry'!E52</f>
        <v>Purchase of investments</v>
      </c>
      <c r="G52" s="127">
        <f>'Cash Flow Entry'!F52</f>
        <v>26000</v>
      </c>
      <c r="H52" s="128">
        <f>IF(Tracking[[#This Row],[Type]]="Inflow",Tracking[[#This Row],[Amount(USD)]],0)</f>
        <v>0</v>
      </c>
      <c r="I52" s="129">
        <f>IF(Tracking[[#This Row],[Type]]="Outflow",-Tracking[[#This Row],[Amount(USD)]],0)</f>
        <v>-26000</v>
      </c>
      <c r="J52" s="140" t="str">
        <f t="shared" si="0"/>
        <v>EUR</v>
      </c>
      <c r="K52" s="151">
        <f>IFERROR(K51+Tracking[[#This Row],[Cash In]]+Tracking[[#This Row],[Cash Out]],0)</f>
        <v>28720</v>
      </c>
      <c r="L52" s="151">
        <f>Tracking[[#This Row],[Running Balance]]*Settings!$E$15</f>
        <v>24699.200000000001</v>
      </c>
    </row>
    <row r="53" spans="3:12" x14ac:dyDescent="0.3">
      <c r="C53" s="123">
        <f>'Cash Flow Entry'!C53</f>
        <v>45341</v>
      </c>
      <c r="D53" s="126" t="str">
        <f>'Cash Flow Entry'!H53</f>
        <v>Outflow</v>
      </c>
      <c r="E53" s="124" t="str">
        <f>'Cash Flow Entry'!D53</f>
        <v>Operating</v>
      </c>
      <c r="F53" s="124" t="str">
        <f>'Cash Flow Entry'!E53</f>
        <v>Cash paid for Operating expenses</v>
      </c>
      <c r="G53" s="127">
        <f>'Cash Flow Entry'!F53</f>
        <v>2500</v>
      </c>
      <c r="H53" s="128">
        <f>IF(Tracking[[#This Row],[Type]]="Inflow",Tracking[[#This Row],[Amount(USD)]],0)</f>
        <v>0</v>
      </c>
      <c r="I53" s="129">
        <f>IF(Tracking[[#This Row],[Type]]="Outflow",-Tracking[[#This Row],[Amount(USD)]],0)</f>
        <v>-2500</v>
      </c>
      <c r="J53" s="140" t="str">
        <f t="shared" si="0"/>
        <v>EUR</v>
      </c>
      <c r="K53" s="151">
        <f>IFERROR(K52+Tracking[[#This Row],[Cash In]]+Tracking[[#This Row],[Cash Out]],0)</f>
        <v>26220</v>
      </c>
      <c r="L53" s="151">
        <f>Tracking[[#This Row],[Running Balance]]*Settings!$E$15</f>
        <v>22549.200000000001</v>
      </c>
    </row>
    <row r="54" spans="3:12" x14ac:dyDescent="0.3">
      <c r="C54" s="123">
        <f>'Cash Flow Entry'!C54</f>
        <v>45342</v>
      </c>
      <c r="D54" s="126" t="str">
        <f>IF(OR(ISBLANK(E54), E54=0),"N/A",E54)</f>
        <v>N/A</v>
      </c>
      <c r="E54" s="126" t="str">
        <f t="shared" ref="E54:F54" si="1">IF(OR(ISBLANK(F54), F54=0),"N/A",F54)</f>
        <v>N/A</v>
      </c>
      <c r="F54" s="124" t="str">
        <f t="shared" si="1"/>
        <v>N/A</v>
      </c>
      <c r="G54" s="127">
        <f>'Cash Flow Entry'!F54</f>
        <v>0</v>
      </c>
      <c r="H54" s="128">
        <f>IF(Tracking[[#This Row],[Type]]="Inflow",Tracking[[#This Row],[Amount(USD)]],0)</f>
        <v>0</v>
      </c>
      <c r="I54" s="129">
        <f>IF(Tracking[[#This Row],[Type]]="Outflow",-Tracking[[#This Row],[Amount(USD)]],0)</f>
        <v>0</v>
      </c>
      <c r="J54" s="140" t="str">
        <f t="shared" si="0"/>
        <v>EUR</v>
      </c>
      <c r="K54" s="151">
        <f>IFERROR(K53+Tracking[[#This Row],[Cash In]]+Tracking[[#This Row],[Cash Out]],0)</f>
        <v>26220</v>
      </c>
      <c r="L54" s="151">
        <f>Tracking[[#This Row],[Running Balance]]*Settings!$E$15</f>
        <v>22549.200000000001</v>
      </c>
    </row>
    <row r="55" spans="3:12" x14ac:dyDescent="0.3">
      <c r="C55" s="123">
        <f>'Cash Flow Entry'!C55</f>
        <v>45343</v>
      </c>
      <c r="D55" s="126" t="str">
        <f>IF(OR(ISBLANK(E55), E55=0),"N/A",E55)</f>
        <v>N/A</v>
      </c>
      <c r="E55" s="126" t="str">
        <f t="shared" ref="E55:F55" si="2">IF(OR(ISBLANK(F55), F55=0),"N/A",F55)</f>
        <v>N/A</v>
      </c>
      <c r="F55" s="124" t="str">
        <f t="shared" si="2"/>
        <v>N/A</v>
      </c>
      <c r="G55" s="127">
        <f>'Cash Flow Entry'!F55</f>
        <v>0</v>
      </c>
      <c r="H55" s="128">
        <f>IF(Tracking[[#This Row],[Type]]="Inflow",Tracking[[#This Row],[Amount(USD)]],0)</f>
        <v>0</v>
      </c>
      <c r="I55" s="129">
        <f>IF(Tracking[[#This Row],[Type]]="Outflow",-Tracking[[#This Row],[Amount(USD)]],0)</f>
        <v>0</v>
      </c>
      <c r="J55" s="140" t="str">
        <f t="shared" si="0"/>
        <v>EUR</v>
      </c>
      <c r="K55" s="151">
        <f>IFERROR(K54+Tracking[[#This Row],[Cash In]]+Tracking[[#This Row],[Cash Out]],0)</f>
        <v>26220</v>
      </c>
      <c r="L55" s="151">
        <f>Tracking[[#This Row],[Running Balance]]*Settings!$E$15</f>
        <v>22549.200000000001</v>
      </c>
    </row>
    <row r="56" spans="3:12" x14ac:dyDescent="0.3">
      <c r="C56" s="123">
        <f>'Cash Flow Entry'!C56</f>
        <v>45344</v>
      </c>
      <c r="D56" s="126" t="str">
        <f>'Cash Flow Entry'!H56</f>
        <v>Inflow</v>
      </c>
      <c r="E56" s="124" t="str">
        <f>'Cash Flow Entry'!D56</f>
        <v>Operating</v>
      </c>
      <c r="F56" s="124" t="str">
        <f>'Cash Flow Entry'!E56</f>
        <v>Cash-received from customers</v>
      </c>
      <c r="G56" s="127">
        <f>'Cash Flow Entry'!F56</f>
        <v>15800</v>
      </c>
      <c r="H56" s="128">
        <f>IF(Tracking[[#This Row],[Type]]="Inflow",Tracking[[#This Row],[Amount(USD)]],0)</f>
        <v>15800</v>
      </c>
      <c r="I56" s="129">
        <f>IF(Tracking[[#This Row],[Type]]="Outflow",-Tracking[[#This Row],[Amount(USD)]],0)</f>
        <v>0</v>
      </c>
      <c r="J56" s="140" t="str">
        <f t="shared" si="0"/>
        <v>EUR</v>
      </c>
      <c r="K56" s="151">
        <f>IFERROR(K55+Tracking[[#This Row],[Cash In]]+Tracking[[#This Row],[Cash Out]],0)</f>
        <v>42020</v>
      </c>
      <c r="L56" s="151">
        <f>Tracking[[#This Row],[Running Balance]]*Settings!$E$15</f>
        <v>36137.199999999997</v>
      </c>
    </row>
    <row r="57" spans="3:12" x14ac:dyDescent="0.3">
      <c r="C57" s="123">
        <f>'Cash Flow Entry'!C57</f>
        <v>45345</v>
      </c>
      <c r="D57" s="126" t="str">
        <f>'Cash Flow Entry'!H57</f>
        <v>Inflow</v>
      </c>
      <c r="E57" s="124" t="str">
        <f>'Cash Flow Entry'!D57</f>
        <v>Investing</v>
      </c>
      <c r="F57" s="124" t="str">
        <f>'Cash Flow Entry'!E57</f>
        <v>Proceeds from sale of investments</v>
      </c>
      <c r="G57" s="127">
        <f>'Cash Flow Entry'!F57</f>
        <v>18000</v>
      </c>
      <c r="H57" s="128">
        <f>IF(Tracking[[#This Row],[Type]]="Inflow",Tracking[[#This Row],[Amount(USD)]],0)</f>
        <v>18000</v>
      </c>
      <c r="I57" s="129">
        <f>IF(Tracking[[#This Row],[Type]]="Outflow",-Tracking[[#This Row],[Amount(USD)]],0)</f>
        <v>0</v>
      </c>
      <c r="J57" s="140" t="str">
        <f t="shared" si="0"/>
        <v>EUR</v>
      </c>
      <c r="K57" s="151">
        <f>IFERROR(K56+Tracking[[#This Row],[Cash In]]+Tracking[[#This Row],[Cash Out]],0)</f>
        <v>60020</v>
      </c>
      <c r="L57" s="151">
        <f>Tracking[[#This Row],[Running Balance]]*Settings!$E$15</f>
        <v>51617.2</v>
      </c>
    </row>
    <row r="58" spans="3:12" x14ac:dyDescent="0.3">
      <c r="C58" s="123">
        <f>'Cash Flow Entry'!C58</f>
        <v>45346</v>
      </c>
      <c r="D58" s="126" t="str">
        <f>IF(OR(ISBLANK(E58), E58=0),"N/A",E58)</f>
        <v>N/A</v>
      </c>
      <c r="E58" s="126" t="str">
        <f t="shared" ref="E58:F58" si="3">IF(OR(ISBLANK(F58), F58=0),"N/A",F58)</f>
        <v>N/A</v>
      </c>
      <c r="F58" s="124" t="str">
        <f t="shared" si="3"/>
        <v>N/A</v>
      </c>
      <c r="G58" s="127">
        <f>'Cash Flow Entry'!F58</f>
        <v>0</v>
      </c>
      <c r="H58" s="128">
        <f>IF(Tracking[[#This Row],[Type]]="Inflow",Tracking[[#This Row],[Amount(USD)]],0)</f>
        <v>0</v>
      </c>
      <c r="I58" s="129">
        <f>IF(Tracking[[#This Row],[Type]]="Outflow",-Tracking[[#This Row],[Amount(USD)]],0)</f>
        <v>0</v>
      </c>
      <c r="J58" s="140" t="str">
        <f t="shared" si="0"/>
        <v>EUR</v>
      </c>
      <c r="K58" s="151">
        <f>IFERROR(K57+Tracking[[#This Row],[Cash In]]+Tracking[[#This Row],[Cash Out]],0)</f>
        <v>60020</v>
      </c>
      <c r="L58" s="151">
        <f>Tracking[[#This Row],[Running Balance]]*Settings!$E$15</f>
        <v>51617.2</v>
      </c>
    </row>
    <row r="59" spans="3:12" x14ac:dyDescent="0.3">
      <c r="C59" s="123">
        <f>'Cash Flow Entry'!C59</f>
        <v>45347</v>
      </c>
      <c r="D59" s="126" t="str">
        <f>'Cash Flow Entry'!H59</f>
        <v>Outflow</v>
      </c>
      <c r="E59" s="124" t="str">
        <f>'Cash Flow Entry'!D59</f>
        <v>Operating</v>
      </c>
      <c r="F59" s="124" t="str">
        <f>'Cash Flow Entry'!E59</f>
        <v>Cash-paid to suppliers</v>
      </c>
      <c r="G59" s="127">
        <f>'Cash Flow Entry'!F59</f>
        <v>12000</v>
      </c>
      <c r="H59" s="128">
        <f>IF(Tracking[[#This Row],[Type]]="Inflow",Tracking[[#This Row],[Amount(USD)]],0)</f>
        <v>0</v>
      </c>
      <c r="I59" s="129">
        <f>IF(Tracking[[#This Row],[Type]]="Outflow",-Tracking[[#This Row],[Amount(USD)]],0)</f>
        <v>-12000</v>
      </c>
      <c r="J59" s="140" t="str">
        <f t="shared" si="0"/>
        <v>EUR</v>
      </c>
      <c r="K59" s="151">
        <f>IFERROR(K58+Tracking[[#This Row],[Cash In]]+Tracking[[#This Row],[Cash Out]],0)</f>
        <v>48020</v>
      </c>
      <c r="L59" s="151">
        <f>Tracking[[#This Row],[Running Balance]]*Settings!$E$15</f>
        <v>41297.199999999997</v>
      </c>
    </row>
    <row r="60" spans="3:12" x14ac:dyDescent="0.3">
      <c r="C60" s="123">
        <f>'Cash Flow Entry'!C60</f>
        <v>45348</v>
      </c>
      <c r="D60" s="126" t="str">
        <f>IF(OR(ISBLANK(E60), E60=0),"N/A",E60)</f>
        <v>N/A</v>
      </c>
      <c r="E60" s="126" t="str">
        <f t="shared" ref="E60:F60" si="4">IF(OR(ISBLANK(F60), F60=0),"N/A",F60)</f>
        <v>N/A</v>
      </c>
      <c r="F60" s="124" t="str">
        <f t="shared" si="4"/>
        <v>N/A</v>
      </c>
      <c r="G60" s="127">
        <f>'Cash Flow Entry'!F60</f>
        <v>0</v>
      </c>
      <c r="H60" s="128">
        <f>IF(Tracking[[#This Row],[Type]]="Inflow",Tracking[[#This Row],[Amount(USD)]],0)</f>
        <v>0</v>
      </c>
      <c r="I60" s="129">
        <f>IF(Tracking[[#This Row],[Type]]="Outflow",-Tracking[[#This Row],[Amount(USD)]],0)</f>
        <v>0</v>
      </c>
      <c r="J60" s="140" t="str">
        <f t="shared" si="0"/>
        <v>EUR</v>
      </c>
      <c r="K60" s="151">
        <f>IFERROR(K59+Tracking[[#This Row],[Cash In]]+Tracking[[#This Row],[Cash Out]],0)</f>
        <v>48020</v>
      </c>
      <c r="L60" s="151">
        <f>Tracking[[#This Row],[Running Balance]]*Settings!$E$15</f>
        <v>41297.199999999997</v>
      </c>
    </row>
    <row r="61" spans="3:12" x14ac:dyDescent="0.3">
      <c r="C61" s="123">
        <f>'Cash Flow Entry'!C61</f>
        <v>45349</v>
      </c>
      <c r="D61" s="126" t="str">
        <f t="shared" ref="D61:F62" si="5">IF(OR(ISBLANK(E61), E61=0),"N/A",E61)</f>
        <v>N/A</v>
      </c>
      <c r="E61" s="126" t="str">
        <f t="shared" si="5"/>
        <v>N/A</v>
      </c>
      <c r="F61" s="124" t="str">
        <f t="shared" si="5"/>
        <v>N/A</v>
      </c>
      <c r="G61" s="127">
        <f>'Cash Flow Entry'!F61</f>
        <v>0</v>
      </c>
      <c r="H61" s="128">
        <f>IF(Tracking[[#This Row],[Type]]="Inflow",Tracking[[#This Row],[Amount(USD)]],0)</f>
        <v>0</v>
      </c>
      <c r="I61" s="129">
        <f>IF(Tracking[[#This Row],[Type]]="Outflow",-Tracking[[#This Row],[Amount(USD)]],0)</f>
        <v>0</v>
      </c>
      <c r="J61" s="140" t="str">
        <f t="shared" si="0"/>
        <v>EUR</v>
      </c>
      <c r="K61" s="151">
        <f>IFERROR(K60+Tracking[[#This Row],[Cash In]]+Tracking[[#This Row],[Cash Out]],0)</f>
        <v>48020</v>
      </c>
      <c r="L61" s="151">
        <f>Tracking[[#This Row],[Running Balance]]*Settings!$E$15</f>
        <v>41297.199999999997</v>
      </c>
    </row>
    <row r="62" spans="3:12" ht="15" thickBot="1" x14ac:dyDescent="0.35">
      <c r="C62" s="123">
        <f>'Cash Flow Entry'!C62</f>
        <v>45350</v>
      </c>
      <c r="D62" s="126" t="str">
        <f t="shared" si="5"/>
        <v>N/A</v>
      </c>
      <c r="E62" s="126" t="str">
        <f t="shared" si="5"/>
        <v>N/A</v>
      </c>
      <c r="F62" s="124" t="str">
        <f t="shared" si="5"/>
        <v>N/A</v>
      </c>
      <c r="G62" s="127">
        <f>'Cash Flow Entry'!F62</f>
        <v>0</v>
      </c>
      <c r="H62" s="128">
        <f>IF(Tracking[[#This Row],[Type]]="Inflow",Tracking[[#This Row],[Amount(USD)]],0)</f>
        <v>0</v>
      </c>
      <c r="I62" s="129">
        <f>IF(Tracking[[#This Row],[Type]]="Outflow",-Tracking[[#This Row],[Amount(USD)]],0)</f>
        <v>0</v>
      </c>
      <c r="J62" s="140" t="str">
        <f t="shared" si="0"/>
        <v>EUR</v>
      </c>
      <c r="K62" s="151">
        <f>IFERROR(K61+Tracking[[#This Row],[Cash In]]+Tracking[[#This Row],[Cash Out]],0)</f>
        <v>48020</v>
      </c>
      <c r="L62" s="151">
        <f>Tracking[[#This Row],[Running Balance]]*Settings!$E$15</f>
        <v>41297.199999999997</v>
      </c>
    </row>
    <row r="63" spans="3:12" ht="15" thickBot="1" x14ac:dyDescent="0.35">
      <c r="C63" s="125">
        <f>'Cash Flow Entry'!C63</f>
        <v>45351</v>
      </c>
      <c r="D63" s="109" t="str">
        <f>'Cash Flow Entry'!H63</f>
        <v>Inflow</v>
      </c>
      <c r="E63" s="110" t="str">
        <f>'Cash Flow Entry'!D63</f>
        <v>Operating</v>
      </c>
      <c r="F63" s="110" t="str">
        <f>'Cash Flow Entry'!E63</f>
        <v>Cash received from other operating income</v>
      </c>
      <c r="G63" s="131">
        <f>'Cash Flow Entry'!F63</f>
        <v>2000</v>
      </c>
      <c r="H63" s="132">
        <f>IF(Tracking[[#This Row],[Type]]="Inflow",Tracking[[#This Row],[Amount(USD)]],0)</f>
        <v>2000</v>
      </c>
      <c r="I63" s="133">
        <f>IF(Tracking[[#This Row],[Type]]="Outflow",-Tracking[[#This Row],[Amount(USD)]],0)</f>
        <v>0</v>
      </c>
      <c r="J63" s="141" t="str">
        <f t="shared" si="0"/>
        <v>EUR</v>
      </c>
      <c r="K63" s="153">
        <f>IFERROR(K62+Tracking[[#This Row],[Cash In]]+Tracking[[#This Row],[Cash Out]],0)</f>
        <v>50020</v>
      </c>
      <c r="L63" s="153">
        <f>Tracking[[#This Row],[Running Balance]]*Settings!$E$15</f>
        <v>43017.2</v>
      </c>
    </row>
    <row r="64" spans="3:12" x14ac:dyDescent="0.3">
      <c r="C64" s="123">
        <f>'Cash Flow Entry'!C64</f>
        <v>45352</v>
      </c>
      <c r="D64" s="126" t="str">
        <f>'Cash Flow Entry'!H64</f>
        <v>Outflow</v>
      </c>
      <c r="E64" s="124" t="str">
        <f>'Cash Flow Entry'!D64</f>
        <v>Operating</v>
      </c>
      <c r="F64" s="124" t="str">
        <f>'Cash Flow Entry'!E64</f>
        <v>Cash paid to employees</v>
      </c>
      <c r="G64" s="127">
        <f>'Cash Flow Entry'!F64</f>
        <v>15000</v>
      </c>
      <c r="H64" s="128">
        <f>IF(Tracking[[#This Row],[Type]]="Inflow",Tracking[[#This Row],[Amount(USD)]],0)</f>
        <v>0</v>
      </c>
      <c r="I64" s="129">
        <f>IF(Tracking[[#This Row],[Type]]="Outflow",-Tracking[[#This Row],[Amount(USD)]],0)</f>
        <v>-15000</v>
      </c>
      <c r="J64" s="140" t="str">
        <f t="shared" si="0"/>
        <v>EUR</v>
      </c>
      <c r="K64" s="151">
        <f>IFERROR(K63+Tracking[[#This Row],[Cash In]]+Tracking[[#This Row],[Cash Out]],0)</f>
        <v>35020</v>
      </c>
      <c r="L64" s="151">
        <f>Tracking[[#This Row],[Running Balance]]*Settings!$E$15</f>
        <v>30117.200000000001</v>
      </c>
    </row>
    <row r="65" spans="3:12" x14ac:dyDescent="0.3">
      <c r="C65" s="123">
        <f>'Cash Flow Entry'!C65</f>
        <v>45353</v>
      </c>
      <c r="D65" s="126" t="str">
        <f>'Cash Flow Entry'!H65</f>
        <v>Outflow</v>
      </c>
      <c r="E65" s="124" t="str">
        <f>'Cash Flow Entry'!D65</f>
        <v>Operating</v>
      </c>
      <c r="F65" s="124" t="str">
        <f>'Cash Flow Entry'!E65</f>
        <v>Cash-paid to suppliers</v>
      </c>
      <c r="G65" s="127">
        <f>'Cash Flow Entry'!F65</f>
        <v>27000</v>
      </c>
      <c r="H65" s="128">
        <f>IF(Tracking[[#This Row],[Type]]="Inflow",Tracking[[#This Row],[Amount(USD)]],0)</f>
        <v>0</v>
      </c>
      <c r="I65" s="129">
        <f>IF(Tracking[[#This Row],[Type]]="Outflow",-Tracking[[#This Row],[Amount(USD)]],0)</f>
        <v>-27000</v>
      </c>
      <c r="J65" s="140" t="str">
        <f t="shared" si="0"/>
        <v>EUR</v>
      </c>
      <c r="K65" s="151">
        <f>IFERROR(K64+Tracking[[#This Row],[Cash In]]+Tracking[[#This Row],[Cash Out]],0)</f>
        <v>8020</v>
      </c>
      <c r="L65" s="151">
        <f>Tracking[[#This Row],[Running Balance]]*Settings!$E$15</f>
        <v>6897.2</v>
      </c>
    </row>
    <row r="66" spans="3:12" x14ac:dyDescent="0.3">
      <c r="C66" s="123">
        <f>'Cash Flow Entry'!C66</f>
        <v>45354</v>
      </c>
      <c r="D66" s="126" t="str">
        <f>'Cash Flow Entry'!H66</f>
        <v>Inflow</v>
      </c>
      <c r="E66" s="124" t="str">
        <f>'Cash Flow Entry'!D66</f>
        <v>Operating</v>
      </c>
      <c r="F66" s="124" t="str">
        <f>'Cash Flow Entry'!E66</f>
        <v>Cash-received from customers</v>
      </c>
      <c r="G66" s="127">
        <f>'Cash Flow Entry'!F66</f>
        <v>22000</v>
      </c>
      <c r="H66" s="128">
        <f>IF(Tracking[[#This Row],[Type]]="Inflow",Tracking[[#This Row],[Amount(USD)]],0)</f>
        <v>22000</v>
      </c>
      <c r="I66" s="129">
        <f>IF(Tracking[[#This Row],[Type]]="Outflow",-Tracking[[#This Row],[Amount(USD)]],0)</f>
        <v>0</v>
      </c>
      <c r="J66" s="140" t="str">
        <f t="shared" si="0"/>
        <v>EUR</v>
      </c>
      <c r="K66" s="151">
        <f>IFERROR(K65+Tracking[[#This Row],[Cash In]]+Tracking[[#This Row],[Cash Out]],0)</f>
        <v>30020</v>
      </c>
      <c r="L66" s="151">
        <f>Tracking[[#This Row],[Running Balance]]*Settings!$E$15</f>
        <v>25817.200000000001</v>
      </c>
    </row>
    <row r="67" spans="3:12" x14ac:dyDescent="0.3">
      <c r="C67" s="123">
        <f>'Cash Flow Entry'!C67</f>
        <v>45355</v>
      </c>
      <c r="D67" s="126" t="str">
        <f>'Cash Flow Entry'!H67</f>
        <v>Outflow</v>
      </c>
      <c r="E67" s="124" t="str">
        <f>'Cash Flow Entry'!D67</f>
        <v>Financing</v>
      </c>
      <c r="F67" s="124" t="str">
        <f>'Cash Flow Entry'!E67</f>
        <v>Repayment of long-term borrowings</v>
      </c>
      <c r="G67" s="127">
        <f>'Cash Flow Entry'!F67</f>
        <v>12000</v>
      </c>
      <c r="H67" s="128">
        <f>IF(Tracking[[#This Row],[Type]]="Inflow",Tracking[[#This Row],[Amount(USD)]],0)</f>
        <v>0</v>
      </c>
      <c r="I67" s="129">
        <f>IF(Tracking[[#This Row],[Type]]="Outflow",-Tracking[[#This Row],[Amount(USD)]],0)</f>
        <v>-12000</v>
      </c>
      <c r="J67" s="140" t="str">
        <f t="shared" si="0"/>
        <v>EUR</v>
      </c>
      <c r="K67" s="151">
        <f>IFERROR(K66+Tracking[[#This Row],[Cash In]]+Tracking[[#This Row],[Cash Out]],0)</f>
        <v>18020</v>
      </c>
      <c r="L67" s="151">
        <f>Tracking[[#This Row],[Running Balance]]*Settings!$E$15</f>
        <v>15497.199999999999</v>
      </c>
    </row>
    <row r="68" spans="3:12" x14ac:dyDescent="0.3">
      <c r="C68" s="123">
        <f>'Cash Flow Entry'!C68</f>
        <v>45356</v>
      </c>
      <c r="D68" s="126" t="str">
        <f>IF(OR(ISBLANK(E68), E68=0),"N/A",E68)</f>
        <v>N/A</v>
      </c>
      <c r="E68" s="126" t="str">
        <f t="shared" ref="E68:F68" si="6">IF(OR(ISBLANK(F68), F68=0),"N/A",F68)</f>
        <v>N/A</v>
      </c>
      <c r="F68" s="124" t="str">
        <f t="shared" si="6"/>
        <v>N/A</v>
      </c>
      <c r="G68" s="127">
        <f>'Cash Flow Entry'!F68</f>
        <v>0</v>
      </c>
      <c r="H68" s="128">
        <f>IF(Tracking[[#This Row],[Type]]="Inflow",Tracking[[#This Row],[Amount(USD)]],0)</f>
        <v>0</v>
      </c>
      <c r="I68" s="129">
        <f>IF(Tracking[[#This Row],[Type]]="Outflow",-Tracking[[#This Row],[Amount(USD)]],0)</f>
        <v>0</v>
      </c>
      <c r="J68" s="140" t="str">
        <f t="shared" ref="J68:J131" si="7">select_currency</f>
        <v>EUR</v>
      </c>
      <c r="K68" s="151">
        <f>IFERROR(K67+Tracking[[#This Row],[Cash In]]+Tracking[[#This Row],[Cash Out]],0)</f>
        <v>18020</v>
      </c>
      <c r="L68" s="151">
        <f>Tracking[[#This Row],[Running Balance]]*Settings!$E$15</f>
        <v>15497.199999999999</v>
      </c>
    </row>
    <row r="69" spans="3:12" x14ac:dyDescent="0.3">
      <c r="C69" s="123">
        <f>'Cash Flow Entry'!C69</f>
        <v>45357</v>
      </c>
      <c r="D69" s="126" t="str">
        <f t="shared" ref="D69:F70" si="8">IF(OR(ISBLANK(E69), E69=0),"N/A",E69)</f>
        <v>N/A</v>
      </c>
      <c r="E69" s="126" t="str">
        <f t="shared" si="8"/>
        <v>N/A</v>
      </c>
      <c r="F69" s="124" t="str">
        <f t="shared" si="8"/>
        <v>N/A</v>
      </c>
      <c r="G69" s="127">
        <f>'Cash Flow Entry'!F69</f>
        <v>0</v>
      </c>
      <c r="H69" s="128">
        <f>IF(Tracking[[#This Row],[Type]]="Inflow",Tracking[[#This Row],[Amount(USD)]],0)</f>
        <v>0</v>
      </c>
      <c r="I69" s="129">
        <f>IF(Tracking[[#This Row],[Type]]="Outflow",-Tracking[[#This Row],[Amount(USD)]],0)</f>
        <v>0</v>
      </c>
      <c r="J69" s="140" t="str">
        <f t="shared" si="7"/>
        <v>EUR</v>
      </c>
      <c r="K69" s="151">
        <f>IFERROR(K68+Tracking[[#This Row],[Cash In]]+Tracking[[#This Row],[Cash Out]],0)</f>
        <v>18020</v>
      </c>
      <c r="L69" s="151">
        <f>Tracking[[#This Row],[Running Balance]]*Settings!$E$15</f>
        <v>15497.199999999999</v>
      </c>
    </row>
    <row r="70" spans="3:12" x14ac:dyDescent="0.3">
      <c r="C70" s="123">
        <f>'Cash Flow Entry'!C70</f>
        <v>45358</v>
      </c>
      <c r="D70" s="126" t="str">
        <f t="shared" si="8"/>
        <v>N/A</v>
      </c>
      <c r="E70" s="126" t="str">
        <f t="shared" si="8"/>
        <v>N/A</v>
      </c>
      <c r="F70" s="124" t="str">
        <f t="shared" si="8"/>
        <v>N/A</v>
      </c>
      <c r="G70" s="127">
        <f>'Cash Flow Entry'!F70</f>
        <v>0</v>
      </c>
      <c r="H70" s="128">
        <f>IF(Tracking[[#This Row],[Type]]="Inflow",Tracking[[#This Row],[Amount(USD)]],0)</f>
        <v>0</v>
      </c>
      <c r="I70" s="129">
        <f>IF(Tracking[[#This Row],[Type]]="Outflow",-Tracking[[#This Row],[Amount(USD)]],0)</f>
        <v>0</v>
      </c>
      <c r="J70" s="140" t="str">
        <f t="shared" si="7"/>
        <v>EUR</v>
      </c>
      <c r="K70" s="151">
        <f>IFERROR(K69+Tracking[[#This Row],[Cash In]]+Tracking[[#This Row],[Cash Out]],0)</f>
        <v>18020</v>
      </c>
      <c r="L70" s="151">
        <f>Tracking[[#This Row],[Running Balance]]*Settings!$E$15</f>
        <v>15497.199999999999</v>
      </c>
    </row>
    <row r="71" spans="3:12" x14ac:dyDescent="0.3">
      <c r="C71" s="123">
        <f>'Cash Flow Entry'!C71</f>
        <v>45359</v>
      </c>
      <c r="D71" s="126" t="str">
        <f>'Cash Flow Entry'!H71</f>
        <v>Inflow</v>
      </c>
      <c r="E71" s="124" t="str">
        <f>'Cash Flow Entry'!D71</f>
        <v>Operating</v>
      </c>
      <c r="F71" s="124" t="str">
        <f>'Cash Flow Entry'!E71</f>
        <v>Cash-received from customers</v>
      </c>
      <c r="G71" s="127">
        <f>'Cash Flow Entry'!F71</f>
        <v>28000</v>
      </c>
      <c r="H71" s="128">
        <f>IF(Tracking[[#This Row],[Type]]="Inflow",Tracking[[#This Row],[Amount(USD)]],0)</f>
        <v>28000</v>
      </c>
      <c r="I71" s="129">
        <f>IF(Tracking[[#This Row],[Type]]="Outflow",-Tracking[[#This Row],[Amount(USD)]],0)</f>
        <v>0</v>
      </c>
      <c r="J71" s="140" t="str">
        <f t="shared" si="7"/>
        <v>EUR</v>
      </c>
      <c r="K71" s="151">
        <f>IFERROR(K70+Tracking[[#This Row],[Cash In]]+Tracking[[#This Row],[Cash Out]],0)</f>
        <v>46020</v>
      </c>
      <c r="L71" s="151">
        <f>Tracking[[#This Row],[Running Balance]]*Settings!$E$15</f>
        <v>39577.199999999997</v>
      </c>
    </row>
    <row r="72" spans="3:12" x14ac:dyDescent="0.3">
      <c r="C72" s="123">
        <f>'Cash Flow Entry'!C72</f>
        <v>45360</v>
      </c>
      <c r="D72" s="126" t="str">
        <f>'Cash Flow Entry'!H72</f>
        <v>Outflow</v>
      </c>
      <c r="E72" s="124" t="str">
        <f>'Cash Flow Entry'!D72</f>
        <v>Operating</v>
      </c>
      <c r="F72" s="124" t="str">
        <f>'Cash Flow Entry'!E72</f>
        <v>Cash-paid to suppliers</v>
      </c>
      <c r="G72" s="127">
        <f>'Cash Flow Entry'!F72</f>
        <v>12000</v>
      </c>
      <c r="H72" s="128">
        <f>IF(Tracking[[#This Row],[Type]]="Inflow",Tracking[[#This Row],[Amount(USD)]],0)</f>
        <v>0</v>
      </c>
      <c r="I72" s="129">
        <f>IF(Tracking[[#This Row],[Type]]="Outflow",-Tracking[[#This Row],[Amount(USD)]],0)</f>
        <v>-12000</v>
      </c>
      <c r="J72" s="140" t="str">
        <f t="shared" si="7"/>
        <v>EUR</v>
      </c>
      <c r="K72" s="151">
        <f>IFERROR(K71+Tracking[[#This Row],[Cash In]]+Tracking[[#This Row],[Cash Out]],0)</f>
        <v>34020</v>
      </c>
      <c r="L72" s="151">
        <f>Tracking[[#This Row],[Running Balance]]*Settings!$E$15</f>
        <v>29257.200000000001</v>
      </c>
    </row>
    <row r="73" spans="3:12" x14ac:dyDescent="0.3">
      <c r="C73" s="123">
        <f>'Cash Flow Entry'!C73</f>
        <v>45361</v>
      </c>
      <c r="D73" s="126" t="str">
        <f>'Cash Flow Entry'!H73</f>
        <v>Outflow</v>
      </c>
      <c r="E73" s="124" t="str">
        <f>'Cash Flow Entry'!D73</f>
        <v>Financing</v>
      </c>
      <c r="F73" s="124" t="str">
        <f>'Cash Flow Entry'!E73</f>
        <v>Repayment of short-term borrowings</v>
      </c>
      <c r="G73" s="127">
        <f>'Cash Flow Entry'!F73</f>
        <v>10000</v>
      </c>
      <c r="H73" s="128">
        <f>IF(Tracking[[#This Row],[Type]]="Inflow",Tracking[[#This Row],[Amount(USD)]],0)</f>
        <v>0</v>
      </c>
      <c r="I73" s="129">
        <f>IF(Tracking[[#This Row],[Type]]="Outflow",-Tracking[[#This Row],[Amount(USD)]],0)</f>
        <v>-10000</v>
      </c>
      <c r="J73" s="140" t="str">
        <f t="shared" si="7"/>
        <v>EUR</v>
      </c>
      <c r="K73" s="151">
        <f>IFERROR(K72+Tracking[[#This Row],[Cash In]]+Tracking[[#This Row],[Cash Out]],0)</f>
        <v>24020</v>
      </c>
      <c r="L73" s="151">
        <f>Tracking[[#This Row],[Running Balance]]*Settings!$E$15</f>
        <v>20657.2</v>
      </c>
    </row>
    <row r="74" spans="3:12" x14ac:dyDescent="0.3">
      <c r="C74" s="123">
        <f>'Cash Flow Entry'!C74</f>
        <v>45362</v>
      </c>
      <c r="D74" s="126" t="str">
        <f>'Cash Flow Entry'!H74</f>
        <v>Inflow</v>
      </c>
      <c r="E74" s="124" t="str">
        <f>'Cash Flow Entry'!D74</f>
        <v>Operating</v>
      </c>
      <c r="F74" s="124" t="str">
        <f>'Cash Flow Entry'!E74</f>
        <v>Cash-received from customers</v>
      </c>
      <c r="G74" s="127">
        <f>'Cash Flow Entry'!F74</f>
        <v>30000</v>
      </c>
      <c r="H74" s="128">
        <f>IF(Tracking[[#This Row],[Type]]="Inflow",Tracking[[#This Row],[Amount(USD)]],0)</f>
        <v>30000</v>
      </c>
      <c r="I74" s="129">
        <f>IF(Tracking[[#This Row],[Type]]="Outflow",-Tracking[[#This Row],[Amount(USD)]],0)</f>
        <v>0</v>
      </c>
      <c r="J74" s="140" t="str">
        <f t="shared" si="7"/>
        <v>EUR</v>
      </c>
      <c r="K74" s="151">
        <f>IFERROR(K73+Tracking[[#This Row],[Cash In]]+Tracking[[#This Row],[Cash Out]],0)</f>
        <v>54020</v>
      </c>
      <c r="L74" s="151">
        <f>Tracking[[#This Row],[Running Balance]]*Settings!$E$15</f>
        <v>46457.2</v>
      </c>
    </row>
    <row r="75" spans="3:12" x14ac:dyDescent="0.3">
      <c r="C75" s="123">
        <f>'Cash Flow Entry'!C75</f>
        <v>45363</v>
      </c>
      <c r="D75" s="126" t="str">
        <f>IF(OR(ISBLANK(E75), E75=0),"N/A",E75)</f>
        <v>N/A</v>
      </c>
      <c r="E75" s="126" t="str">
        <f t="shared" ref="E75:F75" si="9">IF(OR(ISBLANK(F75), F75=0),"N/A",F75)</f>
        <v>N/A</v>
      </c>
      <c r="F75" s="124" t="str">
        <f t="shared" si="9"/>
        <v>N/A</v>
      </c>
      <c r="G75" s="127">
        <f>'Cash Flow Entry'!F75</f>
        <v>0</v>
      </c>
      <c r="H75" s="128">
        <f>IF(Tracking[[#This Row],[Type]]="Inflow",Tracking[[#This Row],[Amount(USD)]],0)</f>
        <v>0</v>
      </c>
      <c r="I75" s="129">
        <f>IF(Tracking[[#This Row],[Type]]="Outflow",-Tracking[[#This Row],[Amount(USD)]],0)</f>
        <v>0</v>
      </c>
      <c r="J75" s="140" t="str">
        <f t="shared" si="7"/>
        <v>EUR</v>
      </c>
      <c r="K75" s="151">
        <f>IFERROR(K74+Tracking[[#This Row],[Cash In]]+Tracking[[#This Row],[Cash Out]],0)</f>
        <v>54020</v>
      </c>
      <c r="L75" s="151">
        <f>Tracking[[#This Row],[Running Balance]]*Settings!$E$15</f>
        <v>46457.2</v>
      </c>
    </row>
    <row r="76" spans="3:12" x14ac:dyDescent="0.3">
      <c r="C76" s="123">
        <f>'Cash Flow Entry'!C76</f>
        <v>45364</v>
      </c>
      <c r="D76" s="126" t="str">
        <f t="shared" ref="D76:F78" si="10">IF(OR(ISBLANK(E76), E76=0),"N/A",E76)</f>
        <v>N/A</v>
      </c>
      <c r="E76" s="126" t="str">
        <f t="shared" si="10"/>
        <v>N/A</v>
      </c>
      <c r="F76" s="124" t="str">
        <f t="shared" si="10"/>
        <v>N/A</v>
      </c>
      <c r="G76" s="127">
        <f>'Cash Flow Entry'!F76</f>
        <v>0</v>
      </c>
      <c r="H76" s="128">
        <f>IF(Tracking[[#This Row],[Type]]="Inflow",Tracking[[#This Row],[Amount(USD)]],0)</f>
        <v>0</v>
      </c>
      <c r="I76" s="129">
        <f>IF(Tracking[[#This Row],[Type]]="Outflow",-Tracking[[#This Row],[Amount(USD)]],0)</f>
        <v>0</v>
      </c>
      <c r="J76" s="140" t="str">
        <f t="shared" si="7"/>
        <v>EUR</v>
      </c>
      <c r="K76" s="151">
        <f>IFERROR(K75+Tracking[[#This Row],[Cash In]]+Tracking[[#This Row],[Cash Out]],0)</f>
        <v>54020</v>
      </c>
      <c r="L76" s="151">
        <f>Tracking[[#This Row],[Running Balance]]*Settings!$E$15</f>
        <v>46457.2</v>
      </c>
    </row>
    <row r="77" spans="3:12" x14ac:dyDescent="0.3">
      <c r="C77" s="123">
        <f>'Cash Flow Entry'!C77</f>
        <v>45365</v>
      </c>
      <c r="D77" s="126" t="str">
        <f t="shared" si="10"/>
        <v>N/A</v>
      </c>
      <c r="E77" s="126" t="str">
        <f t="shared" si="10"/>
        <v>N/A</v>
      </c>
      <c r="F77" s="124" t="str">
        <f t="shared" si="10"/>
        <v>N/A</v>
      </c>
      <c r="G77" s="127">
        <f>'Cash Flow Entry'!F77</f>
        <v>0</v>
      </c>
      <c r="H77" s="128">
        <f>IF(Tracking[[#This Row],[Type]]="Inflow",Tracking[[#This Row],[Amount(USD)]],0)</f>
        <v>0</v>
      </c>
      <c r="I77" s="129">
        <f>IF(Tracking[[#This Row],[Type]]="Outflow",-Tracking[[#This Row],[Amount(USD)]],0)</f>
        <v>0</v>
      </c>
      <c r="J77" s="140" t="str">
        <f t="shared" si="7"/>
        <v>EUR</v>
      </c>
      <c r="K77" s="151">
        <f>IFERROR(K76+Tracking[[#This Row],[Cash In]]+Tracking[[#This Row],[Cash Out]],0)</f>
        <v>54020</v>
      </c>
      <c r="L77" s="151">
        <f>Tracking[[#This Row],[Running Balance]]*Settings!$E$15</f>
        <v>46457.2</v>
      </c>
    </row>
    <row r="78" spans="3:12" x14ac:dyDescent="0.3">
      <c r="C78" s="123">
        <f>'Cash Flow Entry'!C78</f>
        <v>45366</v>
      </c>
      <c r="D78" s="126" t="str">
        <f t="shared" si="10"/>
        <v>N/A</v>
      </c>
      <c r="E78" s="126" t="str">
        <f t="shared" si="10"/>
        <v>N/A</v>
      </c>
      <c r="F78" s="124" t="str">
        <f t="shared" si="10"/>
        <v>N/A</v>
      </c>
      <c r="G78" s="127">
        <f>'Cash Flow Entry'!F78</f>
        <v>0</v>
      </c>
      <c r="H78" s="128">
        <f>IF(Tracking[[#This Row],[Type]]="Inflow",Tracking[[#This Row],[Amount(USD)]],0)</f>
        <v>0</v>
      </c>
      <c r="I78" s="129">
        <f>IF(Tracking[[#This Row],[Type]]="Outflow",-Tracking[[#This Row],[Amount(USD)]],0)</f>
        <v>0</v>
      </c>
      <c r="J78" s="140" t="str">
        <f t="shared" si="7"/>
        <v>EUR</v>
      </c>
      <c r="K78" s="151">
        <f>IFERROR(K77+Tracking[[#This Row],[Cash In]]+Tracking[[#This Row],[Cash Out]],0)</f>
        <v>54020</v>
      </c>
      <c r="L78" s="151">
        <f>Tracking[[#This Row],[Running Balance]]*Settings!$E$15</f>
        <v>46457.2</v>
      </c>
    </row>
    <row r="79" spans="3:12" x14ac:dyDescent="0.3">
      <c r="C79" s="123">
        <f>'Cash Flow Entry'!C79</f>
        <v>45367</v>
      </c>
      <c r="D79" s="126" t="str">
        <f>'Cash Flow Entry'!H79</f>
        <v>Inflow</v>
      </c>
      <c r="E79" s="124" t="str">
        <f>'Cash Flow Entry'!D79</f>
        <v>Investing</v>
      </c>
      <c r="F79" s="124" t="str">
        <f>'Cash Flow Entry'!E79</f>
        <v>Proceeds from sale of Property, Plant or Equipment (PP&amp;M)</v>
      </c>
      <c r="G79" s="127">
        <f>'Cash Flow Entry'!F79</f>
        <v>6000</v>
      </c>
      <c r="H79" s="128">
        <f>IF(Tracking[[#This Row],[Type]]="Inflow",Tracking[[#This Row],[Amount(USD)]],0)</f>
        <v>6000</v>
      </c>
      <c r="I79" s="129">
        <f>IF(Tracking[[#This Row],[Type]]="Outflow",-Tracking[[#This Row],[Amount(USD)]],0)</f>
        <v>0</v>
      </c>
      <c r="J79" s="140" t="str">
        <f t="shared" si="7"/>
        <v>EUR</v>
      </c>
      <c r="K79" s="151">
        <f>IFERROR(K78+Tracking[[#This Row],[Cash In]]+Tracking[[#This Row],[Cash Out]],0)</f>
        <v>60020</v>
      </c>
      <c r="L79" s="151">
        <f>Tracking[[#This Row],[Running Balance]]*Settings!$E$15</f>
        <v>51617.2</v>
      </c>
    </row>
    <row r="80" spans="3:12" x14ac:dyDescent="0.3">
      <c r="C80" s="123">
        <f>'Cash Flow Entry'!C80</f>
        <v>45368</v>
      </c>
      <c r="D80" s="126" t="str">
        <f>'Cash Flow Entry'!H80</f>
        <v>Outflow</v>
      </c>
      <c r="E80" s="124" t="str">
        <f>'Cash Flow Entry'!D80</f>
        <v>Operating</v>
      </c>
      <c r="F80" s="124" t="str">
        <f>'Cash Flow Entry'!E80</f>
        <v>Cash paid for Operating expenses</v>
      </c>
      <c r="G80" s="127">
        <f>'Cash Flow Entry'!F80</f>
        <v>4000</v>
      </c>
      <c r="H80" s="128">
        <f>IF(Tracking[[#This Row],[Type]]="Inflow",Tracking[[#This Row],[Amount(USD)]],0)</f>
        <v>0</v>
      </c>
      <c r="I80" s="129">
        <f>IF(Tracking[[#This Row],[Type]]="Outflow",-Tracking[[#This Row],[Amount(USD)]],0)</f>
        <v>-4000</v>
      </c>
      <c r="J80" s="140" t="str">
        <f t="shared" si="7"/>
        <v>EUR</v>
      </c>
      <c r="K80" s="151">
        <f>IFERROR(K79+Tracking[[#This Row],[Cash In]]+Tracking[[#This Row],[Cash Out]],0)</f>
        <v>56020</v>
      </c>
      <c r="L80" s="151">
        <f>Tracking[[#This Row],[Running Balance]]*Settings!$E$15</f>
        <v>48177.2</v>
      </c>
    </row>
    <row r="81" spans="3:12" x14ac:dyDescent="0.3">
      <c r="C81" s="123">
        <f>'Cash Flow Entry'!C81</f>
        <v>45369</v>
      </c>
      <c r="D81" s="126" t="str">
        <f>IF(OR(ISBLANK(E81), E81=0),"N/A",E81)</f>
        <v>N/A</v>
      </c>
      <c r="E81" s="126" t="str">
        <f t="shared" ref="E81:F81" si="11">IF(OR(ISBLANK(F81), F81=0),"N/A",F81)</f>
        <v>N/A</v>
      </c>
      <c r="F81" s="124" t="str">
        <f t="shared" si="11"/>
        <v>N/A</v>
      </c>
      <c r="G81" s="127">
        <f>'Cash Flow Entry'!F81</f>
        <v>0</v>
      </c>
      <c r="H81" s="128">
        <f>IF(Tracking[[#This Row],[Type]]="Inflow",Tracking[[#This Row],[Amount(USD)]],0)</f>
        <v>0</v>
      </c>
      <c r="I81" s="129">
        <f>IF(Tracking[[#This Row],[Type]]="Outflow",-Tracking[[#This Row],[Amount(USD)]],0)</f>
        <v>0</v>
      </c>
      <c r="J81" s="140" t="str">
        <f t="shared" si="7"/>
        <v>EUR</v>
      </c>
      <c r="K81" s="151">
        <f>IFERROR(K80+Tracking[[#This Row],[Cash In]]+Tracking[[#This Row],[Cash Out]],0)</f>
        <v>56020</v>
      </c>
      <c r="L81" s="151">
        <f>Tracking[[#This Row],[Running Balance]]*Settings!$E$15</f>
        <v>48177.2</v>
      </c>
    </row>
    <row r="82" spans="3:12" x14ac:dyDescent="0.3">
      <c r="C82" s="123">
        <f>'Cash Flow Entry'!C82</f>
        <v>45370</v>
      </c>
      <c r="D82" s="126" t="str">
        <f t="shared" ref="D82:F89" si="12">IF(OR(ISBLANK(E82), E82=0),"N/A",E82)</f>
        <v>N/A</v>
      </c>
      <c r="E82" s="126" t="str">
        <f t="shared" si="12"/>
        <v>N/A</v>
      </c>
      <c r="F82" s="124" t="str">
        <f t="shared" si="12"/>
        <v>N/A</v>
      </c>
      <c r="G82" s="127">
        <f>'Cash Flow Entry'!F82</f>
        <v>0</v>
      </c>
      <c r="H82" s="128">
        <f>IF(Tracking[[#This Row],[Type]]="Inflow",Tracking[[#This Row],[Amount(USD)]],0)</f>
        <v>0</v>
      </c>
      <c r="I82" s="129">
        <f>IF(Tracking[[#This Row],[Type]]="Outflow",-Tracking[[#This Row],[Amount(USD)]],0)</f>
        <v>0</v>
      </c>
      <c r="J82" s="140" t="str">
        <f t="shared" si="7"/>
        <v>EUR</v>
      </c>
      <c r="K82" s="151">
        <f>IFERROR(K81+Tracking[[#This Row],[Cash In]]+Tracking[[#This Row],[Cash Out]],0)</f>
        <v>56020</v>
      </c>
      <c r="L82" s="151">
        <f>Tracking[[#This Row],[Running Balance]]*Settings!$E$15</f>
        <v>48177.2</v>
      </c>
    </row>
    <row r="83" spans="3:12" x14ac:dyDescent="0.3">
      <c r="C83" s="123">
        <f>'Cash Flow Entry'!C83</f>
        <v>45371</v>
      </c>
      <c r="D83" s="126" t="str">
        <f t="shared" si="12"/>
        <v>N/A</v>
      </c>
      <c r="E83" s="126" t="str">
        <f t="shared" si="12"/>
        <v>N/A</v>
      </c>
      <c r="F83" s="124" t="str">
        <f t="shared" si="12"/>
        <v>N/A</v>
      </c>
      <c r="G83" s="127">
        <f>'Cash Flow Entry'!F83</f>
        <v>0</v>
      </c>
      <c r="H83" s="128">
        <f>IF(Tracking[[#This Row],[Type]]="Inflow",Tracking[[#This Row],[Amount(USD)]],0)</f>
        <v>0</v>
      </c>
      <c r="I83" s="129">
        <f>IF(Tracking[[#This Row],[Type]]="Outflow",-Tracking[[#This Row],[Amount(USD)]],0)</f>
        <v>0</v>
      </c>
      <c r="J83" s="140" t="str">
        <f t="shared" si="7"/>
        <v>EUR</v>
      </c>
      <c r="K83" s="151">
        <f>IFERROR(K82+Tracking[[#This Row],[Cash In]]+Tracking[[#This Row],[Cash Out]],0)</f>
        <v>56020</v>
      </c>
      <c r="L83" s="151">
        <f>Tracking[[#This Row],[Running Balance]]*Settings!$E$15</f>
        <v>48177.2</v>
      </c>
    </row>
    <row r="84" spans="3:12" x14ac:dyDescent="0.3">
      <c r="C84" s="123">
        <f>'Cash Flow Entry'!C84</f>
        <v>45372</v>
      </c>
      <c r="D84" s="126" t="str">
        <f t="shared" si="12"/>
        <v>N/A</v>
      </c>
      <c r="E84" s="126" t="str">
        <f t="shared" si="12"/>
        <v>N/A</v>
      </c>
      <c r="F84" s="124" t="str">
        <f t="shared" si="12"/>
        <v>N/A</v>
      </c>
      <c r="G84" s="127">
        <f>'Cash Flow Entry'!F84</f>
        <v>0</v>
      </c>
      <c r="H84" s="128">
        <f>IF(Tracking[[#This Row],[Type]]="Inflow",Tracking[[#This Row],[Amount(USD)]],0)</f>
        <v>0</v>
      </c>
      <c r="I84" s="129">
        <f>IF(Tracking[[#This Row],[Type]]="Outflow",-Tracking[[#This Row],[Amount(USD)]],0)</f>
        <v>0</v>
      </c>
      <c r="J84" s="140" t="str">
        <f t="shared" si="7"/>
        <v>EUR</v>
      </c>
      <c r="K84" s="151">
        <f>IFERROR(K83+Tracking[[#This Row],[Cash In]]+Tracking[[#This Row],[Cash Out]],0)</f>
        <v>56020</v>
      </c>
      <c r="L84" s="151">
        <f>Tracking[[#This Row],[Running Balance]]*Settings!$E$15</f>
        <v>48177.2</v>
      </c>
    </row>
    <row r="85" spans="3:12" x14ac:dyDescent="0.3">
      <c r="C85" s="123">
        <f>'Cash Flow Entry'!C85</f>
        <v>45373</v>
      </c>
      <c r="D85" s="126" t="str">
        <f t="shared" si="12"/>
        <v>N/A</v>
      </c>
      <c r="E85" s="126" t="str">
        <f t="shared" si="12"/>
        <v>N/A</v>
      </c>
      <c r="F85" s="124" t="str">
        <f t="shared" si="12"/>
        <v>N/A</v>
      </c>
      <c r="G85" s="127">
        <f>'Cash Flow Entry'!F85</f>
        <v>0</v>
      </c>
      <c r="H85" s="128">
        <f>IF(Tracking[[#This Row],[Type]]="Inflow",Tracking[[#This Row],[Amount(USD)]],0)</f>
        <v>0</v>
      </c>
      <c r="I85" s="129">
        <f>IF(Tracking[[#This Row],[Type]]="Outflow",-Tracking[[#This Row],[Amount(USD)]],0)</f>
        <v>0</v>
      </c>
      <c r="J85" s="140" t="str">
        <f t="shared" si="7"/>
        <v>EUR</v>
      </c>
      <c r="K85" s="151">
        <f>IFERROR(K84+Tracking[[#This Row],[Cash In]]+Tracking[[#This Row],[Cash Out]],0)</f>
        <v>56020</v>
      </c>
      <c r="L85" s="151">
        <f>Tracking[[#This Row],[Running Balance]]*Settings!$E$15</f>
        <v>48177.2</v>
      </c>
    </row>
    <row r="86" spans="3:12" x14ac:dyDescent="0.3">
      <c r="C86" s="123">
        <f>'Cash Flow Entry'!C86</f>
        <v>45374</v>
      </c>
      <c r="D86" s="126" t="str">
        <f t="shared" si="12"/>
        <v>N/A</v>
      </c>
      <c r="E86" s="126" t="str">
        <f t="shared" si="12"/>
        <v>N/A</v>
      </c>
      <c r="F86" s="124" t="str">
        <f t="shared" si="12"/>
        <v>N/A</v>
      </c>
      <c r="G86" s="127">
        <f>'Cash Flow Entry'!F86</f>
        <v>0</v>
      </c>
      <c r="H86" s="128">
        <f>IF(Tracking[[#This Row],[Type]]="Inflow",Tracking[[#This Row],[Amount(USD)]],0)</f>
        <v>0</v>
      </c>
      <c r="I86" s="129">
        <f>IF(Tracking[[#This Row],[Type]]="Outflow",-Tracking[[#This Row],[Amount(USD)]],0)</f>
        <v>0</v>
      </c>
      <c r="J86" s="140" t="str">
        <f t="shared" si="7"/>
        <v>EUR</v>
      </c>
      <c r="K86" s="151">
        <f>IFERROR(K85+Tracking[[#This Row],[Cash In]]+Tracking[[#This Row],[Cash Out]],0)</f>
        <v>56020</v>
      </c>
      <c r="L86" s="151">
        <f>Tracking[[#This Row],[Running Balance]]*Settings!$E$15</f>
        <v>48177.2</v>
      </c>
    </row>
    <row r="87" spans="3:12" x14ac:dyDescent="0.3">
      <c r="C87" s="123">
        <f>'Cash Flow Entry'!C87</f>
        <v>45375</v>
      </c>
      <c r="D87" s="126" t="str">
        <f t="shared" si="12"/>
        <v>N/A</v>
      </c>
      <c r="E87" s="126" t="str">
        <f t="shared" si="12"/>
        <v>N/A</v>
      </c>
      <c r="F87" s="124" t="str">
        <f t="shared" si="12"/>
        <v>N/A</v>
      </c>
      <c r="G87" s="127">
        <f>'Cash Flow Entry'!F87</f>
        <v>0</v>
      </c>
      <c r="H87" s="128">
        <f>IF(Tracking[[#This Row],[Type]]="Inflow",Tracking[[#This Row],[Amount(USD)]],0)</f>
        <v>0</v>
      </c>
      <c r="I87" s="129">
        <f>IF(Tracking[[#This Row],[Type]]="Outflow",-Tracking[[#This Row],[Amount(USD)]],0)</f>
        <v>0</v>
      </c>
      <c r="J87" s="140" t="str">
        <f t="shared" si="7"/>
        <v>EUR</v>
      </c>
      <c r="K87" s="151">
        <f>IFERROR(K86+Tracking[[#This Row],[Cash In]]+Tracking[[#This Row],[Cash Out]],0)</f>
        <v>56020</v>
      </c>
      <c r="L87" s="151">
        <f>Tracking[[#This Row],[Running Balance]]*Settings!$E$15</f>
        <v>48177.2</v>
      </c>
    </row>
    <row r="88" spans="3:12" x14ac:dyDescent="0.3">
      <c r="C88" s="123">
        <f>'Cash Flow Entry'!C88</f>
        <v>45376</v>
      </c>
      <c r="D88" s="126" t="str">
        <f>'Cash Flow Entry'!H88</f>
        <v>Inflow</v>
      </c>
      <c r="E88" s="124" t="str">
        <f>'Cash Flow Entry'!D88</f>
        <v>Operating</v>
      </c>
      <c r="F88" s="124" t="str">
        <f>'Cash Flow Entry'!E88</f>
        <v>Cash-received from customers</v>
      </c>
      <c r="G88" s="127">
        <f>'Cash Flow Entry'!F88</f>
        <v>15000</v>
      </c>
      <c r="H88" s="128">
        <f>IF(Tracking[[#This Row],[Type]]="Inflow",Tracking[[#This Row],[Amount(USD)]],0)</f>
        <v>15000</v>
      </c>
      <c r="I88" s="129">
        <f>IF(Tracking[[#This Row],[Type]]="Outflow",-Tracking[[#This Row],[Amount(USD)]],0)</f>
        <v>0</v>
      </c>
      <c r="J88" s="140" t="str">
        <f t="shared" si="7"/>
        <v>EUR</v>
      </c>
      <c r="K88" s="151">
        <f>IFERROR(K87+Tracking[[#This Row],[Cash In]]+Tracking[[#This Row],[Cash Out]],0)</f>
        <v>71020</v>
      </c>
      <c r="L88" s="151">
        <f>Tracking[[#This Row],[Running Balance]]*Settings!$E$15</f>
        <v>61077.2</v>
      </c>
    </row>
    <row r="89" spans="3:12" x14ac:dyDescent="0.3">
      <c r="C89" s="123">
        <f>'Cash Flow Entry'!C89</f>
        <v>45377</v>
      </c>
      <c r="D89" s="126" t="str">
        <f t="shared" si="12"/>
        <v>N/A</v>
      </c>
      <c r="E89" s="126" t="str">
        <f t="shared" ref="E89:F89" si="13">IF(OR(ISBLANK(F89), F89=0),"N/A",F89)</f>
        <v>N/A</v>
      </c>
      <c r="F89" s="124" t="str">
        <f t="shared" si="13"/>
        <v>N/A</v>
      </c>
      <c r="G89" s="127">
        <f>'Cash Flow Entry'!F89</f>
        <v>0</v>
      </c>
      <c r="H89" s="128">
        <f>IF(Tracking[[#This Row],[Type]]="Inflow",Tracking[[#This Row],[Amount(USD)]],0)</f>
        <v>0</v>
      </c>
      <c r="I89" s="129">
        <f>IF(Tracking[[#This Row],[Type]]="Outflow",-Tracking[[#This Row],[Amount(USD)]],0)</f>
        <v>0</v>
      </c>
      <c r="J89" s="140" t="str">
        <f t="shared" si="7"/>
        <v>EUR</v>
      </c>
      <c r="K89" s="151">
        <f>IFERROR(K88+Tracking[[#This Row],[Cash In]]+Tracking[[#This Row],[Cash Out]],0)</f>
        <v>71020</v>
      </c>
      <c r="L89" s="151">
        <f>Tracking[[#This Row],[Running Balance]]*Settings!$E$15</f>
        <v>61077.2</v>
      </c>
    </row>
    <row r="90" spans="3:12" x14ac:dyDescent="0.3">
      <c r="C90" s="123">
        <f>'Cash Flow Entry'!C90</f>
        <v>45378</v>
      </c>
      <c r="D90" s="126" t="str">
        <f t="shared" ref="D90:F90" si="14">IF(OR(ISBLANK(E90), E90=0),"N/A",E90)</f>
        <v>N/A</v>
      </c>
      <c r="E90" s="126" t="str">
        <f t="shared" si="14"/>
        <v>N/A</v>
      </c>
      <c r="F90" s="124" t="str">
        <f t="shared" si="14"/>
        <v>N/A</v>
      </c>
      <c r="G90" s="127">
        <f>'Cash Flow Entry'!F90</f>
        <v>0</v>
      </c>
      <c r="H90" s="128">
        <f>IF(Tracking[[#This Row],[Type]]="Inflow",Tracking[[#This Row],[Amount(USD)]],0)</f>
        <v>0</v>
      </c>
      <c r="I90" s="129">
        <f>IF(Tracking[[#This Row],[Type]]="Outflow",-Tracking[[#This Row],[Amount(USD)]],0)</f>
        <v>0</v>
      </c>
      <c r="J90" s="140" t="str">
        <f t="shared" si="7"/>
        <v>EUR</v>
      </c>
      <c r="K90" s="151">
        <f>IFERROR(K89+Tracking[[#This Row],[Cash In]]+Tracking[[#This Row],[Cash Out]],0)</f>
        <v>71020</v>
      </c>
      <c r="L90" s="151">
        <f>Tracking[[#This Row],[Running Balance]]*Settings!$E$15</f>
        <v>61077.2</v>
      </c>
    </row>
    <row r="91" spans="3:12" x14ac:dyDescent="0.3">
      <c r="C91" s="123">
        <f>'Cash Flow Entry'!C91</f>
        <v>45379</v>
      </c>
      <c r="D91" s="126" t="str">
        <f t="shared" ref="D91:F91" si="15">IF(OR(ISBLANK(E91), E91=0),"N/A",E91)</f>
        <v>N/A</v>
      </c>
      <c r="E91" s="126" t="str">
        <f t="shared" si="15"/>
        <v>N/A</v>
      </c>
      <c r="F91" s="124" t="str">
        <f t="shared" si="15"/>
        <v>N/A</v>
      </c>
      <c r="G91" s="127">
        <f>'Cash Flow Entry'!F91</f>
        <v>0</v>
      </c>
      <c r="H91" s="128">
        <f>IF(Tracking[[#This Row],[Type]]="Inflow",Tracking[[#This Row],[Amount(USD)]],0)</f>
        <v>0</v>
      </c>
      <c r="I91" s="129">
        <f>IF(Tracking[[#This Row],[Type]]="Outflow",-Tracking[[#This Row],[Amount(USD)]],0)</f>
        <v>0</v>
      </c>
      <c r="J91" s="140" t="str">
        <f t="shared" si="7"/>
        <v>EUR</v>
      </c>
      <c r="K91" s="151">
        <f>IFERROR(K90+Tracking[[#This Row],[Cash In]]+Tracking[[#This Row],[Cash Out]],0)</f>
        <v>71020</v>
      </c>
      <c r="L91" s="151">
        <f>Tracking[[#This Row],[Running Balance]]*Settings!$E$15</f>
        <v>61077.2</v>
      </c>
    </row>
    <row r="92" spans="3:12" x14ac:dyDescent="0.3">
      <c r="C92" s="123">
        <f>'Cash Flow Entry'!C92</f>
        <v>45380</v>
      </c>
      <c r="D92" s="126" t="str">
        <f>'Cash Flow Entry'!H92</f>
        <v>Outflow</v>
      </c>
      <c r="E92" s="124" t="str">
        <f>'Cash Flow Entry'!D92</f>
        <v>Financing</v>
      </c>
      <c r="F92" s="124" t="str">
        <f>'Cash Flow Entry'!E92</f>
        <v>Interest Paid</v>
      </c>
      <c r="G92" s="127">
        <f>'Cash Flow Entry'!F92</f>
        <v>210</v>
      </c>
      <c r="H92" s="128">
        <f>IF(Tracking[[#This Row],[Type]]="Inflow",Tracking[[#This Row],[Amount(USD)]],0)</f>
        <v>0</v>
      </c>
      <c r="I92" s="129">
        <f>IF(Tracking[[#This Row],[Type]]="Outflow",-Tracking[[#This Row],[Amount(USD)]],0)</f>
        <v>-210</v>
      </c>
      <c r="J92" s="140" t="str">
        <f t="shared" si="7"/>
        <v>EUR</v>
      </c>
      <c r="K92" s="151">
        <f>IFERROR(K91+Tracking[[#This Row],[Cash In]]+Tracking[[#This Row],[Cash Out]],0)</f>
        <v>70810</v>
      </c>
      <c r="L92" s="151">
        <f>Tracking[[#This Row],[Running Balance]]*Settings!$E$15</f>
        <v>60896.6</v>
      </c>
    </row>
    <row r="93" spans="3:12" ht="15" thickBot="1" x14ac:dyDescent="0.35">
      <c r="C93" s="123">
        <f>'Cash Flow Entry'!C93</f>
        <v>45381</v>
      </c>
      <c r="D93" s="126" t="str">
        <f>'Cash Flow Entry'!H93</f>
        <v>Outflow</v>
      </c>
      <c r="E93" s="124" t="str">
        <f>'Cash Flow Entry'!D93</f>
        <v>Operating</v>
      </c>
      <c r="F93" s="124" t="str">
        <f>'Cash Flow Entry'!E93</f>
        <v>Income tax paid</v>
      </c>
      <c r="G93" s="127">
        <f>'Cash Flow Entry'!F93</f>
        <v>8800</v>
      </c>
      <c r="H93" s="128">
        <f>IF(Tracking[[#This Row],[Type]]="Inflow",Tracking[[#This Row],[Amount(USD)]],0)</f>
        <v>0</v>
      </c>
      <c r="I93" s="129">
        <f>IF(Tracking[[#This Row],[Type]]="Outflow",-Tracking[[#This Row],[Amount(USD)]],0)</f>
        <v>-8800</v>
      </c>
      <c r="J93" s="140" t="str">
        <f t="shared" si="7"/>
        <v>EUR</v>
      </c>
      <c r="K93" s="151">
        <f>IFERROR(K92+Tracking[[#This Row],[Cash In]]+Tracking[[#This Row],[Cash Out]],0)</f>
        <v>62010</v>
      </c>
      <c r="L93" s="151">
        <f>Tracking[[#This Row],[Running Balance]]*Settings!$E$15</f>
        <v>53328.6</v>
      </c>
    </row>
    <row r="94" spans="3:12" ht="15" thickBot="1" x14ac:dyDescent="0.35">
      <c r="C94" s="125">
        <f>'Cash Flow Entry'!C94</f>
        <v>45382</v>
      </c>
      <c r="D94" s="109" t="str">
        <f t="shared" ref="D94:F94" si="16">IF(OR(ISBLANK(E94), E94=0),"N/A",E94)</f>
        <v>N/A</v>
      </c>
      <c r="E94" s="109" t="str">
        <f t="shared" si="16"/>
        <v>N/A</v>
      </c>
      <c r="F94" s="110" t="str">
        <f t="shared" si="16"/>
        <v>N/A</v>
      </c>
      <c r="G94" s="135">
        <f>'Cash Flow Entry'!F94</f>
        <v>0</v>
      </c>
      <c r="H94" s="136">
        <f>IF(Tracking[[#This Row],[Type]]="Inflow",Tracking[[#This Row],[Amount(USD)]],0)</f>
        <v>0</v>
      </c>
      <c r="I94" s="137">
        <f>IF(Tracking[[#This Row],[Type]]="Outflow",-Tracking[[#This Row],[Amount(USD)]],0)</f>
        <v>0</v>
      </c>
      <c r="J94" s="141" t="str">
        <f t="shared" si="7"/>
        <v>EUR</v>
      </c>
      <c r="K94" s="153">
        <f>IFERROR(K93+Tracking[[#This Row],[Cash In]]+Tracking[[#This Row],[Cash Out]],0)</f>
        <v>62010</v>
      </c>
      <c r="L94" s="153">
        <f>Tracking[[#This Row],[Running Balance]]*Settings!$E$15</f>
        <v>53328.6</v>
      </c>
    </row>
    <row r="95" spans="3:12" x14ac:dyDescent="0.3">
      <c r="C95" s="123">
        <f>'Cash Flow Entry'!C95</f>
        <v>45383</v>
      </c>
      <c r="D95" s="126" t="str">
        <f>'Cash Flow Entry'!H95</f>
        <v>Outflow</v>
      </c>
      <c r="E95" s="124" t="str">
        <f>'Cash Flow Entry'!D95</f>
        <v>Operating</v>
      </c>
      <c r="F95" s="124" t="str">
        <f>'Cash Flow Entry'!E95</f>
        <v>Cash paid for Operating expenses</v>
      </c>
      <c r="G95" s="127">
        <f>'Cash Flow Entry'!F95</f>
        <v>2500</v>
      </c>
      <c r="H95" s="128">
        <f>IF(Tracking[[#This Row],[Type]]="Inflow",Tracking[[#This Row],[Amount(USD)]],0)</f>
        <v>0</v>
      </c>
      <c r="I95" s="129">
        <f>IF(Tracking[[#This Row],[Type]]="Outflow",-Tracking[[#This Row],[Amount(USD)]],0)</f>
        <v>-2500</v>
      </c>
      <c r="J95" s="140" t="str">
        <f t="shared" si="7"/>
        <v>EUR</v>
      </c>
      <c r="K95" s="151">
        <f>IFERROR(K94+Tracking[[#This Row],[Cash In]]+Tracking[[#This Row],[Cash Out]],0)</f>
        <v>59510</v>
      </c>
      <c r="L95" s="151">
        <f>Tracking[[#This Row],[Running Balance]]*Settings!$E$15</f>
        <v>51178.6</v>
      </c>
    </row>
    <row r="96" spans="3:12" x14ac:dyDescent="0.3">
      <c r="C96" s="123">
        <f>'Cash Flow Entry'!C96</f>
        <v>45384</v>
      </c>
      <c r="D96" s="126" t="str">
        <f>'Cash Flow Entry'!H96</f>
        <v>Outflow</v>
      </c>
      <c r="E96" s="124" t="str">
        <f>'Cash Flow Entry'!D96</f>
        <v>Operating</v>
      </c>
      <c r="F96" s="124" t="str">
        <f>'Cash Flow Entry'!E96</f>
        <v>Cash-paid to suppliers</v>
      </c>
      <c r="G96" s="127">
        <f>'Cash Flow Entry'!F96</f>
        <v>45000</v>
      </c>
      <c r="H96" s="128">
        <f>IF(Tracking[[#This Row],[Type]]="Inflow",Tracking[[#This Row],[Amount(USD)]],0)</f>
        <v>0</v>
      </c>
      <c r="I96" s="129">
        <f>IF(Tracking[[#This Row],[Type]]="Outflow",-Tracking[[#This Row],[Amount(USD)]],0)</f>
        <v>-45000</v>
      </c>
      <c r="J96" s="140" t="str">
        <f t="shared" si="7"/>
        <v>EUR</v>
      </c>
      <c r="K96" s="151">
        <f>IFERROR(K95+Tracking[[#This Row],[Cash In]]+Tracking[[#This Row],[Cash Out]],0)</f>
        <v>14510</v>
      </c>
      <c r="L96" s="151">
        <f>Tracking[[#This Row],[Running Balance]]*Settings!$E$15</f>
        <v>12478.6</v>
      </c>
    </row>
    <row r="97" spans="3:12" x14ac:dyDescent="0.3">
      <c r="C97" s="123">
        <f>'Cash Flow Entry'!C97</f>
        <v>45385</v>
      </c>
      <c r="D97" s="126" t="str">
        <f t="shared" ref="D97:F97" si="17">IF(OR(ISBLANK(E97), E97=0),"N/A",E97)</f>
        <v>N/A</v>
      </c>
      <c r="E97" s="126" t="str">
        <f t="shared" si="17"/>
        <v>N/A</v>
      </c>
      <c r="F97" s="124" t="str">
        <f t="shared" si="17"/>
        <v>N/A</v>
      </c>
      <c r="G97" s="127">
        <f>'Cash Flow Entry'!F97</f>
        <v>0</v>
      </c>
      <c r="H97" s="128">
        <f>IF(Tracking[[#This Row],[Type]]="Inflow",Tracking[[#This Row],[Amount(USD)]],0)</f>
        <v>0</v>
      </c>
      <c r="I97" s="129">
        <f>IF(Tracking[[#This Row],[Type]]="Outflow",-Tracking[[#This Row],[Amount(USD)]],0)</f>
        <v>0</v>
      </c>
      <c r="J97" s="140" t="str">
        <f t="shared" si="7"/>
        <v>EUR</v>
      </c>
      <c r="K97" s="151">
        <f>IFERROR(K96+Tracking[[#This Row],[Cash In]]+Tracking[[#This Row],[Cash Out]],0)</f>
        <v>14510</v>
      </c>
      <c r="L97" s="151">
        <f>Tracking[[#This Row],[Running Balance]]*Settings!$E$15</f>
        <v>12478.6</v>
      </c>
    </row>
    <row r="98" spans="3:12" x14ac:dyDescent="0.3">
      <c r="C98" s="123">
        <f>'Cash Flow Entry'!C98</f>
        <v>45386</v>
      </c>
      <c r="D98" s="126" t="str">
        <f>'Cash Flow Entry'!H98</f>
        <v>Outflow</v>
      </c>
      <c r="E98" s="124" t="str">
        <f>'Cash Flow Entry'!D98</f>
        <v>Financing</v>
      </c>
      <c r="F98" s="124" t="str">
        <f>'Cash Flow Entry'!E98</f>
        <v>Repayment of long-term borrowings</v>
      </c>
      <c r="G98" s="127">
        <f>'Cash Flow Entry'!F98</f>
        <v>8000</v>
      </c>
      <c r="H98" s="128">
        <f>IF(Tracking[[#This Row],[Type]]="Inflow",Tracking[[#This Row],[Amount(USD)]],0)</f>
        <v>0</v>
      </c>
      <c r="I98" s="129">
        <f>IF(Tracking[[#This Row],[Type]]="Outflow",-Tracking[[#This Row],[Amount(USD)]],0)</f>
        <v>-8000</v>
      </c>
      <c r="J98" s="140" t="str">
        <f t="shared" si="7"/>
        <v>EUR</v>
      </c>
      <c r="K98" s="151">
        <f>IFERROR(K97+Tracking[[#This Row],[Cash In]]+Tracking[[#This Row],[Cash Out]],0)</f>
        <v>6510</v>
      </c>
      <c r="L98" s="151">
        <f>Tracking[[#This Row],[Running Balance]]*Settings!$E$15</f>
        <v>5598.6</v>
      </c>
    </row>
    <row r="99" spans="3:12" x14ac:dyDescent="0.3">
      <c r="C99" s="123">
        <f>'Cash Flow Entry'!C99</f>
        <v>45387</v>
      </c>
      <c r="D99" s="126" t="str">
        <f t="shared" ref="D99:F99" si="18">IF(OR(ISBLANK(E99), E99=0),"N/A",E99)</f>
        <v>N/A</v>
      </c>
      <c r="E99" s="126" t="str">
        <f t="shared" si="18"/>
        <v>N/A</v>
      </c>
      <c r="F99" s="124" t="str">
        <f t="shared" si="18"/>
        <v>N/A</v>
      </c>
      <c r="G99" s="127">
        <f>'Cash Flow Entry'!F99</f>
        <v>0</v>
      </c>
      <c r="H99" s="128">
        <f>IF(Tracking[[#This Row],[Type]]="Inflow",Tracking[[#This Row],[Amount(USD)]],0)</f>
        <v>0</v>
      </c>
      <c r="I99" s="129">
        <f>IF(Tracking[[#This Row],[Type]]="Outflow",-Tracking[[#This Row],[Amount(USD)]],0)</f>
        <v>0</v>
      </c>
      <c r="J99" s="140" t="str">
        <f t="shared" si="7"/>
        <v>EUR</v>
      </c>
      <c r="K99" s="151">
        <f>IFERROR(K98+Tracking[[#This Row],[Cash In]]+Tracking[[#This Row],[Cash Out]],0)</f>
        <v>6510</v>
      </c>
      <c r="L99" s="151">
        <f>Tracking[[#This Row],[Running Balance]]*Settings!$E$15</f>
        <v>5598.6</v>
      </c>
    </row>
    <row r="100" spans="3:12" x14ac:dyDescent="0.3">
      <c r="C100" s="123">
        <f>'Cash Flow Entry'!C100</f>
        <v>45388</v>
      </c>
      <c r="D100" s="126" t="str">
        <f>'Cash Flow Entry'!H100</f>
        <v>Outflow</v>
      </c>
      <c r="E100" s="124" t="str">
        <f>'Cash Flow Entry'!D100</f>
        <v>Investing</v>
      </c>
      <c r="F100" s="124" t="str">
        <f>'Cash Flow Entry'!E100</f>
        <v>Purchase of investments</v>
      </c>
      <c r="G100" s="127">
        <f>'Cash Flow Entry'!F100</f>
        <v>25000</v>
      </c>
      <c r="H100" s="128">
        <f>IF(Tracking[[#This Row],[Type]]="Inflow",Tracking[[#This Row],[Amount(USD)]],0)</f>
        <v>0</v>
      </c>
      <c r="I100" s="129">
        <f>IF(Tracking[[#This Row],[Type]]="Outflow",-Tracking[[#This Row],[Amount(USD)]],0)</f>
        <v>-25000</v>
      </c>
      <c r="J100" s="140" t="str">
        <f t="shared" si="7"/>
        <v>EUR</v>
      </c>
      <c r="K100" s="151">
        <f>IFERROR(K99+Tracking[[#This Row],[Cash In]]+Tracking[[#This Row],[Cash Out]],0)</f>
        <v>-18490</v>
      </c>
      <c r="L100" s="151">
        <f>Tracking[[#This Row],[Running Balance]]*Settings!$E$15</f>
        <v>-15901.4</v>
      </c>
    </row>
    <row r="101" spans="3:12" x14ac:dyDescent="0.3">
      <c r="C101" s="123">
        <f>'Cash Flow Entry'!C101</f>
        <v>45389</v>
      </c>
      <c r="D101" s="126" t="str">
        <f>'Cash Flow Entry'!H101</f>
        <v>Inflow</v>
      </c>
      <c r="E101" s="124" t="str">
        <f>'Cash Flow Entry'!D101</f>
        <v>Financing</v>
      </c>
      <c r="F101" s="124" t="str">
        <f>'Cash Flow Entry'!E101</f>
        <v>Proceeds from short-term borrowings</v>
      </c>
      <c r="G101" s="127">
        <f>'Cash Flow Entry'!F101</f>
        <v>25000</v>
      </c>
      <c r="H101" s="128">
        <f>IF(Tracking[[#This Row],[Type]]="Inflow",Tracking[[#This Row],[Amount(USD)]],0)</f>
        <v>25000</v>
      </c>
      <c r="I101" s="129">
        <f>IF(Tracking[[#This Row],[Type]]="Outflow",-Tracking[[#This Row],[Amount(USD)]],0)</f>
        <v>0</v>
      </c>
      <c r="J101" s="140" t="str">
        <f t="shared" si="7"/>
        <v>EUR</v>
      </c>
      <c r="K101" s="151">
        <f>IFERROR(K100+Tracking[[#This Row],[Cash In]]+Tracking[[#This Row],[Cash Out]],0)</f>
        <v>6510</v>
      </c>
      <c r="L101" s="151">
        <f>Tracking[[#This Row],[Running Balance]]*Settings!$E$15</f>
        <v>5598.6</v>
      </c>
    </row>
    <row r="102" spans="3:12" x14ac:dyDescent="0.3">
      <c r="C102" s="123">
        <f>'Cash Flow Entry'!C102</f>
        <v>45390</v>
      </c>
      <c r="D102" s="126" t="str">
        <f t="shared" ref="D102:F110" si="19">IF(OR(ISBLANK(E102), E102=0),"N/A",E102)</f>
        <v>N/A</v>
      </c>
      <c r="E102" s="126" t="str">
        <f t="shared" si="19"/>
        <v>N/A</v>
      </c>
      <c r="F102" s="124" t="str">
        <f t="shared" si="19"/>
        <v>N/A</v>
      </c>
      <c r="G102" s="127">
        <f>'Cash Flow Entry'!F102</f>
        <v>0</v>
      </c>
      <c r="H102" s="128">
        <f>IF(Tracking[[#This Row],[Type]]="Inflow",Tracking[[#This Row],[Amount(USD)]],0)</f>
        <v>0</v>
      </c>
      <c r="I102" s="129">
        <f>IF(Tracking[[#This Row],[Type]]="Outflow",-Tracking[[#This Row],[Amount(USD)]],0)</f>
        <v>0</v>
      </c>
      <c r="J102" s="140" t="str">
        <f t="shared" si="7"/>
        <v>EUR</v>
      </c>
      <c r="K102" s="151">
        <f>IFERROR(K101+Tracking[[#This Row],[Cash In]]+Tracking[[#This Row],[Cash Out]],0)</f>
        <v>6510</v>
      </c>
      <c r="L102" s="151">
        <f>Tracking[[#This Row],[Running Balance]]*Settings!$E$15</f>
        <v>5598.6</v>
      </c>
    </row>
    <row r="103" spans="3:12" x14ac:dyDescent="0.3">
      <c r="C103" s="123">
        <f>'Cash Flow Entry'!C103</f>
        <v>45391</v>
      </c>
      <c r="D103" s="126" t="str">
        <f t="shared" si="19"/>
        <v>N/A</v>
      </c>
      <c r="E103" s="126" t="str">
        <f t="shared" si="19"/>
        <v>N/A</v>
      </c>
      <c r="F103" s="124" t="str">
        <f t="shared" si="19"/>
        <v>N/A</v>
      </c>
      <c r="G103" s="127">
        <f>'Cash Flow Entry'!F103</f>
        <v>0</v>
      </c>
      <c r="H103" s="128">
        <f>IF(Tracking[[#This Row],[Type]]="Inflow",Tracking[[#This Row],[Amount(USD)]],0)</f>
        <v>0</v>
      </c>
      <c r="I103" s="129">
        <f>IF(Tracking[[#This Row],[Type]]="Outflow",-Tracking[[#This Row],[Amount(USD)]],0)</f>
        <v>0</v>
      </c>
      <c r="J103" s="140" t="str">
        <f t="shared" si="7"/>
        <v>EUR</v>
      </c>
      <c r="K103" s="151">
        <f>IFERROR(K102+Tracking[[#This Row],[Cash In]]+Tracking[[#This Row],[Cash Out]],0)</f>
        <v>6510</v>
      </c>
      <c r="L103" s="151">
        <f>Tracking[[#This Row],[Running Balance]]*Settings!$E$15</f>
        <v>5598.6</v>
      </c>
    </row>
    <row r="104" spans="3:12" x14ac:dyDescent="0.3">
      <c r="C104" s="123">
        <f>'Cash Flow Entry'!C104</f>
        <v>45392</v>
      </c>
      <c r="D104" s="126" t="str">
        <f t="shared" si="19"/>
        <v>N/A</v>
      </c>
      <c r="E104" s="126" t="str">
        <f t="shared" si="19"/>
        <v>N/A</v>
      </c>
      <c r="F104" s="124" t="str">
        <f t="shared" si="19"/>
        <v>N/A</v>
      </c>
      <c r="G104" s="127">
        <f>'Cash Flow Entry'!F104</f>
        <v>0</v>
      </c>
      <c r="H104" s="128">
        <f>IF(Tracking[[#This Row],[Type]]="Inflow",Tracking[[#This Row],[Amount(USD)]],0)</f>
        <v>0</v>
      </c>
      <c r="I104" s="129">
        <f>IF(Tracking[[#This Row],[Type]]="Outflow",-Tracking[[#This Row],[Amount(USD)]],0)</f>
        <v>0</v>
      </c>
      <c r="J104" s="140" t="str">
        <f t="shared" si="7"/>
        <v>EUR</v>
      </c>
      <c r="K104" s="151">
        <f>IFERROR(K103+Tracking[[#This Row],[Cash In]]+Tracking[[#This Row],[Cash Out]],0)</f>
        <v>6510</v>
      </c>
      <c r="L104" s="151">
        <f>Tracking[[#This Row],[Running Balance]]*Settings!$E$15</f>
        <v>5598.6</v>
      </c>
    </row>
    <row r="105" spans="3:12" x14ac:dyDescent="0.3">
      <c r="C105" s="123">
        <f>'Cash Flow Entry'!C105</f>
        <v>45393</v>
      </c>
      <c r="D105" s="126" t="str">
        <f t="shared" si="19"/>
        <v>N/A</v>
      </c>
      <c r="E105" s="126" t="str">
        <f t="shared" si="19"/>
        <v>N/A</v>
      </c>
      <c r="F105" s="124" t="str">
        <f t="shared" si="19"/>
        <v>N/A</v>
      </c>
      <c r="G105" s="127">
        <f>'Cash Flow Entry'!F105</f>
        <v>0</v>
      </c>
      <c r="H105" s="128">
        <f>IF(Tracking[[#This Row],[Type]]="Inflow",Tracking[[#This Row],[Amount(USD)]],0)</f>
        <v>0</v>
      </c>
      <c r="I105" s="129">
        <f>IF(Tracking[[#This Row],[Type]]="Outflow",-Tracking[[#This Row],[Amount(USD)]],0)</f>
        <v>0</v>
      </c>
      <c r="J105" s="140" t="str">
        <f t="shared" si="7"/>
        <v>EUR</v>
      </c>
      <c r="K105" s="151">
        <f>IFERROR(K104+Tracking[[#This Row],[Cash In]]+Tracking[[#This Row],[Cash Out]],0)</f>
        <v>6510</v>
      </c>
      <c r="L105" s="151">
        <f>Tracking[[#This Row],[Running Balance]]*Settings!$E$15</f>
        <v>5598.6</v>
      </c>
    </row>
    <row r="106" spans="3:12" x14ac:dyDescent="0.3">
      <c r="C106" s="123">
        <f>'Cash Flow Entry'!C106</f>
        <v>45394</v>
      </c>
      <c r="D106" s="126" t="str">
        <f t="shared" si="19"/>
        <v>N/A</v>
      </c>
      <c r="E106" s="126" t="str">
        <f t="shared" si="19"/>
        <v>N/A</v>
      </c>
      <c r="F106" s="124" t="str">
        <f t="shared" si="19"/>
        <v>N/A</v>
      </c>
      <c r="G106" s="127">
        <f>'Cash Flow Entry'!F106</f>
        <v>0</v>
      </c>
      <c r="H106" s="128">
        <f>IF(Tracking[[#This Row],[Type]]="Inflow",Tracking[[#This Row],[Amount(USD)]],0)</f>
        <v>0</v>
      </c>
      <c r="I106" s="129">
        <f>IF(Tracking[[#This Row],[Type]]="Outflow",-Tracking[[#This Row],[Amount(USD)]],0)</f>
        <v>0</v>
      </c>
      <c r="J106" s="140" t="str">
        <f t="shared" si="7"/>
        <v>EUR</v>
      </c>
      <c r="K106" s="151">
        <f>IFERROR(K105+Tracking[[#This Row],[Cash In]]+Tracking[[#This Row],[Cash Out]],0)</f>
        <v>6510</v>
      </c>
      <c r="L106" s="151">
        <f>Tracking[[#This Row],[Running Balance]]*Settings!$E$15</f>
        <v>5598.6</v>
      </c>
    </row>
    <row r="107" spans="3:12" x14ac:dyDescent="0.3">
      <c r="C107" s="123">
        <f>'Cash Flow Entry'!C107</f>
        <v>45395</v>
      </c>
      <c r="D107" s="126" t="str">
        <f t="shared" si="19"/>
        <v>N/A</v>
      </c>
      <c r="E107" s="126" t="str">
        <f t="shared" si="19"/>
        <v>N/A</v>
      </c>
      <c r="F107" s="124" t="str">
        <f t="shared" si="19"/>
        <v>N/A</v>
      </c>
      <c r="G107" s="127">
        <f>'Cash Flow Entry'!F107</f>
        <v>0</v>
      </c>
      <c r="H107" s="128">
        <f>IF(Tracking[[#This Row],[Type]]="Inflow",Tracking[[#This Row],[Amount(USD)]],0)</f>
        <v>0</v>
      </c>
      <c r="I107" s="129">
        <f>IF(Tracking[[#This Row],[Type]]="Outflow",-Tracking[[#This Row],[Amount(USD)]],0)</f>
        <v>0</v>
      </c>
      <c r="J107" s="140" t="str">
        <f t="shared" si="7"/>
        <v>EUR</v>
      </c>
      <c r="K107" s="151">
        <f>IFERROR(K106+Tracking[[#This Row],[Cash In]]+Tracking[[#This Row],[Cash Out]],0)</f>
        <v>6510</v>
      </c>
      <c r="L107" s="151">
        <f>Tracking[[#This Row],[Running Balance]]*Settings!$E$15</f>
        <v>5598.6</v>
      </c>
    </row>
    <row r="108" spans="3:12" x14ac:dyDescent="0.3">
      <c r="C108" s="123">
        <f>'Cash Flow Entry'!C108</f>
        <v>45396</v>
      </c>
      <c r="D108" s="126" t="str">
        <f t="shared" si="19"/>
        <v>N/A</v>
      </c>
      <c r="E108" s="126" t="str">
        <f t="shared" si="19"/>
        <v>N/A</v>
      </c>
      <c r="F108" s="124" t="str">
        <f t="shared" si="19"/>
        <v>N/A</v>
      </c>
      <c r="G108" s="127">
        <f>'Cash Flow Entry'!F108</f>
        <v>0</v>
      </c>
      <c r="H108" s="128">
        <f>IF(Tracking[[#This Row],[Type]]="Inflow",Tracking[[#This Row],[Amount(USD)]],0)</f>
        <v>0</v>
      </c>
      <c r="I108" s="129">
        <f>IF(Tracking[[#This Row],[Type]]="Outflow",-Tracking[[#This Row],[Amount(USD)]],0)</f>
        <v>0</v>
      </c>
      <c r="J108" s="140" t="str">
        <f t="shared" si="7"/>
        <v>EUR</v>
      </c>
      <c r="K108" s="151">
        <f>IFERROR(K107+Tracking[[#This Row],[Cash In]]+Tracking[[#This Row],[Cash Out]],0)</f>
        <v>6510</v>
      </c>
      <c r="L108" s="151">
        <f>Tracking[[#This Row],[Running Balance]]*Settings!$E$15</f>
        <v>5598.6</v>
      </c>
    </row>
    <row r="109" spans="3:12" x14ac:dyDescent="0.3">
      <c r="C109" s="123">
        <f>'Cash Flow Entry'!C109</f>
        <v>45397</v>
      </c>
      <c r="D109" s="126" t="str">
        <f>'Cash Flow Entry'!H109</f>
        <v>Inflow</v>
      </c>
      <c r="E109" s="124" t="str">
        <f>'Cash Flow Entry'!D109</f>
        <v>Operating</v>
      </c>
      <c r="F109" s="124" t="str">
        <f>'Cash Flow Entry'!E109</f>
        <v>Cash-received from customers</v>
      </c>
      <c r="G109" s="127">
        <f>'Cash Flow Entry'!F109</f>
        <v>25000</v>
      </c>
      <c r="H109" s="128">
        <f>IF(Tracking[[#This Row],[Type]]="Inflow",Tracking[[#This Row],[Amount(USD)]],0)</f>
        <v>25000</v>
      </c>
      <c r="I109" s="129">
        <f>IF(Tracking[[#This Row],[Type]]="Outflow",-Tracking[[#This Row],[Amount(USD)]],0)</f>
        <v>0</v>
      </c>
      <c r="J109" s="140" t="str">
        <f t="shared" si="7"/>
        <v>EUR</v>
      </c>
      <c r="K109" s="151">
        <f>IFERROR(K108+Tracking[[#This Row],[Cash In]]+Tracking[[#This Row],[Cash Out]],0)</f>
        <v>31510</v>
      </c>
      <c r="L109" s="151">
        <f>Tracking[[#This Row],[Running Balance]]*Settings!$E$15</f>
        <v>27098.6</v>
      </c>
    </row>
    <row r="110" spans="3:12" x14ac:dyDescent="0.3">
      <c r="C110" s="123">
        <f>'Cash Flow Entry'!C110</f>
        <v>45398</v>
      </c>
      <c r="D110" s="126" t="str">
        <f t="shared" si="19"/>
        <v>N/A</v>
      </c>
      <c r="E110" s="126" t="str">
        <f t="shared" ref="E110:F110" si="20">IF(OR(ISBLANK(F110), F110=0),"N/A",F110)</f>
        <v>N/A</v>
      </c>
      <c r="F110" s="124" t="str">
        <f t="shared" si="20"/>
        <v>N/A</v>
      </c>
      <c r="G110" s="127">
        <f>'Cash Flow Entry'!F110</f>
        <v>0</v>
      </c>
      <c r="H110" s="128">
        <f>IF(Tracking[[#This Row],[Type]]="Inflow",Tracking[[#This Row],[Amount(USD)]],0)</f>
        <v>0</v>
      </c>
      <c r="I110" s="129">
        <f>IF(Tracking[[#This Row],[Type]]="Outflow",-Tracking[[#This Row],[Amount(USD)]],0)</f>
        <v>0</v>
      </c>
      <c r="J110" s="140" t="str">
        <f t="shared" si="7"/>
        <v>EUR</v>
      </c>
      <c r="K110" s="151">
        <f>IFERROR(K109+Tracking[[#This Row],[Cash In]]+Tracking[[#This Row],[Cash Out]],0)</f>
        <v>31510</v>
      </c>
      <c r="L110" s="151">
        <f>Tracking[[#This Row],[Running Balance]]*Settings!$E$15</f>
        <v>27098.6</v>
      </c>
    </row>
    <row r="111" spans="3:12" x14ac:dyDescent="0.3">
      <c r="C111" s="123">
        <f>'Cash Flow Entry'!C111</f>
        <v>45399</v>
      </c>
      <c r="D111" s="126" t="str">
        <f t="shared" ref="D111:F111" si="21">IF(OR(ISBLANK(E111), E111=0),"N/A",E111)</f>
        <v>N/A</v>
      </c>
      <c r="E111" s="126" t="str">
        <f t="shared" si="21"/>
        <v>N/A</v>
      </c>
      <c r="F111" s="124" t="str">
        <f t="shared" si="21"/>
        <v>N/A</v>
      </c>
      <c r="G111" s="127">
        <f>'Cash Flow Entry'!F111</f>
        <v>0</v>
      </c>
      <c r="H111" s="128">
        <f>IF(Tracking[[#This Row],[Type]]="Inflow",Tracking[[#This Row],[Amount(USD)]],0)</f>
        <v>0</v>
      </c>
      <c r="I111" s="129">
        <f>IF(Tracking[[#This Row],[Type]]="Outflow",-Tracking[[#This Row],[Amount(USD)]],0)</f>
        <v>0</v>
      </c>
      <c r="J111" s="140" t="str">
        <f t="shared" si="7"/>
        <v>EUR</v>
      </c>
      <c r="K111" s="151">
        <f>IFERROR(K110+Tracking[[#This Row],[Cash In]]+Tracking[[#This Row],[Cash Out]],0)</f>
        <v>31510</v>
      </c>
      <c r="L111" s="151">
        <f>Tracking[[#This Row],[Running Balance]]*Settings!$E$15</f>
        <v>27098.6</v>
      </c>
    </row>
    <row r="112" spans="3:12" x14ac:dyDescent="0.3">
      <c r="C112" s="123">
        <f>'Cash Flow Entry'!C112</f>
        <v>45400</v>
      </c>
      <c r="D112" s="126" t="str">
        <f t="shared" ref="D112:F112" si="22">IF(OR(ISBLANK(E112), E112=0),"N/A",E112)</f>
        <v>N/A</v>
      </c>
      <c r="E112" s="126" t="str">
        <f t="shared" si="22"/>
        <v>N/A</v>
      </c>
      <c r="F112" s="124" t="str">
        <f t="shared" si="22"/>
        <v>N/A</v>
      </c>
      <c r="G112" s="127">
        <f>'Cash Flow Entry'!F112</f>
        <v>0</v>
      </c>
      <c r="H112" s="128">
        <f>IF(Tracking[[#This Row],[Type]]="Inflow",Tracking[[#This Row],[Amount(USD)]],0)</f>
        <v>0</v>
      </c>
      <c r="I112" s="129">
        <f>IF(Tracking[[#This Row],[Type]]="Outflow",-Tracking[[#This Row],[Amount(USD)]],0)</f>
        <v>0</v>
      </c>
      <c r="J112" s="140" t="str">
        <f t="shared" si="7"/>
        <v>EUR</v>
      </c>
      <c r="K112" s="151">
        <f>IFERROR(K111+Tracking[[#This Row],[Cash In]]+Tracking[[#This Row],[Cash Out]],0)</f>
        <v>31510</v>
      </c>
      <c r="L112" s="151">
        <f>Tracking[[#This Row],[Running Balance]]*Settings!$E$15</f>
        <v>27098.6</v>
      </c>
    </row>
    <row r="113" spans="3:12" x14ac:dyDescent="0.3">
      <c r="C113" s="123">
        <f>'Cash Flow Entry'!C113</f>
        <v>45401</v>
      </c>
      <c r="D113" s="126" t="str">
        <f t="shared" ref="D113:F113" si="23">IF(OR(ISBLANK(E113), E113=0),"N/A",E113)</f>
        <v>N/A</v>
      </c>
      <c r="E113" s="126" t="str">
        <f t="shared" si="23"/>
        <v>N/A</v>
      </c>
      <c r="F113" s="124" t="str">
        <f t="shared" si="23"/>
        <v>N/A</v>
      </c>
      <c r="G113" s="127">
        <f>'Cash Flow Entry'!F113</f>
        <v>0</v>
      </c>
      <c r="H113" s="128">
        <f>IF(Tracking[[#This Row],[Type]]="Inflow",Tracking[[#This Row],[Amount(USD)]],0)</f>
        <v>0</v>
      </c>
      <c r="I113" s="129">
        <f>IF(Tracking[[#This Row],[Type]]="Outflow",-Tracking[[#This Row],[Amount(USD)]],0)</f>
        <v>0</v>
      </c>
      <c r="J113" s="140" t="str">
        <f t="shared" si="7"/>
        <v>EUR</v>
      </c>
      <c r="K113" s="151">
        <f>IFERROR(K112+Tracking[[#This Row],[Cash In]]+Tracking[[#This Row],[Cash Out]],0)</f>
        <v>31510</v>
      </c>
      <c r="L113" s="151">
        <f>Tracking[[#This Row],[Running Balance]]*Settings!$E$15</f>
        <v>27098.6</v>
      </c>
    </row>
    <row r="114" spans="3:12" x14ac:dyDescent="0.3">
      <c r="C114" s="123">
        <f>'Cash Flow Entry'!C114</f>
        <v>45402</v>
      </c>
      <c r="D114" s="126" t="str">
        <f>'Cash Flow Entry'!H114</f>
        <v>Outflow</v>
      </c>
      <c r="E114" s="124" t="str">
        <f>'Cash Flow Entry'!D114</f>
        <v>Operating</v>
      </c>
      <c r="F114" s="124" t="str">
        <f>'Cash Flow Entry'!E114</f>
        <v>Cash paid to employees</v>
      </c>
      <c r="G114" s="127">
        <f>'Cash Flow Entry'!F114</f>
        <v>18000</v>
      </c>
      <c r="H114" s="128">
        <f>IF(Tracking[[#This Row],[Type]]="Inflow",Tracking[[#This Row],[Amount(USD)]],0)</f>
        <v>0</v>
      </c>
      <c r="I114" s="129">
        <f>IF(Tracking[[#This Row],[Type]]="Outflow",-Tracking[[#This Row],[Amount(USD)]],0)</f>
        <v>-18000</v>
      </c>
      <c r="J114" s="140" t="str">
        <f t="shared" si="7"/>
        <v>EUR</v>
      </c>
      <c r="K114" s="151">
        <f>IFERROR(K113+Tracking[[#This Row],[Cash In]]+Tracking[[#This Row],[Cash Out]],0)</f>
        <v>13510</v>
      </c>
      <c r="L114" s="151">
        <f>Tracking[[#This Row],[Running Balance]]*Settings!$E$15</f>
        <v>11618.6</v>
      </c>
    </row>
    <row r="115" spans="3:12" x14ac:dyDescent="0.3">
      <c r="C115" s="123">
        <f>'Cash Flow Entry'!C115</f>
        <v>45403</v>
      </c>
      <c r="D115" s="126" t="str">
        <f t="shared" ref="D115:F117" si="24">IF(OR(ISBLANK(E115), E115=0),"N/A",E115)</f>
        <v>N/A</v>
      </c>
      <c r="E115" s="126" t="str">
        <f t="shared" si="24"/>
        <v>N/A</v>
      </c>
      <c r="F115" s="124" t="str">
        <f t="shared" si="24"/>
        <v>N/A</v>
      </c>
      <c r="G115" s="127">
        <f>'Cash Flow Entry'!F115</f>
        <v>0</v>
      </c>
      <c r="H115" s="128">
        <f>IF(Tracking[[#This Row],[Type]]="Inflow",Tracking[[#This Row],[Amount(USD)]],0)</f>
        <v>0</v>
      </c>
      <c r="I115" s="129">
        <f>IF(Tracking[[#This Row],[Type]]="Outflow",-Tracking[[#This Row],[Amount(USD)]],0)</f>
        <v>0</v>
      </c>
      <c r="J115" s="140" t="str">
        <f t="shared" si="7"/>
        <v>EUR</v>
      </c>
      <c r="K115" s="151">
        <f>IFERROR(K114+Tracking[[#This Row],[Cash In]]+Tracking[[#This Row],[Cash Out]],0)</f>
        <v>13510</v>
      </c>
      <c r="L115" s="151">
        <f>Tracking[[#This Row],[Running Balance]]*Settings!$E$15</f>
        <v>11618.6</v>
      </c>
    </row>
    <row r="116" spans="3:12" x14ac:dyDescent="0.3">
      <c r="C116" s="123">
        <f>'Cash Flow Entry'!C116</f>
        <v>45404</v>
      </c>
      <c r="D116" s="126" t="str">
        <f t="shared" si="24"/>
        <v>N/A</v>
      </c>
      <c r="E116" s="126" t="str">
        <f t="shared" si="24"/>
        <v>N/A</v>
      </c>
      <c r="F116" s="124" t="str">
        <f t="shared" si="24"/>
        <v>N/A</v>
      </c>
      <c r="G116" s="127">
        <f>'Cash Flow Entry'!F116</f>
        <v>0</v>
      </c>
      <c r="H116" s="128">
        <f>IF(Tracking[[#This Row],[Type]]="Inflow",Tracking[[#This Row],[Amount(USD)]],0)</f>
        <v>0</v>
      </c>
      <c r="I116" s="129">
        <f>IF(Tracking[[#This Row],[Type]]="Outflow",-Tracking[[#This Row],[Amount(USD)]],0)</f>
        <v>0</v>
      </c>
      <c r="J116" s="140" t="str">
        <f t="shared" si="7"/>
        <v>EUR</v>
      </c>
      <c r="K116" s="151">
        <f>IFERROR(K115+Tracking[[#This Row],[Cash In]]+Tracking[[#This Row],[Cash Out]],0)</f>
        <v>13510</v>
      </c>
      <c r="L116" s="151">
        <f>Tracking[[#This Row],[Running Balance]]*Settings!$E$15</f>
        <v>11618.6</v>
      </c>
    </row>
    <row r="117" spans="3:12" x14ac:dyDescent="0.3">
      <c r="C117" s="123">
        <f>'Cash Flow Entry'!C117</f>
        <v>45405</v>
      </c>
      <c r="D117" s="126" t="str">
        <f t="shared" si="24"/>
        <v>N/A</v>
      </c>
      <c r="E117" s="126" t="str">
        <f t="shared" si="24"/>
        <v>N/A</v>
      </c>
      <c r="F117" s="124" t="str">
        <f t="shared" si="24"/>
        <v>N/A</v>
      </c>
      <c r="G117" s="127">
        <f>'Cash Flow Entry'!F117</f>
        <v>0</v>
      </c>
      <c r="H117" s="128">
        <f>IF(Tracking[[#This Row],[Type]]="Inflow",Tracking[[#This Row],[Amount(USD)]],0)</f>
        <v>0</v>
      </c>
      <c r="I117" s="129">
        <f>IF(Tracking[[#This Row],[Type]]="Outflow",-Tracking[[#This Row],[Amount(USD)]],0)</f>
        <v>0</v>
      </c>
      <c r="J117" s="140" t="str">
        <f t="shared" si="7"/>
        <v>EUR</v>
      </c>
      <c r="K117" s="151">
        <f>IFERROR(K116+Tracking[[#This Row],[Cash In]]+Tracking[[#This Row],[Cash Out]],0)</f>
        <v>13510</v>
      </c>
      <c r="L117" s="151">
        <f>Tracking[[#This Row],[Running Balance]]*Settings!$E$15</f>
        <v>11618.6</v>
      </c>
    </row>
    <row r="118" spans="3:12" x14ac:dyDescent="0.3">
      <c r="C118" s="123">
        <f>'Cash Flow Entry'!C118</f>
        <v>45406</v>
      </c>
      <c r="D118" s="126" t="str">
        <f>'Cash Flow Entry'!H118</f>
        <v>Inflow</v>
      </c>
      <c r="E118" s="124" t="str">
        <f>'Cash Flow Entry'!D118</f>
        <v>Operating</v>
      </c>
      <c r="F118" s="124" t="str">
        <f>'Cash Flow Entry'!E118</f>
        <v>Cash-received from customers</v>
      </c>
      <c r="G118" s="127">
        <f>'Cash Flow Entry'!F118</f>
        <v>30000</v>
      </c>
      <c r="H118" s="128">
        <f>IF(Tracking[[#This Row],[Type]]="Inflow",Tracking[[#This Row],[Amount(USD)]],0)</f>
        <v>30000</v>
      </c>
      <c r="I118" s="129">
        <f>IF(Tracking[[#This Row],[Type]]="Outflow",-Tracking[[#This Row],[Amount(USD)]],0)</f>
        <v>0</v>
      </c>
      <c r="J118" s="140" t="str">
        <f t="shared" si="7"/>
        <v>EUR</v>
      </c>
      <c r="K118" s="151">
        <f>IFERROR(K117+Tracking[[#This Row],[Cash In]]+Tracking[[#This Row],[Cash Out]],0)</f>
        <v>43510</v>
      </c>
      <c r="L118" s="151">
        <f>Tracking[[#This Row],[Running Balance]]*Settings!$E$15</f>
        <v>37418.6</v>
      </c>
    </row>
    <row r="119" spans="3:12" x14ac:dyDescent="0.3">
      <c r="C119" s="123">
        <f>'Cash Flow Entry'!C119</f>
        <v>45407</v>
      </c>
      <c r="D119" s="126" t="str">
        <f>'Cash Flow Entry'!H119</f>
        <v>Inflow</v>
      </c>
      <c r="E119" s="124" t="str">
        <f>'Cash Flow Entry'!D119</f>
        <v>Operating</v>
      </c>
      <c r="F119" s="124" t="str">
        <f>'Cash Flow Entry'!E119</f>
        <v>Refund of taxes received</v>
      </c>
      <c r="G119" s="127">
        <f>'Cash Flow Entry'!F119</f>
        <v>220</v>
      </c>
      <c r="H119" s="128">
        <f>IF(Tracking[[#This Row],[Type]]="Inflow",Tracking[[#This Row],[Amount(USD)]],0)</f>
        <v>220</v>
      </c>
      <c r="I119" s="129">
        <f>IF(Tracking[[#This Row],[Type]]="Outflow",-Tracking[[#This Row],[Amount(USD)]],0)</f>
        <v>0</v>
      </c>
      <c r="J119" s="140" t="str">
        <f t="shared" si="7"/>
        <v>EUR</v>
      </c>
      <c r="K119" s="151">
        <f>IFERROR(K118+Tracking[[#This Row],[Cash In]]+Tracking[[#This Row],[Cash Out]],0)</f>
        <v>43730</v>
      </c>
      <c r="L119" s="151">
        <f>Tracking[[#This Row],[Running Balance]]*Settings!$E$15</f>
        <v>37607.800000000003</v>
      </c>
    </row>
    <row r="120" spans="3:12" x14ac:dyDescent="0.3">
      <c r="C120" s="123">
        <f>'Cash Flow Entry'!C120</f>
        <v>45408</v>
      </c>
      <c r="D120" s="126" t="str">
        <f t="shared" ref="D120:F121" si="25">IF(OR(ISBLANK(E120), E120=0),"N/A",E120)</f>
        <v>N/A</v>
      </c>
      <c r="E120" s="126" t="str">
        <f t="shared" si="25"/>
        <v>N/A</v>
      </c>
      <c r="F120" s="124" t="str">
        <f t="shared" si="25"/>
        <v>N/A</v>
      </c>
      <c r="G120" s="127">
        <f>'Cash Flow Entry'!F120</f>
        <v>0</v>
      </c>
      <c r="H120" s="128">
        <f>IF(Tracking[[#This Row],[Type]]="Inflow",Tracking[[#This Row],[Amount(USD)]],0)</f>
        <v>0</v>
      </c>
      <c r="I120" s="129">
        <f>IF(Tracking[[#This Row],[Type]]="Outflow",-Tracking[[#This Row],[Amount(USD)]],0)</f>
        <v>0</v>
      </c>
      <c r="J120" s="140" t="str">
        <f t="shared" si="7"/>
        <v>EUR</v>
      </c>
      <c r="K120" s="151">
        <f>IFERROR(K119+Tracking[[#This Row],[Cash In]]+Tracking[[#This Row],[Cash Out]],0)</f>
        <v>43730</v>
      </c>
      <c r="L120" s="151">
        <f>Tracking[[#This Row],[Running Balance]]*Settings!$E$15</f>
        <v>37607.800000000003</v>
      </c>
    </row>
    <row r="121" spans="3:12" x14ac:dyDescent="0.3">
      <c r="C121" s="123">
        <f>'Cash Flow Entry'!C121</f>
        <v>45409</v>
      </c>
      <c r="D121" s="126" t="str">
        <f t="shared" si="25"/>
        <v>N/A</v>
      </c>
      <c r="E121" s="126" t="str">
        <f t="shared" si="25"/>
        <v>N/A</v>
      </c>
      <c r="F121" s="124" t="str">
        <f t="shared" si="25"/>
        <v>N/A</v>
      </c>
      <c r="G121" s="127">
        <f>'Cash Flow Entry'!F121</f>
        <v>0</v>
      </c>
      <c r="H121" s="128">
        <f>IF(Tracking[[#This Row],[Type]]="Inflow",Tracking[[#This Row],[Amount(USD)]],0)</f>
        <v>0</v>
      </c>
      <c r="I121" s="129">
        <f>IF(Tracking[[#This Row],[Type]]="Outflow",-Tracking[[#This Row],[Amount(USD)]],0)</f>
        <v>0</v>
      </c>
      <c r="J121" s="140" t="str">
        <f t="shared" si="7"/>
        <v>EUR</v>
      </c>
      <c r="K121" s="151">
        <f>IFERROR(K120+Tracking[[#This Row],[Cash In]]+Tracking[[#This Row],[Cash Out]],0)</f>
        <v>43730</v>
      </c>
      <c r="L121" s="151">
        <f>Tracking[[#This Row],[Running Balance]]*Settings!$E$15</f>
        <v>37607.800000000003</v>
      </c>
    </row>
    <row r="122" spans="3:12" x14ac:dyDescent="0.3">
      <c r="C122" s="123">
        <f>'Cash Flow Entry'!C122</f>
        <v>45410</v>
      </c>
      <c r="D122" s="126" t="str">
        <f>'Cash Flow Entry'!H122</f>
        <v>Outflow</v>
      </c>
      <c r="E122" s="124" t="str">
        <f>'Cash Flow Entry'!D122</f>
        <v>Operating</v>
      </c>
      <c r="F122" s="124" t="str">
        <f>'Cash Flow Entry'!E122</f>
        <v>Cash-paid to suppliers</v>
      </c>
      <c r="G122" s="127">
        <f>'Cash Flow Entry'!F122</f>
        <v>18500</v>
      </c>
      <c r="H122" s="128">
        <f>IF(Tracking[[#This Row],[Type]]="Inflow",Tracking[[#This Row],[Amount(USD)]],0)</f>
        <v>0</v>
      </c>
      <c r="I122" s="129">
        <f>IF(Tracking[[#This Row],[Type]]="Outflow",-Tracking[[#This Row],[Amount(USD)]],0)</f>
        <v>-18500</v>
      </c>
      <c r="J122" s="140" t="str">
        <f t="shared" si="7"/>
        <v>EUR</v>
      </c>
      <c r="K122" s="151">
        <f>IFERROR(K121+Tracking[[#This Row],[Cash In]]+Tracking[[#This Row],[Cash Out]],0)</f>
        <v>25230</v>
      </c>
      <c r="L122" s="151">
        <f>Tracking[[#This Row],[Running Balance]]*Settings!$E$15</f>
        <v>21697.8</v>
      </c>
    </row>
    <row r="123" spans="3:12" ht="15" thickBot="1" x14ac:dyDescent="0.35">
      <c r="C123" s="123">
        <f>'Cash Flow Entry'!C123</f>
        <v>45411</v>
      </c>
      <c r="D123" s="126" t="str">
        <f>'Cash Flow Entry'!H123</f>
        <v>Outflow</v>
      </c>
      <c r="E123" s="124" t="str">
        <f>'Cash Flow Entry'!D123</f>
        <v>Operating</v>
      </c>
      <c r="F123" s="124" t="str">
        <f>'Cash Flow Entry'!E123</f>
        <v>Cash paid for Operating expenses</v>
      </c>
      <c r="G123" s="127">
        <f>'Cash Flow Entry'!F123</f>
        <v>2000</v>
      </c>
      <c r="H123" s="128">
        <f>IF(Tracking[[#This Row],[Type]]="Inflow",Tracking[[#This Row],[Amount(USD)]],0)</f>
        <v>0</v>
      </c>
      <c r="I123" s="129">
        <f>IF(Tracking[[#This Row],[Type]]="Outflow",-Tracking[[#This Row],[Amount(USD)]],0)</f>
        <v>-2000</v>
      </c>
      <c r="J123" s="140" t="str">
        <f t="shared" si="7"/>
        <v>EUR</v>
      </c>
      <c r="K123" s="151">
        <f>IFERROR(K122+Tracking[[#This Row],[Cash In]]+Tracking[[#This Row],[Cash Out]],0)</f>
        <v>23230</v>
      </c>
      <c r="L123" s="151">
        <f>Tracking[[#This Row],[Running Balance]]*Settings!$E$15</f>
        <v>19977.8</v>
      </c>
    </row>
    <row r="124" spans="3:12" ht="15" thickBot="1" x14ac:dyDescent="0.35">
      <c r="C124" s="125">
        <f>'Cash Flow Entry'!C124</f>
        <v>45412</v>
      </c>
      <c r="D124" s="109" t="str">
        <f>'Cash Flow Entry'!H124</f>
        <v>Outflow</v>
      </c>
      <c r="E124" s="110" t="str">
        <f>'Cash Flow Entry'!D124</f>
        <v>Investing</v>
      </c>
      <c r="F124" s="110" t="str">
        <f>'Cash Flow Entry'!E124</f>
        <v>Purchase of property, plant, or equipment</v>
      </c>
      <c r="G124" s="131">
        <f>'Cash Flow Entry'!F124</f>
        <v>40000</v>
      </c>
      <c r="H124" s="132">
        <f>IF(Tracking[[#This Row],[Type]]="Inflow",Tracking[[#This Row],[Amount(USD)]],0)</f>
        <v>0</v>
      </c>
      <c r="I124" s="133">
        <f>IF(Tracking[[#This Row],[Type]]="Outflow",-Tracking[[#This Row],[Amount(USD)]],0)</f>
        <v>-40000</v>
      </c>
      <c r="J124" s="141" t="str">
        <f t="shared" si="7"/>
        <v>EUR</v>
      </c>
      <c r="K124" s="153">
        <f>IFERROR(K123+Tracking[[#This Row],[Cash In]]+Tracking[[#This Row],[Cash Out]],0)</f>
        <v>-16770</v>
      </c>
      <c r="L124" s="153">
        <f>Tracking[[#This Row],[Running Balance]]*Settings!$E$15</f>
        <v>-14422.199999999999</v>
      </c>
    </row>
    <row r="125" spans="3:12" x14ac:dyDescent="0.3">
      <c r="C125" s="123">
        <f>'Cash Flow Entry'!C125</f>
        <v>45413</v>
      </c>
      <c r="D125" s="126" t="str">
        <f t="shared" ref="D125:F125" si="26">IF(OR(ISBLANK(E125), E125=0),"N/A",E125)</f>
        <v>N/A</v>
      </c>
      <c r="E125" s="126" t="str">
        <f t="shared" si="26"/>
        <v>N/A</v>
      </c>
      <c r="F125" s="124" t="str">
        <f t="shared" si="26"/>
        <v>N/A</v>
      </c>
      <c r="G125" s="127">
        <f>'Cash Flow Entry'!F125</f>
        <v>0</v>
      </c>
      <c r="H125" s="128">
        <f>IF(Tracking[[#This Row],[Type]]="Inflow",Tracking[[#This Row],[Amount(USD)]],0)</f>
        <v>0</v>
      </c>
      <c r="I125" s="129">
        <f>IF(Tracking[[#This Row],[Type]]="Outflow",-Tracking[[#This Row],[Amount(USD)]],0)</f>
        <v>0</v>
      </c>
      <c r="J125" s="140" t="str">
        <f t="shared" si="7"/>
        <v>EUR</v>
      </c>
      <c r="K125" s="151">
        <f>IFERROR(K124+Tracking[[#This Row],[Cash In]]+Tracking[[#This Row],[Cash Out]],0)</f>
        <v>-16770</v>
      </c>
      <c r="L125" s="151">
        <f>Tracking[[#This Row],[Running Balance]]*Settings!$E$15</f>
        <v>-14422.199999999999</v>
      </c>
    </row>
    <row r="126" spans="3:12" x14ac:dyDescent="0.3">
      <c r="C126" s="123">
        <f>'Cash Flow Entry'!C126</f>
        <v>45414</v>
      </c>
      <c r="D126" s="126" t="str">
        <f>'Cash Flow Entry'!H126</f>
        <v>Outflow</v>
      </c>
      <c r="E126" s="124" t="str">
        <f>'Cash Flow Entry'!D126</f>
        <v>Operating</v>
      </c>
      <c r="F126" s="124" t="str">
        <f>'Cash Flow Entry'!E126</f>
        <v>Cash paid for Operating expenses</v>
      </c>
      <c r="G126" s="127">
        <f>'Cash Flow Entry'!F126</f>
        <v>2500</v>
      </c>
      <c r="H126" s="128">
        <f>IF(Tracking[[#This Row],[Type]]="Inflow",Tracking[[#This Row],[Amount(USD)]],0)</f>
        <v>0</v>
      </c>
      <c r="I126" s="129">
        <f>IF(Tracking[[#This Row],[Type]]="Outflow",-Tracking[[#This Row],[Amount(USD)]],0)</f>
        <v>-2500</v>
      </c>
      <c r="J126" s="140" t="str">
        <f t="shared" si="7"/>
        <v>EUR</v>
      </c>
      <c r="K126" s="151">
        <f>IFERROR(K125+Tracking[[#This Row],[Cash In]]+Tracking[[#This Row],[Cash Out]],0)</f>
        <v>-19270</v>
      </c>
      <c r="L126" s="151">
        <f>Tracking[[#This Row],[Running Balance]]*Settings!$E$15</f>
        <v>-16572.2</v>
      </c>
    </row>
    <row r="127" spans="3:12" x14ac:dyDescent="0.3">
      <c r="C127" s="123">
        <f>'Cash Flow Entry'!C127</f>
        <v>45415</v>
      </c>
      <c r="D127" s="126" t="str">
        <f>'Cash Flow Entry'!H127</f>
        <v>Outflow</v>
      </c>
      <c r="E127" s="124" t="str">
        <f>'Cash Flow Entry'!D127</f>
        <v>Operating</v>
      </c>
      <c r="F127" s="124" t="str">
        <f>'Cash Flow Entry'!E127</f>
        <v>Cash-paid to suppliers</v>
      </c>
      <c r="G127" s="127">
        <f>'Cash Flow Entry'!F127</f>
        <v>26000</v>
      </c>
      <c r="H127" s="128">
        <f>IF(Tracking[[#This Row],[Type]]="Inflow",Tracking[[#This Row],[Amount(USD)]],0)</f>
        <v>0</v>
      </c>
      <c r="I127" s="129">
        <f>IF(Tracking[[#This Row],[Type]]="Outflow",-Tracking[[#This Row],[Amount(USD)]],0)</f>
        <v>-26000</v>
      </c>
      <c r="J127" s="140" t="str">
        <f t="shared" si="7"/>
        <v>EUR</v>
      </c>
      <c r="K127" s="151">
        <f>IFERROR(K126+Tracking[[#This Row],[Cash In]]+Tracking[[#This Row],[Cash Out]],0)</f>
        <v>-45270</v>
      </c>
      <c r="L127" s="151">
        <f>Tracking[[#This Row],[Running Balance]]*Settings!$E$15</f>
        <v>-38932.199999999997</v>
      </c>
    </row>
    <row r="128" spans="3:12" x14ac:dyDescent="0.3">
      <c r="C128" s="123">
        <f>'Cash Flow Entry'!C128</f>
        <v>45416</v>
      </c>
      <c r="D128" s="126" t="str">
        <f>'Cash Flow Entry'!H128</f>
        <v>Outflow</v>
      </c>
      <c r="E128" s="124" t="str">
        <f>'Cash Flow Entry'!D128</f>
        <v>Financing</v>
      </c>
      <c r="F128" s="124" t="str">
        <f>'Cash Flow Entry'!E128</f>
        <v>Repayment of long-term borrowings</v>
      </c>
      <c r="G128" s="127">
        <f>'Cash Flow Entry'!F128</f>
        <v>12000</v>
      </c>
      <c r="H128" s="128">
        <f>IF(Tracking[[#This Row],[Type]]="Inflow",Tracking[[#This Row],[Amount(USD)]],0)</f>
        <v>0</v>
      </c>
      <c r="I128" s="129">
        <f>IF(Tracking[[#This Row],[Type]]="Outflow",-Tracking[[#This Row],[Amount(USD)]],0)</f>
        <v>-12000</v>
      </c>
      <c r="J128" s="140" t="str">
        <f t="shared" si="7"/>
        <v>EUR</v>
      </c>
      <c r="K128" s="151">
        <f>IFERROR(K127+Tracking[[#This Row],[Cash In]]+Tracking[[#This Row],[Cash Out]],0)</f>
        <v>-57270</v>
      </c>
      <c r="L128" s="151">
        <f>Tracking[[#This Row],[Running Balance]]*Settings!$E$15</f>
        <v>-49252.2</v>
      </c>
    </row>
    <row r="129" spans="3:12" x14ac:dyDescent="0.3">
      <c r="C129" s="123">
        <f>'Cash Flow Entry'!C129</f>
        <v>45417</v>
      </c>
      <c r="D129" s="126" t="str">
        <f t="shared" ref="D129:F129" si="27">IF(OR(ISBLANK(E129), E129=0),"N/A",E129)</f>
        <v>N/A</v>
      </c>
      <c r="E129" s="126" t="str">
        <f t="shared" si="27"/>
        <v>N/A</v>
      </c>
      <c r="F129" s="124" t="str">
        <f t="shared" si="27"/>
        <v>N/A</v>
      </c>
      <c r="G129" s="127">
        <f>'Cash Flow Entry'!F129</f>
        <v>0</v>
      </c>
      <c r="H129" s="128">
        <f>IF(Tracking[[#This Row],[Type]]="Inflow",Tracking[[#This Row],[Amount(USD)]],0)</f>
        <v>0</v>
      </c>
      <c r="I129" s="129">
        <f>IF(Tracking[[#This Row],[Type]]="Outflow",-Tracking[[#This Row],[Amount(USD)]],0)</f>
        <v>0</v>
      </c>
      <c r="J129" s="140" t="str">
        <f t="shared" si="7"/>
        <v>EUR</v>
      </c>
      <c r="K129" s="151">
        <f>IFERROR(K128+Tracking[[#This Row],[Cash In]]+Tracking[[#This Row],[Cash Out]],0)</f>
        <v>-57270</v>
      </c>
      <c r="L129" s="151">
        <f>Tracking[[#This Row],[Running Balance]]*Settings!$E$15</f>
        <v>-49252.2</v>
      </c>
    </row>
    <row r="130" spans="3:12" x14ac:dyDescent="0.3">
      <c r="C130" s="123">
        <f>'Cash Flow Entry'!C130</f>
        <v>45418</v>
      </c>
      <c r="D130" s="126" t="str">
        <f>'Cash Flow Entry'!H130</f>
        <v>Inflow</v>
      </c>
      <c r="E130" s="124" t="str">
        <f>'Cash Flow Entry'!D130</f>
        <v>Financing</v>
      </c>
      <c r="F130" s="124" t="str">
        <f>'Cash Flow Entry'!E130</f>
        <v>Repayment of short-term borrowings</v>
      </c>
      <c r="G130" s="127">
        <f>'Cash Flow Entry'!F130</f>
        <v>25000</v>
      </c>
      <c r="H130" s="128">
        <f>IF(Tracking[[#This Row],[Type]]="Inflow",Tracking[[#This Row],[Amount(USD)]],0)</f>
        <v>25000</v>
      </c>
      <c r="I130" s="129">
        <f>IF(Tracking[[#This Row],[Type]]="Outflow",-Tracking[[#This Row],[Amount(USD)]],0)</f>
        <v>0</v>
      </c>
      <c r="J130" s="140" t="str">
        <f t="shared" si="7"/>
        <v>EUR</v>
      </c>
      <c r="K130" s="151">
        <f>IFERROR(K129+Tracking[[#This Row],[Cash In]]+Tracking[[#This Row],[Cash Out]],0)</f>
        <v>-32270</v>
      </c>
      <c r="L130" s="151">
        <f>Tracking[[#This Row],[Running Balance]]*Settings!$E$15</f>
        <v>-27752.2</v>
      </c>
    </row>
    <row r="131" spans="3:12" x14ac:dyDescent="0.3">
      <c r="C131" s="123">
        <f>'Cash Flow Entry'!C131</f>
        <v>45419</v>
      </c>
      <c r="D131" s="126" t="str">
        <f>'Cash Flow Entry'!H131</f>
        <v>Inflow</v>
      </c>
      <c r="E131" s="124" t="str">
        <f>'Cash Flow Entry'!D131</f>
        <v>Operating</v>
      </c>
      <c r="F131" s="124" t="str">
        <f>'Cash Flow Entry'!E131</f>
        <v>Cash received from other operating income</v>
      </c>
      <c r="G131" s="127">
        <f>'Cash Flow Entry'!F131</f>
        <v>4000</v>
      </c>
      <c r="H131" s="128">
        <f>IF(Tracking[[#This Row],[Type]]="Inflow",Tracking[[#This Row],[Amount(USD)]],0)</f>
        <v>4000</v>
      </c>
      <c r="I131" s="129">
        <f>IF(Tracking[[#This Row],[Type]]="Outflow",-Tracking[[#This Row],[Amount(USD)]],0)</f>
        <v>0</v>
      </c>
      <c r="J131" s="140" t="str">
        <f t="shared" si="7"/>
        <v>EUR</v>
      </c>
      <c r="K131" s="151">
        <f>IFERROR(K130+Tracking[[#This Row],[Cash In]]+Tracking[[#This Row],[Cash Out]],0)</f>
        <v>-28270</v>
      </c>
      <c r="L131" s="151">
        <f>Tracking[[#This Row],[Running Balance]]*Settings!$E$15</f>
        <v>-24312.2</v>
      </c>
    </row>
    <row r="132" spans="3:12" x14ac:dyDescent="0.3">
      <c r="C132" s="123">
        <f>'Cash Flow Entry'!C132</f>
        <v>45420</v>
      </c>
      <c r="D132" s="126" t="str">
        <f t="shared" ref="D132:F138" si="28">IF(OR(ISBLANK(E132), E132=0),"N/A",E132)</f>
        <v>N/A</v>
      </c>
      <c r="E132" s="126" t="str">
        <f t="shared" si="28"/>
        <v>N/A</v>
      </c>
      <c r="F132" s="124" t="str">
        <f t="shared" si="28"/>
        <v>N/A</v>
      </c>
      <c r="G132" s="127">
        <f>'Cash Flow Entry'!F132</f>
        <v>0</v>
      </c>
      <c r="H132" s="128">
        <f>IF(Tracking[[#This Row],[Type]]="Inflow",Tracking[[#This Row],[Amount(USD)]],0)</f>
        <v>0</v>
      </c>
      <c r="I132" s="129">
        <f>IF(Tracking[[#This Row],[Type]]="Outflow",-Tracking[[#This Row],[Amount(USD)]],0)</f>
        <v>0</v>
      </c>
      <c r="J132" s="140" t="str">
        <f t="shared" ref="J132:J195" si="29">select_currency</f>
        <v>EUR</v>
      </c>
      <c r="K132" s="151">
        <f>IFERROR(K131+Tracking[[#This Row],[Cash In]]+Tracking[[#This Row],[Cash Out]],0)</f>
        <v>-28270</v>
      </c>
      <c r="L132" s="151">
        <f>Tracking[[#This Row],[Running Balance]]*Settings!$E$15</f>
        <v>-24312.2</v>
      </c>
    </row>
    <row r="133" spans="3:12" x14ac:dyDescent="0.3">
      <c r="C133" s="123">
        <f>'Cash Flow Entry'!C133</f>
        <v>45421</v>
      </c>
      <c r="D133" s="126" t="str">
        <f t="shared" si="28"/>
        <v>N/A</v>
      </c>
      <c r="E133" s="126" t="str">
        <f t="shared" si="28"/>
        <v>N/A</v>
      </c>
      <c r="F133" s="124" t="str">
        <f t="shared" si="28"/>
        <v>N/A</v>
      </c>
      <c r="G133" s="127">
        <f>'Cash Flow Entry'!F133</f>
        <v>0</v>
      </c>
      <c r="H133" s="128">
        <f>IF(Tracking[[#This Row],[Type]]="Inflow",Tracking[[#This Row],[Amount(USD)]],0)</f>
        <v>0</v>
      </c>
      <c r="I133" s="129">
        <f>IF(Tracking[[#This Row],[Type]]="Outflow",-Tracking[[#This Row],[Amount(USD)]],0)</f>
        <v>0</v>
      </c>
      <c r="J133" s="140" t="str">
        <f t="shared" si="29"/>
        <v>EUR</v>
      </c>
      <c r="K133" s="151">
        <f>IFERROR(K132+Tracking[[#This Row],[Cash In]]+Tracking[[#This Row],[Cash Out]],0)</f>
        <v>-28270</v>
      </c>
      <c r="L133" s="151">
        <f>Tracking[[#This Row],[Running Balance]]*Settings!$E$15</f>
        <v>-24312.2</v>
      </c>
    </row>
    <row r="134" spans="3:12" x14ac:dyDescent="0.3">
      <c r="C134" s="123">
        <f>'Cash Flow Entry'!C134</f>
        <v>45422</v>
      </c>
      <c r="D134" s="126" t="str">
        <f t="shared" si="28"/>
        <v>N/A</v>
      </c>
      <c r="E134" s="126" t="str">
        <f t="shared" si="28"/>
        <v>N/A</v>
      </c>
      <c r="F134" s="124" t="str">
        <f t="shared" si="28"/>
        <v>N/A</v>
      </c>
      <c r="G134" s="127">
        <f>'Cash Flow Entry'!F134</f>
        <v>0</v>
      </c>
      <c r="H134" s="128">
        <f>IF(Tracking[[#This Row],[Type]]="Inflow",Tracking[[#This Row],[Amount(USD)]],0)</f>
        <v>0</v>
      </c>
      <c r="I134" s="129">
        <f>IF(Tracking[[#This Row],[Type]]="Outflow",-Tracking[[#This Row],[Amount(USD)]],0)</f>
        <v>0</v>
      </c>
      <c r="J134" s="140" t="str">
        <f t="shared" si="29"/>
        <v>EUR</v>
      </c>
      <c r="K134" s="151">
        <f>IFERROR(K133+Tracking[[#This Row],[Cash In]]+Tracking[[#This Row],[Cash Out]],0)</f>
        <v>-28270</v>
      </c>
      <c r="L134" s="151">
        <f>Tracking[[#This Row],[Running Balance]]*Settings!$E$15</f>
        <v>-24312.2</v>
      </c>
    </row>
    <row r="135" spans="3:12" x14ac:dyDescent="0.3">
      <c r="C135" s="123">
        <f>'Cash Flow Entry'!C135</f>
        <v>45423</v>
      </c>
      <c r="D135" s="126" t="str">
        <f t="shared" si="28"/>
        <v>N/A</v>
      </c>
      <c r="E135" s="126" t="str">
        <f t="shared" si="28"/>
        <v>N/A</v>
      </c>
      <c r="F135" s="124" t="str">
        <f t="shared" si="28"/>
        <v>N/A</v>
      </c>
      <c r="G135" s="127">
        <f>'Cash Flow Entry'!F135</f>
        <v>0</v>
      </c>
      <c r="H135" s="128">
        <f>IF(Tracking[[#This Row],[Type]]="Inflow",Tracking[[#This Row],[Amount(USD)]],0)</f>
        <v>0</v>
      </c>
      <c r="I135" s="129">
        <f>IF(Tracking[[#This Row],[Type]]="Outflow",-Tracking[[#This Row],[Amount(USD)]],0)</f>
        <v>0</v>
      </c>
      <c r="J135" s="140" t="str">
        <f t="shared" si="29"/>
        <v>EUR</v>
      </c>
      <c r="K135" s="151">
        <f>IFERROR(K134+Tracking[[#This Row],[Cash In]]+Tracking[[#This Row],[Cash Out]],0)</f>
        <v>-28270</v>
      </c>
      <c r="L135" s="151">
        <f>Tracking[[#This Row],[Running Balance]]*Settings!$E$15</f>
        <v>-24312.2</v>
      </c>
    </row>
    <row r="136" spans="3:12" x14ac:dyDescent="0.3">
      <c r="C136" s="123">
        <f>'Cash Flow Entry'!C136</f>
        <v>45424</v>
      </c>
      <c r="D136" s="126" t="str">
        <f t="shared" si="28"/>
        <v>N/A</v>
      </c>
      <c r="E136" s="126" t="str">
        <f t="shared" si="28"/>
        <v>N/A</v>
      </c>
      <c r="F136" s="124" t="str">
        <f t="shared" si="28"/>
        <v>N/A</v>
      </c>
      <c r="G136" s="127">
        <f>'Cash Flow Entry'!F136</f>
        <v>0</v>
      </c>
      <c r="H136" s="128">
        <f>IF(Tracking[[#This Row],[Type]]="Inflow",Tracking[[#This Row],[Amount(USD)]],0)</f>
        <v>0</v>
      </c>
      <c r="I136" s="129">
        <f>IF(Tracking[[#This Row],[Type]]="Outflow",-Tracking[[#This Row],[Amount(USD)]],0)</f>
        <v>0</v>
      </c>
      <c r="J136" s="140" t="str">
        <f t="shared" si="29"/>
        <v>EUR</v>
      </c>
      <c r="K136" s="151">
        <f>IFERROR(K135+Tracking[[#This Row],[Cash In]]+Tracking[[#This Row],[Cash Out]],0)</f>
        <v>-28270</v>
      </c>
      <c r="L136" s="151">
        <f>Tracking[[#This Row],[Running Balance]]*Settings!$E$15</f>
        <v>-24312.2</v>
      </c>
    </row>
    <row r="137" spans="3:12" x14ac:dyDescent="0.3">
      <c r="C137" s="123">
        <f>'Cash Flow Entry'!C137</f>
        <v>45425</v>
      </c>
      <c r="D137" s="126" t="str">
        <f>'Cash Flow Entry'!H137</f>
        <v>Outflow</v>
      </c>
      <c r="E137" s="124" t="str">
        <f>'Cash Flow Entry'!D137</f>
        <v>Operating</v>
      </c>
      <c r="F137" s="124" t="str">
        <f>'Cash Flow Entry'!E137</f>
        <v>Cash-paid to suppliers</v>
      </c>
      <c r="G137" s="127">
        <f>'Cash Flow Entry'!F137</f>
        <v>24000</v>
      </c>
      <c r="H137" s="128">
        <f>IF(Tracking[[#This Row],[Type]]="Inflow",Tracking[[#This Row],[Amount(USD)]],0)</f>
        <v>0</v>
      </c>
      <c r="I137" s="129">
        <f>IF(Tracking[[#This Row],[Type]]="Outflow",-Tracking[[#This Row],[Amount(USD)]],0)</f>
        <v>-24000</v>
      </c>
      <c r="J137" s="140" t="str">
        <f t="shared" si="29"/>
        <v>EUR</v>
      </c>
      <c r="K137" s="151">
        <f>IFERROR(K136+Tracking[[#This Row],[Cash In]]+Tracking[[#This Row],[Cash Out]],0)</f>
        <v>-52270</v>
      </c>
      <c r="L137" s="151">
        <f>Tracking[[#This Row],[Running Balance]]*Settings!$E$15</f>
        <v>-44952.2</v>
      </c>
    </row>
    <row r="138" spans="3:12" x14ac:dyDescent="0.3">
      <c r="C138" s="123">
        <f>'Cash Flow Entry'!C138</f>
        <v>45426</v>
      </c>
      <c r="D138" s="126" t="str">
        <f t="shared" si="28"/>
        <v>N/A</v>
      </c>
      <c r="E138" s="126" t="str">
        <f t="shared" si="28"/>
        <v>N/A</v>
      </c>
      <c r="F138" s="124" t="str">
        <f t="shared" si="28"/>
        <v>N/A</v>
      </c>
      <c r="G138" s="127">
        <f>'Cash Flow Entry'!F138</f>
        <v>0</v>
      </c>
      <c r="H138" s="128">
        <f>IF(Tracking[[#This Row],[Type]]="Inflow",Tracking[[#This Row],[Amount(USD)]],0)</f>
        <v>0</v>
      </c>
      <c r="I138" s="129">
        <f>IF(Tracking[[#This Row],[Type]]="Outflow",-Tracking[[#This Row],[Amount(USD)]],0)</f>
        <v>0</v>
      </c>
      <c r="J138" s="140" t="str">
        <f t="shared" si="29"/>
        <v>EUR</v>
      </c>
      <c r="K138" s="151">
        <f>IFERROR(K137+Tracking[[#This Row],[Cash In]]+Tracking[[#This Row],[Cash Out]],0)</f>
        <v>-52270</v>
      </c>
      <c r="L138" s="151">
        <f>Tracking[[#This Row],[Running Balance]]*Settings!$E$15</f>
        <v>-44952.2</v>
      </c>
    </row>
    <row r="139" spans="3:12" x14ac:dyDescent="0.3">
      <c r="C139" s="123">
        <f>'Cash Flow Entry'!C139</f>
        <v>45427</v>
      </c>
      <c r="D139" s="126" t="str">
        <f>'Cash Flow Entry'!H139</f>
        <v>Inflow</v>
      </c>
      <c r="E139" s="124" t="str">
        <f>'Cash Flow Entry'!D139</f>
        <v>Investing</v>
      </c>
      <c r="F139" s="124" t="str">
        <f>'Cash Flow Entry'!E139</f>
        <v>Interest Received</v>
      </c>
      <c r="G139" s="127">
        <f>'Cash Flow Entry'!F139</f>
        <v>1587</v>
      </c>
      <c r="H139" s="128">
        <f>IF(Tracking[[#This Row],[Type]]="Inflow",Tracking[[#This Row],[Amount(USD)]],0)</f>
        <v>1587</v>
      </c>
      <c r="I139" s="129">
        <f>IF(Tracking[[#This Row],[Type]]="Outflow",-Tracking[[#This Row],[Amount(USD)]],0)</f>
        <v>0</v>
      </c>
      <c r="J139" s="140" t="str">
        <f t="shared" si="29"/>
        <v>EUR</v>
      </c>
      <c r="K139" s="151">
        <f>IFERROR(K138+Tracking[[#This Row],[Cash In]]+Tracking[[#This Row],[Cash Out]],0)</f>
        <v>-50683</v>
      </c>
      <c r="L139" s="151">
        <f>Tracking[[#This Row],[Running Balance]]*Settings!$E$15</f>
        <v>-43587.38</v>
      </c>
    </row>
    <row r="140" spans="3:12" x14ac:dyDescent="0.3">
      <c r="C140" s="123">
        <f>'Cash Flow Entry'!C140</f>
        <v>45428</v>
      </c>
      <c r="D140" s="126" t="str">
        <f>'Cash Flow Entry'!H140</f>
        <v>Inflow</v>
      </c>
      <c r="E140" s="124" t="str">
        <f>'Cash Flow Entry'!D140</f>
        <v>Investing</v>
      </c>
      <c r="F140" s="124" t="str">
        <f>'Cash Flow Entry'!E140</f>
        <v>Proceeds from sale of investments</v>
      </c>
      <c r="G140" s="127">
        <f>'Cash Flow Entry'!F140</f>
        <v>15000</v>
      </c>
      <c r="H140" s="128">
        <f>IF(Tracking[[#This Row],[Type]]="Inflow",Tracking[[#This Row],[Amount(USD)]],0)</f>
        <v>15000</v>
      </c>
      <c r="I140" s="129">
        <f>IF(Tracking[[#This Row],[Type]]="Outflow",-Tracking[[#This Row],[Amount(USD)]],0)</f>
        <v>0</v>
      </c>
      <c r="J140" s="140" t="str">
        <f t="shared" si="29"/>
        <v>EUR</v>
      </c>
      <c r="K140" s="151">
        <f>IFERROR(K139+Tracking[[#This Row],[Cash In]]+Tracking[[#This Row],[Cash Out]],0)</f>
        <v>-35683</v>
      </c>
      <c r="L140" s="151">
        <f>Tracking[[#This Row],[Running Balance]]*Settings!$E$15</f>
        <v>-30687.38</v>
      </c>
    </row>
    <row r="141" spans="3:12" x14ac:dyDescent="0.3">
      <c r="C141" s="123">
        <f>'Cash Flow Entry'!C141</f>
        <v>45429</v>
      </c>
      <c r="D141" s="126" t="str">
        <f t="shared" ref="D141:F141" si="30">IF(OR(ISBLANK(E141), E141=0),"N/A",E141)</f>
        <v>N/A</v>
      </c>
      <c r="E141" s="126" t="str">
        <f t="shared" si="30"/>
        <v>N/A</v>
      </c>
      <c r="F141" s="124" t="str">
        <f t="shared" si="30"/>
        <v>N/A</v>
      </c>
      <c r="G141" s="127">
        <f>'Cash Flow Entry'!F141</f>
        <v>0</v>
      </c>
      <c r="H141" s="128">
        <f>IF(Tracking[[#This Row],[Type]]="Inflow",Tracking[[#This Row],[Amount(USD)]],0)</f>
        <v>0</v>
      </c>
      <c r="I141" s="129">
        <f>IF(Tracking[[#This Row],[Type]]="Outflow",-Tracking[[#This Row],[Amount(USD)]],0)</f>
        <v>0</v>
      </c>
      <c r="J141" s="140" t="str">
        <f t="shared" si="29"/>
        <v>EUR</v>
      </c>
      <c r="K141" s="151">
        <f>IFERROR(K140+Tracking[[#This Row],[Cash In]]+Tracking[[#This Row],[Cash Out]],0)</f>
        <v>-35683</v>
      </c>
      <c r="L141" s="151">
        <f>Tracking[[#This Row],[Running Balance]]*Settings!$E$15</f>
        <v>-30687.38</v>
      </c>
    </row>
    <row r="142" spans="3:12" x14ac:dyDescent="0.3">
      <c r="C142" s="123">
        <f>'Cash Flow Entry'!C142</f>
        <v>45430</v>
      </c>
      <c r="D142" s="126" t="str">
        <f>'Cash Flow Entry'!H142</f>
        <v>Outflow</v>
      </c>
      <c r="E142" s="124" t="str">
        <f>'Cash Flow Entry'!D142</f>
        <v>Operating</v>
      </c>
      <c r="F142" s="124" t="str">
        <f>'Cash Flow Entry'!E142</f>
        <v>Cash paid to employees</v>
      </c>
      <c r="G142" s="127">
        <f>'Cash Flow Entry'!F142</f>
        <v>8000</v>
      </c>
      <c r="H142" s="128">
        <f>IF(Tracking[[#This Row],[Type]]="Inflow",Tracking[[#This Row],[Amount(USD)]],0)</f>
        <v>0</v>
      </c>
      <c r="I142" s="129">
        <f>IF(Tracking[[#This Row],[Type]]="Outflow",-Tracking[[#This Row],[Amount(USD)]],0)</f>
        <v>-8000</v>
      </c>
      <c r="J142" s="140" t="str">
        <f t="shared" si="29"/>
        <v>EUR</v>
      </c>
      <c r="K142" s="151">
        <f>IFERROR(K141+Tracking[[#This Row],[Cash In]]+Tracking[[#This Row],[Cash Out]],0)</f>
        <v>-43683</v>
      </c>
      <c r="L142" s="151">
        <f>Tracking[[#This Row],[Running Balance]]*Settings!$E$15</f>
        <v>-37567.379999999997</v>
      </c>
    </row>
    <row r="143" spans="3:12" x14ac:dyDescent="0.3">
      <c r="C143" s="123">
        <f>'Cash Flow Entry'!C143</f>
        <v>45431</v>
      </c>
      <c r="D143" s="126" t="str">
        <f t="shared" ref="D143:F143" si="31">IF(OR(ISBLANK(E143), E143=0),"N/A",E143)</f>
        <v>N/A</v>
      </c>
      <c r="E143" s="126" t="str">
        <f t="shared" si="31"/>
        <v>N/A</v>
      </c>
      <c r="F143" s="124" t="str">
        <f t="shared" si="31"/>
        <v>N/A</v>
      </c>
      <c r="G143" s="127">
        <f>'Cash Flow Entry'!F143</f>
        <v>0</v>
      </c>
      <c r="H143" s="128">
        <f>IF(Tracking[[#This Row],[Type]]="Inflow",Tracking[[#This Row],[Amount(USD)]],0)</f>
        <v>0</v>
      </c>
      <c r="I143" s="129">
        <f>IF(Tracking[[#This Row],[Type]]="Outflow",-Tracking[[#This Row],[Amount(USD)]],0)</f>
        <v>0</v>
      </c>
      <c r="J143" s="140" t="str">
        <f t="shared" si="29"/>
        <v>EUR</v>
      </c>
      <c r="K143" s="151">
        <f>IFERROR(K142+Tracking[[#This Row],[Cash In]]+Tracking[[#This Row],[Cash Out]],0)</f>
        <v>-43683</v>
      </c>
      <c r="L143" s="151">
        <f>Tracking[[#This Row],[Running Balance]]*Settings!$E$15</f>
        <v>-37567.379999999997</v>
      </c>
    </row>
    <row r="144" spans="3:12" x14ac:dyDescent="0.3">
      <c r="C144" s="123">
        <f>'Cash Flow Entry'!C144</f>
        <v>45432</v>
      </c>
      <c r="D144" s="126" t="str">
        <f>'Cash Flow Entry'!H144</f>
        <v>Inflow</v>
      </c>
      <c r="E144" s="124" t="str">
        <f>'Cash Flow Entry'!D144</f>
        <v>Operating</v>
      </c>
      <c r="F144" s="124" t="str">
        <f>'Cash Flow Entry'!E144</f>
        <v>Cash-received from customers</v>
      </c>
      <c r="G144" s="127">
        <f>'Cash Flow Entry'!F144</f>
        <v>18000</v>
      </c>
      <c r="H144" s="128">
        <f>IF(Tracking[[#This Row],[Type]]="Inflow",Tracking[[#This Row],[Amount(USD)]],0)</f>
        <v>18000</v>
      </c>
      <c r="I144" s="129">
        <f>IF(Tracking[[#This Row],[Type]]="Outflow",-Tracking[[#This Row],[Amount(USD)]],0)</f>
        <v>0</v>
      </c>
      <c r="J144" s="140" t="str">
        <f t="shared" si="29"/>
        <v>EUR</v>
      </c>
      <c r="K144" s="151">
        <f>IFERROR(K143+Tracking[[#This Row],[Cash In]]+Tracking[[#This Row],[Cash Out]],0)</f>
        <v>-25683</v>
      </c>
      <c r="L144" s="151">
        <f>Tracking[[#This Row],[Running Balance]]*Settings!$E$15</f>
        <v>-22087.38</v>
      </c>
    </row>
    <row r="145" spans="3:12" x14ac:dyDescent="0.3">
      <c r="C145" s="123">
        <f>'Cash Flow Entry'!C145</f>
        <v>45433</v>
      </c>
      <c r="D145" s="126" t="str">
        <f t="shared" ref="D145" si="32">IF(OR(ISBLANK(E145), E145=0),"N/A",E145)</f>
        <v>N/A</v>
      </c>
      <c r="E145" s="126" t="str">
        <f t="shared" ref="E145:F145" si="33">IF(OR(ISBLANK(F145), F145=0),"N/A",F145)</f>
        <v>N/A</v>
      </c>
      <c r="F145" s="124" t="str">
        <f t="shared" si="33"/>
        <v>N/A</v>
      </c>
      <c r="G145" s="127">
        <f>'Cash Flow Entry'!F145</f>
        <v>0</v>
      </c>
      <c r="H145" s="128">
        <f>IF(Tracking[[#This Row],[Type]]="Inflow",Tracking[[#This Row],[Amount(USD)]],0)</f>
        <v>0</v>
      </c>
      <c r="I145" s="129">
        <f>IF(Tracking[[#This Row],[Type]]="Outflow",-Tracking[[#This Row],[Amount(USD)]],0)</f>
        <v>0</v>
      </c>
      <c r="J145" s="140" t="str">
        <f t="shared" si="29"/>
        <v>EUR</v>
      </c>
      <c r="K145" s="151">
        <f>IFERROR(K144+Tracking[[#This Row],[Cash In]]+Tracking[[#This Row],[Cash Out]],0)</f>
        <v>-25683</v>
      </c>
      <c r="L145" s="151">
        <f>Tracking[[#This Row],[Running Balance]]*Settings!$E$15</f>
        <v>-22087.38</v>
      </c>
    </row>
    <row r="146" spans="3:12" x14ac:dyDescent="0.3">
      <c r="C146" s="123">
        <f>'Cash Flow Entry'!C146</f>
        <v>45434</v>
      </c>
      <c r="D146" s="126" t="str">
        <f t="shared" ref="D146:F146" si="34">IF(OR(ISBLANK(E146), E146=0),"N/A",E146)</f>
        <v>N/A</v>
      </c>
      <c r="E146" s="126" t="str">
        <f t="shared" si="34"/>
        <v>N/A</v>
      </c>
      <c r="F146" s="124" t="str">
        <f t="shared" si="34"/>
        <v>N/A</v>
      </c>
      <c r="G146" s="127">
        <f>'Cash Flow Entry'!F146</f>
        <v>0</v>
      </c>
      <c r="H146" s="128">
        <f>IF(Tracking[[#This Row],[Type]]="Inflow",Tracking[[#This Row],[Amount(USD)]],0)</f>
        <v>0</v>
      </c>
      <c r="I146" s="129">
        <f>IF(Tracking[[#This Row],[Type]]="Outflow",-Tracking[[#This Row],[Amount(USD)]],0)</f>
        <v>0</v>
      </c>
      <c r="J146" s="140" t="str">
        <f t="shared" si="29"/>
        <v>EUR</v>
      </c>
      <c r="K146" s="151">
        <f>IFERROR(K145+Tracking[[#This Row],[Cash In]]+Tracking[[#This Row],[Cash Out]],0)</f>
        <v>-25683</v>
      </c>
      <c r="L146" s="151">
        <f>Tracking[[#This Row],[Running Balance]]*Settings!$E$15</f>
        <v>-22087.38</v>
      </c>
    </row>
    <row r="147" spans="3:12" x14ac:dyDescent="0.3">
      <c r="C147" s="123">
        <f>'Cash Flow Entry'!C147</f>
        <v>45435</v>
      </c>
      <c r="D147" s="126" t="str">
        <f t="shared" ref="D147:F147" si="35">IF(OR(ISBLANK(E147), E147=0),"N/A",E147)</f>
        <v>N/A</v>
      </c>
      <c r="E147" s="126" t="str">
        <f t="shared" si="35"/>
        <v>N/A</v>
      </c>
      <c r="F147" s="124" t="str">
        <f t="shared" si="35"/>
        <v>N/A</v>
      </c>
      <c r="G147" s="127">
        <f>'Cash Flow Entry'!F147</f>
        <v>0</v>
      </c>
      <c r="H147" s="128">
        <f>IF(Tracking[[#This Row],[Type]]="Inflow",Tracking[[#This Row],[Amount(USD)]],0)</f>
        <v>0</v>
      </c>
      <c r="I147" s="129">
        <f>IF(Tracking[[#This Row],[Type]]="Outflow",-Tracking[[#This Row],[Amount(USD)]],0)</f>
        <v>0</v>
      </c>
      <c r="J147" s="140" t="str">
        <f t="shared" si="29"/>
        <v>EUR</v>
      </c>
      <c r="K147" s="151">
        <f>IFERROR(K146+Tracking[[#This Row],[Cash In]]+Tracking[[#This Row],[Cash Out]],0)</f>
        <v>-25683</v>
      </c>
      <c r="L147" s="151">
        <f>Tracking[[#This Row],[Running Balance]]*Settings!$E$15</f>
        <v>-22087.38</v>
      </c>
    </row>
    <row r="148" spans="3:12" x14ac:dyDescent="0.3">
      <c r="C148" s="123">
        <f>'Cash Flow Entry'!C148</f>
        <v>45436</v>
      </c>
      <c r="D148" s="126" t="str">
        <f t="shared" ref="D148:F148" si="36">IF(OR(ISBLANK(E148), E148=0),"N/A",E148)</f>
        <v>N/A</v>
      </c>
      <c r="E148" s="126" t="str">
        <f t="shared" si="36"/>
        <v>N/A</v>
      </c>
      <c r="F148" s="124" t="str">
        <f t="shared" si="36"/>
        <v>N/A</v>
      </c>
      <c r="G148" s="127">
        <f>'Cash Flow Entry'!F148</f>
        <v>0</v>
      </c>
      <c r="H148" s="128">
        <f>IF(Tracking[[#This Row],[Type]]="Inflow",Tracking[[#This Row],[Amount(USD)]],0)</f>
        <v>0</v>
      </c>
      <c r="I148" s="129">
        <f>IF(Tracking[[#This Row],[Type]]="Outflow",-Tracking[[#This Row],[Amount(USD)]],0)</f>
        <v>0</v>
      </c>
      <c r="J148" s="140" t="str">
        <f t="shared" si="29"/>
        <v>EUR</v>
      </c>
      <c r="K148" s="151">
        <f>IFERROR(K147+Tracking[[#This Row],[Cash In]]+Tracking[[#This Row],[Cash Out]],0)</f>
        <v>-25683</v>
      </c>
      <c r="L148" s="151">
        <f>Tracking[[#This Row],[Running Balance]]*Settings!$E$15</f>
        <v>-22087.38</v>
      </c>
    </row>
    <row r="149" spans="3:12" x14ac:dyDescent="0.3">
      <c r="C149" s="123">
        <f>'Cash Flow Entry'!C149</f>
        <v>45437</v>
      </c>
      <c r="D149" s="126" t="str">
        <f>'Cash Flow Entry'!H149</f>
        <v>Inflow</v>
      </c>
      <c r="E149" s="124" t="str">
        <f>'Cash Flow Entry'!D149</f>
        <v>Operating</v>
      </c>
      <c r="F149" s="124" t="str">
        <f>'Cash Flow Entry'!E149</f>
        <v>Cash-received from customers</v>
      </c>
      <c r="G149" s="127">
        <f>'Cash Flow Entry'!F149</f>
        <v>45000</v>
      </c>
      <c r="H149" s="128">
        <f>IF(Tracking[[#This Row],[Type]]="Inflow",Tracking[[#This Row],[Amount(USD)]],0)</f>
        <v>45000</v>
      </c>
      <c r="I149" s="129">
        <f>IF(Tracking[[#This Row],[Type]]="Outflow",-Tracking[[#This Row],[Amount(USD)]],0)</f>
        <v>0</v>
      </c>
      <c r="J149" s="140" t="str">
        <f t="shared" si="29"/>
        <v>EUR</v>
      </c>
      <c r="K149" s="151">
        <f>IFERROR(K148+Tracking[[#This Row],[Cash In]]+Tracking[[#This Row],[Cash Out]],0)</f>
        <v>19317</v>
      </c>
      <c r="L149" s="151">
        <f>Tracking[[#This Row],[Running Balance]]*Settings!$E$15</f>
        <v>16612.62</v>
      </c>
    </row>
    <row r="150" spans="3:12" x14ac:dyDescent="0.3">
      <c r="C150" s="123">
        <f>'Cash Flow Entry'!C150</f>
        <v>45438</v>
      </c>
      <c r="D150" s="126" t="str">
        <f>'Cash Flow Entry'!H150</f>
        <v>Inflow</v>
      </c>
      <c r="E150" s="124" t="str">
        <f>'Cash Flow Entry'!D150</f>
        <v>Investing</v>
      </c>
      <c r="F150" s="124" t="str">
        <f>'Cash Flow Entry'!E150</f>
        <v>Proceeds from sale of investments</v>
      </c>
      <c r="G150" s="127">
        <f>'Cash Flow Entry'!F150</f>
        <v>15000</v>
      </c>
      <c r="H150" s="128">
        <f>IF(Tracking[[#This Row],[Type]]="Inflow",Tracking[[#This Row],[Amount(USD)]],0)</f>
        <v>15000</v>
      </c>
      <c r="I150" s="129">
        <f>IF(Tracking[[#This Row],[Type]]="Outflow",-Tracking[[#This Row],[Amount(USD)]],0)</f>
        <v>0</v>
      </c>
      <c r="J150" s="140" t="str">
        <f t="shared" si="29"/>
        <v>EUR</v>
      </c>
      <c r="K150" s="151">
        <f>IFERROR(K149+Tracking[[#This Row],[Cash In]]+Tracking[[#This Row],[Cash Out]],0)</f>
        <v>34317</v>
      </c>
      <c r="L150" s="151">
        <f>Tracking[[#This Row],[Running Balance]]*Settings!$E$15</f>
        <v>29512.62</v>
      </c>
    </row>
    <row r="151" spans="3:12" x14ac:dyDescent="0.3">
      <c r="C151" s="123">
        <f>'Cash Flow Entry'!C151</f>
        <v>45439</v>
      </c>
      <c r="D151" s="126" t="str">
        <f t="shared" ref="D151:F152" si="37">IF(OR(ISBLANK(E151), E151=0),"N/A",E151)</f>
        <v>N/A</v>
      </c>
      <c r="E151" s="126" t="str">
        <f t="shared" si="37"/>
        <v>N/A</v>
      </c>
      <c r="F151" s="124" t="str">
        <f t="shared" si="37"/>
        <v>N/A</v>
      </c>
      <c r="G151" s="127">
        <f>'Cash Flow Entry'!F151</f>
        <v>0</v>
      </c>
      <c r="H151" s="128">
        <f>IF(Tracking[[#This Row],[Type]]="Inflow",Tracking[[#This Row],[Amount(USD)]],0)</f>
        <v>0</v>
      </c>
      <c r="I151" s="129">
        <f>IF(Tracking[[#This Row],[Type]]="Outflow",-Tracking[[#This Row],[Amount(USD)]],0)</f>
        <v>0</v>
      </c>
      <c r="J151" s="140" t="str">
        <f t="shared" si="29"/>
        <v>EUR</v>
      </c>
      <c r="K151" s="151">
        <f>IFERROR(K150+Tracking[[#This Row],[Cash In]]+Tracking[[#This Row],[Cash Out]],0)</f>
        <v>34317</v>
      </c>
      <c r="L151" s="151">
        <f>Tracking[[#This Row],[Running Balance]]*Settings!$E$15</f>
        <v>29512.62</v>
      </c>
    </row>
    <row r="152" spans="3:12" x14ac:dyDescent="0.3">
      <c r="C152" s="123">
        <f>'Cash Flow Entry'!C152</f>
        <v>45440</v>
      </c>
      <c r="D152" s="126" t="str">
        <f t="shared" si="37"/>
        <v>N/A</v>
      </c>
      <c r="E152" s="126" t="str">
        <f t="shared" si="37"/>
        <v>N/A</v>
      </c>
      <c r="F152" s="124" t="str">
        <f t="shared" si="37"/>
        <v>N/A</v>
      </c>
      <c r="G152" s="127">
        <f>'Cash Flow Entry'!F152</f>
        <v>0</v>
      </c>
      <c r="H152" s="128">
        <f>IF(Tracking[[#This Row],[Type]]="Inflow",Tracking[[#This Row],[Amount(USD)]],0)</f>
        <v>0</v>
      </c>
      <c r="I152" s="129">
        <f>IF(Tracking[[#This Row],[Type]]="Outflow",-Tracking[[#This Row],[Amount(USD)]],0)</f>
        <v>0</v>
      </c>
      <c r="J152" s="140" t="str">
        <f t="shared" si="29"/>
        <v>EUR</v>
      </c>
      <c r="K152" s="151">
        <f>IFERROR(K151+Tracking[[#This Row],[Cash In]]+Tracking[[#This Row],[Cash Out]],0)</f>
        <v>34317</v>
      </c>
      <c r="L152" s="151">
        <f>Tracking[[#This Row],[Running Balance]]*Settings!$E$15</f>
        <v>29512.62</v>
      </c>
    </row>
    <row r="153" spans="3:12" x14ac:dyDescent="0.3">
      <c r="C153" s="123">
        <f>'Cash Flow Entry'!C153</f>
        <v>45441</v>
      </c>
      <c r="D153" s="126" t="str">
        <f>'Cash Flow Entry'!H153</f>
        <v>Inflow</v>
      </c>
      <c r="E153" s="124" t="str">
        <f>'Cash Flow Entry'!D153</f>
        <v>Operating</v>
      </c>
      <c r="F153" s="124" t="str">
        <f>'Cash Flow Entry'!E153</f>
        <v>Cash-received from customers</v>
      </c>
      <c r="G153" s="127">
        <f>'Cash Flow Entry'!F153</f>
        <v>6000</v>
      </c>
      <c r="H153" s="128">
        <f>IF(Tracking[[#This Row],[Type]]="Inflow",Tracking[[#This Row],[Amount(USD)]],0)</f>
        <v>6000</v>
      </c>
      <c r="I153" s="129">
        <f>IF(Tracking[[#This Row],[Type]]="Outflow",-Tracking[[#This Row],[Amount(USD)]],0)</f>
        <v>0</v>
      </c>
      <c r="J153" s="140" t="str">
        <f t="shared" si="29"/>
        <v>EUR</v>
      </c>
      <c r="K153" s="151">
        <f>IFERROR(K152+Tracking[[#This Row],[Cash In]]+Tracking[[#This Row],[Cash Out]],0)</f>
        <v>40317</v>
      </c>
      <c r="L153" s="151">
        <f>Tracking[[#This Row],[Running Balance]]*Settings!$E$15</f>
        <v>34672.620000000003</v>
      </c>
    </row>
    <row r="154" spans="3:12" ht="15" thickBot="1" x14ac:dyDescent="0.35">
      <c r="C154" s="123">
        <f>'Cash Flow Entry'!C154</f>
        <v>45442</v>
      </c>
      <c r="D154" s="126" t="str">
        <f t="shared" ref="D154:F154" si="38">IF(OR(ISBLANK(E154), E154=0),"N/A",E154)</f>
        <v>N/A</v>
      </c>
      <c r="E154" s="126" t="str">
        <f t="shared" si="38"/>
        <v>N/A</v>
      </c>
      <c r="F154" s="124" t="str">
        <f t="shared" si="38"/>
        <v>N/A</v>
      </c>
      <c r="G154" s="127">
        <f>'Cash Flow Entry'!F154</f>
        <v>0</v>
      </c>
      <c r="H154" s="128">
        <f>IF(Tracking[[#This Row],[Type]]="Inflow",Tracking[[#This Row],[Amount(USD)]],0)</f>
        <v>0</v>
      </c>
      <c r="I154" s="129">
        <f>IF(Tracking[[#This Row],[Type]]="Outflow",-Tracking[[#This Row],[Amount(USD)]],0)</f>
        <v>0</v>
      </c>
      <c r="J154" s="140" t="str">
        <f t="shared" si="29"/>
        <v>EUR</v>
      </c>
      <c r="K154" s="151">
        <f>IFERROR(K153+Tracking[[#This Row],[Cash In]]+Tracking[[#This Row],[Cash Out]],0)</f>
        <v>40317</v>
      </c>
      <c r="L154" s="151">
        <f>Tracking[[#This Row],[Running Balance]]*Settings!$E$15</f>
        <v>34672.620000000003</v>
      </c>
    </row>
    <row r="155" spans="3:12" ht="15" thickBot="1" x14ac:dyDescent="0.35">
      <c r="C155" s="125">
        <f>'Cash Flow Entry'!C155</f>
        <v>45443</v>
      </c>
      <c r="D155" s="109" t="str">
        <f>'Cash Flow Entry'!H155</f>
        <v>Outflow</v>
      </c>
      <c r="E155" s="110" t="str">
        <f>'Cash Flow Entry'!D155</f>
        <v>Operating</v>
      </c>
      <c r="F155" s="110" t="str">
        <f>'Cash Flow Entry'!E155</f>
        <v>Cash-paid to suppliers</v>
      </c>
      <c r="G155" s="131">
        <f>'Cash Flow Entry'!F155</f>
        <v>3000</v>
      </c>
      <c r="H155" s="132">
        <f>IF(Tracking[[#This Row],[Type]]="Inflow",Tracking[[#This Row],[Amount(USD)]],0)</f>
        <v>0</v>
      </c>
      <c r="I155" s="133">
        <f>IF(Tracking[[#This Row],[Type]]="Outflow",-Tracking[[#This Row],[Amount(USD)]],0)</f>
        <v>-3000</v>
      </c>
      <c r="J155" s="141" t="str">
        <f t="shared" si="29"/>
        <v>EUR</v>
      </c>
      <c r="K155" s="153">
        <f>IFERROR(K154+Tracking[[#This Row],[Cash In]]+Tracking[[#This Row],[Cash Out]],0)</f>
        <v>37317</v>
      </c>
      <c r="L155" s="153">
        <f>Tracking[[#This Row],[Running Balance]]*Settings!$E$15</f>
        <v>32092.62</v>
      </c>
    </row>
    <row r="156" spans="3:12" x14ac:dyDescent="0.3">
      <c r="C156" s="123">
        <f>'Cash Flow Entry'!C156</f>
        <v>45444</v>
      </c>
      <c r="D156" s="126" t="str">
        <f>'Cash Flow Entry'!H156</f>
        <v>Outflow</v>
      </c>
      <c r="E156" s="124" t="str">
        <f>'Cash Flow Entry'!D156</f>
        <v>Operating</v>
      </c>
      <c r="F156" s="124" t="str">
        <f>'Cash Flow Entry'!E156</f>
        <v>Cash paid to employees</v>
      </c>
      <c r="G156" s="127">
        <f>'Cash Flow Entry'!F156</f>
        <v>12000</v>
      </c>
      <c r="H156" s="128">
        <f>IF(Tracking[[#This Row],[Type]]="Inflow",Tracking[[#This Row],[Amount(USD)]],0)</f>
        <v>0</v>
      </c>
      <c r="I156" s="129">
        <f>IF(Tracking[[#This Row],[Type]]="Outflow",-Tracking[[#This Row],[Amount(USD)]],0)</f>
        <v>-12000</v>
      </c>
      <c r="J156" s="140" t="str">
        <f t="shared" si="29"/>
        <v>EUR</v>
      </c>
      <c r="K156" s="151">
        <f>IFERROR(K155+Tracking[[#This Row],[Cash In]]+Tracking[[#This Row],[Cash Out]],0)</f>
        <v>25317</v>
      </c>
      <c r="L156" s="151">
        <f>Tracking[[#This Row],[Running Balance]]*Settings!$E$15</f>
        <v>21772.62</v>
      </c>
    </row>
    <row r="157" spans="3:12" x14ac:dyDescent="0.3">
      <c r="C157" s="123">
        <f>'Cash Flow Entry'!C157</f>
        <v>45445</v>
      </c>
      <c r="D157" s="126" t="str">
        <f>'Cash Flow Entry'!H157</f>
        <v>Inflow</v>
      </c>
      <c r="E157" s="124" t="str">
        <f>'Cash Flow Entry'!D157</f>
        <v>Financing</v>
      </c>
      <c r="F157" s="124" t="str">
        <f>'Cash Flow Entry'!E157</f>
        <v>Proceeds from short-term borrowings</v>
      </c>
      <c r="G157" s="127">
        <f>'Cash Flow Entry'!F157</f>
        <v>15000</v>
      </c>
      <c r="H157" s="128">
        <f>IF(Tracking[[#This Row],[Type]]="Inflow",Tracking[[#This Row],[Amount(USD)]],0)</f>
        <v>15000</v>
      </c>
      <c r="I157" s="129">
        <f>IF(Tracking[[#This Row],[Type]]="Outflow",-Tracking[[#This Row],[Amount(USD)]],0)</f>
        <v>0</v>
      </c>
      <c r="J157" s="140" t="str">
        <f t="shared" si="29"/>
        <v>EUR</v>
      </c>
      <c r="K157" s="151">
        <f>IFERROR(K156+Tracking[[#This Row],[Cash In]]+Tracking[[#This Row],[Cash Out]],0)</f>
        <v>40317</v>
      </c>
      <c r="L157" s="151">
        <f>Tracking[[#This Row],[Running Balance]]*Settings!$E$15</f>
        <v>34672.620000000003</v>
      </c>
    </row>
    <row r="158" spans="3:12" x14ac:dyDescent="0.3">
      <c r="C158" s="123">
        <f>'Cash Flow Entry'!C158</f>
        <v>45446</v>
      </c>
      <c r="D158" s="126" t="str">
        <f t="shared" ref="D158:F158" si="39">IF(OR(ISBLANK(E158), E158=0),"N/A",E158)</f>
        <v>N/A</v>
      </c>
      <c r="E158" s="126" t="str">
        <f t="shared" si="39"/>
        <v>N/A</v>
      </c>
      <c r="F158" s="124" t="str">
        <f t="shared" si="39"/>
        <v>N/A</v>
      </c>
      <c r="G158" s="127">
        <f>'Cash Flow Entry'!F158</f>
        <v>0</v>
      </c>
      <c r="H158" s="128">
        <f>IF(Tracking[[#This Row],[Type]]="Inflow",Tracking[[#This Row],[Amount(USD)]],0)</f>
        <v>0</v>
      </c>
      <c r="I158" s="129">
        <f>IF(Tracking[[#This Row],[Type]]="Outflow",-Tracking[[#This Row],[Amount(USD)]],0)</f>
        <v>0</v>
      </c>
      <c r="J158" s="140" t="str">
        <f t="shared" si="29"/>
        <v>EUR</v>
      </c>
      <c r="K158" s="151">
        <f>IFERROR(K157+Tracking[[#This Row],[Cash In]]+Tracking[[#This Row],[Cash Out]],0)</f>
        <v>40317</v>
      </c>
      <c r="L158" s="151">
        <f>Tracking[[#This Row],[Running Balance]]*Settings!$E$15</f>
        <v>34672.620000000003</v>
      </c>
    </row>
    <row r="159" spans="3:12" x14ac:dyDescent="0.3">
      <c r="C159" s="123">
        <f>'Cash Flow Entry'!C159</f>
        <v>45447</v>
      </c>
      <c r="D159" s="126" t="str">
        <f>'Cash Flow Entry'!H159</f>
        <v>Outflow</v>
      </c>
      <c r="E159" s="124" t="str">
        <f>'Cash Flow Entry'!D159</f>
        <v>Financing</v>
      </c>
      <c r="F159" s="124" t="str">
        <f>'Cash Flow Entry'!E159</f>
        <v>Repayment of long-term borrowings</v>
      </c>
      <c r="G159" s="127">
        <f>'Cash Flow Entry'!F159</f>
        <v>20000</v>
      </c>
      <c r="H159" s="128">
        <f>IF(Tracking[[#This Row],[Type]]="Inflow",Tracking[[#This Row],[Amount(USD)]],0)</f>
        <v>0</v>
      </c>
      <c r="I159" s="129">
        <f>IF(Tracking[[#This Row],[Type]]="Outflow",-Tracking[[#This Row],[Amount(USD)]],0)</f>
        <v>-20000</v>
      </c>
      <c r="J159" s="140" t="str">
        <f t="shared" si="29"/>
        <v>EUR</v>
      </c>
      <c r="K159" s="151">
        <f>IFERROR(K158+Tracking[[#This Row],[Cash In]]+Tracking[[#This Row],[Cash Out]],0)</f>
        <v>20317</v>
      </c>
      <c r="L159" s="151">
        <f>Tracking[[#This Row],[Running Balance]]*Settings!$E$15</f>
        <v>17472.62</v>
      </c>
    </row>
    <row r="160" spans="3:12" x14ac:dyDescent="0.3">
      <c r="C160" s="123">
        <f>'Cash Flow Entry'!C160</f>
        <v>45448</v>
      </c>
      <c r="D160" s="126" t="str">
        <f t="shared" ref="D160:F160" si="40">IF(OR(ISBLANK(E160), E160=0),"N/A",E160)</f>
        <v>N/A</v>
      </c>
      <c r="E160" s="126" t="str">
        <f t="shared" si="40"/>
        <v>N/A</v>
      </c>
      <c r="F160" s="124" t="str">
        <f t="shared" si="40"/>
        <v>N/A</v>
      </c>
      <c r="G160" s="127">
        <f>'Cash Flow Entry'!F160</f>
        <v>0</v>
      </c>
      <c r="H160" s="128">
        <f>IF(Tracking[[#This Row],[Type]]="Inflow",Tracking[[#This Row],[Amount(USD)]],0)</f>
        <v>0</v>
      </c>
      <c r="I160" s="129">
        <f>IF(Tracking[[#This Row],[Type]]="Outflow",-Tracking[[#This Row],[Amount(USD)]],0)</f>
        <v>0</v>
      </c>
      <c r="J160" s="140" t="str">
        <f t="shared" si="29"/>
        <v>EUR</v>
      </c>
      <c r="K160" s="151">
        <f>IFERROR(K159+Tracking[[#This Row],[Cash In]]+Tracking[[#This Row],[Cash Out]],0)</f>
        <v>20317</v>
      </c>
      <c r="L160" s="151">
        <f>Tracking[[#This Row],[Running Balance]]*Settings!$E$15</f>
        <v>17472.62</v>
      </c>
    </row>
    <row r="161" spans="3:12" x14ac:dyDescent="0.3">
      <c r="C161" s="123">
        <f>'Cash Flow Entry'!C161</f>
        <v>45449</v>
      </c>
      <c r="D161" s="126" t="str">
        <f>'Cash Flow Entry'!H161</f>
        <v>Outflow</v>
      </c>
      <c r="E161" s="124" t="str">
        <f>'Cash Flow Entry'!D161</f>
        <v>Operating</v>
      </c>
      <c r="F161" s="124" t="str">
        <f>'Cash Flow Entry'!E161</f>
        <v>Cash-paid to suppliers</v>
      </c>
      <c r="G161" s="127">
        <f>'Cash Flow Entry'!F161</f>
        <v>25000</v>
      </c>
      <c r="H161" s="128">
        <f>IF(Tracking[[#This Row],[Type]]="Inflow",Tracking[[#This Row],[Amount(USD)]],0)</f>
        <v>0</v>
      </c>
      <c r="I161" s="129">
        <f>IF(Tracking[[#This Row],[Type]]="Outflow",-Tracking[[#This Row],[Amount(USD)]],0)</f>
        <v>-25000</v>
      </c>
      <c r="J161" s="140" t="str">
        <f t="shared" si="29"/>
        <v>EUR</v>
      </c>
      <c r="K161" s="151">
        <f>IFERROR(K160+Tracking[[#This Row],[Cash In]]+Tracking[[#This Row],[Cash Out]],0)</f>
        <v>-4683</v>
      </c>
      <c r="L161" s="151">
        <f>Tracking[[#This Row],[Running Balance]]*Settings!$E$15</f>
        <v>-4027.38</v>
      </c>
    </row>
    <row r="162" spans="3:12" x14ac:dyDescent="0.3">
      <c r="C162" s="123">
        <f>'Cash Flow Entry'!C162</f>
        <v>45450</v>
      </c>
      <c r="D162" s="126" t="str">
        <f>'Cash Flow Entry'!H162</f>
        <v>Inflow</v>
      </c>
      <c r="E162" s="124" t="str">
        <f>'Cash Flow Entry'!D162</f>
        <v>Investing</v>
      </c>
      <c r="F162" s="124" t="str">
        <f>'Cash Flow Entry'!E162</f>
        <v>Proceeds from sale of Property, Plant or Equipment (PP&amp;M)</v>
      </c>
      <c r="G162" s="127">
        <f>'Cash Flow Entry'!F162</f>
        <v>4000</v>
      </c>
      <c r="H162" s="128">
        <f>IF(Tracking[[#This Row],[Type]]="Inflow",Tracking[[#This Row],[Amount(USD)]],0)</f>
        <v>4000</v>
      </c>
      <c r="I162" s="129">
        <f>IF(Tracking[[#This Row],[Type]]="Outflow",-Tracking[[#This Row],[Amount(USD)]],0)</f>
        <v>0</v>
      </c>
      <c r="J162" s="140" t="str">
        <f t="shared" si="29"/>
        <v>EUR</v>
      </c>
      <c r="K162" s="151">
        <f>IFERROR(K161+Tracking[[#This Row],[Cash In]]+Tracking[[#This Row],[Cash Out]],0)</f>
        <v>-683</v>
      </c>
      <c r="L162" s="151">
        <f>Tracking[[#This Row],[Running Balance]]*Settings!$E$15</f>
        <v>-587.38</v>
      </c>
    </row>
    <row r="163" spans="3:12" x14ac:dyDescent="0.3">
      <c r="C163" s="123">
        <f>'Cash Flow Entry'!C163</f>
        <v>45451</v>
      </c>
      <c r="D163" s="126" t="str">
        <f t="shared" ref="D163:F163" si="41">IF(OR(ISBLANK(E163), E163=0),"N/A",E163)</f>
        <v>N/A</v>
      </c>
      <c r="E163" s="126" t="str">
        <f t="shared" si="41"/>
        <v>N/A</v>
      </c>
      <c r="F163" s="124" t="str">
        <f t="shared" si="41"/>
        <v>N/A</v>
      </c>
      <c r="G163" s="127">
        <f>'Cash Flow Entry'!F163</f>
        <v>0</v>
      </c>
      <c r="H163" s="128">
        <f>IF(Tracking[[#This Row],[Type]]="Inflow",Tracking[[#This Row],[Amount(USD)]],0)</f>
        <v>0</v>
      </c>
      <c r="I163" s="129">
        <f>IF(Tracking[[#This Row],[Type]]="Outflow",-Tracking[[#This Row],[Amount(USD)]],0)</f>
        <v>0</v>
      </c>
      <c r="J163" s="140" t="str">
        <f t="shared" si="29"/>
        <v>EUR</v>
      </c>
      <c r="K163" s="151">
        <f>IFERROR(K162+Tracking[[#This Row],[Cash In]]+Tracking[[#This Row],[Cash Out]],0)</f>
        <v>-683</v>
      </c>
      <c r="L163" s="151">
        <f>Tracking[[#This Row],[Running Balance]]*Settings!$E$15</f>
        <v>-587.38</v>
      </c>
    </row>
    <row r="164" spans="3:12" x14ac:dyDescent="0.3">
      <c r="C164" s="123">
        <f>'Cash Flow Entry'!C164</f>
        <v>45452</v>
      </c>
      <c r="D164" s="126" t="str">
        <f t="shared" ref="D164:F164" si="42">IF(OR(ISBLANK(E164), E164=0),"N/A",E164)</f>
        <v>N/A</v>
      </c>
      <c r="E164" s="126" t="str">
        <f t="shared" si="42"/>
        <v>N/A</v>
      </c>
      <c r="F164" s="124" t="str">
        <f t="shared" si="42"/>
        <v>N/A</v>
      </c>
      <c r="G164" s="127">
        <f>'Cash Flow Entry'!F164</f>
        <v>0</v>
      </c>
      <c r="H164" s="128">
        <f>IF(Tracking[[#This Row],[Type]]="Inflow",Tracking[[#This Row],[Amount(USD)]],0)</f>
        <v>0</v>
      </c>
      <c r="I164" s="129">
        <f>IF(Tracking[[#This Row],[Type]]="Outflow",-Tracking[[#This Row],[Amount(USD)]],0)</f>
        <v>0</v>
      </c>
      <c r="J164" s="140" t="str">
        <f t="shared" si="29"/>
        <v>EUR</v>
      </c>
      <c r="K164" s="151">
        <f>IFERROR(K163+Tracking[[#This Row],[Cash In]]+Tracking[[#This Row],[Cash Out]],0)</f>
        <v>-683</v>
      </c>
      <c r="L164" s="151">
        <f>Tracking[[#This Row],[Running Balance]]*Settings!$E$15</f>
        <v>-587.38</v>
      </c>
    </row>
    <row r="165" spans="3:12" x14ac:dyDescent="0.3">
      <c r="C165" s="123">
        <f>'Cash Flow Entry'!C165</f>
        <v>45453</v>
      </c>
      <c r="D165" s="126" t="str">
        <f t="shared" ref="D165:F165" si="43">IF(OR(ISBLANK(E165), E165=0),"N/A",E165)</f>
        <v>N/A</v>
      </c>
      <c r="E165" s="126" t="str">
        <f t="shared" si="43"/>
        <v>N/A</v>
      </c>
      <c r="F165" s="124" t="str">
        <f t="shared" si="43"/>
        <v>N/A</v>
      </c>
      <c r="G165" s="127">
        <f>'Cash Flow Entry'!F165</f>
        <v>0</v>
      </c>
      <c r="H165" s="128">
        <f>IF(Tracking[[#This Row],[Type]]="Inflow",Tracking[[#This Row],[Amount(USD)]],0)</f>
        <v>0</v>
      </c>
      <c r="I165" s="129">
        <f>IF(Tracking[[#This Row],[Type]]="Outflow",-Tracking[[#This Row],[Amount(USD)]],0)</f>
        <v>0</v>
      </c>
      <c r="J165" s="140" t="str">
        <f t="shared" si="29"/>
        <v>EUR</v>
      </c>
      <c r="K165" s="151">
        <f>IFERROR(K164+Tracking[[#This Row],[Cash In]]+Tracking[[#This Row],[Cash Out]],0)</f>
        <v>-683</v>
      </c>
      <c r="L165" s="151">
        <f>Tracking[[#This Row],[Running Balance]]*Settings!$E$15</f>
        <v>-587.38</v>
      </c>
    </row>
    <row r="166" spans="3:12" x14ac:dyDescent="0.3">
      <c r="C166" s="123">
        <f>'Cash Flow Entry'!C166</f>
        <v>45454</v>
      </c>
      <c r="D166" s="126" t="str">
        <f>'Cash Flow Entry'!H166</f>
        <v>Inflow</v>
      </c>
      <c r="E166" s="124" t="str">
        <f>'Cash Flow Entry'!D166</f>
        <v>Operating</v>
      </c>
      <c r="F166" s="124" t="str">
        <f>'Cash Flow Entry'!E166</f>
        <v>Cash-received from customers</v>
      </c>
      <c r="G166" s="127">
        <f>'Cash Flow Entry'!F166</f>
        <v>28000</v>
      </c>
      <c r="H166" s="128">
        <f>IF(Tracking[[#This Row],[Type]]="Inflow",Tracking[[#This Row],[Amount(USD)]],0)</f>
        <v>28000</v>
      </c>
      <c r="I166" s="129">
        <f>IF(Tracking[[#This Row],[Type]]="Outflow",-Tracking[[#This Row],[Amount(USD)]],0)</f>
        <v>0</v>
      </c>
      <c r="J166" s="140" t="str">
        <f t="shared" si="29"/>
        <v>EUR</v>
      </c>
      <c r="K166" s="151">
        <f>IFERROR(K165+Tracking[[#This Row],[Cash In]]+Tracking[[#This Row],[Cash Out]],0)</f>
        <v>27317</v>
      </c>
      <c r="L166" s="151">
        <f>Tracking[[#This Row],[Running Balance]]*Settings!$E$15</f>
        <v>23492.62</v>
      </c>
    </row>
    <row r="167" spans="3:12" x14ac:dyDescent="0.3">
      <c r="C167" s="123">
        <f>'Cash Flow Entry'!C167</f>
        <v>45455</v>
      </c>
      <c r="D167" s="126" t="str">
        <f>'Cash Flow Entry'!H167</f>
        <v>Inflow</v>
      </c>
      <c r="E167" s="124" t="str">
        <f>'Cash Flow Entry'!D167</f>
        <v>Financing</v>
      </c>
      <c r="F167" s="124" t="str">
        <f>'Cash Flow Entry'!E167</f>
        <v>Proceeds from issue of shares</v>
      </c>
      <c r="G167" s="127">
        <f>'Cash Flow Entry'!F167</f>
        <v>25000</v>
      </c>
      <c r="H167" s="128">
        <f>IF(Tracking[[#This Row],[Type]]="Inflow",Tracking[[#This Row],[Amount(USD)]],0)</f>
        <v>25000</v>
      </c>
      <c r="I167" s="129">
        <f>IF(Tracking[[#This Row],[Type]]="Outflow",-Tracking[[#This Row],[Amount(USD)]],0)</f>
        <v>0</v>
      </c>
      <c r="J167" s="140" t="str">
        <f t="shared" si="29"/>
        <v>EUR</v>
      </c>
      <c r="K167" s="151">
        <f>IFERROR(K166+Tracking[[#This Row],[Cash In]]+Tracking[[#This Row],[Cash Out]],0)</f>
        <v>52317</v>
      </c>
      <c r="L167" s="151">
        <f>Tracking[[#This Row],[Running Balance]]*Settings!$E$15</f>
        <v>44992.62</v>
      </c>
    </row>
    <row r="168" spans="3:12" x14ac:dyDescent="0.3">
      <c r="C168" s="123">
        <f>'Cash Flow Entry'!C168</f>
        <v>45456</v>
      </c>
      <c r="D168" s="126" t="str">
        <f t="shared" ref="D168:F168" si="44">IF(OR(ISBLANK(E168), E168=0),"N/A",E168)</f>
        <v>N/A</v>
      </c>
      <c r="E168" s="126" t="str">
        <f t="shared" si="44"/>
        <v>N/A</v>
      </c>
      <c r="F168" s="124" t="str">
        <f t="shared" si="44"/>
        <v>N/A</v>
      </c>
      <c r="G168" s="127">
        <f>'Cash Flow Entry'!F168</f>
        <v>0</v>
      </c>
      <c r="H168" s="128">
        <f>IF(Tracking[[#This Row],[Type]]="Inflow",Tracking[[#This Row],[Amount(USD)]],0)</f>
        <v>0</v>
      </c>
      <c r="I168" s="129">
        <f>IF(Tracking[[#This Row],[Type]]="Outflow",-Tracking[[#This Row],[Amount(USD)]],0)</f>
        <v>0</v>
      </c>
      <c r="J168" s="140" t="str">
        <f t="shared" si="29"/>
        <v>EUR</v>
      </c>
      <c r="K168" s="151">
        <f>IFERROR(K167+Tracking[[#This Row],[Cash In]]+Tracking[[#This Row],[Cash Out]],0)</f>
        <v>52317</v>
      </c>
      <c r="L168" s="151">
        <f>Tracking[[#This Row],[Running Balance]]*Settings!$E$15</f>
        <v>44992.62</v>
      </c>
    </row>
    <row r="169" spans="3:12" x14ac:dyDescent="0.3">
      <c r="C169" s="123">
        <f>'Cash Flow Entry'!C169</f>
        <v>45457</v>
      </c>
      <c r="D169" s="126" t="str">
        <f>'Cash Flow Entry'!H169</f>
        <v>Outflow</v>
      </c>
      <c r="E169" s="124" t="str">
        <f>'Cash Flow Entry'!D169</f>
        <v>Operating</v>
      </c>
      <c r="F169" s="124" t="str">
        <f>'Cash Flow Entry'!E169</f>
        <v>Cash paid for Operating expenses</v>
      </c>
      <c r="G169" s="127">
        <f>'Cash Flow Entry'!F169</f>
        <v>1700</v>
      </c>
      <c r="H169" s="128">
        <f>IF(Tracking[[#This Row],[Type]]="Inflow",Tracking[[#This Row],[Amount(USD)]],0)</f>
        <v>0</v>
      </c>
      <c r="I169" s="129">
        <f>IF(Tracking[[#This Row],[Type]]="Outflow",-Tracking[[#This Row],[Amount(USD)]],0)</f>
        <v>-1700</v>
      </c>
      <c r="J169" s="140" t="str">
        <f t="shared" si="29"/>
        <v>EUR</v>
      </c>
      <c r="K169" s="151">
        <f>IFERROR(K168+Tracking[[#This Row],[Cash In]]+Tracking[[#This Row],[Cash Out]],0)</f>
        <v>50617</v>
      </c>
      <c r="L169" s="151">
        <f>Tracking[[#This Row],[Running Balance]]*Settings!$E$15</f>
        <v>43530.62</v>
      </c>
    </row>
    <row r="170" spans="3:12" x14ac:dyDescent="0.3">
      <c r="C170" s="123">
        <f>'Cash Flow Entry'!C170</f>
        <v>45458</v>
      </c>
      <c r="D170" s="126" t="str">
        <f t="shared" ref="D170:F170" si="45">IF(OR(ISBLANK(E170), E170=0),"N/A",E170)</f>
        <v>N/A</v>
      </c>
      <c r="E170" s="126" t="str">
        <f t="shared" si="45"/>
        <v>N/A</v>
      </c>
      <c r="F170" s="124" t="str">
        <f t="shared" si="45"/>
        <v>N/A</v>
      </c>
      <c r="G170" s="127">
        <f>'Cash Flow Entry'!F170</f>
        <v>0</v>
      </c>
      <c r="H170" s="128">
        <f>IF(Tracking[[#This Row],[Type]]="Inflow",Tracking[[#This Row],[Amount(USD)]],0)</f>
        <v>0</v>
      </c>
      <c r="I170" s="129">
        <f>IF(Tracking[[#This Row],[Type]]="Outflow",-Tracking[[#This Row],[Amount(USD)]],0)</f>
        <v>0</v>
      </c>
      <c r="J170" s="140" t="str">
        <f t="shared" si="29"/>
        <v>EUR</v>
      </c>
      <c r="K170" s="151">
        <f>IFERROR(K169+Tracking[[#This Row],[Cash In]]+Tracking[[#This Row],[Cash Out]],0)</f>
        <v>50617</v>
      </c>
      <c r="L170" s="151">
        <f>Tracking[[#This Row],[Running Balance]]*Settings!$E$15</f>
        <v>43530.62</v>
      </c>
    </row>
    <row r="171" spans="3:12" x14ac:dyDescent="0.3">
      <c r="C171" s="123">
        <f>'Cash Flow Entry'!C171</f>
        <v>45459</v>
      </c>
      <c r="D171" s="126" t="str">
        <f>'Cash Flow Entry'!H171</f>
        <v>Outflow</v>
      </c>
      <c r="E171" s="124" t="str">
        <f>'Cash Flow Entry'!D171</f>
        <v>Operating</v>
      </c>
      <c r="F171" s="124" t="str">
        <f>'Cash Flow Entry'!E171</f>
        <v>Cash paid for Operating expenses</v>
      </c>
      <c r="G171" s="127">
        <f>'Cash Flow Entry'!F171</f>
        <v>2300</v>
      </c>
      <c r="H171" s="128">
        <f>IF(Tracking[[#This Row],[Type]]="Inflow",Tracking[[#This Row],[Amount(USD)]],0)</f>
        <v>0</v>
      </c>
      <c r="I171" s="129">
        <f>IF(Tracking[[#This Row],[Type]]="Outflow",-Tracking[[#This Row],[Amount(USD)]],0)</f>
        <v>-2300</v>
      </c>
      <c r="J171" s="140" t="str">
        <f t="shared" si="29"/>
        <v>EUR</v>
      </c>
      <c r="K171" s="151">
        <f>IFERROR(K170+Tracking[[#This Row],[Cash In]]+Tracking[[#This Row],[Cash Out]],0)</f>
        <v>48317</v>
      </c>
      <c r="L171" s="151">
        <f>Tracking[[#This Row],[Running Balance]]*Settings!$E$15</f>
        <v>41552.620000000003</v>
      </c>
    </row>
    <row r="172" spans="3:12" x14ac:dyDescent="0.3">
      <c r="C172" s="123">
        <f>'Cash Flow Entry'!C172</f>
        <v>45460</v>
      </c>
      <c r="D172" s="126" t="str">
        <f>'Cash Flow Entry'!H172</f>
        <v>Inflow</v>
      </c>
      <c r="E172" s="124" t="str">
        <f>'Cash Flow Entry'!D172</f>
        <v>Operating</v>
      </c>
      <c r="F172" s="124" t="str">
        <f>'Cash Flow Entry'!E172</f>
        <v>Cash received from other operating income</v>
      </c>
      <c r="G172" s="127">
        <f>'Cash Flow Entry'!F172</f>
        <v>4500</v>
      </c>
      <c r="H172" s="128">
        <f>IF(Tracking[[#This Row],[Type]]="Inflow",Tracking[[#This Row],[Amount(USD)]],0)</f>
        <v>4500</v>
      </c>
      <c r="I172" s="129">
        <f>IF(Tracking[[#This Row],[Type]]="Outflow",-Tracking[[#This Row],[Amount(USD)]],0)</f>
        <v>0</v>
      </c>
      <c r="J172" s="140" t="str">
        <f t="shared" si="29"/>
        <v>EUR</v>
      </c>
      <c r="K172" s="151">
        <f>IFERROR(K171+Tracking[[#This Row],[Cash In]]+Tracking[[#This Row],[Cash Out]],0)</f>
        <v>52817</v>
      </c>
      <c r="L172" s="151">
        <f>Tracking[[#This Row],[Running Balance]]*Settings!$E$15</f>
        <v>45422.62</v>
      </c>
    </row>
    <row r="173" spans="3:12" x14ac:dyDescent="0.3">
      <c r="C173" s="123">
        <f>'Cash Flow Entry'!C173</f>
        <v>45461</v>
      </c>
      <c r="D173" s="126" t="str">
        <f t="shared" ref="D173:F173" si="46">IF(OR(ISBLANK(E173), E173=0),"N/A",E173)</f>
        <v>N/A</v>
      </c>
      <c r="E173" s="126" t="str">
        <f t="shared" si="46"/>
        <v>N/A</v>
      </c>
      <c r="F173" s="124" t="str">
        <f t="shared" si="46"/>
        <v>N/A</v>
      </c>
      <c r="G173" s="127">
        <f>'Cash Flow Entry'!F173</f>
        <v>0</v>
      </c>
      <c r="H173" s="128">
        <f>IF(Tracking[[#This Row],[Type]]="Inflow",Tracking[[#This Row],[Amount(USD)]],0)</f>
        <v>0</v>
      </c>
      <c r="I173" s="129">
        <f>IF(Tracking[[#This Row],[Type]]="Outflow",-Tracking[[#This Row],[Amount(USD)]],0)</f>
        <v>0</v>
      </c>
      <c r="J173" s="140" t="str">
        <f t="shared" si="29"/>
        <v>EUR</v>
      </c>
      <c r="K173" s="151">
        <f>IFERROR(K172+Tracking[[#This Row],[Cash In]]+Tracking[[#This Row],[Cash Out]],0)</f>
        <v>52817</v>
      </c>
      <c r="L173" s="151">
        <f>Tracking[[#This Row],[Running Balance]]*Settings!$E$15</f>
        <v>45422.62</v>
      </c>
    </row>
    <row r="174" spans="3:12" x14ac:dyDescent="0.3">
      <c r="C174" s="123">
        <f>'Cash Flow Entry'!C174</f>
        <v>45462</v>
      </c>
      <c r="D174" s="126" t="str">
        <f t="shared" ref="D174:F174" si="47">IF(OR(ISBLANK(E174), E174=0),"N/A",E174)</f>
        <v>N/A</v>
      </c>
      <c r="E174" s="126" t="str">
        <f t="shared" si="47"/>
        <v>N/A</v>
      </c>
      <c r="F174" s="124" t="str">
        <f t="shared" si="47"/>
        <v>N/A</v>
      </c>
      <c r="G174" s="127">
        <f>'Cash Flow Entry'!F174</f>
        <v>0</v>
      </c>
      <c r="H174" s="128">
        <f>IF(Tracking[[#This Row],[Type]]="Inflow",Tracking[[#This Row],[Amount(USD)]],0)</f>
        <v>0</v>
      </c>
      <c r="I174" s="129">
        <f>IF(Tracking[[#This Row],[Type]]="Outflow",-Tracking[[#This Row],[Amount(USD)]],0)</f>
        <v>0</v>
      </c>
      <c r="J174" s="140" t="str">
        <f t="shared" si="29"/>
        <v>EUR</v>
      </c>
      <c r="K174" s="151">
        <f>IFERROR(K173+Tracking[[#This Row],[Cash In]]+Tracking[[#This Row],[Cash Out]],0)</f>
        <v>52817</v>
      </c>
      <c r="L174" s="151">
        <f>Tracking[[#This Row],[Running Balance]]*Settings!$E$15</f>
        <v>45422.62</v>
      </c>
    </row>
    <row r="175" spans="3:12" x14ac:dyDescent="0.3">
      <c r="C175" s="123">
        <f>'Cash Flow Entry'!C175</f>
        <v>45463</v>
      </c>
      <c r="D175" s="126" t="str">
        <f>'Cash Flow Entry'!H175</f>
        <v>Inflow</v>
      </c>
      <c r="E175" s="124" t="str">
        <f>'Cash Flow Entry'!D175</f>
        <v>Operating</v>
      </c>
      <c r="F175" s="124" t="str">
        <f>'Cash Flow Entry'!E175</f>
        <v>Cash-received from customers</v>
      </c>
      <c r="G175" s="127">
        <f>'Cash Flow Entry'!F175</f>
        <v>32000</v>
      </c>
      <c r="H175" s="128">
        <f>IF(Tracking[[#This Row],[Type]]="Inflow",Tracking[[#This Row],[Amount(USD)]],0)</f>
        <v>32000</v>
      </c>
      <c r="I175" s="129">
        <f>IF(Tracking[[#This Row],[Type]]="Outflow",-Tracking[[#This Row],[Amount(USD)]],0)</f>
        <v>0</v>
      </c>
      <c r="J175" s="140" t="str">
        <f t="shared" si="29"/>
        <v>EUR</v>
      </c>
      <c r="K175" s="151">
        <f>IFERROR(K174+Tracking[[#This Row],[Cash In]]+Tracking[[#This Row],[Cash Out]],0)</f>
        <v>84817</v>
      </c>
      <c r="L175" s="151">
        <f>Tracking[[#This Row],[Running Balance]]*Settings!$E$15</f>
        <v>72942.62</v>
      </c>
    </row>
    <row r="176" spans="3:12" x14ac:dyDescent="0.3">
      <c r="C176" s="123">
        <f>'Cash Flow Entry'!C176</f>
        <v>45464</v>
      </c>
      <c r="D176" s="126" t="str">
        <f t="shared" ref="D176:F176" si="48">IF(OR(ISBLANK(E176), E176=0),"N/A",E176)</f>
        <v>N/A</v>
      </c>
      <c r="E176" s="126" t="str">
        <f t="shared" si="48"/>
        <v>N/A</v>
      </c>
      <c r="F176" s="124" t="str">
        <f t="shared" si="48"/>
        <v>N/A</v>
      </c>
      <c r="G176" s="127">
        <f>'Cash Flow Entry'!F176</f>
        <v>0</v>
      </c>
      <c r="H176" s="128">
        <f>IF(Tracking[[#This Row],[Type]]="Inflow",Tracking[[#This Row],[Amount(USD)]],0)</f>
        <v>0</v>
      </c>
      <c r="I176" s="129">
        <f>IF(Tracking[[#This Row],[Type]]="Outflow",-Tracking[[#This Row],[Amount(USD)]],0)</f>
        <v>0</v>
      </c>
      <c r="J176" s="140" t="str">
        <f t="shared" si="29"/>
        <v>EUR</v>
      </c>
      <c r="K176" s="151">
        <f>IFERROR(K175+Tracking[[#This Row],[Cash In]]+Tracking[[#This Row],[Cash Out]],0)</f>
        <v>84817</v>
      </c>
      <c r="L176" s="151">
        <f>Tracking[[#This Row],[Running Balance]]*Settings!$E$15</f>
        <v>72942.62</v>
      </c>
    </row>
    <row r="177" spans="3:12" x14ac:dyDescent="0.3">
      <c r="C177" s="123">
        <f>'Cash Flow Entry'!C177</f>
        <v>45465</v>
      </c>
      <c r="D177" s="126" t="str">
        <f>'Cash Flow Entry'!H177</f>
        <v>Outflow</v>
      </c>
      <c r="E177" s="124" t="str">
        <f>'Cash Flow Entry'!D177</f>
        <v>Operating</v>
      </c>
      <c r="F177" s="124" t="str">
        <f>'Cash Flow Entry'!E177</f>
        <v>Cash-paid to suppliers</v>
      </c>
      <c r="G177" s="127">
        <f>'Cash Flow Entry'!F177</f>
        <v>30000</v>
      </c>
      <c r="H177" s="128">
        <f>IF(Tracking[[#This Row],[Type]]="Inflow",Tracking[[#This Row],[Amount(USD)]],0)</f>
        <v>0</v>
      </c>
      <c r="I177" s="129">
        <f>IF(Tracking[[#This Row],[Type]]="Outflow",-Tracking[[#This Row],[Amount(USD)]],0)</f>
        <v>-30000</v>
      </c>
      <c r="J177" s="140" t="str">
        <f t="shared" si="29"/>
        <v>EUR</v>
      </c>
      <c r="K177" s="151">
        <f>IFERROR(K176+Tracking[[#This Row],[Cash In]]+Tracking[[#This Row],[Cash Out]],0)</f>
        <v>54817</v>
      </c>
      <c r="L177" s="151">
        <f>Tracking[[#This Row],[Running Balance]]*Settings!$E$15</f>
        <v>47142.62</v>
      </c>
    </row>
    <row r="178" spans="3:12" x14ac:dyDescent="0.3">
      <c r="C178" s="123">
        <f>'Cash Flow Entry'!C178</f>
        <v>45466</v>
      </c>
      <c r="D178" s="126" t="str">
        <f t="shared" ref="D178:F178" si="49">IF(OR(ISBLANK(E178), E178=0),"N/A",E178)</f>
        <v>N/A</v>
      </c>
      <c r="E178" s="126" t="str">
        <f t="shared" si="49"/>
        <v>N/A</v>
      </c>
      <c r="F178" s="124" t="str">
        <f t="shared" si="49"/>
        <v>N/A</v>
      </c>
      <c r="G178" s="127">
        <f>'Cash Flow Entry'!F178</f>
        <v>0</v>
      </c>
      <c r="H178" s="128">
        <f>IF(Tracking[[#This Row],[Type]]="Inflow",Tracking[[#This Row],[Amount(USD)]],0)</f>
        <v>0</v>
      </c>
      <c r="I178" s="129">
        <f>IF(Tracking[[#This Row],[Type]]="Outflow",-Tracking[[#This Row],[Amount(USD)]],0)</f>
        <v>0</v>
      </c>
      <c r="J178" s="140" t="str">
        <f t="shared" si="29"/>
        <v>EUR</v>
      </c>
      <c r="K178" s="151">
        <f>IFERROR(K177+Tracking[[#This Row],[Cash In]]+Tracking[[#This Row],[Cash Out]],0)</f>
        <v>54817</v>
      </c>
      <c r="L178" s="151">
        <f>Tracking[[#This Row],[Running Balance]]*Settings!$E$15</f>
        <v>47142.62</v>
      </c>
    </row>
    <row r="179" spans="3:12" x14ac:dyDescent="0.3">
      <c r="C179" s="123">
        <f>'Cash Flow Entry'!C179</f>
        <v>45467</v>
      </c>
      <c r="D179" s="126" t="str">
        <f t="shared" ref="D179:F179" si="50">IF(OR(ISBLANK(E179), E179=0),"N/A",E179)</f>
        <v>N/A</v>
      </c>
      <c r="E179" s="126" t="str">
        <f t="shared" si="50"/>
        <v>N/A</v>
      </c>
      <c r="F179" s="124" t="str">
        <f t="shared" si="50"/>
        <v>N/A</v>
      </c>
      <c r="G179" s="127">
        <f>'Cash Flow Entry'!F179</f>
        <v>0</v>
      </c>
      <c r="H179" s="128">
        <f>IF(Tracking[[#This Row],[Type]]="Inflow",Tracking[[#This Row],[Amount(USD)]],0)</f>
        <v>0</v>
      </c>
      <c r="I179" s="129">
        <f>IF(Tracking[[#This Row],[Type]]="Outflow",-Tracking[[#This Row],[Amount(USD)]],0)</f>
        <v>0</v>
      </c>
      <c r="J179" s="140" t="str">
        <f t="shared" si="29"/>
        <v>EUR</v>
      </c>
      <c r="K179" s="151">
        <f>IFERROR(K178+Tracking[[#This Row],[Cash In]]+Tracking[[#This Row],[Cash Out]],0)</f>
        <v>54817</v>
      </c>
      <c r="L179" s="151">
        <f>Tracking[[#This Row],[Running Balance]]*Settings!$E$15</f>
        <v>47142.62</v>
      </c>
    </row>
    <row r="180" spans="3:12" x14ac:dyDescent="0.3">
      <c r="C180" s="123">
        <f>'Cash Flow Entry'!C180</f>
        <v>45468</v>
      </c>
      <c r="D180" s="126" t="str">
        <f t="shared" ref="D180:F180" si="51">IF(OR(ISBLANK(E180), E180=0),"N/A",E180)</f>
        <v>N/A</v>
      </c>
      <c r="E180" s="126" t="str">
        <f t="shared" si="51"/>
        <v>N/A</v>
      </c>
      <c r="F180" s="124" t="str">
        <f t="shared" si="51"/>
        <v>N/A</v>
      </c>
      <c r="G180" s="127">
        <f>'Cash Flow Entry'!F180</f>
        <v>0</v>
      </c>
      <c r="H180" s="128">
        <f>IF(Tracking[[#This Row],[Type]]="Inflow",Tracking[[#This Row],[Amount(USD)]],0)</f>
        <v>0</v>
      </c>
      <c r="I180" s="129">
        <f>IF(Tracking[[#This Row],[Type]]="Outflow",-Tracking[[#This Row],[Amount(USD)]],0)</f>
        <v>0</v>
      </c>
      <c r="J180" s="140" t="str">
        <f t="shared" si="29"/>
        <v>EUR</v>
      </c>
      <c r="K180" s="151">
        <f>IFERROR(K179+Tracking[[#This Row],[Cash In]]+Tracking[[#This Row],[Cash Out]],0)</f>
        <v>54817</v>
      </c>
      <c r="L180" s="151">
        <f>Tracking[[#This Row],[Running Balance]]*Settings!$E$15</f>
        <v>47142.62</v>
      </c>
    </row>
    <row r="181" spans="3:12" x14ac:dyDescent="0.3">
      <c r="C181" s="123">
        <f>'Cash Flow Entry'!C181</f>
        <v>45469</v>
      </c>
      <c r="D181" s="126" t="str">
        <f t="shared" ref="D181:F181" si="52">IF(OR(ISBLANK(E181), E181=0),"N/A",E181)</f>
        <v>N/A</v>
      </c>
      <c r="E181" s="126" t="str">
        <f t="shared" si="52"/>
        <v>N/A</v>
      </c>
      <c r="F181" s="124" t="str">
        <f t="shared" si="52"/>
        <v>N/A</v>
      </c>
      <c r="G181" s="127">
        <f>'Cash Flow Entry'!F181</f>
        <v>0</v>
      </c>
      <c r="H181" s="128">
        <f>IF(Tracking[[#This Row],[Type]]="Inflow",Tracking[[#This Row],[Amount(USD)]],0)</f>
        <v>0</v>
      </c>
      <c r="I181" s="129">
        <f>IF(Tracking[[#This Row],[Type]]="Outflow",-Tracking[[#This Row],[Amount(USD)]],0)</f>
        <v>0</v>
      </c>
      <c r="J181" s="140" t="str">
        <f t="shared" si="29"/>
        <v>EUR</v>
      </c>
      <c r="K181" s="151">
        <f>IFERROR(K180+Tracking[[#This Row],[Cash In]]+Tracking[[#This Row],[Cash Out]],0)</f>
        <v>54817</v>
      </c>
      <c r="L181" s="151">
        <f>Tracking[[#This Row],[Running Balance]]*Settings!$E$15</f>
        <v>47142.62</v>
      </c>
    </row>
    <row r="182" spans="3:12" x14ac:dyDescent="0.3">
      <c r="C182" s="123">
        <f>'Cash Flow Entry'!C182</f>
        <v>45470</v>
      </c>
      <c r="D182" s="126" t="str">
        <f>'Cash Flow Entry'!H182</f>
        <v>Outflow</v>
      </c>
      <c r="E182" s="124" t="str">
        <f>'Cash Flow Entry'!D182</f>
        <v>Investing</v>
      </c>
      <c r="F182" s="124" t="str">
        <f>'Cash Flow Entry'!E182</f>
        <v>Purchase of investments</v>
      </c>
      <c r="G182" s="127">
        <f>'Cash Flow Entry'!F182</f>
        <v>40000</v>
      </c>
      <c r="H182" s="128">
        <f>IF(Tracking[[#This Row],[Type]]="Inflow",Tracking[[#This Row],[Amount(USD)]],0)</f>
        <v>0</v>
      </c>
      <c r="I182" s="129">
        <f>IF(Tracking[[#This Row],[Type]]="Outflow",-Tracking[[#This Row],[Amount(USD)]],0)</f>
        <v>-40000</v>
      </c>
      <c r="J182" s="140" t="str">
        <f t="shared" si="29"/>
        <v>EUR</v>
      </c>
      <c r="K182" s="151">
        <f>IFERROR(K181+Tracking[[#This Row],[Cash In]]+Tracking[[#This Row],[Cash Out]],0)</f>
        <v>14817</v>
      </c>
      <c r="L182" s="151">
        <f>Tracking[[#This Row],[Running Balance]]*Settings!$E$15</f>
        <v>12742.619999999999</v>
      </c>
    </row>
    <row r="183" spans="3:12" x14ac:dyDescent="0.3">
      <c r="C183" s="123">
        <f>'Cash Flow Entry'!C183</f>
        <v>45471</v>
      </c>
      <c r="D183" s="126" t="str">
        <f t="shared" ref="D183:F183" si="53">IF(OR(ISBLANK(E183), E183=0),"N/A",E183)</f>
        <v>N/A</v>
      </c>
      <c r="E183" s="126" t="str">
        <f t="shared" si="53"/>
        <v>N/A</v>
      </c>
      <c r="F183" s="124" t="str">
        <f t="shared" si="53"/>
        <v>N/A</v>
      </c>
      <c r="G183" s="127">
        <f>'Cash Flow Entry'!F183</f>
        <v>0</v>
      </c>
      <c r="H183" s="128">
        <f>IF(Tracking[[#This Row],[Type]]="Inflow",Tracking[[#This Row],[Amount(USD)]],0)</f>
        <v>0</v>
      </c>
      <c r="I183" s="129">
        <f>IF(Tracking[[#This Row],[Type]]="Outflow",-Tracking[[#This Row],[Amount(USD)]],0)</f>
        <v>0</v>
      </c>
      <c r="J183" s="140" t="str">
        <f t="shared" si="29"/>
        <v>EUR</v>
      </c>
      <c r="K183" s="151">
        <f>IFERROR(K182+Tracking[[#This Row],[Cash In]]+Tracking[[#This Row],[Cash Out]],0)</f>
        <v>14817</v>
      </c>
      <c r="L183" s="151">
        <f>Tracking[[#This Row],[Running Balance]]*Settings!$E$15</f>
        <v>12742.619999999999</v>
      </c>
    </row>
    <row r="184" spans="3:12" x14ac:dyDescent="0.3">
      <c r="C184" s="123">
        <f>'Cash Flow Entry'!C184</f>
        <v>45472</v>
      </c>
      <c r="D184" s="126" t="str">
        <f>'Cash Flow Entry'!H184</f>
        <v>Outflow</v>
      </c>
      <c r="E184" s="124" t="str">
        <f>'Cash Flow Entry'!D184</f>
        <v>Operating</v>
      </c>
      <c r="F184" s="124" t="str">
        <f>'Cash Flow Entry'!E184</f>
        <v>Cash-paid to suppliers</v>
      </c>
      <c r="G184" s="127">
        <f>'Cash Flow Entry'!F184</f>
        <v>14000</v>
      </c>
      <c r="H184" s="128">
        <f>IF(Tracking[[#This Row],[Type]]="Inflow",Tracking[[#This Row],[Amount(USD)]],0)</f>
        <v>0</v>
      </c>
      <c r="I184" s="129">
        <f>IF(Tracking[[#This Row],[Type]]="Outflow",-Tracking[[#This Row],[Amount(USD)]],0)</f>
        <v>-14000</v>
      </c>
      <c r="J184" s="140" t="str">
        <f t="shared" si="29"/>
        <v>EUR</v>
      </c>
      <c r="K184" s="151">
        <f>IFERROR(K183+Tracking[[#This Row],[Cash In]]+Tracking[[#This Row],[Cash Out]],0)</f>
        <v>817</v>
      </c>
      <c r="L184" s="151">
        <f>Tracking[[#This Row],[Running Balance]]*Settings!$E$15</f>
        <v>702.62</v>
      </c>
    </row>
    <row r="185" spans="3:12" x14ac:dyDescent="0.3">
      <c r="C185" s="123">
        <f>'Cash Flow Entry'!C185</f>
        <v>45473</v>
      </c>
      <c r="D185" s="126">
        <f t="shared" ref="D185:F185" si="54">IF(OR(ISBLANK(E185), E185=0),"N/A",E185)</f>
        <v>7500</v>
      </c>
      <c r="E185" s="126">
        <f t="shared" si="54"/>
        <v>7500</v>
      </c>
      <c r="F185" s="124">
        <f t="shared" si="54"/>
        <v>7500</v>
      </c>
      <c r="G185" s="127">
        <f>'Cash Flow Entry'!F185</f>
        <v>7500</v>
      </c>
      <c r="H185" s="128">
        <f>IF(Tracking[[#This Row],[Type]]="Inflow",Tracking[[#This Row],[Amount(USD)]],0)</f>
        <v>0</v>
      </c>
      <c r="I185" s="129">
        <f>IF(Tracking[[#This Row],[Type]]="Outflow",-Tracking[[#This Row],[Amount(USD)]],0)</f>
        <v>0</v>
      </c>
      <c r="J185" s="140" t="str">
        <f t="shared" si="29"/>
        <v>EUR</v>
      </c>
      <c r="K185" s="151">
        <f>IFERROR(K184+Tracking[[#This Row],[Cash In]]+Tracking[[#This Row],[Cash Out]],0)</f>
        <v>817</v>
      </c>
      <c r="L185" s="151">
        <f>Tracking[[#This Row],[Running Balance]]*Settings!$E$15</f>
        <v>702.62</v>
      </c>
    </row>
    <row r="186" spans="3:12" x14ac:dyDescent="0.3">
      <c r="C186" s="123">
        <f>'Cash Flow Entry'!C186</f>
        <v>45474</v>
      </c>
      <c r="D186" s="126" t="str">
        <f>'Cash Flow Entry'!H186</f>
        <v>Inflow</v>
      </c>
      <c r="E186" s="124" t="str">
        <f>'Cash Flow Entry'!D186</f>
        <v>Investing</v>
      </c>
      <c r="F186" s="124" t="str">
        <f>'Cash Flow Entry'!E186</f>
        <v>Interest Received</v>
      </c>
      <c r="G186" s="127">
        <f>'Cash Flow Entry'!F186</f>
        <v>750</v>
      </c>
      <c r="H186" s="128">
        <f>IF(Tracking[[#This Row],[Type]]="Inflow",Tracking[[#This Row],[Amount(USD)]],0)</f>
        <v>750</v>
      </c>
      <c r="I186" s="129">
        <f>IF(Tracking[[#This Row],[Type]]="Outflow",-Tracking[[#This Row],[Amount(USD)]],0)</f>
        <v>0</v>
      </c>
      <c r="J186" s="140" t="str">
        <f t="shared" si="29"/>
        <v>EUR</v>
      </c>
      <c r="K186" s="151">
        <f>IFERROR(K185+Tracking[[#This Row],[Cash In]]+Tracking[[#This Row],[Cash Out]],0)</f>
        <v>1567</v>
      </c>
      <c r="L186" s="151">
        <f>Tracking[[#This Row],[Running Balance]]*Settings!$E$15</f>
        <v>1347.62</v>
      </c>
    </row>
    <row r="187" spans="3:12" x14ac:dyDescent="0.3">
      <c r="C187" s="123">
        <f>'Cash Flow Entry'!C187</f>
        <v>45475</v>
      </c>
      <c r="D187" s="126" t="str">
        <f>'Cash Flow Entry'!H187</f>
        <v>Inflow</v>
      </c>
      <c r="E187" s="124" t="str">
        <f>'Cash Flow Entry'!D187</f>
        <v>Operating</v>
      </c>
      <c r="F187" s="124" t="str">
        <f>'Cash Flow Entry'!E187</f>
        <v>Cash-received from customers</v>
      </c>
      <c r="G187" s="127">
        <f>'Cash Flow Entry'!F187</f>
        <v>20000</v>
      </c>
      <c r="H187" s="128">
        <f>IF(Tracking[[#This Row],[Type]]="Inflow",Tracking[[#This Row],[Amount(USD)]],0)</f>
        <v>20000</v>
      </c>
      <c r="I187" s="129">
        <f>IF(Tracking[[#This Row],[Type]]="Outflow",-Tracking[[#This Row],[Amount(USD)]],0)</f>
        <v>0</v>
      </c>
      <c r="J187" s="140" t="str">
        <f t="shared" si="29"/>
        <v>EUR</v>
      </c>
      <c r="K187" s="151">
        <f>IFERROR(K186+Tracking[[#This Row],[Cash In]]+Tracking[[#This Row],[Cash Out]],0)</f>
        <v>21567</v>
      </c>
      <c r="L187" s="151">
        <f>Tracking[[#This Row],[Running Balance]]*Settings!$E$15</f>
        <v>18547.62</v>
      </c>
    </row>
    <row r="188" spans="3:12" x14ac:dyDescent="0.3">
      <c r="C188" s="123">
        <f>'Cash Flow Entry'!C188</f>
        <v>45476</v>
      </c>
      <c r="D188" s="126" t="str">
        <f t="shared" ref="D188:F188" si="55">IF(OR(ISBLANK(E188), E188=0),"N/A",E188)</f>
        <v>N/A</v>
      </c>
      <c r="E188" s="126" t="str">
        <f t="shared" si="55"/>
        <v>N/A</v>
      </c>
      <c r="F188" s="124" t="str">
        <f t="shared" si="55"/>
        <v>N/A</v>
      </c>
      <c r="G188" s="127">
        <f>'Cash Flow Entry'!F188</f>
        <v>0</v>
      </c>
      <c r="H188" s="128">
        <f>IF(Tracking[[#This Row],[Type]]="Inflow",Tracking[[#This Row],[Amount(USD)]],0)</f>
        <v>0</v>
      </c>
      <c r="I188" s="129">
        <f>IF(Tracking[[#This Row],[Type]]="Outflow",-Tracking[[#This Row],[Amount(USD)]],0)</f>
        <v>0</v>
      </c>
      <c r="J188" s="140" t="str">
        <f t="shared" si="29"/>
        <v>EUR</v>
      </c>
      <c r="K188" s="151">
        <f>IFERROR(K187+Tracking[[#This Row],[Cash In]]+Tracking[[#This Row],[Cash Out]],0)</f>
        <v>21567</v>
      </c>
      <c r="L188" s="151">
        <f>Tracking[[#This Row],[Running Balance]]*Settings!$E$15</f>
        <v>18547.62</v>
      </c>
    </row>
    <row r="189" spans="3:12" x14ac:dyDescent="0.3">
      <c r="C189" s="123">
        <f>'Cash Flow Entry'!C189</f>
        <v>45477</v>
      </c>
      <c r="D189" s="126" t="str">
        <f>'Cash Flow Entry'!H189</f>
        <v>Outflow</v>
      </c>
      <c r="E189" s="124" t="str">
        <f>'Cash Flow Entry'!D189</f>
        <v>Operating</v>
      </c>
      <c r="F189" s="124" t="str">
        <f>'Cash Flow Entry'!E189</f>
        <v>Cash paid for Operating expenses</v>
      </c>
      <c r="G189" s="127">
        <f>'Cash Flow Entry'!F189</f>
        <v>2000</v>
      </c>
      <c r="H189" s="128">
        <f>IF(Tracking[[#This Row],[Type]]="Inflow",Tracking[[#This Row],[Amount(USD)]],0)</f>
        <v>0</v>
      </c>
      <c r="I189" s="129">
        <f>IF(Tracking[[#This Row],[Type]]="Outflow",-Tracking[[#This Row],[Amount(USD)]],0)</f>
        <v>-2000</v>
      </c>
      <c r="J189" s="140" t="str">
        <f t="shared" si="29"/>
        <v>EUR</v>
      </c>
      <c r="K189" s="151">
        <f>IFERROR(K188+Tracking[[#This Row],[Cash In]]+Tracking[[#This Row],[Cash Out]],0)</f>
        <v>19567</v>
      </c>
      <c r="L189" s="151">
        <f>Tracking[[#This Row],[Running Balance]]*Settings!$E$15</f>
        <v>16827.62</v>
      </c>
    </row>
    <row r="190" spans="3:12" x14ac:dyDescent="0.3">
      <c r="C190" s="123">
        <f>'Cash Flow Entry'!C190</f>
        <v>45478</v>
      </c>
      <c r="D190" s="126" t="str">
        <f t="shared" ref="D190:F190" si="56">IF(OR(ISBLANK(E190), E190=0),"N/A",E190)</f>
        <v>N/A</v>
      </c>
      <c r="E190" s="126" t="str">
        <f t="shared" si="56"/>
        <v>N/A</v>
      </c>
      <c r="F190" s="124" t="str">
        <f t="shared" si="56"/>
        <v>N/A</v>
      </c>
      <c r="G190" s="127">
        <f>'Cash Flow Entry'!F190</f>
        <v>0</v>
      </c>
      <c r="H190" s="128">
        <f>IF(Tracking[[#This Row],[Type]]="Inflow",Tracking[[#This Row],[Amount(USD)]],0)</f>
        <v>0</v>
      </c>
      <c r="I190" s="129">
        <f>IF(Tracking[[#This Row],[Type]]="Outflow",-Tracking[[#This Row],[Amount(USD)]],0)</f>
        <v>0</v>
      </c>
      <c r="J190" s="140" t="str">
        <f t="shared" si="29"/>
        <v>EUR</v>
      </c>
      <c r="K190" s="151">
        <f>IFERROR(K189+Tracking[[#This Row],[Cash In]]+Tracking[[#This Row],[Cash Out]],0)</f>
        <v>19567</v>
      </c>
      <c r="L190" s="151">
        <f>Tracking[[#This Row],[Running Balance]]*Settings!$E$15</f>
        <v>16827.62</v>
      </c>
    </row>
    <row r="191" spans="3:12" x14ac:dyDescent="0.3">
      <c r="C191" s="123">
        <f>'Cash Flow Entry'!C191</f>
        <v>45479</v>
      </c>
      <c r="D191" s="126" t="str">
        <f>'Cash Flow Entry'!H191</f>
        <v>Inflow</v>
      </c>
      <c r="E191" s="124" t="str">
        <f>'Cash Flow Entry'!D191</f>
        <v>Operating</v>
      </c>
      <c r="F191" s="124" t="str">
        <f>'Cash Flow Entry'!E191</f>
        <v>Cash received from other operating income</v>
      </c>
      <c r="G191" s="127">
        <f>'Cash Flow Entry'!F191</f>
        <v>1500</v>
      </c>
      <c r="H191" s="128">
        <f>IF(Tracking[[#This Row],[Type]]="Inflow",Tracking[[#This Row],[Amount(USD)]],0)</f>
        <v>1500</v>
      </c>
      <c r="I191" s="129">
        <f>IF(Tracking[[#This Row],[Type]]="Outflow",-Tracking[[#This Row],[Amount(USD)]],0)</f>
        <v>0</v>
      </c>
      <c r="J191" s="140" t="str">
        <f t="shared" si="29"/>
        <v>EUR</v>
      </c>
      <c r="K191" s="151">
        <f>IFERROR(K190+Tracking[[#This Row],[Cash In]]+Tracking[[#This Row],[Cash Out]],0)</f>
        <v>21067</v>
      </c>
      <c r="L191" s="151">
        <f>Tracking[[#This Row],[Running Balance]]*Settings!$E$15</f>
        <v>18117.62</v>
      </c>
    </row>
    <row r="192" spans="3:12" x14ac:dyDescent="0.3">
      <c r="C192" s="123">
        <f>'Cash Flow Entry'!C192</f>
        <v>45480</v>
      </c>
      <c r="D192" s="126" t="str">
        <f t="shared" ref="D192:F192" si="57">IF(OR(ISBLANK(E192), E192=0),"N/A",E192)</f>
        <v>N/A</v>
      </c>
      <c r="E192" s="126" t="str">
        <f t="shared" si="57"/>
        <v>N/A</v>
      </c>
      <c r="F192" s="124" t="str">
        <f t="shared" si="57"/>
        <v>N/A</v>
      </c>
      <c r="G192" s="127">
        <f>'Cash Flow Entry'!F192</f>
        <v>0</v>
      </c>
      <c r="H192" s="128">
        <f>IF(Tracking[[#This Row],[Type]]="Inflow",Tracking[[#This Row],[Amount(USD)]],0)</f>
        <v>0</v>
      </c>
      <c r="I192" s="129">
        <f>IF(Tracking[[#This Row],[Type]]="Outflow",-Tracking[[#This Row],[Amount(USD)]],0)</f>
        <v>0</v>
      </c>
      <c r="J192" s="140" t="str">
        <f t="shared" si="29"/>
        <v>EUR</v>
      </c>
      <c r="K192" s="151">
        <f>IFERROR(K191+Tracking[[#This Row],[Cash In]]+Tracking[[#This Row],[Cash Out]],0)</f>
        <v>21067</v>
      </c>
      <c r="L192" s="151">
        <f>Tracking[[#This Row],[Running Balance]]*Settings!$E$15</f>
        <v>18117.62</v>
      </c>
    </row>
    <row r="193" spans="3:12" x14ac:dyDescent="0.3">
      <c r="C193" s="123">
        <f>'Cash Flow Entry'!C193</f>
        <v>45481</v>
      </c>
      <c r="D193" s="126" t="str">
        <f>'Cash Flow Entry'!H193</f>
        <v>Outflow</v>
      </c>
      <c r="E193" s="124" t="str">
        <f>'Cash Flow Entry'!D193</f>
        <v>Operating</v>
      </c>
      <c r="F193" s="124" t="str">
        <f>'Cash Flow Entry'!E193</f>
        <v>Cash-paid to suppliers</v>
      </c>
      <c r="G193" s="127">
        <f>'Cash Flow Entry'!F193</f>
        <v>18000</v>
      </c>
      <c r="H193" s="128">
        <f>IF(Tracking[[#This Row],[Type]]="Inflow",Tracking[[#This Row],[Amount(USD)]],0)</f>
        <v>0</v>
      </c>
      <c r="I193" s="129">
        <f>IF(Tracking[[#This Row],[Type]]="Outflow",-Tracking[[#This Row],[Amount(USD)]],0)</f>
        <v>-18000</v>
      </c>
      <c r="J193" s="140" t="str">
        <f t="shared" si="29"/>
        <v>EUR</v>
      </c>
      <c r="K193" s="151">
        <f>IFERROR(K192+Tracking[[#This Row],[Cash In]]+Tracking[[#This Row],[Cash Out]],0)</f>
        <v>3067</v>
      </c>
      <c r="L193" s="151">
        <f>Tracking[[#This Row],[Running Balance]]*Settings!$E$15</f>
        <v>2637.62</v>
      </c>
    </row>
    <row r="194" spans="3:12" x14ac:dyDescent="0.3">
      <c r="C194" s="123">
        <f>'Cash Flow Entry'!C194</f>
        <v>45482</v>
      </c>
      <c r="D194" s="126" t="str">
        <f t="shared" ref="D194:F194" si="58">IF(OR(ISBLANK(E194), E194=0),"N/A",E194)</f>
        <v>N/A</v>
      </c>
      <c r="E194" s="126" t="str">
        <f t="shared" si="58"/>
        <v>N/A</v>
      </c>
      <c r="F194" s="124" t="str">
        <f t="shared" si="58"/>
        <v>N/A</v>
      </c>
      <c r="G194" s="127">
        <f>'Cash Flow Entry'!F194</f>
        <v>0</v>
      </c>
      <c r="H194" s="128">
        <f>IF(Tracking[[#This Row],[Type]]="Inflow",Tracking[[#This Row],[Amount(USD)]],0)</f>
        <v>0</v>
      </c>
      <c r="I194" s="129">
        <f>IF(Tracking[[#This Row],[Type]]="Outflow",-Tracking[[#This Row],[Amount(USD)]],0)</f>
        <v>0</v>
      </c>
      <c r="J194" s="140" t="str">
        <f t="shared" si="29"/>
        <v>EUR</v>
      </c>
      <c r="K194" s="151">
        <f>IFERROR(K193+Tracking[[#This Row],[Cash In]]+Tracking[[#This Row],[Cash Out]],0)</f>
        <v>3067</v>
      </c>
      <c r="L194" s="151">
        <f>Tracking[[#This Row],[Running Balance]]*Settings!$E$15</f>
        <v>2637.62</v>
      </c>
    </row>
    <row r="195" spans="3:12" x14ac:dyDescent="0.3">
      <c r="C195" s="123">
        <f>'Cash Flow Entry'!C195</f>
        <v>45483</v>
      </c>
      <c r="D195" s="126" t="str">
        <f>'Cash Flow Entry'!H195</f>
        <v>Inflow</v>
      </c>
      <c r="E195" s="124" t="str">
        <f>'Cash Flow Entry'!D195</f>
        <v>Investing</v>
      </c>
      <c r="F195" s="124" t="str">
        <f>'Cash Flow Entry'!E195</f>
        <v>Proceeds from sale of investments</v>
      </c>
      <c r="G195" s="127">
        <f>'Cash Flow Entry'!F195</f>
        <v>25000</v>
      </c>
      <c r="H195" s="128">
        <f>IF(Tracking[[#This Row],[Type]]="Inflow",Tracking[[#This Row],[Amount(USD)]],0)</f>
        <v>25000</v>
      </c>
      <c r="I195" s="129">
        <f>IF(Tracking[[#This Row],[Type]]="Outflow",-Tracking[[#This Row],[Amount(USD)]],0)</f>
        <v>0</v>
      </c>
      <c r="J195" s="140" t="str">
        <f t="shared" si="29"/>
        <v>EUR</v>
      </c>
      <c r="K195" s="151">
        <f>IFERROR(K194+Tracking[[#This Row],[Cash In]]+Tracking[[#This Row],[Cash Out]],0)</f>
        <v>28067</v>
      </c>
      <c r="L195" s="151">
        <f>Tracking[[#This Row],[Running Balance]]*Settings!$E$15</f>
        <v>24137.62</v>
      </c>
    </row>
    <row r="196" spans="3:12" x14ac:dyDescent="0.3">
      <c r="C196" s="123">
        <f>'Cash Flow Entry'!C196</f>
        <v>45484</v>
      </c>
      <c r="D196" s="126" t="str">
        <f t="shared" ref="D196:F196" si="59">IF(OR(ISBLANK(E196), E196=0),"N/A",E196)</f>
        <v>N/A</v>
      </c>
      <c r="E196" s="126" t="str">
        <f t="shared" si="59"/>
        <v>N/A</v>
      </c>
      <c r="F196" s="124" t="str">
        <f t="shared" si="59"/>
        <v>N/A</v>
      </c>
      <c r="G196" s="127">
        <f>'Cash Flow Entry'!F196</f>
        <v>0</v>
      </c>
      <c r="H196" s="128">
        <f>IF(Tracking[[#This Row],[Type]]="Inflow",Tracking[[#This Row],[Amount(USD)]],0)</f>
        <v>0</v>
      </c>
      <c r="I196" s="129">
        <f>IF(Tracking[[#This Row],[Type]]="Outflow",-Tracking[[#This Row],[Amount(USD)]],0)</f>
        <v>0</v>
      </c>
      <c r="J196" s="140" t="str">
        <f t="shared" ref="J196:J259" si="60">select_currency</f>
        <v>EUR</v>
      </c>
      <c r="K196" s="151">
        <f>IFERROR(K195+Tracking[[#This Row],[Cash In]]+Tracking[[#This Row],[Cash Out]],0)</f>
        <v>28067</v>
      </c>
      <c r="L196" s="151">
        <f>Tracking[[#This Row],[Running Balance]]*Settings!$E$15</f>
        <v>24137.62</v>
      </c>
    </row>
    <row r="197" spans="3:12" x14ac:dyDescent="0.3">
      <c r="C197" s="123">
        <f>'Cash Flow Entry'!C197</f>
        <v>45485</v>
      </c>
      <c r="D197" s="126" t="str">
        <f>'Cash Flow Entry'!H197</f>
        <v>Outflow</v>
      </c>
      <c r="E197" s="124" t="str">
        <f>'Cash Flow Entry'!D197</f>
        <v>Operating</v>
      </c>
      <c r="F197" s="124" t="str">
        <f>'Cash Flow Entry'!E197</f>
        <v>Cash-paid to suppliers</v>
      </c>
      <c r="G197" s="127">
        <f>'Cash Flow Entry'!F197</f>
        <v>28000</v>
      </c>
      <c r="H197" s="128">
        <f>IF(Tracking[[#This Row],[Type]]="Inflow",Tracking[[#This Row],[Amount(USD)]],0)</f>
        <v>0</v>
      </c>
      <c r="I197" s="129">
        <f>IF(Tracking[[#This Row],[Type]]="Outflow",-Tracking[[#This Row],[Amount(USD)]],0)</f>
        <v>-28000</v>
      </c>
      <c r="J197" s="140" t="str">
        <f t="shared" si="60"/>
        <v>EUR</v>
      </c>
      <c r="K197" s="151">
        <f>IFERROR(K196+Tracking[[#This Row],[Cash In]]+Tracking[[#This Row],[Cash Out]],0)</f>
        <v>67</v>
      </c>
      <c r="L197" s="151">
        <f>Tracking[[#This Row],[Running Balance]]*Settings!$E$15</f>
        <v>57.62</v>
      </c>
    </row>
    <row r="198" spans="3:12" x14ac:dyDescent="0.3">
      <c r="C198" s="123">
        <f>'Cash Flow Entry'!C198</f>
        <v>45486</v>
      </c>
      <c r="D198" s="126" t="str">
        <f>'Cash Flow Entry'!H198</f>
        <v>Inflow</v>
      </c>
      <c r="E198" s="124" t="str">
        <f>'Cash Flow Entry'!D198</f>
        <v>Operating</v>
      </c>
      <c r="F198" s="124" t="str">
        <f>'Cash Flow Entry'!E198</f>
        <v>Cash-received from customers</v>
      </c>
      <c r="G198" s="127">
        <f>'Cash Flow Entry'!F198</f>
        <v>20000</v>
      </c>
      <c r="H198" s="128">
        <f>IF(Tracking[[#This Row],[Type]]="Inflow",Tracking[[#This Row],[Amount(USD)]],0)</f>
        <v>20000</v>
      </c>
      <c r="I198" s="129">
        <f>IF(Tracking[[#This Row],[Type]]="Outflow",-Tracking[[#This Row],[Amount(USD)]],0)</f>
        <v>0</v>
      </c>
      <c r="J198" s="140" t="str">
        <f t="shared" si="60"/>
        <v>EUR</v>
      </c>
      <c r="K198" s="151">
        <f>IFERROR(K197+Tracking[[#This Row],[Cash In]]+Tracking[[#This Row],[Cash Out]],0)</f>
        <v>20067</v>
      </c>
      <c r="L198" s="151">
        <f>Tracking[[#This Row],[Running Balance]]*Settings!$E$15</f>
        <v>17257.62</v>
      </c>
    </row>
    <row r="199" spans="3:12" x14ac:dyDescent="0.3">
      <c r="C199" s="123">
        <f>'Cash Flow Entry'!C199</f>
        <v>45487</v>
      </c>
      <c r="D199" s="126" t="str">
        <f t="shared" ref="D199:F199" si="61">IF(OR(ISBLANK(E199), E199=0),"N/A",E199)</f>
        <v>N/A</v>
      </c>
      <c r="E199" s="126" t="str">
        <f t="shared" si="61"/>
        <v>N/A</v>
      </c>
      <c r="F199" s="124" t="str">
        <f t="shared" si="61"/>
        <v>N/A</v>
      </c>
      <c r="G199" s="127">
        <f>'Cash Flow Entry'!F199</f>
        <v>0</v>
      </c>
      <c r="H199" s="128">
        <f>IF(Tracking[[#This Row],[Type]]="Inflow",Tracking[[#This Row],[Amount(USD)]],0)</f>
        <v>0</v>
      </c>
      <c r="I199" s="129">
        <f>IF(Tracking[[#This Row],[Type]]="Outflow",-Tracking[[#This Row],[Amount(USD)]],0)</f>
        <v>0</v>
      </c>
      <c r="J199" s="140" t="str">
        <f t="shared" si="60"/>
        <v>EUR</v>
      </c>
      <c r="K199" s="151">
        <f>IFERROR(K198+Tracking[[#This Row],[Cash In]]+Tracking[[#This Row],[Cash Out]],0)</f>
        <v>20067</v>
      </c>
      <c r="L199" s="151">
        <f>Tracking[[#This Row],[Running Balance]]*Settings!$E$15</f>
        <v>17257.62</v>
      </c>
    </row>
    <row r="200" spans="3:12" x14ac:dyDescent="0.3">
      <c r="C200" s="123">
        <f>'Cash Flow Entry'!C200</f>
        <v>45488</v>
      </c>
      <c r="D200" s="126" t="str">
        <f t="shared" ref="D200:F200" si="62">IF(OR(ISBLANK(E200), E200=0),"N/A",E200)</f>
        <v>N/A</v>
      </c>
      <c r="E200" s="126" t="str">
        <f t="shared" si="62"/>
        <v>N/A</v>
      </c>
      <c r="F200" s="124" t="str">
        <f t="shared" si="62"/>
        <v>N/A</v>
      </c>
      <c r="G200" s="127">
        <f>'Cash Flow Entry'!F200</f>
        <v>0</v>
      </c>
      <c r="H200" s="128">
        <f>IF(Tracking[[#This Row],[Type]]="Inflow",Tracking[[#This Row],[Amount(USD)]],0)</f>
        <v>0</v>
      </c>
      <c r="I200" s="129">
        <f>IF(Tracking[[#This Row],[Type]]="Outflow",-Tracking[[#This Row],[Amount(USD)]],0)</f>
        <v>0</v>
      </c>
      <c r="J200" s="140" t="str">
        <f t="shared" si="60"/>
        <v>EUR</v>
      </c>
      <c r="K200" s="151">
        <f>IFERROR(K199+Tracking[[#This Row],[Cash In]]+Tracking[[#This Row],[Cash Out]],0)</f>
        <v>20067</v>
      </c>
      <c r="L200" s="151">
        <f>Tracking[[#This Row],[Running Balance]]*Settings!$E$15</f>
        <v>17257.62</v>
      </c>
    </row>
    <row r="201" spans="3:12" x14ac:dyDescent="0.3">
      <c r="C201" s="123">
        <f>'Cash Flow Entry'!C201</f>
        <v>45489</v>
      </c>
      <c r="D201" s="126" t="str">
        <f t="shared" ref="D201:F201" si="63">IF(OR(ISBLANK(E201), E201=0),"N/A",E201)</f>
        <v>N/A</v>
      </c>
      <c r="E201" s="126" t="str">
        <f t="shared" si="63"/>
        <v>N/A</v>
      </c>
      <c r="F201" s="124" t="str">
        <f t="shared" si="63"/>
        <v>N/A</v>
      </c>
      <c r="G201" s="127">
        <f>'Cash Flow Entry'!F201</f>
        <v>0</v>
      </c>
      <c r="H201" s="128">
        <f>IF(Tracking[[#This Row],[Type]]="Inflow",Tracking[[#This Row],[Amount(USD)]],0)</f>
        <v>0</v>
      </c>
      <c r="I201" s="129">
        <f>IF(Tracking[[#This Row],[Type]]="Outflow",-Tracking[[#This Row],[Amount(USD)]],0)</f>
        <v>0</v>
      </c>
      <c r="J201" s="140" t="str">
        <f t="shared" si="60"/>
        <v>EUR</v>
      </c>
      <c r="K201" s="151">
        <f>IFERROR(K200+Tracking[[#This Row],[Cash In]]+Tracking[[#This Row],[Cash Out]],0)</f>
        <v>20067</v>
      </c>
      <c r="L201" s="151">
        <f>Tracking[[#This Row],[Running Balance]]*Settings!$E$15</f>
        <v>17257.62</v>
      </c>
    </row>
    <row r="202" spans="3:12" x14ac:dyDescent="0.3">
      <c r="C202" s="123">
        <f>'Cash Flow Entry'!C202</f>
        <v>45490</v>
      </c>
      <c r="D202" s="126" t="str">
        <f t="shared" ref="D202:F202" si="64">IF(OR(ISBLANK(E202), E202=0),"N/A",E202)</f>
        <v>N/A</v>
      </c>
      <c r="E202" s="126" t="str">
        <f t="shared" si="64"/>
        <v>N/A</v>
      </c>
      <c r="F202" s="124" t="str">
        <f t="shared" si="64"/>
        <v>N/A</v>
      </c>
      <c r="G202" s="127">
        <f>'Cash Flow Entry'!F202</f>
        <v>0</v>
      </c>
      <c r="H202" s="128">
        <f>IF(Tracking[[#This Row],[Type]]="Inflow",Tracking[[#This Row],[Amount(USD)]],0)</f>
        <v>0</v>
      </c>
      <c r="I202" s="129">
        <f>IF(Tracking[[#This Row],[Type]]="Outflow",-Tracking[[#This Row],[Amount(USD)]],0)</f>
        <v>0</v>
      </c>
      <c r="J202" s="140" t="str">
        <f t="shared" si="60"/>
        <v>EUR</v>
      </c>
      <c r="K202" s="151">
        <f>IFERROR(K201+Tracking[[#This Row],[Cash In]]+Tracking[[#This Row],[Cash Out]],0)</f>
        <v>20067</v>
      </c>
      <c r="L202" s="151">
        <f>Tracking[[#This Row],[Running Balance]]*Settings!$E$15</f>
        <v>17257.62</v>
      </c>
    </row>
    <row r="203" spans="3:12" x14ac:dyDescent="0.3">
      <c r="C203" s="123">
        <f>'Cash Flow Entry'!C203</f>
        <v>45491</v>
      </c>
      <c r="D203" s="126" t="str">
        <f>'Cash Flow Entry'!H203</f>
        <v>Outflow</v>
      </c>
      <c r="E203" s="124" t="str">
        <f>'Cash Flow Entry'!D203</f>
        <v>Financing</v>
      </c>
      <c r="F203" s="124" t="str">
        <f>'Cash Flow Entry'!E203</f>
        <v>Repayment of long-term borrowings</v>
      </c>
      <c r="G203" s="127">
        <f>'Cash Flow Entry'!F203</f>
        <v>14000</v>
      </c>
      <c r="H203" s="128">
        <f>IF(Tracking[[#This Row],[Type]]="Inflow",Tracking[[#This Row],[Amount(USD)]],0)</f>
        <v>0</v>
      </c>
      <c r="I203" s="129">
        <f>IF(Tracking[[#This Row],[Type]]="Outflow",-Tracking[[#This Row],[Amount(USD)]],0)</f>
        <v>-14000</v>
      </c>
      <c r="J203" s="140" t="str">
        <f t="shared" si="60"/>
        <v>EUR</v>
      </c>
      <c r="K203" s="151">
        <f>IFERROR(K202+Tracking[[#This Row],[Cash In]]+Tracking[[#This Row],[Cash Out]],0)</f>
        <v>6067</v>
      </c>
      <c r="L203" s="151">
        <f>Tracking[[#This Row],[Running Balance]]*Settings!$E$15</f>
        <v>5217.62</v>
      </c>
    </row>
    <row r="204" spans="3:12" x14ac:dyDescent="0.3">
      <c r="C204" s="123">
        <f>'Cash Flow Entry'!C204</f>
        <v>45492</v>
      </c>
      <c r="D204" s="126" t="str">
        <f t="shared" ref="D204:F204" si="65">IF(OR(ISBLANK(E204), E204=0),"N/A",E204)</f>
        <v>N/A</v>
      </c>
      <c r="E204" s="126" t="str">
        <f t="shared" si="65"/>
        <v>N/A</v>
      </c>
      <c r="F204" s="124" t="str">
        <f t="shared" si="65"/>
        <v>N/A</v>
      </c>
      <c r="G204" s="127">
        <f>'Cash Flow Entry'!F204</f>
        <v>0</v>
      </c>
      <c r="H204" s="128">
        <f>IF(Tracking[[#This Row],[Type]]="Inflow",Tracking[[#This Row],[Amount(USD)]],0)</f>
        <v>0</v>
      </c>
      <c r="I204" s="129">
        <f>IF(Tracking[[#This Row],[Type]]="Outflow",-Tracking[[#This Row],[Amount(USD)]],0)</f>
        <v>0</v>
      </c>
      <c r="J204" s="140" t="str">
        <f t="shared" si="60"/>
        <v>EUR</v>
      </c>
      <c r="K204" s="151">
        <f>IFERROR(K203+Tracking[[#This Row],[Cash In]]+Tracking[[#This Row],[Cash Out]],0)</f>
        <v>6067</v>
      </c>
      <c r="L204" s="151">
        <f>Tracking[[#This Row],[Running Balance]]*Settings!$E$15</f>
        <v>5217.62</v>
      </c>
    </row>
    <row r="205" spans="3:12" x14ac:dyDescent="0.3">
      <c r="C205" s="123">
        <f>'Cash Flow Entry'!C205</f>
        <v>45493</v>
      </c>
      <c r="D205" s="126" t="str">
        <f>'Cash Flow Entry'!H205</f>
        <v>Outflow</v>
      </c>
      <c r="E205" s="124" t="str">
        <f>'Cash Flow Entry'!D205</f>
        <v>Operating</v>
      </c>
      <c r="F205" s="124" t="str">
        <f>'Cash Flow Entry'!E205</f>
        <v>Cash paid to employees</v>
      </c>
      <c r="G205" s="127">
        <f>'Cash Flow Entry'!F205</f>
        <v>20000</v>
      </c>
      <c r="H205" s="128">
        <f>IF(Tracking[[#This Row],[Type]]="Inflow",Tracking[[#This Row],[Amount(USD)]],0)</f>
        <v>0</v>
      </c>
      <c r="I205" s="129">
        <f>IF(Tracking[[#This Row],[Type]]="Outflow",-Tracking[[#This Row],[Amount(USD)]],0)</f>
        <v>-20000</v>
      </c>
      <c r="J205" s="140" t="str">
        <f t="shared" si="60"/>
        <v>EUR</v>
      </c>
      <c r="K205" s="151">
        <f>IFERROR(K204+Tracking[[#This Row],[Cash In]]+Tracking[[#This Row],[Cash Out]],0)</f>
        <v>-13933</v>
      </c>
      <c r="L205" s="151">
        <f>Tracking[[#This Row],[Running Balance]]*Settings!$E$15</f>
        <v>-11982.38</v>
      </c>
    </row>
    <row r="206" spans="3:12" x14ac:dyDescent="0.3">
      <c r="C206" s="123">
        <f>'Cash Flow Entry'!C206</f>
        <v>45494</v>
      </c>
      <c r="D206" s="126" t="str">
        <f>'Cash Flow Entry'!H206</f>
        <v>Inflow</v>
      </c>
      <c r="E206" s="124" t="str">
        <f>'Cash Flow Entry'!D206</f>
        <v>Investing</v>
      </c>
      <c r="F206" s="124" t="str">
        <f>'Cash Flow Entry'!E206</f>
        <v>Proceeds from sale of investments</v>
      </c>
      <c r="G206" s="127">
        <f>'Cash Flow Entry'!F206</f>
        <v>10000</v>
      </c>
      <c r="H206" s="128">
        <f>IF(Tracking[[#This Row],[Type]]="Inflow",Tracking[[#This Row],[Amount(USD)]],0)</f>
        <v>10000</v>
      </c>
      <c r="I206" s="129">
        <f>IF(Tracking[[#This Row],[Type]]="Outflow",-Tracking[[#This Row],[Amount(USD)]],0)</f>
        <v>0</v>
      </c>
      <c r="J206" s="140" t="str">
        <f t="shared" si="60"/>
        <v>EUR</v>
      </c>
      <c r="K206" s="151">
        <f>IFERROR(K205+Tracking[[#This Row],[Cash In]]+Tracking[[#This Row],[Cash Out]],0)</f>
        <v>-3933</v>
      </c>
      <c r="L206" s="151">
        <f>Tracking[[#This Row],[Running Balance]]*Settings!$E$15</f>
        <v>-3382.38</v>
      </c>
    </row>
    <row r="207" spans="3:12" x14ac:dyDescent="0.3">
      <c r="C207" s="123">
        <f>'Cash Flow Entry'!C207</f>
        <v>45495</v>
      </c>
      <c r="D207" s="126" t="str">
        <f t="shared" ref="D207:F207" si="66">IF(OR(ISBLANK(E207), E207=0),"N/A",E207)</f>
        <v>N/A</v>
      </c>
      <c r="E207" s="126" t="str">
        <f t="shared" si="66"/>
        <v>N/A</v>
      </c>
      <c r="F207" s="124" t="str">
        <f t="shared" si="66"/>
        <v>N/A</v>
      </c>
      <c r="G207" s="127">
        <f>'Cash Flow Entry'!F207</f>
        <v>0</v>
      </c>
      <c r="H207" s="128">
        <f>IF(Tracking[[#This Row],[Type]]="Inflow",Tracking[[#This Row],[Amount(USD)]],0)</f>
        <v>0</v>
      </c>
      <c r="I207" s="129">
        <f>IF(Tracking[[#This Row],[Type]]="Outflow",-Tracking[[#This Row],[Amount(USD)]],0)</f>
        <v>0</v>
      </c>
      <c r="J207" s="140" t="str">
        <f t="shared" si="60"/>
        <v>EUR</v>
      </c>
      <c r="K207" s="151">
        <f>IFERROR(K206+Tracking[[#This Row],[Cash In]]+Tracking[[#This Row],[Cash Out]],0)</f>
        <v>-3933</v>
      </c>
      <c r="L207" s="151">
        <f>Tracking[[#This Row],[Running Balance]]*Settings!$E$15</f>
        <v>-3382.38</v>
      </c>
    </row>
    <row r="208" spans="3:12" x14ac:dyDescent="0.3">
      <c r="C208" s="123">
        <f>'Cash Flow Entry'!C208</f>
        <v>45496</v>
      </c>
      <c r="D208" s="126" t="str">
        <f t="shared" ref="D208:F208" si="67">IF(OR(ISBLANK(E208), E208=0),"N/A",E208)</f>
        <v>N/A</v>
      </c>
      <c r="E208" s="126" t="str">
        <f t="shared" si="67"/>
        <v>N/A</v>
      </c>
      <c r="F208" s="124" t="str">
        <f t="shared" si="67"/>
        <v>N/A</v>
      </c>
      <c r="G208" s="127">
        <f>'Cash Flow Entry'!F208</f>
        <v>0</v>
      </c>
      <c r="H208" s="128">
        <f>IF(Tracking[[#This Row],[Type]]="Inflow",Tracking[[#This Row],[Amount(USD)]],0)</f>
        <v>0</v>
      </c>
      <c r="I208" s="129">
        <f>IF(Tracking[[#This Row],[Type]]="Outflow",-Tracking[[#This Row],[Amount(USD)]],0)</f>
        <v>0</v>
      </c>
      <c r="J208" s="140" t="str">
        <f t="shared" si="60"/>
        <v>EUR</v>
      </c>
      <c r="K208" s="151">
        <f>IFERROR(K207+Tracking[[#This Row],[Cash In]]+Tracking[[#This Row],[Cash Out]],0)</f>
        <v>-3933</v>
      </c>
      <c r="L208" s="151">
        <f>Tracking[[#This Row],[Running Balance]]*Settings!$E$15</f>
        <v>-3382.38</v>
      </c>
    </row>
    <row r="209" spans="3:12" x14ac:dyDescent="0.3">
      <c r="C209" s="123">
        <f>'Cash Flow Entry'!C209</f>
        <v>45497</v>
      </c>
      <c r="D209" s="126" t="str">
        <f>'Cash Flow Entry'!H209</f>
        <v>Outflow</v>
      </c>
      <c r="E209" s="124" t="str">
        <f>'Cash Flow Entry'!D209</f>
        <v>Operating</v>
      </c>
      <c r="F209" s="124" t="str">
        <f>'Cash Flow Entry'!E209</f>
        <v>Cash paid for Operating expenses</v>
      </c>
      <c r="G209" s="127">
        <f>'Cash Flow Entry'!F209</f>
        <v>1000</v>
      </c>
      <c r="H209" s="128">
        <f>IF(Tracking[[#This Row],[Type]]="Inflow",Tracking[[#This Row],[Amount(USD)]],0)</f>
        <v>0</v>
      </c>
      <c r="I209" s="129">
        <f>IF(Tracking[[#This Row],[Type]]="Outflow",-Tracking[[#This Row],[Amount(USD)]],0)</f>
        <v>-1000</v>
      </c>
      <c r="J209" s="140" t="str">
        <f t="shared" si="60"/>
        <v>EUR</v>
      </c>
      <c r="K209" s="151">
        <f>IFERROR(K208+Tracking[[#This Row],[Cash In]]+Tracking[[#This Row],[Cash Out]],0)</f>
        <v>-4933</v>
      </c>
      <c r="L209" s="151">
        <f>Tracking[[#This Row],[Running Balance]]*Settings!$E$15</f>
        <v>-4242.38</v>
      </c>
    </row>
    <row r="210" spans="3:12" x14ac:dyDescent="0.3">
      <c r="C210" s="123">
        <f>'Cash Flow Entry'!C210</f>
        <v>45498</v>
      </c>
      <c r="D210" s="126" t="str">
        <f t="shared" ref="D210:F210" si="68">IF(OR(ISBLANK(E210), E210=0),"N/A",E210)</f>
        <v>N/A</v>
      </c>
      <c r="E210" s="126" t="str">
        <f t="shared" si="68"/>
        <v>N/A</v>
      </c>
      <c r="F210" s="124" t="str">
        <f t="shared" si="68"/>
        <v>N/A</v>
      </c>
      <c r="G210" s="127">
        <f>'Cash Flow Entry'!F210</f>
        <v>0</v>
      </c>
      <c r="H210" s="128">
        <f>IF(Tracking[[#This Row],[Type]]="Inflow",Tracking[[#This Row],[Amount(USD)]],0)</f>
        <v>0</v>
      </c>
      <c r="I210" s="129">
        <f>IF(Tracking[[#This Row],[Type]]="Outflow",-Tracking[[#This Row],[Amount(USD)]],0)</f>
        <v>0</v>
      </c>
      <c r="J210" s="140" t="str">
        <f t="shared" si="60"/>
        <v>EUR</v>
      </c>
      <c r="K210" s="151">
        <f>IFERROR(K209+Tracking[[#This Row],[Cash In]]+Tracking[[#This Row],[Cash Out]],0)</f>
        <v>-4933</v>
      </c>
      <c r="L210" s="151">
        <f>Tracking[[#This Row],[Running Balance]]*Settings!$E$15</f>
        <v>-4242.38</v>
      </c>
    </row>
    <row r="211" spans="3:12" x14ac:dyDescent="0.3">
      <c r="C211" s="123">
        <f>'Cash Flow Entry'!C211</f>
        <v>45499</v>
      </c>
      <c r="D211" s="126" t="str">
        <f t="shared" ref="D211:F211" si="69">IF(OR(ISBLANK(E211), E211=0),"N/A",E211)</f>
        <v>N/A</v>
      </c>
      <c r="E211" s="126" t="str">
        <f t="shared" si="69"/>
        <v>N/A</v>
      </c>
      <c r="F211" s="124" t="str">
        <f t="shared" si="69"/>
        <v>N/A</v>
      </c>
      <c r="G211" s="127">
        <f>'Cash Flow Entry'!F211</f>
        <v>0</v>
      </c>
      <c r="H211" s="128">
        <f>IF(Tracking[[#This Row],[Type]]="Inflow",Tracking[[#This Row],[Amount(USD)]],0)</f>
        <v>0</v>
      </c>
      <c r="I211" s="129">
        <f>IF(Tracking[[#This Row],[Type]]="Outflow",-Tracking[[#This Row],[Amount(USD)]],0)</f>
        <v>0</v>
      </c>
      <c r="J211" s="140" t="str">
        <f t="shared" si="60"/>
        <v>EUR</v>
      </c>
      <c r="K211" s="151">
        <f>IFERROR(K210+Tracking[[#This Row],[Cash In]]+Tracking[[#This Row],[Cash Out]],0)</f>
        <v>-4933</v>
      </c>
      <c r="L211" s="151">
        <f>Tracking[[#This Row],[Running Balance]]*Settings!$E$15</f>
        <v>-4242.38</v>
      </c>
    </row>
    <row r="212" spans="3:12" x14ac:dyDescent="0.3">
      <c r="C212" s="123">
        <f>'Cash Flow Entry'!C212</f>
        <v>45500</v>
      </c>
      <c r="D212" s="126" t="str">
        <f t="shared" ref="D212:F212" si="70">IF(OR(ISBLANK(E212), E212=0),"N/A",E212)</f>
        <v>N/A</v>
      </c>
      <c r="E212" s="126" t="str">
        <f t="shared" si="70"/>
        <v>N/A</v>
      </c>
      <c r="F212" s="124" t="str">
        <f t="shared" si="70"/>
        <v>N/A</v>
      </c>
      <c r="G212" s="127">
        <f>'Cash Flow Entry'!F212</f>
        <v>0</v>
      </c>
      <c r="H212" s="128">
        <f>IF(Tracking[[#This Row],[Type]]="Inflow",Tracking[[#This Row],[Amount(USD)]],0)</f>
        <v>0</v>
      </c>
      <c r="I212" s="129">
        <f>IF(Tracking[[#This Row],[Type]]="Outflow",-Tracking[[#This Row],[Amount(USD)]],0)</f>
        <v>0</v>
      </c>
      <c r="J212" s="140" t="str">
        <f t="shared" si="60"/>
        <v>EUR</v>
      </c>
      <c r="K212" s="151">
        <f>IFERROR(K211+Tracking[[#This Row],[Cash In]]+Tracking[[#This Row],[Cash Out]],0)</f>
        <v>-4933</v>
      </c>
      <c r="L212" s="151">
        <f>Tracking[[#This Row],[Running Balance]]*Settings!$E$15</f>
        <v>-4242.38</v>
      </c>
    </row>
    <row r="213" spans="3:12" x14ac:dyDescent="0.3">
      <c r="C213" s="123">
        <f>'Cash Flow Entry'!C213</f>
        <v>45501</v>
      </c>
      <c r="D213" s="126" t="str">
        <f>'Cash Flow Entry'!H213</f>
        <v>Outflow</v>
      </c>
      <c r="E213" s="124" t="str">
        <f>'Cash Flow Entry'!D213</f>
        <v>Investing</v>
      </c>
      <c r="F213" s="124" t="str">
        <f>'Cash Flow Entry'!E213</f>
        <v>Purchase of property, plant, or equipment</v>
      </c>
      <c r="G213" s="127">
        <f>'Cash Flow Entry'!F213</f>
        <v>250</v>
      </c>
      <c r="H213" s="128">
        <f>IF(Tracking[[#This Row],[Type]]="Inflow",Tracking[[#This Row],[Amount(USD)]],0)</f>
        <v>0</v>
      </c>
      <c r="I213" s="129">
        <f>IF(Tracking[[#This Row],[Type]]="Outflow",-Tracking[[#This Row],[Amount(USD)]],0)</f>
        <v>-250</v>
      </c>
      <c r="J213" s="140" t="str">
        <f t="shared" si="60"/>
        <v>EUR</v>
      </c>
      <c r="K213" s="151">
        <f>IFERROR(K212+Tracking[[#This Row],[Cash In]]+Tracking[[#This Row],[Cash Out]],0)</f>
        <v>-5183</v>
      </c>
      <c r="L213" s="151">
        <f>Tracking[[#This Row],[Running Balance]]*Settings!$E$15</f>
        <v>-4457.38</v>
      </c>
    </row>
    <row r="214" spans="3:12" x14ac:dyDescent="0.3">
      <c r="C214" s="123">
        <f>'Cash Flow Entry'!C214</f>
        <v>45502</v>
      </c>
      <c r="D214" s="126" t="str">
        <f t="shared" ref="D214:F214" si="71">IF(OR(ISBLANK(E214), E214=0),"N/A",E214)</f>
        <v>N/A</v>
      </c>
      <c r="E214" s="126" t="str">
        <f t="shared" si="71"/>
        <v>N/A</v>
      </c>
      <c r="F214" s="124" t="str">
        <f t="shared" si="71"/>
        <v>N/A</v>
      </c>
      <c r="G214" s="127">
        <f>'Cash Flow Entry'!F214</f>
        <v>0</v>
      </c>
      <c r="H214" s="128">
        <f>IF(Tracking[[#This Row],[Type]]="Inflow",Tracking[[#This Row],[Amount(USD)]],0)</f>
        <v>0</v>
      </c>
      <c r="I214" s="129">
        <f>IF(Tracking[[#This Row],[Type]]="Outflow",-Tracking[[#This Row],[Amount(USD)]],0)</f>
        <v>0</v>
      </c>
      <c r="J214" s="140" t="str">
        <f t="shared" si="60"/>
        <v>EUR</v>
      </c>
      <c r="K214" s="151">
        <f>IFERROR(K213+Tracking[[#This Row],[Cash In]]+Tracking[[#This Row],[Cash Out]],0)</f>
        <v>-5183</v>
      </c>
      <c r="L214" s="151">
        <f>Tracking[[#This Row],[Running Balance]]*Settings!$E$15</f>
        <v>-4457.38</v>
      </c>
    </row>
    <row r="215" spans="3:12" ht="15" thickBot="1" x14ac:dyDescent="0.35">
      <c r="C215" s="123">
        <f>'Cash Flow Entry'!C215</f>
        <v>45503</v>
      </c>
      <c r="D215" s="126" t="str">
        <f t="shared" ref="D215:F215" si="72">IF(OR(ISBLANK(E215), E215=0),"N/A",E215)</f>
        <v>N/A</v>
      </c>
      <c r="E215" s="126" t="str">
        <f t="shared" si="72"/>
        <v>N/A</v>
      </c>
      <c r="F215" s="124" t="str">
        <f t="shared" si="72"/>
        <v>N/A</v>
      </c>
      <c r="G215" s="127">
        <f>'Cash Flow Entry'!F215</f>
        <v>0</v>
      </c>
      <c r="H215" s="128">
        <f>IF(Tracking[[#This Row],[Type]]="Inflow",Tracking[[#This Row],[Amount(USD)]],0)</f>
        <v>0</v>
      </c>
      <c r="I215" s="129">
        <f>IF(Tracking[[#This Row],[Type]]="Outflow",-Tracking[[#This Row],[Amount(USD)]],0)</f>
        <v>0</v>
      </c>
      <c r="J215" s="140" t="str">
        <f t="shared" si="60"/>
        <v>EUR</v>
      </c>
      <c r="K215" s="151">
        <f>IFERROR(K214+Tracking[[#This Row],[Cash In]]+Tracking[[#This Row],[Cash Out]],0)</f>
        <v>-5183</v>
      </c>
      <c r="L215" s="151">
        <f>Tracking[[#This Row],[Running Balance]]*Settings!$E$15</f>
        <v>-4457.38</v>
      </c>
    </row>
    <row r="216" spans="3:12" ht="15" thickBot="1" x14ac:dyDescent="0.35">
      <c r="C216" s="125">
        <f>'Cash Flow Entry'!C216</f>
        <v>45504</v>
      </c>
      <c r="D216" s="109" t="str">
        <f>'Cash Flow Entry'!H216</f>
        <v>Inflow</v>
      </c>
      <c r="E216" s="110" t="str">
        <f>'Cash Flow Entry'!D216</f>
        <v>Operating</v>
      </c>
      <c r="F216" s="110" t="str">
        <f>'Cash Flow Entry'!E216</f>
        <v>Cash-received from customers</v>
      </c>
      <c r="G216" s="131">
        <f>'Cash Flow Entry'!F216</f>
        <v>40000</v>
      </c>
      <c r="H216" s="132">
        <f>IF(Tracking[[#This Row],[Type]]="Inflow",Tracking[[#This Row],[Amount(USD)]],0)</f>
        <v>40000</v>
      </c>
      <c r="I216" s="133">
        <f>IF(Tracking[[#This Row],[Type]]="Outflow",-Tracking[[#This Row],[Amount(USD)]],0)</f>
        <v>0</v>
      </c>
      <c r="J216" s="141" t="str">
        <f t="shared" si="60"/>
        <v>EUR</v>
      </c>
      <c r="K216" s="153">
        <f>IFERROR(K215+Tracking[[#This Row],[Cash In]]+Tracking[[#This Row],[Cash Out]],0)</f>
        <v>34817</v>
      </c>
      <c r="L216" s="153">
        <f>Tracking[[#This Row],[Running Balance]]*Settings!$E$15</f>
        <v>29942.62</v>
      </c>
    </row>
    <row r="217" spans="3:12" x14ac:dyDescent="0.3">
      <c r="C217" s="123">
        <f>'Cash Flow Entry'!C217</f>
        <v>45505</v>
      </c>
      <c r="D217" s="126" t="str">
        <f>'Cash Flow Entry'!H217</f>
        <v>Outflow</v>
      </c>
      <c r="E217" s="124" t="str">
        <f>'Cash Flow Entry'!D217</f>
        <v>Operating</v>
      </c>
      <c r="F217" s="124" t="str">
        <f>'Cash Flow Entry'!E217</f>
        <v>Cash paid for Operating expenses</v>
      </c>
      <c r="G217" s="127">
        <f>'Cash Flow Entry'!F217</f>
        <v>1200</v>
      </c>
      <c r="H217" s="128">
        <f>IF(Tracking[[#This Row],[Type]]="Inflow",Tracking[[#This Row],[Amount(USD)]],0)</f>
        <v>0</v>
      </c>
      <c r="I217" s="129">
        <f>IF(Tracking[[#This Row],[Type]]="Outflow",-Tracking[[#This Row],[Amount(USD)]],0)</f>
        <v>-1200</v>
      </c>
      <c r="J217" s="140" t="str">
        <f t="shared" si="60"/>
        <v>EUR</v>
      </c>
      <c r="K217" s="151">
        <f>IFERROR(K216+Tracking[[#This Row],[Cash In]]+Tracking[[#This Row],[Cash Out]],0)</f>
        <v>33617</v>
      </c>
      <c r="L217" s="151">
        <f>Tracking[[#This Row],[Running Balance]]*Settings!$E$15</f>
        <v>28910.62</v>
      </c>
    </row>
    <row r="218" spans="3:12" x14ac:dyDescent="0.3">
      <c r="C218" s="123">
        <f>'Cash Flow Entry'!C218</f>
        <v>45506</v>
      </c>
      <c r="D218" s="126" t="str">
        <f>'Cash Flow Entry'!H218</f>
        <v>Inflow</v>
      </c>
      <c r="E218" s="124" t="str">
        <f>'Cash Flow Entry'!D218</f>
        <v>Operating</v>
      </c>
      <c r="F218" s="124" t="str">
        <f>'Cash Flow Entry'!E218</f>
        <v>Refund of taxes received</v>
      </c>
      <c r="G218" s="127">
        <f>'Cash Flow Entry'!F218</f>
        <v>1250</v>
      </c>
      <c r="H218" s="128">
        <f>IF(Tracking[[#This Row],[Type]]="Inflow",Tracking[[#This Row],[Amount(USD)]],0)</f>
        <v>1250</v>
      </c>
      <c r="I218" s="129">
        <f>IF(Tracking[[#This Row],[Type]]="Outflow",-Tracking[[#This Row],[Amount(USD)]],0)</f>
        <v>0</v>
      </c>
      <c r="J218" s="140" t="str">
        <f t="shared" si="60"/>
        <v>EUR</v>
      </c>
      <c r="K218" s="151">
        <f>IFERROR(K217+Tracking[[#This Row],[Cash In]]+Tracking[[#This Row],[Cash Out]],0)</f>
        <v>34867</v>
      </c>
      <c r="L218" s="151">
        <f>Tracking[[#This Row],[Running Balance]]*Settings!$E$15</f>
        <v>29985.62</v>
      </c>
    </row>
    <row r="219" spans="3:12" x14ac:dyDescent="0.3">
      <c r="C219" s="123">
        <f>'Cash Flow Entry'!C219</f>
        <v>45507</v>
      </c>
      <c r="D219" s="126" t="str">
        <f t="shared" ref="D219" si="73">IF(OR(ISBLANK(E219), E219=0),"N/A",E219)</f>
        <v>N/A</v>
      </c>
      <c r="E219" s="126" t="str">
        <f t="shared" ref="E219" si="74">IF(OR(ISBLANK(F219), F219=0),"N/A",F219)</f>
        <v>N/A</v>
      </c>
      <c r="F219" s="124" t="str">
        <f t="shared" ref="F219" si="75">IF(OR(ISBLANK(G219), G219=0),"N/A",G219)</f>
        <v>N/A</v>
      </c>
      <c r="G219" s="127">
        <f>'Cash Flow Entry'!F219</f>
        <v>0</v>
      </c>
      <c r="H219" s="128">
        <f>IF(Tracking[[#This Row],[Type]]="Inflow",Tracking[[#This Row],[Amount(USD)]],0)</f>
        <v>0</v>
      </c>
      <c r="I219" s="129">
        <f>IF(Tracking[[#This Row],[Type]]="Outflow",-Tracking[[#This Row],[Amount(USD)]],0)</f>
        <v>0</v>
      </c>
      <c r="J219" s="140" t="str">
        <f t="shared" si="60"/>
        <v>EUR</v>
      </c>
      <c r="K219" s="151">
        <f>IFERROR(K218+Tracking[[#This Row],[Cash In]]+Tracking[[#This Row],[Cash Out]],0)</f>
        <v>34867</v>
      </c>
      <c r="L219" s="151">
        <f>Tracking[[#This Row],[Running Balance]]*Settings!$E$15</f>
        <v>29985.62</v>
      </c>
    </row>
    <row r="220" spans="3:12" x14ac:dyDescent="0.3">
      <c r="C220" s="123">
        <f>'Cash Flow Entry'!C220</f>
        <v>45508</v>
      </c>
      <c r="D220" s="126" t="str">
        <f>'Cash Flow Entry'!H220</f>
        <v>Outflow</v>
      </c>
      <c r="E220" s="124" t="str">
        <f>'Cash Flow Entry'!D220</f>
        <v>Operating</v>
      </c>
      <c r="F220" s="124" t="str">
        <f>'Cash Flow Entry'!E220</f>
        <v>Cash paid to employees</v>
      </c>
      <c r="G220" s="127">
        <f>'Cash Flow Entry'!F220</f>
        <v>14000</v>
      </c>
      <c r="H220" s="128">
        <f>IF(Tracking[[#This Row],[Type]]="Inflow",Tracking[[#This Row],[Amount(USD)]],0)</f>
        <v>0</v>
      </c>
      <c r="I220" s="129">
        <f>IF(Tracking[[#This Row],[Type]]="Outflow",-Tracking[[#This Row],[Amount(USD)]],0)</f>
        <v>-14000</v>
      </c>
      <c r="J220" s="140" t="str">
        <f t="shared" si="60"/>
        <v>EUR</v>
      </c>
      <c r="K220" s="151">
        <f>IFERROR(K219+Tracking[[#This Row],[Cash In]]+Tracking[[#This Row],[Cash Out]],0)</f>
        <v>20867</v>
      </c>
      <c r="L220" s="151">
        <f>Tracking[[#This Row],[Running Balance]]*Settings!$E$15</f>
        <v>17945.62</v>
      </c>
    </row>
    <row r="221" spans="3:12" x14ac:dyDescent="0.3">
      <c r="C221" s="123">
        <f>'Cash Flow Entry'!C221</f>
        <v>45509</v>
      </c>
      <c r="D221" s="126" t="str">
        <f t="shared" ref="D221" si="76">IF(OR(ISBLANK(E221), E221=0),"N/A",E221)</f>
        <v>N/A</v>
      </c>
      <c r="E221" s="126" t="str">
        <f t="shared" ref="E221" si="77">IF(OR(ISBLANK(F221), F221=0),"N/A",F221)</f>
        <v>N/A</v>
      </c>
      <c r="F221" s="124" t="str">
        <f t="shared" ref="F221" si="78">IF(OR(ISBLANK(G221), G221=0),"N/A",G221)</f>
        <v>N/A</v>
      </c>
      <c r="G221" s="127">
        <f>'Cash Flow Entry'!F221</f>
        <v>0</v>
      </c>
      <c r="H221" s="128">
        <f>IF(Tracking[[#This Row],[Type]]="Inflow",Tracking[[#This Row],[Amount(USD)]],0)</f>
        <v>0</v>
      </c>
      <c r="I221" s="129">
        <f>IF(Tracking[[#This Row],[Type]]="Outflow",-Tracking[[#This Row],[Amount(USD)]],0)</f>
        <v>0</v>
      </c>
      <c r="J221" s="140" t="str">
        <f t="shared" si="60"/>
        <v>EUR</v>
      </c>
      <c r="K221" s="151">
        <f>IFERROR(K220+Tracking[[#This Row],[Cash In]]+Tracking[[#This Row],[Cash Out]],0)</f>
        <v>20867</v>
      </c>
      <c r="L221" s="151">
        <f>Tracking[[#This Row],[Running Balance]]*Settings!$E$15</f>
        <v>17945.62</v>
      </c>
    </row>
    <row r="222" spans="3:12" x14ac:dyDescent="0.3">
      <c r="C222" s="123">
        <f>'Cash Flow Entry'!C222</f>
        <v>45510</v>
      </c>
      <c r="D222" s="126" t="str">
        <f>'Cash Flow Entry'!H222</f>
        <v>Outflow</v>
      </c>
      <c r="E222" s="124" t="str">
        <f>'Cash Flow Entry'!D222</f>
        <v>Operating</v>
      </c>
      <c r="F222" s="124" t="str">
        <f>'Cash Flow Entry'!E222</f>
        <v>Cash-paid to suppliers</v>
      </c>
      <c r="G222" s="127">
        <f>'Cash Flow Entry'!F222</f>
        <v>45000</v>
      </c>
      <c r="H222" s="128">
        <f>IF(Tracking[[#This Row],[Type]]="Inflow",Tracking[[#This Row],[Amount(USD)]],0)</f>
        <v>0</v>
      </c>
      <c r="I222" s="129">
        <f>IF(Tracking[[#This Row],[Type]]="Outflow",-Tracking[[#This Row],[Amount(USD)]],0)</f>
        <v>-45000</v>
      </c>
      <c r="J222" s="140" t="str">
        <f t="shared" si="60"/>
        <v>EUR</v>
      </c>
      <c r="K222" s="151">
        <f>IFERROR(K221+Tracking[[#This Row],[Cash In]]+Tracking[[#This Row],[Cash Out]],0)</f>
        <v>-24133</v>
      </c>
      <c r="L222" s="151">
        <f>Tracking[[#This Row],[Running Balance]]*Settings!$E$15</f>
        <v>-20754.38</v>
      </c>
    </row>
    <row r="223" spans="3:12" x14ac:dyDescent="0.3">
      <c r="C223" s="123">
        <f>'Cash Flow Entry'!C223</f>
        <v>45511</v>
      </c>
      <c r="D223" s="126" t="str">
        <f t="shared" ref="D223" si="79">IF(OR(ISBLANK(E223), E223=0),"N/A",E223)</f>
        <v>N/A</v>
      </c>
      <c r="E223" s="126" t="str">
        <f t="shared" ref="E223" si="80">IF(OR(ISBLANK(F223), F223=0),"N/A",F223)</f>
        <v>N/A</v>
      </c>
      <c r="F223" s="124" t="str">
        <f t="shared" ref="F223" si="81">IF(OR(ISBLANK(G223), G223=0),"N/A",G223)</f>
        <v>N/A</v>
      </c>
      <c r="G223" s="127">
        <f>'Cash Flow Entry'!F223</f>
        <v>0</v>
      </c>
      <c r="H223" s="128">
        <f>IF(Tracking[[#This Row],[Type]]="Inflow",Tracking[[#This Row],[Amount(USD)]],0)</f>
        <v>0</v>
      </c>
      <c r="I223" s="129">
        <f>IF(Tracking[[#This Row],[Type]]="Outflow",-Tracking[[#This Row],[Amount(USD)]],0)</f>
        <v>0</v>
      </c>
      <c r="J223" s="140" t="str">
        <f t="shared" si="60"/>
        <v>EUR</v>
      </c>
      <c r="K223" s="151">
        <f>IFERROR(K222+Tracking[[#This Row],[Cash In]]+Tracking[[#This Row],[Cash Out]],0)</f>
        <v>-24133</v>
      </c>
      <c r="L223" s="151">
        <f>Tracking[[#This Row],[Running Balance]]*Settings!$E$15</f>
        <v>-20754.38</v>
      </c>
    </row>
    <row r="224" spans="3:12" x14ac:dyDescent="0.3">
      <c r="C224" s="123">
        <f>'Cash Flow Entry'!C224</f>
        <v>45512</v>
      </c>
      <c r="D224" s="126" t="str">
        <f>'Cash Flow Entry'!H224</f>
        <v>Outflow</v>
      </c>
      <c r="E224" s="124" t="str">
        <f>'Cash Flow Entry'!D224</f>
        <v>Financing</v>
      </c>
      <c r="F224" s="124" t="str">
        <f>'Cash Flow Entry'!E224</f>
        <v>Repayment of long-term borrowings</v>
      </c>
      <c r="G224" s="127">
        <f>'Cash Flow Entry'!F224</f>
        <v>15000</v>
      </c>
      <c r="H224" s="128">
        <f>IF(Tracking[[#This Row],[Type]]="Inflow",Tracking[[#This Row],[Amount(USD)]],0)</f>
        <v>0</v>
      </c>
      <c r="I224" s="129">
        <f>IF(Tracking[[#This Row],[Type]]="Outflow",-Tracking[[#This Row],[Amount(USD)]],0)</f>
        <v>-15000</v>
      </c>
      <c r="J224" s="140" t="str">
        <f t="shared" si="60"/>
        <v>EUR</v>
      </c>
      <c r="K224" s="151">
        <f>IFERROR(K223+Tracking[[#This Row],[Cash In]]+Tracking[[#This Row],[Cash Out]],0)</f>
        <v>-39133</v>
      </c>
      <c r="L224" s="151">
        <f>Tracking[[#This Row],[Running Balance]]*Settings!$E$15</f>
        <v>-33654.379999999997</v>
      </c>
    </row>
    <row r="225" spans="3:12" x14ac:dyDescent="0.3">
      <c r="C225" s="123">
        <f>'Cash Flow Entry'!C225</f>
        <v>45513</v>
      </c>
      <c r="D225" s="126" t="str">
        <f t="shared" ref="D225" si="82">IF(OR(ISBLANK(E225), E225=0),"N/A",E225)</f>
        <v>N/A</v>
      </c>
      <c r="E225" s="126" t="str">
        <f t="shared" ref="E225" si="83">IF(OR(ISBLANK(F225), F225=0),"N/A",F225)</f>
        <v>N/A</v>
      </c>
      <c r="F225" s="124" t="str">
        <f t="shared" ref="F225" si="84">IF(OR(ISBLANK(G225), G225=0),"N/A",G225)</f>
        <v>N/A</v>
      </c>
      <c r="G225" s="127">
        <f>'Cash Flow Entry'!F225</f>
        <v>0</v>
      </c>
      <c r="H225" s="128">
        <f>IF(Tracking[[#This Row],[Type]]="Inflow",Tracking[[#This Row],[Amount(USD)]],0)</f>
        <v>0</v>
      </c>
      <c r="I225" s="129">
        <f>IF(Tracking[[#This Row],[Type]]="Outflow",-Tracking[[#This Row],[Amount(USD)]],0)</f>
        <v>0</v>
      </c>
      <c r="J225" s="140" t="str">
        <f t="shared" si="60"/>
        <v>EUR</v>
      </c>
      <c r="K225" s="151">
        <f>IFERROR(K224+Tracking[[#This Row],[Cash In]]+Tracking[[#This Row],[Cash Out]],0)</f>
        <v>-39133</v>
      </c>
      <c r="L225" s="151">
        <f>Tracking[[#This Row],[Running Balance]]*Settings!$E$15</f>
        <v>-33654.379999999997</v>
      </c>
    </row>
    <row r="226" spans="3:12" x14ac:dyDescent="0.3">
      <c r="C226" s="123">
        <f>'Cash Flow Entry'!C226</f>
        <v>45514</v>
      </c>
      <c r="D226" s="126" t="str">
        <f>'Cash Flow Entry'!H226</f>
        <v>Inflow</v>
      </c>
      <c r="E226" s="124" t="str">
        <f>'Cash Flow Entry'!D226</f>
        <v>Operating</v>
      </c>
      <c r="F226" s="124" t="str">
        <f>'Cash Flow Entry'!E226</f>
        <v>Cash received from other operating income</v>
      </c>
      <c r="G226" s="127">
        <f>'Cash Flow Entry'!F226</f>
        <v>2400</v>
      </c>
      <c r="H226" s="128">
        <f>IF(Tracking[[#This Row],[Type]]="Inflow",Tracking[[#This Row],[Amount(USD)]],0)</f>
        <v>2400</v>
      </c>
      <c r="I226" s="129">
        <f>IF(Tracking[[#This Row],[Type]]="Outflow",-Tracking[[#This Row],[Amount(USD)]],0)</f>
        <v>0</v>
      </c>
      <c r="J226" s="140" t="str">
        <f t="shared" si="60"/>
        <v>EUR</v>
      </c>
      <c r="K226" s="151">
        <f>IFERROR(K225+Tracking[[#This Row],[Cash In]]+Tracking[[#This Row],[Cash Out]],0)</f>
        <v>-36733</v>
      </c>
      <c r="L226" s="151">
        <f>Tracking[[#This Row],[Running Balance]]*Settings!$E$15</f>
        <v>-31590.38</v>
      </c>
    </row>
    <row r="227" spans="3:12" x14ac:dyDescent="0.3">
      <c r="C227" s="123">
        <f>'Cash Flow Entry'!C227</f>
        <v>45515</v>
      </c>
      <c r="D227" s="126" t="str">
        <f>'Cash Flow Entry'!H227</f>
        <v>Outflow</v>
      </c>
      <c r="E227" s="124" t="str">
        <f>'Cash Flow Entry'!D227</f>
        <v>Investing</v>
      </c>
      <c r="F227" s="124" t="str">
        <f>'Cash Flow Entry'!E227</f>
        <v>Purchase of investments</v>
      </c>
      <c r="G227" s="127">
        <f>'Cash Flow Entry'!F227</f>
        <v>20000</v>
      </c>
      <c r="H227" s="128">
        <f>IF(Tracking[[#This Row],[Type]]="Inflow",Tracking[[#This Row],[Amount(USD)]],0)</f>
        <v>0</v>
      </c>
      <c r="I227" s="129">
        <f>IF(Tracking[[#This Row],[Type]]="Outflow",-Tracking[[#This Row],[Amount(USD)]],0)</f>
        <v>-20000</v>
      </c>
      <c r="J227" s="140" t="str">
        <f t="shared" si="60"/>
        <v>EUR</v>
      </c>
      <c r="K227" s="151">
        <f>IFERROR(K226+Tracking[[#This Row],[Cash In]]+Tracking[[#This Row],[Cash Out]],0)</f>
        <v>-56733</v>
      </c>
      <c r="L227" s="151">
        <f>Tracking[[#This Row],[Running Balance]]*Settings!$E$15</f>
        <v>-48790.38</v>
      </c>
    </row>
    <row r="228" spans="3:12" x14ac:dyDescent="0.3">
      <c r="C228" s="123">
        <f>'Cash Flow Entry'!C228</f>
        <v>45516</v>
      </c>
      <c r="D228" s="126" t="str">
        <f t="shared" ref="D228:D229" si="85">IF(OR(ISBLANK(E228), E228=0),"N/A",E228)</f>
        <v>N/A</v>
      </c>
      <c r="E228" s="126" t="str">
        <f t="shared" ref="E228:E229" si="86">IF(OR(ISBLANK(F228), F228=0),"N/A",F228)</f>
        <v>N/A</v>
      </c>
      <c r="F228" s="124" t="str">
        <f t="shared" ref="F228:F229" si="87">IF(OR(ISBLANK(G228), G228=0),"N/A",G228)</f>
        <v>N/A</v>
      </c>
      <c r="G228" s="127">
        <f>'Cash Flow Entry'!F228</f>
        <v>0</v>
      </c>
      <c r="H228" s="128">
        <f>IF(Tracking[[#This Row],[Type]]="Inflow",Tracking[[#This Row],[Amount(USD)]],0)</f>
        <v>0</v>
      </c>
      <c r="I228" s="129">
        <f>IF(Tracking[[#This Row],[Type]]="Outflow",-Tracking[[#This Row],[Amount(USD)]],0)</f>
        <v>0</v>
      </c>
      <c r="J228" s="140" t="str">
        <f t="shared" si="60"/>
        <v>EUR</v>
      </c>
      <c r="K228" s="151">
        <f>IFERROR(K227+Tracking[[#This Row],[Cash In]]+Tracking[[#This Row],[Cash Out]],0)</f>
        <v>-56733</v>
      </c>
      <c r="L228" s="151">
        <f>Tracking[[#This Row],[Running Balance]]*Settings!$E$15</f>
        <v>-48790.38</v>
      </c>
    </row>
    <row r="229" spans="3:12" x14ac:dyDescent="0.3">
      <c r="C229" s="123">
        <f>'Cash Flow Entry'!C229</f>
        <v>45517</v>
      </c>
      <c r="D229" s="126" t="str">
        <f t="shared" si="85"/>
        <v>N/A</v>
      </c>
      <c r="E229" s="126" t="str">
        <f t="shared" si="86"/>
        <v>N/A</v>
      </c>
      <c r="F229" s="124" t="str">
        <f t="shared" si="87"/>
        <v>N/A</v>
      </c>
      <c r="G229" s="127">
        <f>'Cash Flow Entry'!F229</f>
        <v>0</v>
      </c>
      <c r="H229" s="128">
        <f>IF(Tracking[[#This Row],[Type]]="Inflow",Tracking[[#This Row],[Amount(USD)]],0)</f>
        <v>0</v>
      </c>
      <c r="I229" s="129">
        <f>IF(Tracking[[#This Row],[Type]]="Outflow",-Tracking[[#This Row],[Amount(USD)]],0)</f>
        <v>0</v>
      </c>
      <c r="J229" s="140" t="str">
        <f t="shared" si="60"/>
        <v>EUR</v>
      </c>
      <c r="K229" s="151">
        <f>IFERROR(K228+Tracking[[#This Row],[Cash In]]+Tracking[[#This Row],[Cash Out]],0)</f>
        <v>-56733</v>
      </c>
      <c r="L229" s="151">
        <f>Tracking[[#This Row],[Running Balance]]*Settings!$E$15</f>
        <v>-48790.38</v>
      </c>
    </row>
    <row r="230" spans="3:12" x14ac:dyDescent="0.3">
      <c r="C230" s="123">
        <f>'Cash Flow Entry'!C230</f>
        <v>45518</v>
      </c>
      <c r="D230" s="126" t="str">
        <f>'Cash Flow Entry'!H230</f>
        <v>Inflow</v>
      </c>
      <c r="E230" s="124" t="str">
        <f>'Cash Flow Entry'!D230</f>
        <v>Operating</v>
      </c>
      <c r="F230" s="124" t="str">
        <f>'Cash Flow Entry'!E230</f>
        <v>Cash-received from customers</v>
      </c>
      <c r="G230" s="127">
        <f>'Cash Flow Entry'!F230</f>
        <v>38000</v>
      </c>
      <c r="H230" s="128">
        <f>IF(Tracking[[#This Row],[Type]]="Inflow",Tracking[[#This Row],[Amount(USD)]],0)</f>
        <v>38000</v>
      </c>
      <c r="I230" s="129">
        <f>IF(Tracking[[#This Row],[Type]]="Outflow",-Tracking[[#This Row],[Amount(USD)]],0)</f>
        <v>0</v>
      </c>
      <c r="J230" s="140" t="str">
        <f t="shared" si="60"/>
        <v>EUR</v>
      </c>
      <c r="K230" s="151">
        <f>IFERROR(K229+Tracking[[#This Row],[Cash In]]+Tracking[[#This Row],[Cash Out]],0)</f>
        <v>-18733</v>
      </c>
      <c r="L230" s="151">
        <f>Tracking[[#This Row],[Running Balance]]*Settings!$E$15</f>
        <v>-16110.38</v>
      </c>
    </row>
    <row r="231" spans="3:12" x14ac:dyDescent="0.3">
      <c r="C231" s="123">
        <f>'Cash Flow Entry'!C231</f>
        <v>45519</v>
      </c>
      <c r="D231" s="126" t="str">
        <f t="shared" ref="D231:D232" si="88">IF(OR(ISBLANK(E231), E231=0),"N/A",E231)</f>
        <v>N/A</v>
      </c>
      <c r="E231" s="126" t="str">
        <f t="shared" ref="E231:E232" si="89">IF(OR(ISBLANK(F231), F231=0),"N/A",F231)</f>
        <v>N/A</v>
      </c>
      <c r="F231" s="124" t="str">
        <f t="shared" ref="F231:F232" si="90">IF(OR(ISBLANK(G231), G231=0),"N/A",G231)</f>
        <v>N/A</v>
      </c>
      <c r="G231" s="127">
        <f>'Cash Flow Entry'!F231</f>
        <v>0</v>
      </c>
      <c r="H231" s="128">
        <f>IF(Tracking[[#This Row],[Type]]="Inflow",Tracking[[#This Row],[Amount(USD)]],0)</f>
        <v>0</v>
      </c>
      <c r="I231" s="129">
        <f>IF(Tracking[[#This Row],[Type]]="Outflow",-Tracking[[#This Row],[Amount(USD)]],0)</f>
        <v>0</v>
      </c>
      <c r="J231" s="140" t="str">
        <f t="shared" si="60"/>
        <v>EUR</v>
      </c>
      <c r="K231" s="151">
        <f>IFERROR(K230+Tracking[[#This Row],[Cash In]]+Tracking[[#This Row],[Cash Out]],0)</f>
        <v>-18733</v>
      </c>
      <c r="L231" s="151">
        <f>Tracking[[#This Row],[Running Balance]]*Settings!$E$15</f>
        <v>-16110.38</v>
      </c>
    </row>
    <row r="232" spans="3:12" x14ac:dyDescent="0.3">
      <c r="C232" s="123">
        <f>'Cash Flow Entry'!C232</f>
        <v>45520</v>
      </c>
      <c r="D232" s="126" t="str">
        <f t="shared" si="88"/>
        <v>N/A</v>
      </c>
      <c r="E232" s="126" t="str">
        <f t="shared" si="89"/>
        <v>N/A</v>
      </c>
      <c r="F232" s="124" t="str">
        <f t="shared" si="90"/>
        <v>N/A</v>
      </c>
      <c r="G232" s="127">
        <f>'Cash Flow Entry'!F232</f>
        <v>0</v>
      </c>
      <c r="H232" s="128">
        <f>IF(Tracking[[#This Row],[Type]]="Inflow",Tracking[[#This Row],[Amount(USD)]],0)</f>
        <v>0</v>
      </c>
      <c r="I232" s="129">
        <f>IF(Tracking[[#This Row],[Type]]="Outflow",-Tracking[[#This Row],[Amount(USD)]],0)</f>
        <v>0</v>
      </c>
      <c r="J232" s="140" t="str">
        <f t="shared" si="60"/>
        <v>EUR</v>
      </c>
      <c r="K232" s="151">
        <f>IFERROR(K231+Tracking[[#This Row],[Cash In]]+Tracking[[#This Row],[Cash Out]],0)</f>
        <v>-18733</v>
      </c>
      <c r="L232" s="151">
        <f>Tracking[[#This Row],[Running Balance]]*Settings!$E$15</f>
        <v>-16110.38</v>
      </c>
    </row>
    <row r="233" spans="3:12" x14ac:dyDescent="0.3">
      <c r="C233" s="123">
        <f>'Cash Flow Entry'!C233</f>
        <v>45521</v>
      </c>
      <c r="D233" s="126" t="str">
        <f>'Cash Flow Entry'!H233</f>
        <v>Inflow</v>
      </c>
      <c r="E233" s="124" t="str">
        <f>'Cash Flow Entry'!D233</f>
        <v>Investing</v>
      </c>
      <c r="F233" s="124" t="str">
        <f>'Cash Flow Entry'!E233</f>
        <v>Interest Received</v>
      </c>
      <c r="G233" s="127">
        <f>'Cash Flow Entry'!F233</f>
        <v>677</v>
      </c>
      <c r="H233" s="128">
        <f>IF(Tracking[[#This Row],[Type]]="Inflow",Tracking[[#This Row],[Amount(USD)]],0)</f>
        <v>677</v>
      </c>
      <c r="I233" s="129">
        <f>IF(Tracking[[#This Row],[Type]]="Outflow",-Tracking[[#This Row],[Amount(USD)]],0)</f>
        <v>0</v>
      </c>
      <c r="J233" s="140" t="str">
        <f t="shared" si="60"/>
        <v>EUR</v>
      </c>
      <c r="K233" s="151">
        <f>IFERROR(K232+Tracking[[#This Row],[Cash In]]+Tracking[[#This Row],[Cash Out]],0)</f>
        <v>-18056</v>
      </c>
      <c r="L233" s="151">
        <f>Tracking[[#This Row],[Running Balance]]*Settings!$E$15</f>
        <v>-15528.16</v>
      </c>
    </row>
    <row r="234" spans="3:12" x14ac:dyDescent="0.3">
      <c r="C234" s="123">
        <f>'Cash Flow Entry'!C234</f>
        <v>45522</v>
      </c>
      <c r="D234" s="126" t="str">
        <f t="shared" ref="D234:D237" si="91">IF(OR(ISBLANK(E234), E234=0),"N/A",E234)</f>
        <v>N/A</v>
      </c>
      <c r="E234" s="126" t="str">
        <f t="shared" ref="E234:E237" si="92">IF(OR(ISBLANK(F234), F234=0),"N/A",F234)</f>
        <v>N/A</v>
      </c>
      <c r="F234" s="124" t="str">
        <f t="shared" ref="F234:F237" si="93">IF(OR(ISBLANK(G234), G234=0),"N/A",G234)</f>
        <v>N/A</v>
      </c>
      <c r="G234" s="127">
        <f>'Cash Flow Entry'!F234</f>
        <v>0</v>
      </c>
      <c r="H234" s="128">
        <f>IF(Tracking[[#This Row],[Type]]="Inflow",Tracking[[#This Row],[Amount(USD)]],0)</f>
        <v>0</v>
      </c>
      <c r="I234" s="129">
        <f>IF(Tracking[[#This Row],[Type]]="Outflow",-Tracking[[#This Row],[Amount(USD)]],0)</f>
        <v>0</v>
      </c>
      <c r="J234" s="140" t="str">
        <f t="shared" si="60"/>
        <v>EUR</v>
      </c>
      <c r="K234" s="151">
        <f>IFERROR(K233+Tracking[[#This Row],[Cash In]]+Tracking[[#This Row],[Cash Out]],0)</f>
        <v>-18056</v>
      </c>
      <c r="L234" s="151">
        <f>Tracking[[#This Row],[Running Balance]]*Settings!$E$15</f>
        <v>-15528.16</v>
      </c>
    </row>
    <row r="235" spans="3:12" x14ac:dyDescent="0.3">
      <c r="C235" s="123">
        <f>'Cash Flow Entry'!C235</f>
        <v>45523</v>
      </c>
      <c r="D235" s="126" t="str">
        <f t="shared" si="91"/>
        <v>N/A</v>
      </c>
      <c r="E235" s="126" t="str">
        <f t="shared" si="92"/>
        <v>N/A</v>
      </c>
      <c r="F235" s="124" t="str">
        <f t="shared" si="93"/>
        <v>N/A</v>
      </c>
      <c r="G235" s="127">
        <f>'Cash Flow Entry'!F235</f>
        <v>0</v>
      </c>
      <c r="H235" s="128">
        <f>IF(Tracking[[#This Row],[Type]]="Inflow",Tracking[[#This Row],[Amount(USD)]],0)</f>
        <v>0</v>
      </c>
      <c r="I235" s="129">
        <f>IF(Tracking[[#This Row],[Type]]="Outflow",-Tracking[[#This Row],[Amount(USD)]],0)</f>
        <v>0</v>
      </c>
      <c r="J235" s="140" t="str">
        <f t="shared" si="60"/>
        <v>EUR</v>
      </c>
      <c r="K235" s="151">
        <f>IFERROR(K234+Tracking[[#This Row],[Cash In]]+Tracking[[#This Row],[Cash Out]],0)</f>
        <v>-18056</v>
      </c>
      <c r="L235" s="151">
        <f>Tracking[[#This Row],[Running Balance]]*Settings!$E$15</f>
        <v>-15528.16</v>
      </c>
    </row>
    <row r="236" spans="3:12" x14ac:dyDescent="0.3">
      <c r="C236" s="123">
        <f>'Cash Flow Entry'!C236</f>
        <v>45524</v>
      </c>
      <c r="D236" s="126" t="str">
        <f t="shared" si="91"/>
        <v>N/A</v>
      </c>
      <c r="E236" s="126" t="str">
        <f t="shared" si="92"/>
        <v>N/A</v>
      </c>
      <c r="F236" s="124" t="str">
        <f t="shared" si="93"/>
        <v>N/A</v>
      </c>
      <c r="G236" s="127">
        <f>'Cash Flow Entry'!F236</f>
        <v>0</v>
      </c>
      <c r="H236" s="128">
        <f>IF(Tracking[[#This Row],[Type]]="Inflow",Tracking[[#This Row],[Amount(USD)]],0)</f>
        <v>0</v>
      </c>
      <c r="I236" s="129">
        <f>IF(Tracking[[#This Row],[Type]]="Outflow",-Tracking[[#This Row],[Amount(USD)]],0)</f>
        <v>0</v>
      </c>
      <c r="J236" s="140" t="str">
        <f t="shared" si="60"/>
        <v>EUR</v>
      </c>
      <c r="K236" s="151">
        <f>IFERROR(K235+Tracking[[#This Row],[Cash In]]+Tracking[[#This Row],[Cash Out]],0)</f>
        <v>-18056</v>
      </c>
      <c r="L236" s="151">
        <f>Tracking[[#This Row],[Running Balance]]*Settings!$E$15</f>
        <v>-15528.16</v>
      </c>
    </row>
    <row r="237" spans="3:12" x14ac:dyDescent="0.3">
      <c r="C237" s="123">
        <f>'Cash Flow Entry'!C237</f>
        <v>45525</v>
      </c>
      <c r="D237" s="126" t="str">
        <f t="shared" si="91"/>
        <v>N/A</v>
      </c>
      <c r="E237" s="126" t="str">
        <f t="shared" si="92"/>
        <v>N/A</v>
      </c>
      <c r="F237" s="124" t="str">
        <f t="shared" si="93"/>
        <v>N/A</v>
      </c>
      <c r="G237" s="127">
        <f>'Cash Flow Entry'!F237</f>
        <v>0</v>
      </c>
      <c r="H237" s="128">
        <f>IF(Tracking[[#This Row],[Type]]="Inflow",Tracking[[#This Row],[Amount(USD)]],0)</f>
        <v>0</v>
      </c>
      <c r="I237" s="129">
        <f>IF(Tracking[[#This Row],[Type]]="Outflow",-Tracking[[#This Row],[Amount(USD)]],0)</f>
        <v>0</v>
      </c>
      <c r="J237" s="140" t="str">
        <f t="shared" si="60"/>
        <v>EUR</v>
      </c>
      <c r="K237" s="151">
        <f>IFERROR(K236+Tracking[[#This Row],[Cash In]]+Tracking[[#This Row],[Cash Out]],0)</f>
        <v>-18056</v>
      </c>
      <c r="L237" s="151">
        <f>Tracking[[#This Row],[Running Balance]]*Settings!$E$15</f>
        <v>-15528.16</v>
      </c>
    </row>
    <row r="238" spans="3:12" x14ac:dyDescent="0.3">
      <c r="C238" s="123">
        <f>'Cash Flow Entry'!C238</f>
        <v>45526</v>
      </c>
      <c r="D238" s="126" t="str">
        <f>'Cash Flow Entry'!H238</f>
        <v>Inflow</v>
      </c>
      <c r="E238" s="124" t="str">
        <f>'Cash Flow Entry'!D238</f>
        <v>Operating</v>
      </c>
      <c r="F238" s="124" t="str">
        <f>'Cash Flow Entry'!E238</f>
        <v>Cash-received from customers</v>
      </c>
      <c r="G238" s="127">
        <f>'Cash Flow Entry'!F238</f>
        <v>25000</v>
      </c>
      <c r="H238" s="128">
        <f>IF(Tracking[[#This Row],[Type]]="Inflow",Tracking[[#This Row],[Amount(USD)]],0)</f>
        <v>25000</v>
      </c>
      <c r="I238" s="129">
        <f>IF(Tracking[[#This Row],[Type]]="Outflow",-Tracking[[#This Row],[Amount(USD)]],0)</f>
        <v>0</v>
      </c>
      <c r="J238" s="140" t="str">
        <f t="shared" si="60"/>
        <v>EUR</v>
      </c>
      <c r="K238" s="151">
        <f>IFERROR(K237+Tracking[[#This Row],[Cash In]]+Tracking[[#This Row],[Cash Out]],0)</f>
        <v>6944</v>
      </c>
      <c r="L238" s="151">
        <f>Tracking[[#This Row],[Running Balance]]*Settings!$E$15</f>
        <v>5971.84</v>
      </c>
    </row>
    <row r="239" spans="3:12" x14ac:dyDescent="0.3">
      <c r="C239" s="123">
        <f>'Cash Flow Entry'!C239</f>
        <v>45527</v>
      </c>
      <c r="D239" s="126" t="str">
        <f>'Cash Flow Entry'!H239</f>
        <v>Outflow</v>
      </c>
      <c r="E239" s="124" t="str">
        <f>'Cash Flow Entry'!D239</f>
        <v>Operating</v>
      </c>
      <c r="F239" s="124" t="str">
        <f>'Cash Flow Entry'!E239</f>
        <v>Cash paid for Operating expenses</v>
      </c>
      <c r="G239" s="127">
        <f>'Cash Flow Entry'!F239</f>
        <v>1400</v>
      </c>
      <c r="H239" s="128">
        <f>IF(Tracking[[#This Row],[Type]]="Inflow",Tracking[[#This Row],[Amount(USD)]],0)</f>
        <v>0</v>
      </c>
      <c r="I239" s="129">
        <f>IF(Tracking[[#This Row],[Type]]="Outflow",-Tracking[[#This Row],[Amount(USD)]],0)</f>
        <v>-1400</v>
      </c>
      <c r="J239" s="140" t="str">
        <f t="shared" si="60"/>
        <v>EUR</v>
      </c>
      <c r="K239" s="151">
        <f>IFERROR(K238+Tracking[[#This Row],[Cash In]]+Tracking[[#This Row],[Cash Out]],0)</f>
        <v>5544</v>
      </c>
      <c r="L239" s="151">
        <f>Tracking[[#This Row],[Running Balance]]*Settings!$E$15</f>
        <v>4767.84</v>
      </c>
    </row>
    <row r="240" spans="3:12" x14ac:dyDescent="0.3">
      <c r="C240" s="123">
        <f>'Cash Flow Entry'!C240</f>
        <v>45528</v>
      </c>
      <c r="D240" s="126" t="str">
        <f t="shared" ref="D240" si="94">IF(OR(ISBLANK(E240), E240=0),"N/A",E240)</f>
        <v>N/A</v>
      </c>
      <c r="E240" s="126" t="str">
        <f t="shared" ref="E240" si="95">IF(OR(ISBLANK(F240), F240=0),"N/A",F240)</f>
        <v>N/A</v>
      </c>
      <c r="F240" s="124" t="str">
        <f t="shared" ref="F240" si="96">IF(OR(ISBLANK(G240), G240=0),"N/A",G240)</f>
        <v>N/A</v>
      </c>
      <c r="G240" s="127">
        <f>'Cash Flow Entry'!F240</f>
        <v>0</v>
      </c>
      <c r="H240" s="128">
        <f>IF(Tracking[[#This Row],[Type]]="Inflow",Tracking[[#This Row],[Amount(USD)]],0)</f>
        <v>0</v>
      </c>
      <c r="I240" s="129">
        <f>IF(Tracking[[#This Row],[Type]]="Outflow",-Tracking[[#This Row],[Amount(USD)]],0)</f>
        <v>0</v>
      </c>
      <c r="J240" s="140" t="str">
        <f t="shared" si="60"/>
        <v>EUR</v>
      </c>
      <c r="K240" s="151">
        <f>IFERROR(K239+Tracking[[#This Row],[Cash In]]+Tracking[[#This Row],[Cash Out]],0)</f>
        <v>5544</v>
      </c>
      <c r="L240" s="151">
        <f>Tracking[[#This Row],[Running Balance]]*Settings!$E$15</f>
        <v>4767.84</v>
      </c>
    </row>
    <row r="241" spans="3:12" x14ac:dyDescent="0.3">
      <c r="C241" s="123">
        <f>'Cash Flow Entry'!C241</f>
        <v>45529</v>
      </c>
      <c r="D241" s="126" t="str">
        <f>'Cash Flow Entry'!H241</f>
        <v>Outflow</v>
      </c>
      <c r="E241" s="124" t="str">
        <f>'Cash Flow Entry'!D241</f>
        <v>Operating</v>
      </c>
      <c r="F241" s="124" t="str">
        <f>'Cash Flow Entry'!E241</f>
        <v>Cash-paid to suppliers</v>
      </c>
      <c r="G241" s="127">
        <f>'Cash Flow Entry'!F241</f>
        <v>29000</v>
      </c>
      <c r="H241" s="128">
        <f>IF(Tracking[[#This Row],[Type]]="Inflow",Tracking[[#This Row],[Amount(USD)]],0)</f>
        <v>0</v>
      </c>
      <c r="I241" s="129">
        <f>IF(Tracking[[#This Row],[Type]]="Outflow",-Tracking[[#This Row],[Amount(USD)]],0)</f>
        <v>-29000</v>
      </c>
      <c r="J241" s="140" t="str">
        <f t="shared" si="60"/>
        <v>EUR</v>
      </c>
      <c r="K241" s="151">
        <f>IFERROR(K240+Tracking[[#This Row],[Cash In]]+Tracking[[#This Row],[Cash Out]],0)</f>
        <v>-23456</v>
      </c>
      <c r="L241" s="151">
        <f>Tracking[[#This Row],[Running Balance]]*Settings!$E$15</f>
        <v>-20172.16</v>
      </c>
    </row>
    <row r="242" spans="3:12" x14ac:dyDescent="0.3">
      <c r="C242" s="123">
        <f>'Cash Flow Entry'!C242</f>
        <v>45530</v>
      </c>
      <c r="D242" s="126" t="str">
        <f t="shared" ref="D242" si="97">IF(OR(ISBLANK(E242), E242=0),"N/A",E242)</f>
        <v>N/A</v>
      </c>
      <c r="E242" s="126" t="str">
        <f t="shared" ref="E242" si="98">IF(OR(ISBLANK(F242), F242=0),"N/A",F242)</f>
        <v>N/A</v>
      </c>
      <c r="F242" s="124" t="str">
        <f t="shared" ref="F242" si="99">IF(OR(ISBLANK(G242), G242=0),"N/A",G242)</f>
        <v>N/A</v>
      </c>
      <c r="G242" s="127">
        <f>'Cash Flow Entry'!F242</f>
        <v>0</v>
      </c>
      <c r="H242" s="128">
        <f>IF(Tracking[[#This Row],[Type]]="Inflow",Tracking[[#This Row],[Amount(USD)]],0)</f>
        <v>0</v>
      </c>
      <c r="I242" s="129">
        <f>IF(Tracking[[#This Row],[Type]]="Outflow",-Tracking[[#This Row],[Amount(USD)]],0)</f>
        <v>0</v>
      </c>
      <c r="J242" s="140" t="str">
        <f t="shared" si="60"/>
        <v>EUR</v>
      </c>
      <c r="K242" s="151">
        <f>IFERROR(K241+Tracking[[#This Row],[Cash In]]+Tracking[[#This Row],[Cash Out]],0)</f>
        <v>-23456</v>
      </c>
      <c r="L242" s="151">
        <f>Tracking[[#This Row],[Running Balance]]*Settings!$E$15</f>
        <v>-20172.16</v>
      </c>
    </row>
    <row r="243" spans="3:12" x14ac:dyDescent="0.3">
      <c r="C243" s="123">
        <f>'Cash Flow Entry'!C243</f>
        <v>45531</v>
      </c>
      <c r="D243" s="126" t="str">
        <f>'Cash Flow Entry'!H243</f>
        <v>Outflow</v>
      </c>
      <c r="E243" s="124" t="str">
        <f>'Cash Flow Entry'!D243</f>
        <v>Operating</v>
      </c>
      <c r="F243" s="124" t="str">
        <f>'Cash Flow Entry'!E243</f>
        <v>Cash-paid to suppliers</v>
      </c>
      <c r="G243" s="127">
        <f>'Cash Flow Entry'!F243</f>
        <v>6000</v>
      </c>
      <c r="H243" s="128">
        <f>IF(Tracking[[#This Row],[Type]]="Inflow",Tracking[[#This Row],[Amount(USD)]],0)</f>
        <v>0</v>
      </c>
      <c r="I243" s="129">
        <f>IF(Tracking[[#This Row],[Type]]="Outflow",-Tracking[[#This Row],[Amount(USD)]],0)</f>
        <v>-6000</v>
      </c>
      <c r="J243" s="140" t="str">
        <f t="shared" si="60"/>
        <v>EUR</v>
      </c>
      <c r="K243" s="151">
        <f>IFERROR(K242+Tracking[[#This Row],[Cash In]]+Tracking[[#This Row],[Cash Out]],0)</f>
        <v>-29456</v>
      </c>
      <c r="L243" s="151">
        <f>Tracking[[#This Row],[Running Balance]]*Settings!$E$15</f>
        <v>-25332.16</v>
      </c>
    </row>
    <row r="244" spans="3:12" x14ac:dyDescent="0.3">
      <c r="C244" s="123">
        <f>'Cash Flow Entry'!C244</f>
        <v>45532</v>
      </c>
      <c r="D244" s="126" t="str">
        <f>'Cash Flow Entry'!H244</f>
        <v>Outflow</v>
      </c>
      <c r="E244" s="124" t="str">
        <f>'Cash Flow Entry'!D244</f>
        <v>Operating</v>
      </c>
      <c r="F244" s="124" t="str">
        <f>'Cash Flow Entry'!E244</f>
        <v>Cash-paid to suppliers</v>
      </c>
      <c r="G244" s="127">
        <f>'Cash Flow Entry'!F244</f>
        <v>5000</v>
      </c>
      <c r="H244" s="128">
        <f>IF(Tracking[[#This Row],[Type]]="Inflow",Tracking[[#This Row],[Amount(USD)]],0)</f>
        <v>0</v>
      </c>
      <c r="I244" s="129">
        <f>IF(Tracking[[#This Row],[Type]]="Outflow",-Tracking[[#This Row],[Amount(USD)]],0)</f>
        <v>-5000</v>
      </c>
      <c r="J244" s="140" t="str">
        <f t="shared" si="60"/>
        <v>EUR</v>
      </c>
      <c r="K244" s="151">
        <f>IFERROR(K243+Tracking[[#This Row],[Cash In]]+Tracking[[#This Row],[Cash Out]],0)</f>
        <v>-34456</v>
      </c>
      <c r="L244" s="151">
        <f>Tracking[[#This Row],[Running Balance]]*Settings!$E$15</f>
        <v>-29632.16</v>
      </c>
    </row>
    <row r="245" spans="3:12" x14ac:dyDescent="0.3">
      <c r="C245" s="123">
        <f>'Cash Flow Entry'!C245</f>
        <v>45533</v>
      </c>
      <c r="D245" s="126" t="str">
        <f t="shared" ref="D245" si="100">IF(OR(ISBLANK(E245), E245=0),"N/A",E245)</f>
        <v>N/A</v>
      </c>
      <c r="E245" s="126" t="str">
        <f t="shared" ref="E245" si="101">IF(OR(ISBLANK(F245), F245=0),"N/A",F245)</f>
        <v>N/A</v>
      </c>
      <c r="F245" s="124" t="str">
        <f t="shared" ref="F245" si="102">IF(OR(ISBLANK(G245), G245=0),"N/A",G245)</f>
        <v>N/A</v>
      </c>
      <c r="G245" s="127">
        <f>'Cash Flow Entry'!F245</f>
        <v>0</v>
      </c>
      <c r="H245" s="128">
        <f>IF(Tracking[[#This Row],[Type]]="Inflow",Tracking[[#This Row],[Amount(USD)]],0)</f>
        <v>0</v>
      </c>
      <c r="I245" s="129">
        <f>IF(Tracking[[#This Row],[Type]]="Outflow",-Tracking[[#This Row],[Amount(USD)]],0)</f>
        <v>0</v>
      </c>
      <c r="J245" s="140" t="str">
        <f t="shared" si="60"/>
        <v>EUR</v>
      </c>
      <c r="K245" s="151">
        <f>IFERROR(K244+Tracking[[#This Row],[Cash In]]+Tracking[[#This Row],[Cash Out]],0)</f>
        <v>-34456</v>
      </c>
      <c r="L245" s="151">
        <f>Tracking[[#This Row],[Running Balance]]*Settings!$E$15</f>
        <v>-29632.16</v>
      </c>
    </row>
    <row r="246" spans="3:12" ht="15" thickBot="1" x14ac:dyDescent="0.35">
      <c r="C246" s="123">
        <f>'Cash Flow Entry'!C246</f>
        <v>45534</v>
      </c>
      <c r="D246" s="126" t="str">
        <f>'Cash Flow Entry'!H246</f>
        <v>Inflow</v>
      </c>
      <c r="E246" s="124" t="str">
        <f>'Cash Flow Entry'!D246</f>
        <v>Operating</v>
      </c>
      <c r="F246" s="124" t="str">
        <f>'Cash Flow Entry'!E246</f>
        <v>Cash-received from customers</v>
      </c>
      <c r="G246" s="127">
        <f>'Cash Flow Entry'!F246</f>
        <v>70000</v>
      </c>
      <c r="H246" s="128">
        <f>IF(Tracking[[#This Row],[Type]]="Inflow",Tracking[[#This Row],[Amount(USD)]],0)</f>
        <v>70000</v>
      </c>
      <c r="I246" s="129">
        <f>IF(Tracking[[#This Row],[Type]]="Outflow",-Tracking[[#This Row],[Amount(USD)]],0)</f>
        <v>0</v>
      </c>
      <c r="J246" s="140" t="str">
        <f t="shared" si="60"/>
        <v>EUR</v>
      </c>
      <c r="K246" s="151">
        <f>IFERROR(K245+Tracking[[#This Row],[Cash In]]+Tracking[[#This Row],[Cash Out]],0)</f>
        <v>35544</v>
      </c>
      <c r="L246" s="151">
        <f>Tracking[[#This Row],[Running Balance]]*Settings!$E$15</f>
        <v>30567.84</v>
      </c>
    </row>
    <row r="247" spans="3:12" ht="15" thickBot="1" x14ac:dyDescent="0.35">
      <c r="C247" s="125">
        <f>'Cash Flow Entry'!C247</f>
        <v>45535</v>
      </c>
      <c r="D247" s="121" t="str">
        <f t="shared" ref="D247:D249" si="103">IF(OR(ISBLANK(E247), E247=0),"N/A",E247)</f>
        <v>N/A</v>
      </c>
      <c r="E247" s="121" t="str">
        <f t="shared" ref="E247:E249" si="104">IF(OR(ISBLANK(F247), F247=0),"N/A",F247)</f>
        <v>N/A</v>
      </c>
      <c r="F247" s="122" t="str">
        <f t="shared" ref="F247:F249" si="105">IF(OR(ISBLANK(G247), G247=0),"N/A",G247)</f>
        <v>N/A</v>
      </c>
      <c r="G247" s="131">
        <f>'Cash Flow Entry'!F247</f>
        <v>0</v>
      </c>
      <c r="H247" s="132">
        <f>IF(Tracking[[#This Row],[Type]]="Inflow",Tracking[[#This Row],[Amount(USD)]],0)</f>
        <v>0</v>
      </c>
      <c r="I247" s="133">
        <f>IF(Tracking[[#This Row],[Type]]="Outflow",-Tracking[[#This Row],[Amount(USD)]],0)</f>
        <v>0</v>
      </c>
      <c r="J247" s="141" t="str">
        <f t="shared" si="60"/>
        <v>EUR</v>
      </c>
      <c r="K247" s="153">
        <f>IFERROR(K246+Tracking[[#This Row],[Cash In]]+Tracking[[#This Row],[Cash Out]],0)</f>
        <v>35544</v>
      </c>
      <c r="L247" s="153">
        <f>Tracking[[#This Row],[Running Balance]]*Settings!$E$15</f>
        <v>30567.84</v>
      </c>
    </row>
    <row r="248" spans="3:12" s="120" customFormat="1" x14ac:dyDescent="0.3">
      <c r="C248" s="123">
        <f>'Cash Flow Entry'!C248</f>
        <v>45536</v>
      </c>
      <c r="D248" s="126" t="str">
        <f t="shared" si="103"/>
        <v>N/A</v>
      </c>
      <c r="E248" s="126" t="str">
        <f t="shared" si="104"/>
        <v>N/A</v>
      </c>
      <c r="F248" s="124" t="str">
        <f t="shared" si="105"/>
        <v>N/A</v>
      </c>
      <c r="G248" s="127">
        <f>'Cash Flow Entry'!F248</f>
        <v>0</v>
      </c>
      <c r="H248" s="128">
        <f>IF(Tracking[[#This Row],[Type]]="Inflow",Tracking[[#This Row],[Amount(USD)]],0)</f>
        <v>0</v>
      </c>
      <c r="I248" s="129">
        <f>IF(Tracking[[#This Row],[Type]]="Outflow",-Tracking[[#This Row],[Amount(USD)]],0)</f>
        <v>0</v>
      </c>
      <c r="J248" s="140" t="str">
        <f t="shared" si="60"/>
        <v>EUR</v>
      </c>
      <c r="K248" s="151">
        <f>IFERROR(K247+Tracking[[#This Row],[Cash In]]+Tracking[[#This Row],[Cash Out]],0)</f>
        <v>35544</v>
      </c>
      <c r="L248" s="151">
        <f>Tracking[[#This Row],[Running Balance]]*Settings!$E$15</f>
        <v>30567.84</v>
      </c>
    </row>
    <row r="249" spans="3:12" x14ac:dyDescent="0.3">
      <c r="C249" s="123">
        <f>'Cash Flow Entry'!C249</f>
        <v>45537</v>
      </c>
      <c r="D249" s="126" t="str">
        <f t="shared" si="103"/>
        <v>N/A</v>
      </c>
      <c r="E249" s="126" t="str">
        <f t="shared" si="104"/>
        <v>N/A</v>
      </c>
      <c r="F249" s="124" t="str">
        <f t="shared" si="105"/>
        <v>N/A</v>
      </c>
      <c r="G249" s="127">
        <f>'Cash Flow Entry'!F249</f>
        <v>0</v>
      </c>
      <c r="H249" s="128">
        <f>IF(Tracking[[#This Row],[Type]]="Inflow",Tracking[[#This Row],[Amount(USD)]],0)</f>
        <v>0</v>
      </c>
      <c r="I249" s="129">
        <f>IF(Tracking[[#This Row],[Type]]="Outflow",-Tracking[[#This Row],[Amount(USD)]],0)</f>
        <v>0</v>
      </c>
      <c r="J249" s="140" t="str">
        <f t="shared" si="60"/>
        <v>EUR</v>
      </c>
      <c r="K249" s="151">
        <f>IFERROR(K248+Tracking[[#This Row],[Cash In]]+Tracking[[#This Row],[Cash Out]],0)</f>
        <v>35544</v>
      </c>
      <c r="L249" s="151">
        <f>Tracking[[#This Row],[Running Balance]]*Settings!$E$15</f>
        <v>30567.84</v>
      </c>
    </row>
    <row r="250" spans="3:12" x14ac:dyDescent="0.3">
      <c r="C250" s="123">
        <f>'Cash Flow Entry'!C250</f>
        <v>45538</v>
      </c>
      <c r="D250" s="126" t="str">
        <f>'Cash Flow Entry'!H250</f>
        <v>Outflow</v>
      </c>
      <c r="E250" s="124" t="str">
        <f>'Cash Flow Entry'!D250</f>
        <v>Operating</v>
      </c>
      <c r="F250" s="124" t="str">
        <f>'Cash Flow Entry'!E250</f>
        <v>Cash-paid to suppliers</v>
      </c>
      <c r="G250" s="127">
        <f>'Cash Flow Entry'!F250</f>
        <v>24000</v>
      </c>
      <c r="H250" s="128">
        <f>IF(Tracking[[#This Row],[Type]]="Inflow",Tracking[[#This Row],[Amount(USD)]],0)</f>
        <v>0</v>
      </c>
      <c r="I250" s="129">
        <f>IF(Tracking[[#This Row],[Type]]="Outflow",-Tracking[[#This Row],[Amount(USD)]],0)</f>
        <v>-24000</v>
      </c>
      <c r="J250" s="140" t="str">
        <f t="shared" si="60"/>
        <v>EUR</v>
      </c>
      <c r="K250" s="151">
        <f>IFERROR(K249+Tracking[[#This Row],[Cash In]]+Tracking[[#This Row],[Cash Out]],0)</f>
        <v>11544</v>
      </c>
      <c r="L250" s="151">
        <f>Tracking[[#This Row],[Running Balance]]*Settings!$E$15</f>
        <v>9927.84</v>
      </c>
    </row>
    <row r="251" spans="3:12" x14ac:dyDescent="0.3">
      <c r="C251" s="123">
        <f>'Cash Flow Entry'!C251</f>
        <v>45539</v>
      </c>
      <c r="D251" s="126" t="str">
        <f>'Cash Flow Entry'!H251</f>
        <v>Outflow</v>
      </c>
      <c r="E251" s="124" t="str">
        <f>'Cash Flow Entry'!D251</f>
        <v>Financing</v>
      </c>
      <c r="F251" s="124" t="str">
        <f>'Cash Flow Entry'!E251</f>
        <v>Repayment of long-term borrowings</v>
      </c>
      <c r="G251" s="127">
        <f>'Cash Flow Entry'!F251</f>
        <v>14000</v>
      </c>
      <c r="H251" s="128">
        <f>IF(Tracking[[#This Row],[Type]]="Inflow",Tracking[[#This Row],[Amount(USD)]],0)</f>
        <v>0</v>
      </c>
      <c r="I251" s="129">
        <f>IF(Tracking[[#This Row],[Type]]="Outflow",-Tracking[[#This Row],[Amount(USD)]],0)</f>
        <v>-14000</v>
      </c>
      <c r="J251" s="140" t="str">
        <f t="shared" si="60"/>
        <v>EUR</v>
      </c>
      <c r="K251" s="151">
        <f>IFERROR(K250+Tracking[[#This Row],[Cash In]]+Tracking[[#This Row],[Cash Out]],0)</f>
        <v>-2456</v>
      </c>
      <c r="L251" s="151">
        <f>Tracking[[#This Row],[Running Balance]]*Settings!$E$15</f>
        <v>-2112.16</v>
      </c>
    </row>
    <row r="252" spans="3:12" x14ac:dyDescent="0.3">
      <c r="C252" s="123">
        <f>'Cash Flow Entry'!C252</f>
        <v>45540</v>
      </c>
      <c r="D252" s="126" t="str">
        <f t="shared" ref="D252" si="106">IF(OR(ISBLANK(E252), E252=0),"N/A",E252)</f>
        <v>N/A</v>
      </c>
      <c r="E252" s="126" t="str">
        <f t="shared" ref="E252" si="107">IF(OR(ISBLANK(F252), F252=0),"N/A",F252)</f>
        <v>N/A</v>
      </c>
      <c r="F252" s="124" t="str">
        <f t="shared" ref="F252" si="108">IF(OR(ISBLANK(G252), G252=0),"N/A",G252)</f>
        <v>N/A</v>
      </c>
      <c r="G252" s="127">
        <f>'Cash Flow Entry'!F252</f>
        <v>0</v>
      </c>
      <c r="H252" s="128">
        <f>IF(Tracking[[#This Row],[Type]]="Inflow",Tracking[[#This Row],[Amount(USD)]],0)</f>
        <v>0</v>
      </c>
      <c r="I252" s="129">
        <f>IF(Tracking[[#This Row],[Type]]="Outflow",-Tracking[[#This Row],[Amount(USD)]],0)</f>
        <v>0</v>
      </c>
      <c r="J252" s="140" t="str">
        <f t="shared" si="60"/>
        <v>EUR</v>
      </c>
      <c r="K252" s="151">
        <f>IFERROR(K251+Tracking[[#This Row],[Cash In]]+Tracking[[#This Row],[Cash Out]],0)</f>
        <v>-2456</v>
      </c>
      <c r="L252" s="151">
        <f>Tracking[[#This Row],[Running Balance]]*Settings!$E$15</f>
        <v>-2112.16</v>
      </c>
    </row>
    <row r="253" spans="3:12" x14ac:dyDescent="0.3">
      <c r="C253" s="123">
        <f>'Cash Flow Entry'!C253</f>
        <v>45541</v>
      </c>
      <c r="D253" s="126" t="str">
        <f>'Cash Flow Entry'!H253</f>
        <v>Outflow</v>
      </c>
      <c r="E253" s="124" t="str">
        <f>'Cash Flow Entry'!D253</f>
        <v>Operating</v>
      </c>
      <c r="F253" s="124" t="str">
        <f>'Cash Flow Entry'!E253</f>
        <v>Cash paid to employees</v>
      </c>
      <c r="G253" s="127">
        <f>'Cash Flow Entry'!F253</f>
        <v>18000</v>
      </c>
      <c r="H253" s="128">
        <f>IF(Tracking[[#This Row],[Type]]="Inflow",Tracking[[#This Row],[Amount(USD)]],0)</f>
        <v>0</v>
      </c>
      <c r="I253" s="129">
        <f>IF(Tracking[[#This Row],[Type]]="Outflow",-Tracking[[#This Row],[Amount(USD)]],0)</f>
        <v>-18000</v>
      </c>
      <c r="J253" s="140" t="str">
        <f t="shared" si="60"/>
        <v>EUR</v>
      </c>
      <c r="K253" s="151">
        <f>IFERROR(K252+Tracking[[#This Row],[Cash In]]+Tracking[[#This Row],[Cash Out]],0)</f>
        <v>-20456</v>
      </c>
      <c r="L253" s="151">
        <f>Tracking[[#This Row],[Running Balance]]*Settings!$E$15</f>
        <v>-17592.16</v>
      </c>
    </row>
    <row r="254" spans="3:12" x14ac:dyDescent="0.3">
      <c r="C254" s="123">
        <f>'Cash Flow Entry'!C254</f>
        <v>45542</v>
      </c>
      <c r="D254" s="126" t="str">
        <f>'Cash Flow Entry'!H254</f>
        <v>Inflow</v>
      </c>
      <c r="E254" s="124" t="str">
        <f>'Cash Flow Entry'!D254</f>
        <v>Investing</v>
      </c>
      <c r="F254" s="124" t="str">
        <f>'Cash Flow Entry'!E254</f>
        <v>Interest Received</v>
      </c>
      <c r="G254" s="127">
        <f>'Cash Flow Entry'!F254</f>
        <v>145</v>
      </c>
      <c r="H254" s="128">
        <f>IF(Tracking[[#This Row],[Type]]="Inflow",Tracking[[#This Row],[Amount(USD)]],0)</f>
        <v>145</v>
      </c>
      <c r="I254" s="129">
        <f>IF(Tracking[[#This Row],[Type]]="Outflow",-Tracking[[#This Row],[Amount(USD)]],0)</f>
        <v>0</v>
      </c>
      <c r="J254" s="140" t="str">
        <f t="shared" si="60"/>
        <v>EUR</v>
      </c>
      <c r="K254" s="151">
        <f>IFERROR(K253+Tracking[[#This Row],[Cash In]]+Tracking[[#This Row],[Cash Out]],0)</f>
        <v>-20311</v>
      </c>
      <c r="L254" s="151">
        <f>Tracking[[#This Row],[Running Balance]]*Settings!$E$15</f>
        <v>-17467.46</v>
      </c>
    </row>
    <row r="255" spans="3:12" x14ac:dyDescent="0.3">
      <c r="C255" s="123">
        <f>'Cash Flow Entry'!C255</f>
        <v>45543</v>
      </c>
      <c r="D255" s="126" t="str">
        <f>'Cash Flow Entry'!H255</f>
        <v>Outflow</v>
      </c>
      <c r="E255" s="124" t="str">
        <f>'Cash Flow Entry'!D255</f>
        <v>Operating</v>
      </c>
      <c r="F255" s="124" t="str">
        <f>'Cash Flow Entry'!E255</f>
        <v>Cash paid for Operating expenses</v>
      </c>
      <c r="G255" s="127">
        <f>'Cash Flow Entry'!F255</f>
        <v>2110</v>
      </c>
      <c r="H255" s="128">
        <f>IF(Tracking[[#This Row],[Type]]="Inflow",Tracking[[#This Row],[Amount(USD)]],0)</f>
        <v>0</v>
      </c>
      <c r="I255" s="129">
        <f>IF(Tracking[[#This Row],[Type]]="Outflow",-Tracking[[#This Row],[Amount(USD)]],0)</f>
        <v>-2110</v>
      </c>
      <c r="J255" s="140" t="str">
        <f t="shared" si="60"/>
        <v>EUR</v>
      </c>
      <c r="K255" s="151">
        <f>IFERROR(K254+Tracking[[#This Row],[Cash In]]+Tracking[[#This Row],[Cash Out]],0)</f>
        <v>-22421</v>
      </c>
      <c r="L255" s="151">
        <f>Tracking[[#This Row],[Running Balance]]*Settings!$E$15</f>
        <v>-19282.060000000001</v>
      </c>
    </row>
    <row r="256" spans="3:12" x14ac:dyDescent="0.3">
      <c r="C256" s="123">
        <f>'Cash Flow Entry'!C256</f>
        <v>45544</v>
      </c>
      <c r="D256" s="126" t="str">
        <f>'Cash Flow Entry'!H256</f>
        <v>Outflow</v>
      </c>
      <c r="E256" s="124" t="str">
        <f>'Cash Flow Entry'!D256</f>
        <v>Investing</v>
      </c>
      <c r="F256" s="124" t="str">
        <f>'Cash Flow Entry'!E256</f>
        <v>Loan/Debt given to third parties</v>
      </c>
      <c r="G256" s="127">
        <f>'Cash Flow Entry'!F256</f>
        <v>6000</v>
      </c>
      <c r="H256" s="128">
        <f>IF(Tracking[[#This Row],[Type]]="Inflow",Tracking[[#This Row],[Amount(USD)]],0)</f>
        <v>0</v>
      </c>
      <c r="I256" s="129">
        <f>IF(Tracking[[#This Row],[Type]]="Outflow",-Tracking[[#This Row],[Amount(USD)]],0)</f>
        <v>-6000</v>
      </c>
      <c r="J256" s="140" t="str">
        <f t="shared" si="60"/>
        <v>EUR</v>
      </c>
      <c r="K256" s="151">
        <f>IFERROR(K255+Tracking[[#This Row],[Cash In]]+Tracking[[#This Row],[Cash Out]],0)</f>
        <v>-28421</v>
      </c>
      <c r="L256" s="151">
        <f>Tracking[[#This Row],[Running Balance]]*Settings!$E$15</f>
        <v>-24442.06</v>
      </c>
    </row>
    <row r="257" spans="3:12" x14ac:dyDescent="0.3">
      <c r="C257" s="123">
        <f>'Cash Flow Entry'!C257</f>
        <v>45545</v>
      </c>
      <c r="D257" s="126" t="str">
        <f t="shared" ref="D257" si="109">IF(OR(ISBLANK(E257), E257=0),"N/A",E257)</f>
        <v>N/A</v>
      </c>
      <c r="E257" s="126" t="str">
        <f t="shared" ref="E257" si="110">IF(OR(ISBLANK(F257), F257=0),"N/A",F257)</f>
        <v>N/A</v>
      </c>
      <c r="F257" s="124" t="str">
        <f t="shared" ref="F257" si="111">IF(OR(ISBLANK(G257), G257=0),"N/A",G257)</f>
        <v>N/A</v>
      </c>
      <c r="G257" s="127">
        <f>'Cash Flow Entry'!F257</f>
        <v>0</v>
      </c>
      <c r="H257" s="128">
        <f>IF(Tracking[[#This Row],[Type]]="Inflow",Tracking[[#This Row],[Amount(USD)]],0)</f>
        <v>0</v>
      </c>
      <c r="I257" s="129">
        <f>IF(Tracking[[#This Row],[Type]]="Outflow",-Tracking[[#This Row],[Amount(USD)]],0)</f>
        <v>0</v>
      </c>
      <c r="J257" s="140" t="str">
        <f t="shared" si="60"/>
        <v>EUR</v>
      </c>
      <c r="K257" s="151">
        <f>IFERROR(K256+Tracking[[#This Row],[Cash In]]+Tracking[[#This Row],[Cash Out]],0)</f>
        <v>-28421</v>
      </c>
      <c r="L257" s="151">
        <f>Tracking[[#This Row],[Running Balance]]*Settings!$E$15</f>
        <v>-24442.06</v>
      </c>
    </row>
    <row r="258" spans="3:12" x14ac:dyDescent="0.3">
      <c r="C258" s="123">
        <f>'Cash Flow Entry'!C258</f>
        <v>45546</v>
      </c>
      <c r="D258" s="126" t="str">
        <f>'Cash Flow Entry'!H258</f>
        <v>Inflow</v>
      </c>
      <c r="E258" s="124" t="str">
        <f>'Cash Flow Entry'!D258</f>
        <v>Operating</v>
      </c>
      <c r="F258" s="124" t="str">
        <f>'Cash Flow Entry'!E258</f>
        <v>Cash-received from customers</v>
      </c>
      <c r="G258" s="127">
        <f>'Cash Flow Entry'!F258</f>
        <v>35000</v>
      </c>
      <c r="H258" s="128">
        <f>IF(Tracking[[#This Row],[Type]]="Inflow",Tracking[[#This Row],[Amount(USD)]],0)</f>
        <v>35000</v>
      </c>
      <c r="I258" s="129">
        <f>IF(Tracking[[#This Row],[Type]]="Outflow",-Tracking[[#This Row],[Amount(USD)]],0)</f>
        <v>0</v>
      </c>
      <c r="J258" s="140" t="str">
        <f t="shared" si="60"/>
        <v>EUR</v>
      </c>
      <c r="K258" s="151">
        <f>IFERROR(K257+Tracking[[#This Row],[Cash In]]+Tracking[[#This Row],[Cash Out]],0)</f>
        <v>6579</v>
      </c>
      <c r="L258" s="151">
        <f>Tracking[[#This Row],[Running Balance]]*Settings!$E$15</f>
        <v>5657.94</v>
      </c>
    </row>
    <row r="259" spans="3:12" x14ac:dyDescent="0.3">
      <c r="C259" s="123">
        <f>'Cash Flow Entry'!C259</f>
        <v>45547</v>
      </c>
      <c r="D259" s="126" t="str">
        <f t="shared" ref="D259" si="112">IF(OR(ISBLANK(E259), E259=0),"N/A",E259)</f>
        <v>N/A</v>
      </c>
      <c r="E259" s="126" t="str">
        <f t="shared" ref="E259" si="113">IF(OR(ISBLANK(F259), F259=0),"N/A",F259)</f>
        <v>N/A</v>
      </c>
      <c r="F259" s="124" t="str">
        <f t="shared" ref="F259" si="114">IF(OR(ISBLANK(G259), G259=0),"N/A",G259)</f>
        <v>N/A</v>
      </c>
      <c r="G259" s="127">
        <f>'Cash Flow Entry'!F259</f>
        <v>0</v>
      </c>
      <c r="H259" s="128">
        <f>IF(Tracking[[#This Row],[Type]]="Inflow",Tracking[[#This Row],[Amount(USD)]],0)</f>
        <v>0</v>
      </c>
      <c r="I259" s="129">
        <f>IF(Tracking[[#This Row],[Type]]="Outflow",-Tracking[[#This Row],[Amount(USD)]],0)</f>
        <v>0</v>
      </c>
      <c r="J259" s="140" t="str">
        <f t="shared" si="60"/>
        <v>EUR</v>
      </c>
      <c r="K259" s="151">
        <f>IFERROR(K258+Tracking[[#This Row],[Cash In]]+Tracking[[#This Row],[Cash Out]],0)</f>
        <v>6579</v>
      </c>
      <c r="L259" s="151">
        <f>Tracking[[#This Row],[Running Balance]]*Settings!$E$15</f>
        <v>5657.94</v>
      </c>
    </row>
    <row r="260" spans="3:12" x14ac:dyDescent="0.3">
      <c r="C260" s="123">
        <f>'Cash Flow Entry'!C260</f>
        <v>45548</v>
      </c>
      <c r="D260" s="126" t="str">
        <f>'Cash Flow Entry'!H260</f>
        <v>Inflow</v>
      </c>
      <c r="E260" s="124" t="str">
        <f>'Cash Flow Entry'!D260</f>
        <v>Operating</v>
      </c>
      <c r="F260" s="124" t="str">
        <f>'Cash Flow Entry'!E260</f>
        <v>Cash received from other operating income</v>
      </c>
      <c r="G260" s="127">
        <f>'Cash Flow Entry'!F260</f>
        <v>1400</v>
      </c>
      <c r="H260" s="128">
        <f>IF(Tracking[[#This Row],[Type]]="Inflow",Tracking[[#This Row],[Amount(USD)]],0)</f>
        <v>1400</v>
      </c>
      <c r="I260" s="129">
        <f>IF(Tracking[[#This Row],[Type]]="Outflow",-Tracking[[#This Row],[Amount(USD)]],0)</f>
        <v>0</v>
      </c>
      <c r="J260" s="140" t="str">
        <f t="shared" ref="J260:J323" si="115">select_currency</f>
        <v>EUR</v>
      </c>
      <c r="K260" s="151">
        <f>IFERROR(K259+Tracking[[#This Row],[Cash In]]+Tracking[[#This Row],[Cash Out]],0)</f>
        <v>7979</v>
      </c>
      <c r="L260" s="151">
        <f>Tracking[[#This Row],[Running Balance]]*Settings!$E$15</f>
        <v>6861.94</v>
      </c>
    </row>
    <row r="261" spans="3:12" x14ac:dyDescent="0.3">
      <c r="C261" s="123">
        <f>'Cash Flow Entry'!C261</f>
        <v>45549</v>
      </c>
      <c r="D261" s="126" t="str">
        <f t="shared" ref="D261:E261" si="116">IF(OR(ISBLANK(E261), E261=0),"N/A",E261)</f>
        <v>N/A</v>
      </c>
      <c r="E261" s="126" t="str">
        <f t="shared" si="116"/>
        <v>N/A</v>
      </c>
      <c r="F261" s="124" t="str">
        <f t="shared" ref="F261" si="117">IF(OR(ISBLANK(G261), G261=0),"N/A",G261)</f>
        <v>N/A</v>
      </c>
      <c r="G261" s="127">
        <f>'Cash Flow Entry'!F261</f>
        <v>0</v>
      </c>
      <c r="H261" s="128">
        <f>IF(Tracking[[#This Row],[Type]]="Inflow",Tracking[[#This Row],[Amount(USD)]],0)</f>
        <v>0</v>
      </c>
      <c r="I261" s="129">
        <f>IF(Tracking[[#This Row],[Type]]="Outflow",-Tracking[[#This Row],[Amount(USD)]],0)</f>
        <v>0</v>
      </c>
      <c r="J261" s="140" t="str">
        <f t="shared" si="115"/>
        <v>EUR</v>
      </c>
      <c r="K261" s="151">
        <f>IFERROR(K260+Tracking[[#This Row],[Cash In]]+Tracking[[#This Row],[Cash Out]],0)</f>
        <v>7979</v>
      </c>
      <c r="L261" s="151">
        <f>Tracking[[#This Row],[Running Balance]]*Settings!$E$15</f>
        <v>6861.94</v>
      </c>
    </row>
    <row r="262" spans="3:12" x14ac:dyDescent="0.3">
      <c r="C262" s="123">
        <f>'Cash Flow Entry'!C262</f>
        <v>45550</v>
      </c>
      <c r="D262" s="126" t="str">
        <f>'Cash Flow Entry'!H262</f>
        <v>Inflow</v>
      </c>
      <c r="E262" s="124" t="str">
        <f>'Cash Flow Entry'!D262</f>
        <v>Financing</v>
      </c>
      <c r="F262" s="124" t="str">
        <f>'Cash Flow Entry'!E262</f>
        <v>Proceeds from short-term borrowings</v>
      </c>
      <c r="G262" s="127">
        <f>'Cash Flow Entry'!F262</f>
        <v>44000</v>
      </c>
      <c r="H262" s="128">
        <f>IF(Tracking[[#This Row],[Type]]="Inflow",Tracking[[#This Row],[Amount(USD)]],0)</f>
        <v>44000</v>
      </c>
      <c r="I262" s="129">
        <f>IF(Tracking[[#This Row],[Type]]="Outflow",-Tracking[[#This Row],[Amount(USD)]],0)</f>
        <v>0</v>
      </c>
      <c r="J262" s="140" t="str">
        <f t="shared" si="115"/>
        <v>EUR</v>
      </c>
      <c r="K262" s="151">
        <f>IFERROR(K261+Tracking[[#This Row],[Cash In]]+Tracking[[#This Row],[Cash Out]],0)</f>
        <v>51979</v>
      </c>
      <c r="L262" s="151">
        <f>Tracking[[#This Row],[Running Balance]]*Settings!$E$15</f>
        <v>44701.94</v>
      </c>
    </row>
    <row r="263" spans="3:12" x14ac:dyDescent="0.3">
      <c r="C263" s="123">
        <f>'Cash Flow Entry'!C263</f>
        <v>45551</v>
      </c>
      <c r="D263" s="126" t="str">
        <f t="shared" ref="D263" si="118">IF(OR(ISBLANK(E263), E263=0),"N/A",E263)</f>
        <v>N/A</v>
      </c>
      <c r="E263" s="126" t="str">
        <f t="shared" ref="E263" si="119">IF(OR(ISBLANK(F263), F263=0),"N/A",F263)</f>
        <v>N/A</v>
      </c>
      <c r="F263" s="124" t="str">
        <f t="shared" ref="F263" si="120">IF(OR(ISBLANK(G263), G263=0),"N/A",G263)</f>
        <v>N/A</v>
      </c>
      <c r="G263" s="127">
        <f>'Cash Flow Entry'!F263</f>
        <v>0</v>
      </c>
      <c r="H263" s="128">
        <f>IF(Tracking[[#This Row],[Type]]="Inflow",Tracking[[#This Row],[Amount(USD)]],0)</f>
        <v>0</v>
      </c>
      <c r="I263" s="129">
        <f>IF(Tracking[[#This Row],[Type]]="Outflow",-Tracking[[#This Row],[Amount(USD)]],0)</f>
        <v>0</v>
      </c>
      <c r="J263" s="140" t="str">
        <f t="shared" si="115"/>
        <v>EUR</v>
      </c>
      <c r="K263" s="151">
        <f>IFERROR(K262+Tracking[[#This Row],[Cash In]]+Tracking[[#This Row],[Cash Out]],0)</f>
        <v>51979</v>
      </c>
      <c r="L263" s="151">
        <f>Tracking[[#This Row],[Running Balance]]*Settings!$E$15</f>
        <v>44701.94</v>
      </c>
    </row>
    <row r="264" spans="3:12" x14ac:dyDescent="0.3">
      <c r="C264" s="123">
        <f>'Cash Flow Entry'!C264</f>
        <v>45552</v>
      </c>
      <c r="D264" s="126" t="str">
        <f>'Cash Flow Entry'!H264</f>
        <v>Inflow</v>
      </c>
      <c r="E264" s="124" t="str">
        <f>'Cash Flow Entry'!D264</f>
        <v>Operating</v>
      </c>
      <c r="F264" s="124" t="str">
        <f>'Cash Flow Entry'!E264</f>
        <v>Cash-received from customers</v>
      </c>
      <c r="G264" s="127">
        <f>'Cash Flow Entry'!F264</f>
        <v>14000</v>
      </c>
      <c r="H264" s="128">
        <f>IF(Tracking[[#This Row],[Type]]="Inflow",Tracking[[#This Row],[Amount(USD)]],0)</f>
        <v>14000</v>
      </c>
      <c r="I264" s="129">
        <f>IF(Tracking[[#This Row],[Type]]="Outflow",-Tracking[[#This Row],[Amount(USD)]],0)</f>
        <v>0</v>
      </c>
      <c r="J264" s="140" t="str">
        <f t="shared" si="115"/>
        <v>EUR</v>
      </c>
      <c r="K264" s="151">
        <f>IFERROR(K263+Tracking[[#This Row],[Cash In]]+Tracking[[#This Row],[Cash Out]],0)</f>
        <v>65979</v>
      </c>
      <c r="L264" s="151">
        <f>Tracking[[#This Row],[Running Balance]]*Settings!$E$15</f>
        <v>56741.94</v>
      </c>
    </row>
    <row r="265" spans="3:12" x14ac:dyDescent="0.3">
      <c r="C265" s="123">
        <f>'Cash Flow Entry'!C265</f>
        <v>45553</v>
      </c>
      <c r="D265" s="126" t="str">
        <f t="shared" ref="D265:D267" si="121">IF(OR(ISBLANK(E265), E265=0),"N/A",E265)</f>
        <v>N/A</v>
      </c>
      <c r="E265" s="126" t="str">
        <f t="shared" ref="E265:E267" si="122">IF(OR(ISBLANK(F265), F265=0),"N/A",F265)</f>
        <v>N/A</v>
      </c>
      <c r="F265" s="124" t="str">
        <f t="shared" ref="F265:F267" si="123">IF(OR(ISBLANK(G265), G265=0),"N/A",G265)</f>
        <v>N/A</v>
      </c>
      <c r="G265" s="127">
        <f>'Cash Flow Entry'!F265</f>
        <v>0</v>
      </c>
      <c r="H265" s="128">
        <f>IF(Tracking[[#This Row],[Type]]="Inflow",Tracking[[#This Row],[Amount(USD)]],0)</f>
        <v>0</v>
      </c>
      <c r="I265" s="129">
        <f>IF(Tracking[[#This Row],[Type]]="Outflow",-Tracking[[#This Row],[Amount(USD)]],0)</f>
        <v>0</v>
      </c>
      <c r="J265" s="140" t="str">
        <f t="shared" si="115"/>
        <v>EUR</v>
      </c>
      <c r="K265" s="151">
        <f>IFERROR(K264+Tracking[[#This Row],[Cash In]]+Tracking[[#This Row],[Cash Out]],0)</f>
        <v>65979</v>
      </c>
      <c r="L265" s="151">
        <f>Tracking[[#This Row],[Running Balance]]*Settings!$E$15</f>
        <v>56741.94</v>
      </c>
    </row>
    <row r="266" spans="3:12" x14ac:dyDescent="0.3">
      <c r="C266" s="123">
        <f>'Cash Flow Entry'!C266</f>
        <v>45554</v>
      </c>
      <c r="D266" s="126" t="str">
        <f t="shared" si="121"/>
        <v>N/A</v>
      </c>
      <c r="E266" s="126" t="str">
        <f t="shared" si="122"/>
        <v>N/A</v>
      </c>
      <c r="F266" s="124" t="str">
        <f t="shared" si="123"/>
        <v>N/A</v>
      </c>
      <c r="G266" s="127">
        <f>'Cash Flow Entry'!F266</f>
        <v>0</v>
      </c>
      <c r="H266" s="128">
        <f>IF(Tracking[[#This Row],[Type]]="Inflow",Tracking[[#This Row],[Amount(USD)]],0)</f>
        <v>0</v>
      </c>
      <c r="I266" s="129">
        <f>IF(Tracking[[#This Row],[Type]]="Outflow",-Tracking[[#This Row],[Amount(USD)]],0)</f>
        <v>0</v>
      </c>
      <c r="J266" s="140" t="str">
        <f t="shared" si="115"/>
        <v>EUR</v>
      </c>
      <c r="K266" s="151">
        <f>IFERROR(K265+Tracking[[#This Row],[Cash In]]+Tracking[[#This Row],[Cash Out]],0)</f>
        <v>65979</v>
      </c>
      <c r="L266" s="151">
        <f>Tracking[[#This Row],[Running Balance]]*Settings!$E$15</f>
        <v>56741.94</v>
      </c>
    </row>
    <row r="267" spans="3:12" x14ac:dyDescent="0.3">
      <c r="C267" s="123">
        <f>'Cash Flow Entry'!C267</f>
        <v>45555</v>
      </c>
      <c r="D267" s="126" t="str">
        <f t="shared" si="121"/>
        <v>N/A</v>
      </c>
      <c r="E267" s="126" t="str">
        <f t="shared" si="122"/>
        <v>N/A</v>
      </c>
      <c r="F267" s="124" t="str">
        <f t="shared" si="123"/>
        <v>N/A</v>
      </c>
      <c r="G267" s="127">
        <f>'Cash Flow Entry'!F267</f>
        <v>0</v>
      </c>
      <c r="H267" s="128">
        <f>IF(Tracking[[#This Row],[Type]]="Inflow",Tracking[[#This Row],[Amount(USD)]],0)</f>
        <v>0</v>
      </c>
      <c r="I267" s="129">
        <f>IF(Tracking[[#This Row],[Type]]="Outflow",-Tracking[[#This Row],[Amount(USD)]],0)</f>
        <v>0</v>
      </c>
      <c r="J267" s="140" t="str">
        <f t="shared" si="115"/>
        <v>EUR</v>
      </c>
      <c r="K267" s="151">
        <f>IFERROR(K266+Tracking[[#This Row],[Cash In]]+Tracking[[#This Row],[Cash Out]],0)</f>
        <v>65979</v>
      </c>
      <c r="L267" s="151">
        <f>Tracking[[#This Row],[Running Balance]]*Settings!$E$15</f>
        <v>56741.94</v>
      </c>
    </row>
    <row r="268" spans="3:12" x14ac:dyDescent="0.3">
      <c r="C268" s="123">
        <f>'Cash Flow Entry'!C268</f>
        <v>45556</v>
      </c>
      <c r="D268" s="126" t="str">
        <f>'Cash Flow Entry'!H268</f>
        <v>Outflow</v>
      </c>
      <c r="E268" s="124" t="str">
        <f>'Cash Flow Entry'!D268</f>
        <v>Operating</v>
      </c>
      <c r="F268" s="124" t="str">
        <f>'Cash Flow Entry'!E268</f>
        <v>Cash paid for Operating expenses</v>
      </c>
      <c r="G268" s="127">
        <f>'Cash Flow Entry'!F268</f>
        <v>1000</v>
      </c>
      <c r="H268" s="128">
        <f>IF(Tracking[[#This Row],[Type]]="Inflow",Tracking[[#This Row],[Amount(USD)]],0)</f>
        <v>0</v>
      </c>
      <c r="I268" s="129">
        <f>IF(Tracking[[#This Row],[Type]]="Outflow",-Tracking[[#This Row],[Amount(USD)]],0)</f>
        <v>-1000</v>
      </c>
      <c r="J268" s="140" t="str">
        <f t="shared" si="115"/>
        <v>EUR</v>
      </c>
      <c r="K268" s="151">
        <f>IFERROR(K267+Tracking[[#This Row],[Cash In]]+Tracking[[#This Row],[Cash Out]],0)</f>
        <v>64979</v>
      </c>
      <c r="L268" s="151">
        <f>Tracking[[#This Row],[Running Balance]]*Settings!$E$15</f>
        <v>55881.94</v>
      </c>
    </row>
    <row r="269" spans="3:12" x14ac:dyDescent="0.3">
      <c r="C269" s="123">
        <f>'Cash Flow Entry'!C269</f>
        <v>45557</v>
      </c>
      <c r="D269" s="126" t="str">
        <f>'Cash Flow Entry'!H269</f>
        <v>Inflow</v>
      </c>
      <c r="E269" s="124" t="str">
        <f>'Cash Flow Entry'!D269</f>
        <v>Investing</v>
      </c>
      <c r="F269" s="124" t="str">
        <f>'Cash Flow Entry'!E269</f>
        <v>Proceeds from sale of Property, Plant or Equipment (PP&amp;M)</v>
      </c>
      <c r="G269" s="127">
        <f>'Cash Flow Entry'!F269</f>
        <v>125000</v>
      </c>
      <c r="H269" s="128">
        <f>IF(Tracking[[#This Row],[Type]]="Inflow",Tracking[[#This Row],[Amount(USD)]],0)</f>
        <v>125000</v>
      </c>
      <c r="I269" s="129">
        <f>IF(Tracking[[#This Row],[Type]]="Outflow",-Tracking[[#This Row],[Amount(USD)]],0)</f>
        <v>0</v>
      </c>
      <c r="J269" s="140" t="str">
        <f t="shared" si="115"/>
        <v>EUR</v>
      </c>
      <c r="K269" s="151">
        <f>IFERROR(K268+Tracking[[#This Row],[Cash In]]+Tracking[[#This Row],[Cash Out]],0)</f>
        <v>189979</v>
      </c>
      <c r="L269" s="151">
        <f>Tracking[[#This Row],[Running Balance]]*Settings!$E$15</f>
        <v>163381.94</v>
      </c>
    </row>
    <row r="270" spans="3:12" x14ac:dyDescent="0.3">
      <c r="C270" s="123">
        <f>'Cash Flow Entry'!C270</f>
        <v>45558</v>
      </c>
      <c r="D270" s="126" t="str">
        <f t="shared" ref="D270:D273" si="124">IF(OR(ISBLANK(E270), E270=0),"N/A",E270)</f>
        <v>N/A</v>
      </c>
      <c r="E270" s="126" t="str">
        <f t="shared" ref="E270:E273" si="125">IF(OR(ISBLANK(F270), F270=0),"N/A",F270)</f>
        <v>N/A</v>
      </c>
      <c r="F270" s="124" t="str">
        <f t="shared" ref="F270:F273" si="126">IF(OR(ISBLANK(G270), G270=0),"N/A",G270)</f>
        <v>N/A</v>
      </c>
      <c r="G270" s="127">
        <f>'Cash Flow Entry'!F270</f>
        <v>0</v>
      </c>
      <c r="H270" s="128">
        <f>IF(Tracking[[#This Row],[Type]]="Inflow",Tracking[[#This Row],[Amount(USD)]],0)</f>
        <v>0</v>
      </c>
      <c r="I270" s="129">
        <f>IF(Tracking[[#This Row],[Type]]="Outflow",-Tracking[[#This Row],[Amount(USD)]],0)</f>
        <v>0</v>
      </c>
      <c r="J270" s="140" t="str">
        <f t="shared" si="115"/>
        <v>EUR</v>
      </c>
      <c r="K270" s="151">
        <f>IFERROR(K269+Tracking[[#This Row],[Cash In]]+Tracking[[#This Row],[Cash Out]],0)</f>
        <v>189979</v>
      </c>
      <c r="L270" s="151">
        <f>Tracking[[#This Row],[Running Balance]]*Settings!$E$15</f>
        <v>163381.94</v>
      </c>
    </row>
    <row r="271" spans="3:12" x14ac:dyDescent="0.3">
      <c r="C271" s="123">
        <f>'Cash Flow Entry'!C271</f>
        <v>45559</v>
      </c>
      <c r="D271" s="126" t="str">
        <f t="shared" si="124"/>
        <v>N/A</v>
      </c>
      <c r="E271" s="126" t="str">
        <f t="shared" si="125"/>
        <v>N/A</v>
      </c>
      <c r="F271" s="124" t="str">
        <f t="shared" si="126"/>
        <v>N/A</v>
      </c>
      <c r="G271" s="127">
        <f>'Cash Flow Entry'!F271</f>
        <v>0</v>
      </c>
      <c r="H271" s="128">
        <f>IF(Tracking[[#This Row],[Type]]="Inflow",Tracking[[#This Row],[Amount(USD)]],0)</f>
        <v>0</v>
      </c>
      <c r="I271" s="129">
        <f>IF(Tracking[[#This Row],[Type]]="Outflow",-Tracking[[#This Row],[Amount(USD)]],0)</f>
        <v>0</v>
      </c>
      <c r="J271" s="140" t="str">
        <f t="shared" si="115"/>
        <v>EUR</v>
      </c>
      <c r="K271" s="151">
        <f>IFERROR(K270+Tracking[[#This Row],[Cash In]]+Tracking[[#This Row],[Cash Out]],0)</f>
        <v>189979</v>
      </c>
      <c r="L271" s="151">
        <f>Tracking[[#This Row],[Running Balance]]*Settings!$E$15</f>
        <v>163381.94</v>
      </c>
    </row>
    <row r="272" spans="3:12" x14ac:dyDescent="0.3">
      <c r="C272" s="123">
        <f>'Cash Flow Entry'!C272</f>
        <v>45560</v>
      </c>
      <c r="D272" s="126" t="str">
        <f t="shared" si="124"/>
        <v>N/A</v>
      </c>
      <c r="E272" s="126" t="str">
        <f t="shared" si="125"/>
        <v>N/A</v>
      </c>
      <c r="F272" s="124" t="str">
        <f t="shared" si="126"/>
        <v>N/A</v>
      </c>
      <c r="G272" s="127">
        <f>'Cash Flow Entry'!F272</f>
        <v>0</v>
      </c>
      <c r="H272" s="128">
        <f>IF(Tracking[[#This Row],[Type]]="Inflow",Tracking[[#This Row],[Amount(USD)]],0)</f>
        <v>0</v>
      </c>
      <c r="I272" s="129">
        <f>IF(Tracking[[#This Row],[Type]]="Outflow",-Tracking[[#This Row],[Amount(USD)]],0)</f>
        <v>0</v>
      </c>
      <c r="J272" s="140" t="str">
        <f t="shared" si="115"/>
        <v>EUR</v>
      </c>
      <c r="K272" s="151">
        <f>IFERROR(K271+Tracking[[#This Row],[Cash In]]+Tracking[[#This Row],[Cash Out]],0)</f>
        <v>189979</v>
      </c>
      <c r="L272" s="151">
        <f>Tracking[[#This Row],[Running Balance]]*Settings!$E$15</f>
        <v>163381.94</v>
      </c>
    </row>
    <row r="273" spans="3:12" x14ac:dyDescent="0.3">
      <c r="C273" s="123">
        <f>'Cash Flow Entry'!C273</f>
        <v>45561</v>
      </c>
      <c r="D273" s="126" t="str">
        <f t="shared" si="124"/>
        <v>N/A</v>
      </c>
      <c r="E273" s="126" t="str">
        <f t="shared" si="125"/>
        <v>N/A</v>
      </c>
      <c r="F273" s="124" t="str">
        <f t="shared" si="126"/>
        <v>N/A</v>
      </c>
      <c r="G273" s="127">
        <f>'Cash Flow Entry'!F273</f>
        <v>0</v>
      </c>
      <c r="H273" s="128">
        <f>IF(Tracking[[#This Row],[Type]]="Inflow",Tracking[[#This Row],[Amount(USD)]],0)</f>
        <v>0</v>
      </c>
      <c r="I273" s="129">
        <f>IF(Tracking[[#This Row],[Type]]="Outflow",-Tracking[[#This Row],[Amount(USD)]],0)</f>
        <v>0</v>
      </c>
      <c r="J273" s="140" t="str">
        <f t="shared" si="115"/>
        <v>EUR</v>
      </c>
      <c r="K273" s="151">
        <f>IFERROR(K272+Tracking[[#This Row],[Cash In]]+Tracking[[#This Row],[Cash Out]],0)</f>
        <v>189979</v>
      </c>
      <c r="L273" s="151">
        <f>Tracking[[#This Row],[Running Balance]]*Settings!$E$15</f>
        <v>163381.94</v>
      </c>
    </row>
    <row r="274" spans="3:12" x14ac:dyDescent="0.3">
      <c r="C274" s="123">
        <f>'Cash Flow Entry'!C274</f>
        <v>45562</v>
      </c>
      <c r="D274" s="126" t="str">
        <f>'Cash Flow Entry'!H274</f>
        <v>Outflow</v>
      </c>
      <c r="E274" s="124" t="str">
        <f>'Cash Flow Entry'!D274</f>
        <v>Operating</v>
      </c>
      <c r="F274" s="124" t="str">
        <f>'Cash Flow Entry'!E274</f>
        <v>Cash-paid to suppliers</v>
      </c>
      <c r="G274" s="127">
        <f>'Cash Flow Entry'!F274</f>
        <v>45000</v>
      </c>
      <c r="H274" s="128">
        <f>IF(Tracking[[#This Row],[Type]]="Inflow",Tracking[[#This Row],[Amount(USD)]],0)</f>
        <v>0</v>
      </c>
      <c r="I274" s="129">
        <f>IF(Tracking[[#This Row],[Type]]="Outflow",-Tracking[[#This Row],[Amount(USD)]],0)</f>
        <v>-45000</v>
      </c>
      <c r="J274" s="140" t="str">
        <f t="shared" si="115"/>
        <v>EUR</v>
      </c>
      <c r="K274" s="151">
        <f>IFERROR(K273+Tracking[[#This Row],[Cash In]]+Tracking[[#This Row],[Cash Out]],0)</f>
        <v>144979</v>
      </c>
      <c r="L274" s="151">
        <f>Tracking[[#This Row],[Running Balance]]*Settings!$E$15</f>
        <v>124681.94</v>
      </c>
    </row>
    <row r="275" spans="3:12" x14ac:dyDescent="0.3">
      <c r="C275" s="123">
        <f>'Cash Flow Entry'!C275</f>
        <v>45563</v>
      </c>
      <c r="D275" s="126" t="str">
        <f t="shared" ref="D275:D276" si="127">IF(OR(ISBLANK(E275), E275=0),"N/A",E275)</f>
        <v>N/A</v>
      </c>
      <c r="E275" s="126" t="str">
        <f t="shared" ref="E275:E276" si="128">IF(OR(ISBLANK(F275), F275=0),"N/A",F275)</f>
        <v>N/A</v>
      </c>
      <c r="F275" s="124" t="str">
        <f t="shared" ref="F275:F276" si="129">IF(OR(ISBLANK(G275), G275=0),"N/A",G275)</f>
        <v>N/A</v>
      </c>
      <c r="G275" s="127">
        <f>'Cash Flow Entry'!F275</f>
        <v>0</v>
      </c>
      <c r="H275" s="128">
        <f>IF(Tracking[[#This Row],[Type]]="Inflow",Tracking[[#This Row],[Amount(USD)]],0)</f>
        <v>0</v>
      </c>
      <c r="I275" s="129">
        <f>IF(Tracking[[#This Row],[Type]]="Outflow",-Tracking[[#This Row],[Amount(USD)]],0)</f>
        <v>0</v>
      </c>
      <c r="J275" s="140" t="str">
        <f t="shared" si="115"/>
        <v>EUR</v>
      </c>
      <c r="K275" s="151">
        <f>IFERROR(K274+Tracking[[#This Row],[Cash In]]+Tracking[[#This Row],[Cash Out]],0)</f>
        <v>144979</v>
      </c>
      <c r="L275" s="151">
        <f>Tracking[[#This Row],[Running Balance]]*Settings!$E$15</f>
        <v>124681.94</v>
      </c>
    </row>
    <row r="276" spans="3:12" ht="15" thickBot="1" x14ac:dyDescent="0.35">
      <c r="C276" s="123">
        <f>'Cash Flow Entry'!C276</f>
        <v>45564</v>
      </c>
      <c r="D276" s="126" t="str">
        <f t="shared" si="127"/>
        <v>N/A</v>
      </c>
      <c r="E276" s="126" t="str">
        <f t="shared" si="128"/>
        <v>N/A</v>
      </c>
      <c r="F276" s="124" t="str">
        <f t="shared" si="129"/>
        <v>N/A</v>
      </c>
      <c r="G276" s="127">
        <f>'Cash Flow Entry'!F276</f>
        <v>0</v>
      </c>
      <c r="H276" s="128">
        <f>IF(Tracking[[#This Row],[Type]]="Inflow",Tracking[[#This Row],[Amount(USD)]],0)</f>
        <v>0</v>
      </c>
      <c r="I276" s="129">
        <f>IF(Tracking[[#This Row],[Type]]="Outflow",-Tracking[[#This Row],[Amount(USD)]],0)</f>
        <v>0</v>
      </c>
      <c r="J276" s="140" t="str">
        <f t="shared" si="115"/>
        <v>EUR</v>
      </c>
      <c r="K276" s="151">
        <f>IFERROR(K275+Tracking[[#This Row],[Cash In]]+Tracking[[#This Row],[Cash Out]],0)</f>
        <v>144979</v>
      </c>
      <c r="L276" s="151">
        <f>Tracking[[#This Row],[Running Balance]]*Settings!$E$15</f>
        <v>124681.94</v>
      </c>
    </row>
    <row r="277" spans="3:12" ht="15" thickBot="1" x14ac:dyDescent="0.35">
      <c r="C277" s="125">
        <f>'Cash Flow Entry'!C277</f>
        <v>45565</v>
      </c>
      <c r="D277" s="109" t="str">
        <f>'Cash Flow Entry'!H277</f>
        <v>Outflow</v>
      </c>
      <c r="E277" s="110" t="str">
        <f>'Cash Flow Entry'!D277</f>
        <v>Operating</v>
      </c>
      <c r="F277" s="110" t="str">
        <f>'Cash Flow Entry'!E277</f>
        <v>Income tax paid</v>
      </c>
      <c r="G277" s="131">
        <f>'Cash Flow Entry'!F277</f>
        <v>12000</v>
      </c>
      <c r="H277" s="132">
        <f>IF(Tracking[[#This Row],[Type]]="Inflow",Tracking[[#This Row],[Amount(USD)]],0)</f>
        <v>0</v>
      </c>
      <c r="I277" s="133">
        <f>IF(Tracking[[#This Row],[Type]]="Outflow",-Tracking[[#This Row],[Amount(USD)]],0)</f>
        <v>-12000</v>
      </c>
      <c r="J277" s="141" t="str">
        <f t="shared" si="115"/>
        <v>EUR</v>
      </c>
      <c r="K277" s="153">
        <f>IFERROR(K276+Tracking[[#This Row],[Cash In]]+Tracking[[#This Row],[Cash Out]],0)</f>
        <v>132979</v>
      </c>
      <c r="L277" s="153">
        <f>Tracking[[#This Row],[Running Balance]]*Settings!$E$15</f>
        <v>114361.94</v>
      </c>
    </row>
    <row r="278" spans="3:12" x14ac:dyDescent="0.3">
      <c r="C278" s="123">
        <f>'Cash Flow Entry'!C278</f>
        <v>45566</v>
      </c>
      <c r="D278" s="126" t="str">
        <f>'Cash Flow Entry'!H278</f>
        <v>Inflow</v>
      </c>
      <c r="E278" s="124" t="str">
        <f>'Cash Flow Entry'!D278</f>
        <v>Operating</v>
      </c>
      <c r="F278" s="124" t="str">
        <f>'Cash Flow Entry'!E278</f>
        <v>Cash-received from customers</v>
      </c>
      <c r="G278" s="127">
        <f>'Cash Flow Entry'!F278</f>
        <v>28000</v>
      </c>
      <c r="H278" s="128">
        <f>IF(Tracking[[#This Row],[Type]]="Inflow",Tracking[[#This Row],[Amount(USD)]],0)</f>
        <v>28000</v>
      </c>
      <c r="I278" s="129">
        <f>IF(Tracking[[#This Row],[Type]]="Outflow",-Tracking[[#This Row],[Amount(USD)]],0)</f>
        <v>0</v>
      </c>
      <c r="J278" s="140" t="str">
        <f t="shared" si="115"/>
        <v>EUR</v>
      </c>
      <c r="K278" s="151">
        <f>IFERROR(K277+Tracking[[#This Row],[Cash In]]+Tracking[[#This Row],[Cash Out]],0)</f>
        <v>160979</v>
      </c>
      <c r="L278" s="151">
        <f>Tracking[[#This Row],[Running Balance]]*Settings!$E$15</f>
        <v>138441.94</v>
      </c>
    </row>
    <row r="279" spans="3:12" x14ac:dyDescent="0.3">
      <c r="C279" s="123">
        <f>'Cash Flow Entry'!C279</f>
        <v>45567</v>
      </c>
      <c r="D279" s="126" t="str">
        <f>'Cash Flow Entry'!H279</f>
        <v>Outflow</v>
      </c>
      <c r="E279" s="124" t="str">
        <f>'Cash Flow Entry'!D279</f>
        <v>Operating</v>
      </c>
      <c r="F279" s="124" t="str">
        <f>'Cash Flow Entry'!E279</f>
        <v>Cash paid for Operating expenses</v>
      </c>
      <c r="G279" s="127">
        <f>'Cash Flow Entry'!F279</f>
        <v>400</v>
      </c>
      <c r="H279" s="128">
        <f>IF(Tracking[[#This Row],[Type]]="Inflow",Tracking[[#This Row],[Amount(USD)]],0)</f>
        <v>0</v>
      </c>
      <c r="I279" s="129">
        <f>IF(Tracking[[#This Row],[Type]]="Outflow",-Tracking[[#This Row],[Amount(USD)]],0)</f>
        <v>-400</v>
      </c>
      <c r="J279" s="140" t="str">
        <f t="shared" si="115"/>
        <v>EUR</v>
      </c>
      <c r="K279" s="151">
        <f>IFERROR(K278+Tracking[[#This Row],[Cash In]]+Tracking[[#This Row],[Cash Out]],0)</f>
        <v>160579</v>
      </c>
      <c r="L279" s="151">
        <f>Tracking[[#This Row],[Running Balance]]*Settings!$E$15</f>
        <v>138097.94</v>
      </c>
    </row>
    <row r="280" spans="3:12" x14ac:dyDescent="0.3">
      <c r="C280" s="123">
        <f>'Cash Flow Entry'!C280</f>
        <v>45568</v>
      </c>
      <c r="D280" s="126" t="str">
        <f>'Cash Flow Entry'!H280</f>
        <v>Outflow</v>
      </c>
      <c r="E280" s="124" t="str">
        <f>'Cash Flow Entry'!D280</f>
        <v>Operating</v>
      </c>
      <c r="F280" s="124" t="str">
        <f>'Cash Flow Entry'!E280</f>
        <v>Cash-paid to suppliers</v>
      </c>
      <c r="G280" s="127">
        <f>'Cash Flow Entry'!F280</f>
        <v>14000</v>
      </c>
      <c r="H280" s="128">
        <f>IF(Tracking[[#This Row],[Type]]="Inflow",Tracking[[#This Row],[Amount(USD)]],0)</f>
        <v>0</v>
      </c>
      <c r="I280" s="129">
        <f>IF(Tracking[[#This Row],[Type]]="Outflow",-Tracking[[#This Row],[Amount(USD)]],0)</f>
        <v>-14000</v>
      </c>
      <c r="J280" s="140" t="str">
        <f t="shared" si="115"/>
        <v>EUR</v>
      </c>
      <c r="K280" s="151">
        <f>IFERROR(K279+Tracking[[#This Row],[Cash In]]+Tracking[[#This Row],[Cash Out]],0)</f>
        <v>146579</v>
      </c>
      <c r="L280" s="151">
        <f>Tracking[[#This Row],[Running Balance]]*Settings!$E$15</f>
        <v>126057.94</v>
      </c>
    </row>
    <row r="281" spans="3:12" x14ac:dyDescent="0.3">
      <c r="C281" s="123">
        <f>'Cash Flow Entry'!C281</f>
        <v>45569</v>
      </c>
      <c r="D281" s="126" t="str">
        <f t="shared" ref="D281" si="130">IF(OR(ISBLANK(E281), E281=0),"N/A",E281)</f>
        <v>N/A</v>
      </c>
      <c r="E281" s="126" t="str">
        <f t="shared" ref="E281" si="131">IF(OR(ISBLANK(F281), F281=0),"N/A",F281)</f>
        <v>N/A</v>
      </c>
      <c r="F281" s="124" t="str">
        <f t="shared" ref="F281" si="132">IF(OR(ISBLANK(G281), G281=0),"N/A",G281)</f>
        <v>N/A</v>
      </c>
      <c r="G281" s="127">
        <f>'Cash Flow Entry'!F281</f>
        <v>0</v>
      </c>
      <c r="H281" s="128">
        <f>IF(Tracking[[#This Row],[Type]]="Inflow",Tracking[[#This Row],[Amount(USD)]],0)</f>
        <v>0</v>
      </c>
      <c r="I281" s="129">
        <f>IF(Tracking[[#This Row],[Type]]="Outflow",-Tracking[[#This Row],[Amount(USD)]],0)</f>
        <v>0</v>
      </c>
      <c r="J281" s="140" t="str">
        <f t="shared" si="115"/>
        <v>EUR</v>
      </c>
      <c r="K281" s="151">
        <f>IFERROR(K280+Tracking[[#This Row],[Cash In]]+Tracking[[#This Row],[Cash Out]],0)</f>
        <v>146579</v>
      </c>
      <c r="L281" s="151">
        <f>Tracking[[#This Row],[Running Balance]]*Settings!$E$15</f>
        <v>126057.94</v>
      </c>
    </row>
    <row r="282" spans="3:12" x14ac:dyDescent="0.3">
      <c r="C282" s="123">
        <f>'Cash Flow Entry'!C282</f>
        <v>45570</v>
      </c>
      <c r="D282" s="126" t="str">
        <f>'Cash Flow Entry'!H282</f>
        <v>Outflow</v>
      </c>
      <c r="E282" s="124" t="str">
        <f>'Cash Flow Entry'!D282</f>
        <v>Operating</v>
      </c>
      <c r="F282" s="124" t="str">
        <f>'Cash Flow Entry'!E282</f>
        <v>Cash paid to employees</v>
      </c>
      <c r="G282" s="127">
        <f>'Cash Flow Entry'!F282</f>
        <v>15000</v>
      </c>
      <c r="H282" s="128">
        <f>IF(Tracking[[#This Row],[Type]]="Inflow",Tracking[[#This Row],[Amount(USD)]],0)</f>
        <v>0</v>
      </c>
      <c r="I282" s="129">
        <f>IF(Tracking[[#This Row],[Type]]="Outflow",-Tracking[[#This Row],[Amount(USD)]],0)</f>
        <v>-15000</v>
      </c>
      <c r="J282" s="140" t="str">
        <f t="shared" si="115"/>
        <v>EUR</v>
      </c>
      <c r="K282" s="151">
        <f>IFERROR(K281+Tracking[[#This Row],[Cash In]]+Tracking[[#This Row],[Cash Out]],0)</f>
        <v>131579</v>
      </c>
      <c r="L282" s="151">
        <f>Tracking[[#This Row],[Running Balance]]*Settings!$E$15</f>
        <v>113157.94</v>
      </c>
    </row>
    <row r="283" spans="3:12" x14ac:dyDescent="0.3">
      <c r="C283" s="123">
        <f>'Cash Flow Entry'!C283</f>
        <v>45571</v>
      </c>
      <c r="D283" s="126" t="str">
        <f t="shared" ref="D283" si="133">IF(OR(ISBLANK(E283), E283=0),"N/A",E283)</f>
        <v>N/A</v>
      </c>
      <c r="E283" s="126" t="str">
        <f t="shared" ref="E283" si="134">IF(OR(ISBLANK(F283), F283=0),"N/A",F283)</f>
        <v>N/A</v>
      </c>
      <c r="F283" s="124" t="str">
        <f t="shared" ref="F283" si="135">IF(OR(ISBLANK(G283), G283=0),"N/A",G283)</f>
        <v>N/A</v>
      </c>
      <c r="G283" s="127">
        <f>'Cash Flow Entry'!F283</f>
        <v>0</v>
      </c>
      <c r="H283" s="128">
        <f>IF(Tracking[[#This Row],[Type]]="Inflow",Tracking[[#This Row],[Amount(USD)]],0)</f>
        <v>0</v>
      </c>
      <c r="I283" s="129">
        <f>IF(Tracking[[#This Row],[Type]]="Outflow",-Tracking[[#This Row],[Amount(USD)]],0)</f>
        <v>0</v>
      </c>
      <c r="J283" s="140" t="str">
        <f t="shared" si="115"/>
        <v>EUR</v>
      </c>
      <c r="K283" s="151">
        <f>IFERROR(K282+Tracking[[#This Row],[Cash In]]+Tracking[[#This Row],[Cash Out]],0)</f>
        <v>131579</v>
      </c>
      <c r="L283" s="151">
        <f>Tracking[[#This Row],[Running Balance]]*Settings!$E$15</f>
        <v>113157.94</v>
      </c>
    </row>
    <row r="284" spans="3:12" x14ac:dyDescent="0.3">
      <c r="C284" s="123">
        <f>'Cash Flow Entry'!C284</f>
        <v>45572</v>
      </c>
      <c r="D284" s="126" t="str">
        <f>'Cash Flow Entry'!H284</f>
        <v>Outflow</v>
      </c>
      <c r="E284" s="124" t="str">
        <f>'Cash Flow Entry'!D284</f>
        <v>Operating</v>
      </c>
      <c r="F284" s="124" t="str">
        <f>'Cash Flow Entry'!E284</f>
        <v>Cash-paid to suppliers</v>
      </c>
      <c r="G284" s="127">
        <f>'Cash Flow Entry'!F284</f>
        <v>38000</v>
      </c>
      <c r="H284" s="128">
        <f>IF(Tracking[[#This Row],[Type]]="Inflow",Tracking[[#This Row],[Amount(USD)]],0)</f>
        <v>0</v>
      </c>
      <c r="I284" s="129">
        <f>IF(Tracking[[#This Row],[Type]]="Outflow",-Tracking[[#This Row],[Amount(USD)]],0)</f>
        <v>-38000</v>
      </c>
      <c r="J284" s="140" t="str">
        <f t="shared" si="115"/>
        <v>EUR</v>
      </c>
      <c r="K284" s="151">
        <f>IFERROR(K283+Tracking[[#This Row],[Cash In]]+Tracking[[#This Row],[Cash Out]],0)</f>
        <v>93579</v>
      </c>
      <c r="L284" s="151">
        <f>Tracking[[#This Row],[Running Balance]]*Settings!$E$15</f>
        <v>80477.94</v>
      </c>
    </row>
    <row r="285" spans="3:12" x14ac:dyDescent="0.3">
      <c r="C285" s="123">
        <f>'Cash Flow Entry'!C285</f>
        <v>45573</v>
      </c>
      <c r="D285" s="126" t="str">
        <f t="shared" ref="D285:D286" si="136">IF(OR(ISBLANK(E285), E285=0),"N/A",E285)</f>
        <v>N/A</v>
      </c>
      <c r="E285" s="126" t="str">
        <f t="shared" ref="E285:E286" si="137">IF(OR(ISBLANK(F285), F285=0),"N/A",F285)</f>
        <v>N/A</v>
      </c>
      <c r="F285" s="124" t="str">
        <f t="shared" ref="F285:F286" si="138">IF(OR(ISBLANK(G285), G285=0),"N/A",G285)</f>
        <v>N/A</v>
      </c>
      <c r="G285" s="127">
        <f>'Cash Flow Entry'!F285</f>
        <v>0</v>
      </c>
      <c r="H285" s="128">
        <f>IF(Tracking[[#This Row],[Type]]="Inflow",Tracking[[#This Row],[Amount(USD)]],0)</f>
        <v>0</v>
      </c>
      <c r="I285" s="129">
        <f>IF(Tracking[[#This Row],[Type]]="Outflow",-Tracking[[#This Row],[Amount(USD)]],0)</f>
        <v>0</v>
      </c>
      <c r="J285" s="140" t="str">
        <f t="shared" si="115"/>
        <v>EUR</v>
      </c>
      <c r="K285" s="151">
        <f>IFERROR(K284+Tracking[[#This Row],[Cash In]]+Tracking[[#This Row],[Cash Out]],0)</f>
        <v>93579</v>
      </c>
      <c r="L285" s="151">
        <f>Tracking[[#This Row],[Running Balance]]*Settings!$E$15</f>
        <v>80477.94</v>
      </c>
    </row>
    <row r="286" spans="3:12" x14ac:dyDescent="0.3">
      <c r="C286" s="123">
        <f>'Cash Flow Entry'!C286</f>
        <v>45574</v>
      </c>
      <c r="D286" s="126" t="str">
        <f t="shared" si="136"/>
        <v>N/A</v>
      </c>
      <c r="E286" s="126" t="str">
        <f t="shared" si="137"/>
        <v>N/A</v>
      </c>
      <c r="F286" s="124" t="str">
        <f t="shared" si="138"/>
        <v>N/A</v>
      </c>
      <c r="G286" s="127">
        <f>'Cash Flow Entry'!F286</f>
        <v>0</v>
      </c>
      <c r="H286" s="128">
        <f>IF(Tracking[[#This Row],[Type]]="Inflow",Tracking[[#This Row],[Amount(USD)]],0)</f>
        <v>0</v>
      </c>
      <c r="I286" s="129">
        <f>IF(Tracking[[#This Row],[Type]]="Outflow",-Tracking[[#This Row],[Amount(USD)]],0)</f>
        <v>0</v>
      </c>
      <c r="J286" s="140" t="str">
        <f t="shared" si="115"/>
        <v>EUR</v>
      </c>
      <c r="K286" s="151">
        <f>IFERROR(K285+Tracking[[#This Row],[Cash In]]+Tracking[[#This Row],[Cash Out]],0)</f>
        <v>93579</v>
      </c>
      <c r="L286" s="151">
        <f>Tracking[[#This Row],[Running Balance]]*Settings!$E$15</f>
        <v>80477.94</v>
      </c>
    </row>
    <row r="287" spans="3:12" x14ac:dyDescent="0.3">
      <c r="C287" s="123">
        <f>'Cash Flow Entry'!C287</f>
        <v>45575</v>
      </c>
      <c r="D287" s="126" t="str">
        <f>'Cash Flow Entry'!H287</f>
        <v>Outflow</v>
      </c>
      <c r="E287" s="124" t="str">
        <f>'Cash Flow Entry'!D287</f>
        <v>Financing</v>
      </c>
      <c r="F287" s="124" t="str">
        <f>'Cash Flow Entry'!E287</f>
        <v>Repayment of long-term borrowings</v>
      </c>
      <c r="G287" s="127">
        <f>'Cash Flow Entry'!F287</f>
        <v>12000</v>
      </c>
      <c r="H287" s="128">
        <f>IF(Tracking[[#This Row],[Type]]="Inflow",Tracking[[#This Row],[Amount(USD)]],0)</f>
        <v>0</v>
      </c>
      <c r="I287" s="129">
        <f>IF(Tracking[[#This Row],[Type]]="Outflow",-Tracking[[#This Row],[Amount(USD)]],0)</f>
        <v>-12000</v>
      </c>
      <c r="J287" s="140" t="str">
        <f t="shared" si="115"/>
        <v>EUR</v>
      </c>
      <c r="K287" s="151">
        <f>IFERROR(K286+Tracking[[#This Row],[Cash In]]+Tracking[[#This Row],[Cash Out]],0)</f>
        <v>81579</v>
      </c>
      <c r="L287" s="151">
        <f>Tracking[[#This Row],[Running Balance]]*Settings!$E$15</f>
        <v>70157.94</v>
      </c>
    </row>
    <row r="288" spans="3:12" x14ac:dyDescent="0.3">
      <c r="C288" s="123">
        <f>'Cash Flow Entry'!C288</f>
        <v>45576</v>
      </c>
      <c r="D288" s="126" t="str">
        <f t="shared" ref="D288" si="139">IF(OR(ISBLANK(E288), E288=0),"N/A",E288)</f>
        <v>N/A</v>
      </c>
      <c r="E288" s="126" t="str">
        <f t="shared" ref="E288" si="140">IF(OR(ISBLANK(F288), F288=0),"N/A",F288)</f>
        <v>N/A</v>
      </c>
      <c r="F288" s="124" t="str">
        <f t="shared" ref="F288" si="141">IF(OR(ISBLANK(G288), G288=0),"N/A",G288)</f>
        <v>N/A</v>
      </c>
      <c r="G288" s="127">
        <f>'Cash Flow Entry'!F288</f>
        <v>0</v>
      </c>
      <c r="H288" s="128">
        <f>IF(Tracking[[#This Row],[Type]]="Inflow",Tracking[[#This Row],[Amount(USD)]],0)</f>
        <v>0</v>
      </c>
      <c r="I288" s="129">
        <f>IF(Tracking[[#This Row],[Type]]="Outflow",-Tracking[[#This Row],[Amount(USD)]],0)</f>
        <v>0</v>
      </c>
      <c r="J288" s="140" t="str">
        <f t="shared" si="115"/>
        <v>EUR</v>
      </c>
      <c r="K288" s="151">
        <f>IFERROR(K287+Tracking[[#This Row],[Cash In]]+Tracking[[#This Row],[Cash Out]],0)</f>
        <v>81579</v>
      </c>
      <c r="L288" s="151">
        <f>Tracking[[#This Row],[Running Balance]]*Settings!$E$15</f>
        <v>70157.94</v>
      </c>
    </row>
    <row r="289" spans="3:12" x14ac:dyDescent="0.3">
      <c r="C289" s="123">
        <f>'Cash Flow Entry'!C289</f>
        <v>45577</v>
      </c>
      <c r="D289" s="126" t="str">
        <f>'Cash Flow Entry'!H289</f>
        <v>Inflow</v>
      </c>
      <c r="E289" s="124" t="str">
        <f>'Cash Flow Entry'!D289</f>
        <v>Investing</v>
      </c>
      <c r="F289" s="124" t="str">
        <f>'Cash Flow Entry'!E289</f>
        <v>Proceeds from sale of investments</v>
      </c>
      <c r="G289" s="127">
        <f>'Cash Flow Entry'!F289</f>
        <v>26000</v>
      </c>
      <c r="H289" s="128">
        <f>IF(Tracking[[#This Row],[Type]]="Inflow",Tracking[[#This Row],[Amount(USD)]],0)</f>
        <v>26000</v>
      </c>
      <c r="I289" s="129">
        <f>IF(Tracking[[#This Row],[Type]]="Outflow",-Tracking[[#This Row],[Amount(USD)]],0)</f>
        <v>0</v>
      </c>
      <c r="J289" s="140" t="str">
        <f t="shared" si="115"/>
        <v>EUR</v>
      </c>
      <c r="K289" s="151">
        <f>IFERROR(K288+Tracking[[#This Row],[Cash In]]+Tracking[[#This Row],[Cash Out]],0)</f>
        <v>107579</v>
      </c>
      <c r="L289" s="151">
        <f>Tracking[[#This Row],[Running Balance]]*Settings!$E$15</f>
        <v>92517.94</v>
      </c>
    </row>
    <row r="290" spans="3:12" x14ac:dyDescent="0.3">
      <c r="C290" s="123">
        <f>'Cash Flow Entry'!C290</f>
        <v>45578</v>
      </c>
      <c r="D290" s="126" t="str">
        <f t="shared" ref="D290" si="142">IF(OR(ISBLANK(E290), E290=0),"N/A",E290)</f>
        <v>N/A</v>
      </c>
      <c r="E290" s="126" t="str">
        <f t="shared" ref="E290" si="143">IF(OR(ISBLANK(F290), F290=0),"N/A",F290)</f>
        <v>N/A</v>
      </c>
      <c r="F290" s="124" t="str">
        <f t="shared" ref="F290" si="144">IF(OR(ISBLANK(G290), G290=0),"N/A",G290)</f>
        <v>N/A</v>
      </c>
      <c r="G290" s="127">
        <f>'Cash Flow Entry'!F290</f>
        <v>0</v>
      </c>
      <c r="H290" s="128">
        <f>IF(Tracking[[#This Row],[Type]]="Inflow",Tracking[[#This Row],[Amount(USD)]],0)</f>
        <v>0</v>
      </c>
      <c r="I290" s="129">
        <f>IF(Tracking[[#This Row],[Type]]="Outflow",-Tracking[[#This Row],[Amount(USD)]],0)</f>
        <v>0</v>
      </c>
      <c r="J290" s="140" t="str">
        <f t="shared" si="115"/>
        <v>EUR</v>
      </c>
      <c r="K290" s="151">
        <f>IFERROR(K289+Tracking[[#This Row],[Cash In]]+Tracking[[#This Row],[Cash Out]],0)</f>
        <v>107579</v>
      </c>
      <c r="L290" s="151">
        <f>Tracking[[#This Row],[Running Balance]]*Settings!$E$15</f>
        <v>92517.94</v>
      </c>
    </row>
    <row r="291" spans="3:12" x14ac:dyDescent="0.3">
      <c r="C291" s="123">
        <f>'Cash Flow Entry'!C291</f>
        <v>45579</v>
      </c>
      <c r="D291" s="126" t="str">
        <f>'Cash Flow Entry'!H291</f>
        <v>Inflow</v>
      </c>
      <c r="E291" s="124" t="str">
        <f>'Cash Flow Entry'!D291</f>
        <v>Operating</v>
      </c>
      <c r="F291" s="124" t="str">
        <f>'Cash Flow Entry'!E291</f>
        <v>Cash-received from customers</v>
      </c>
      <c r="G291" s="127">
        <f>'Cash Flow Entry'!F291</f>
        <v>40000</v>
      </c>
      <c r="H291" s="128">
        <f>IF(Tracking[[#This Row],[Type]]="Inflow",Tracking[[#This Row],[Amount(USD)]],0)</f>
        <v>40000</v>
      </c>
      <c r="I291" s="129">
        <f>IF(Tracking[[#This Row],[Type]]="Outflow",-Tracking[[#This Row],[Amount(USD)]],0)</f>
        <v>0</v>
      </c>
      <c r="J291" s="140" t="str">
        <f t="shared" si="115"/>
        <v>EUR</v>
      </c>
      <c r="K291" s="151">
        <f>IFERROR(K290+Tracking[[#This Row],[Cash In]]+Tracking[[#This Row],[Cash Out]],0)</f>
        <v>147579</v>
      </c>
      <c r="L291" s="151">
        <f>Tracking[[#This Row],[Running Balance]]*Settings!$E$15</f>
        <v>126917.94</v>
      </c>
    </row>
    <row r="292" spans="3:12" x14ac:dyDescent="0.3">
      <c r="C292" s="123">
        <f>'Cash Flow Entry'!C292</f>
        <v>45580</v>
      </c>
      <c r="D292" s="126" t="str">
        <f>'Cash Flow Entry'!H292</f>
        <v>Outflow</v>
      </c>
      <c r="E292" s="124" t="str">
        <f>'Cash Flow Entry'!D292</f>
        <v>Financing</v>
      </c>
      <c r="F292" s="124" t="str">
        <f>'Cash Flow Entry'!E292</f>
        <v>Interest Paid</v>
      </c>
      <c r="G292" s="127">
        <f>'Cash Flow Entry'!F292</f>
        <v>800</v>
      </c>
      <c r="H292" s="128">
        <f>IF(Tracking[[#This Row],[Type]]="Inflow",Tracking[[#This Row],[Amount(USD)]],0)</f>
        <v>0</v>
      </c>
      <c r="I292" s="129">
        <f>IF(Tracking[[#This Row],[Type]]="Outflow",-Tracking[[#This Row],[Amount(USD)]],0)</f>
        <v>-800</v>
      </c>
      <c r="J292" s="140" t="str">
        <f t="shared" si="115"/>
        <v>EUR</v>
      </c>
      <c r="K292" s="151">
        <f>IFERROR(K291+Tracking[[#This Row],[Cash In]]+Tracking[[#This Row],[Cash Out]],0)</f>
        <v>146779</v>
      </c>
      <c r="L292" s="151">
        <f>Tracking[[#This Row],[Running Balance]]*Settings!$E$15</f>
        <v>126229.94</v>
      </c>
    </row>
    <row r="293" spans="3:12" x14ac:dyDescent="0.3">
      <c r="C293" s="123">
        <f>'Cash Flow Entry'!C293</f>
        <v>45581</v>
      </c>
      <c r="D293" s="126" t="str">
        <f t="shared" ref="D293:D294" si="145">IF(OR(ISBLANK(E293), E293=0),"N/A",E293)</f>
        <v>N/A</v>
      </c>
      <c r="E293" s="126" t="str">
        <f t="shared" ref="E293:E294" si="146">IF(OR(ISBLANK(F293), F293=0),"N/A",F293)</f>
        <v>N/A</v>
      </c>
      <c r="F293" s="124" t="str">
        <f t="shared" ref="F293:F294" si="147">IF(OR(ISBLANK(G293), G293=0),"N/A",G293)</f>
        <v>N/A</v>
      </c>
      <c r="G293" s="127">
        <f>'Cash Flow Entry'!F293</f>
        <v>0</v>
      </c>
      <c r="H293" s="128">
        <f>IF(Tracking[[#This Row],[Type]]="Inflow",Tracking[[#This Row],[Amount(USD)]],0)</f>
        <v>0</v>
      </c>
      <c r="I293" s="129">
        <f>IF(Tracking[[#This Row],[Type]]="Outflow",-Tracking[[#This Row],[Amount(USD)]],0)</f>
        <v>0</v>
      </c>
      <c r="J293" s="140" t="str">
        <f t="shared" si="115"/>
        <v>EUR</v>
      </c>
      <c r="K293" s="151">
        <f>IFERROR(K292+Tracking[[#This Row],[Cash In]]+Tracking[[#This Row],[Cash Out]],0)</f>
        <v>146779</v>
      </c>
      <c r="L293" s="151">
        <f>Tracking[[#This Row],[Running Balance]]*Settings!$E$15</f>
        <v>126229.94</v>
      </c>
    </row>
    <row r="294" spans="3:12" x14ac:dyDescent="0.3">
      <c r="C294" s="123">
        <f>'Cash Flow Entry'!C294</f>
        <v>45582</v>
      </c>
      <c r="D294" s="126" t="str">
        <f t="shared" si="145"/>
        <v>N/A</v>
      </c>
      <c r="E294" s="126" t="str">
        <f t="shared" si="146"/>
        <v>N/A</v>
      </c>
      <c r="F294" s="124" t="str">
        <f t="shared" si="147"/>
        <v>N/A</v>
      </c>
      <c r="G294" s="127">
        <f>'Cash Flow Entry'!F294</f>
        <v>0</v>
      </c>
      <c r="H294" s="128">
        <f>IF(Tracking[[#This Row],[Type]]="Inflow",Tracking[[#This Row],[Amount(USD)]],0)</f>
        <v>0</v>
      </c>
      <c r="I294" s="129">
        <f>IF(Tracking[[#This Row],[Type]]="Outflow",-Tracking[[#This Row],[Amount(USD)]],0)</f>
        <v>0</v>
      </c>
      <c r="J294" s="140" t="str">
        <f t="shared" si="115"/>
        <v>EUR</v>
      </c>
      <c r="K294" s="151">
        <f>IFERROR(K293+Tracking[[#This Row],[Cash In]]+Tracking[[#This Row],[Cash Out]],0)</f>
        <v>146779</v>
      </c>
      <c r="L294" s="151">
        <f>Tracking[[#This Row],[Running Balance]]*Settings!$E$15</f>
        <v>126229.94</v>
      </c>
    </row>
    <row r="295" spans="3:12" x14ac:dyDescent="0.3">
      <c r="C295" s="123">
        <f>'Cash Flow Entry'!C295</f>
        <v>45583</v>
      </c>
      <c r="D295" s="126" t="str">
        <f>'Cash Flow Entry'!H295</f>
        <v>Outflow</v>
      </c>
      <c r="E295" s="124" t="str">
        <f>'Cash Flow Entry'!D295</f>
        <v>Financing</v>
      </c>
      <c r="F295" s="124" t="str">
        <f>'Cash Flow Entry'!E295</f>
        <v>Repayment of short-term borrowings</v>
      </c>
      <c r="G295" s="127">
        <f>'Cash Flow Entry'!F295</f>
        <v>5000</v>
      </c>
      <c r="H295" s="128">
        <f>IF(Tracking[[#This Row],[Type]]="Inflow",Tracking[[#This Row],[Amount(USD)]],0)</f>
        <v>0</v>
      </c>
      <c r="I295" s="129">
        <f>IF(Tracking[[#This Row],[Type]]="Outflow",-Tracking[[#This Row],[Amount(USD)]],0)</f>
        <v>-5000</v>
      </c>
      <c r="J295" s="140" t="str">
        <f t="shared" si="115"/>
        <v>EUR</v>
      </c>
      <c r="K295" s="151">
        <f>IFERROR(K294+Tracking[[#This Row],[Cash In]]+Tracking[[#This Row],[Cash Out]],0)</f>
        <v>141779</v>
      </c>
      <c r="L295" s="151">
        <f>Tracking[[#This Row],[Running Balance]]*Settings!$E$15</f>
        <v>121929.94</v>
      </c>
    </row>
    <row r="296" spans="3:12" x14ac:dyDescent="0.3">
      <c r="C296" s="123">
        <f>'Cash Flow Entry'!C296</f>
        <v>45584</v>
      </c>
      <c r="D296" s="126" t="str">
        <f t="shared" ref="D296:D297" si="148">IF(OR(ISBLANK(E296), E296=0),"N/A",E296)</f>
        <v>N/A</v>
      </c>
      <c r="E296" s="126" t="str">
        <f t="shared" ref="E296:E297" si="149">IF(OR(ISBLANK(F296), F296=0),"N/A",F296)</f>
        <v>N/A</v>
      </c>
      <c r="F296" s="124" t="str">
        <f t="shared" ref="F296:F297" si="150">IF(OR(ISBLANK(G296), G296=0),"N/A",G296)</f>
        <v>N/A</v>
      </c>
      <c r="G296" s="127">
        <f>'Cash Flow Entry'!F296</f>
        <v>0</v>
      </c>
      <c r="H296" s="128">
        <f>IF(Tracking[[#This Row],[Type]]="Inflow",Tracking[[#This Row],[Amount(USD)]],0)</f>
        <v>0</v>
      </c>
      <c r="I296" s="129">
        <f>IF(Tracking[[#This Row],[Type]]="Outflow",-Tracking[[#This Row],[Amount(USD)]],0)</f>
        <v>0</v>
      </c>
      <c r="J296" s="140" t="str">
        <f t="shared" si="115"/>
        <v>EUR</v>
      </c>
      <c r="K296" s="151">
        <f>IFERROR(K295+Tracking[[#This Row],[Cash In]]+Tracking[[#This Row],[Cash Out]],0)</f>
        <v>141779</v>
      </c>
      <c r="L296" s="151">
        <f>Tracking[[#This Row],[Running Balance]]*Settings!$E$15</f>
        <v>121929.94</v>
      </c>
    </row>
    <row r="297" spans="3:12" x14ac:dyDescent="0.3">
      <c r="C297" s="123">
        <f>'Cash Flow Entry'!C297</f>
        <v>45585</v>
      </c>
      <c r="D297" s="126" t="str">
        <f t="shared" si="148"/>
        <v>N/A</v>
      </c>
      <c r="E297" s="126" t="str">
        <f t="shared" si="149"/>
        <v>N/A</v>
      </c>
      <c r="F297" s="124" t="str">
        <f t="shared" si="150"/>
        <v>N/A</v>
      </c>
      <c r="G297" s="127">
        <f>'Cash Flow Entry'!F297</f>
        <v>0</v>
      </c>
      <c r="H297" s="128">
        <f>IF(Tracking[[#This Row],[Type]]="Inflow",Tracking[[#This Row],[Amount(USD)]],0)</f>
        <v>0</v>
      </c>
      <c r="I297" s="129">
        <f>IF(Tracking[[#This Row],[Type]]="Outflow",-Tracking[[#This Row],[Amount(USD)]],0)</f>
        <v>0</v>
      </c>
      <c r="J297" s="140" t="str">
        <f t="shared" si="115"/>
        <v>EUR</v>
      </c>
      <c r="K297" s="151">
        <f>IFERROR(K296+Tracking[[#This Row],[Cash In]]+Tracking[[#This Row],[Cash Out]],0)</f>
        <v>141779</v>
      </c>
      <c r="L297" s="151">
        <f>Tracking[[#This Row],[Running Balance]]*Settings!$E$15</f>
        <v>121929.94</v>
      </c>
    </row>
    <row r="298" spans="3:12" x14ac:dyDescent="0.3">
      <c r="C298" s="123">
        <f>'Cash Flow Entry'!C298</f>
        <v>45586</v>
      </c>
      <c r="D298" s="126" t="str">
        <f>'Cash Flow Entry'!H298</f>
        <v>Outflow</v>
      </c>
      <c r="E298" s="124" t="str">
        <f>'Cash Flow Entry'!D298</f>
        <v>Operating</v>
      </c>
      <c r="F298" s="124" t="str">
        <f>'Cash Flow Entry'!E298</f>
        <v>Cash paid for Operating expenses</v>
      </c>
      <c r="G298" s="127">
        <f>'Cash Flow Entry'!F298</f>
        <v>1800</v>
      </c>
      <c r="H298" s="128">
        <f>IF(Tracking[[#This Row],[Type]]="Inflow",Tracking[[#This Row],[Amount(USD)]],0)</f>
        <v>0</v>
      </c>
      <c r="I298" s="129">
        <f>IF(Tracking[[#This Row],[Type]]="Outflow",-Tracking[[#This Row],[Amount(USD)]],0)</f>
        <v>-1800</v>
      </c>
      <c r="J298" s="140" t="str">
        <f t="shared" si="115"/>
        <v>EUR</v>
      </c>
      <c r="K298" s="151">
        <f>IFERROR(K297+Tracking[[#This Row],[Cash In]]+Tracking[[#This Row],[Cash Out]],0)</f>
        <v>139979</v>
      </c>
      <c r="L298" s="151">
        <f>Tracking[[#This Row],[Running Balance]]*Settings!$E$15</f>
        <v>120381.94</v>
      </c>
    </row>
    <row r="299" spans="3:12" x14ac:dyDescent="0.3">
      <c r="C299" s="123">
        <f>'Cash Flow Entry'!C299</f>
        <v>45587</v>
      </c>
      <c r="D299" s="126" t="str">
        <f t="shared" ref="D299:E299" si="151">IF(OR(ISBLANK(E299), E299=0),"N/A",E299)</f>
        <v>N/A</v>
      </c>
      <c r="E299" s="126" t="str">
        <f t="shared" si="151"/>
        <v>N/A</v>
      </c>
      <c r="F299" s="124" t="str">
        <f t="shared" ref="F299" si="152">IF(OR(ISBLANK(G299), G299=0),"N/A",G299)</f>
        <v>N/A</v>
      </c>
      <c r="G299" s="127">
        <f>'Cash Flow Entry'!F299</f>
        <v>0</v>
      </c>
      <c r="H299" s="128">
        <f>IF(Tracking[[#This Row],[Type]]="Inflow",Tracking[[#This Row],[Amount(USD)]],0)</f>
        <v>0</v>
      </c>
      <c r="I299" s="129">
        <f>IF(Tracking[[#This Row],[Type]]="Outflow",-Tracking[[#This Row],[Amount(USD)]],0)</f>
        <v>0</v>
      </c>
      <c r="J299" s="140" t="str">
        <f t="shared" si="115"/>
        <v>EUR</v>
      </c>
      <c r="K299" s="151">
        <f>IFERROR(K298+Tracking[[#This Row],[Cash In]]+Tracking[[#This Row],[Cash Out]],0)</f>
        <v>139979</v>
      </c>
      <c r="L299" s="151">
        <f>Tracking[[#This Row],[Running Balance]]*Settings!$E$15</f>
        <v>120381.94</v>
      </c>
    </row>
    <row r="300" spans="3:12" x14ac:dyDescent="0.3">
      <c r="C300" s="123">
        <f>'Cash Flow Entry'!C300</f>
        <v>45588</v>
      </c>
      <c r="D300" s="126" t="str">
        <f>'Cash Flow Entry'!H300</f>
        <v>Inflow</v>
      </c>
      <c r="E300" s="124" t="str">
        <f>'Cash Flow Entry'!D300</f>
        <v>Operating</v>
      </c>
      <c r="F300" s="124" t="str">
        <f>'Cash Flow Entry'!E300</f>
        <v>Refund of taxes received</v>
      </c>
      <c r="G300" s="127">
        <f>'Cash Flow Entry'!F300</f>
        <v>1800</v>
      </c>
      <c r="H300" s="128">
        <f>IF(Tracking[[#This Row],[Type]]="Inflow",Tracking[[#This Row],[Amount(USD)]],0)</f>
        <v>1800</v>
      </c>
      <c r="I300" s="129">
        <f>IF(Tracking[[#This Row],[Type]]="Outflow",-Tracking[[#This Row],[Amount(USD)]],0)</f>
        <v>0</v>
      </c>
      <c r="J300" s="140" t="str">
        <f t="shared" si="115"/>
        <v>EUR</v>
      </c>
      <c r="K300" s="151">
        <f>IFERROR(K299+Tracking[[#This Row],[Cash In]]+Tracking[[#This Row],[Cash Out]],0)</f>
        <v>141779</v>
      </c>
      <c r="L300" s="151">
        <f>Tracking[[#This Row],[Running Balance]]*Settings!$E$15</f>
        <v>121929.94</v>
      </c>
    </row>
    <row r="301" spans="3:12" x14ac:dyDescent="0.3">
      <c r="C301" s="123">
        <f>'Cash Flow Entry'!C301</f>
        <v>45589</v>
      </c>
      <c r="D301" s="126" t="str">
        <f t="shared" ref="D301:F301" si="153">IF(OR(ISBLANK(E301), E301=0),"N/A",E301)</f>
        <v>N/A</v>
      </c>
      <c r="E301" s="126" t="str">
        <f t="shared" si="153"/>
        <v>N/A</v>
      </c>
      <c r="F301" s="124" t="str">
        <f t="shared" si="153"/>
        <v>N/A</v>
      </c>
      <c r="G301" s="127">
        <f>'Cash Flow Entry'!F301</f>
        <v>0</v>
      </c>
      <c r="H301" s="128">
        <f>IF(Tracking[[#This Row],[Type]]="Inflow",Tracking[[#This Row],[Amount(USD)]],0)</f>
        <v>0</v>
      </c>
      <c r="I301" s="129">
        <f>IF(Tracking[[#This Row],[Type]]="Outflow",-Tracking[[#This Row],[Amount(USD)]],0)</f>
        <v>0</v>
      </c>
      <c r="J301" s="140" t="str">
        <f t="shared" si="115"/>
        <v>EUR</v>
      </c>
      <c r="K301" s="151">
        <f>IFERROR(K300+Tracking[[#This Row],[Cash In]]+Tracking[[#This Row],[Cash Out]],0)</f>
        <v>141779</v>
      </c>
      <c r="L301" s="151">
        <f>Tracking[[#This Row],[Running Balance]]*Settings!$E$15</f>
        <v>121929.94</v>
      </c>
    </row>
    <row r="302" spans="3:12" x14ac:dyDescent="0.3">
      <c r="C302" s="123">
        <f>'Cash Flow Entry'!C302</f>
        <v>45590</v>
      </c>
      <c r="D302" s="126" t="str">
        <f>'Cash Flow Entry'!H302</f>
        <v>Inflow</v>
      </c>
      <c r="E302" s="124" t="str">
        <f>'Cash Flow Entry'!D302</f>
        <v>Operating</v>
      </c>
      <c r="F302" s="124" t="str">
        <f>'Cash Flow Entry'!E302</f>
        <v>Cash-received from customers</v>
      </c>
      <c r="G302" s="127">
        <f>'Cash Flow Entry'!F302</f>
        <v>60000</v>
      </c>
      <c r="H302" s="128">
        <f>IF(Tracking[[#This Row],[Type]]="Inflow",Tracking[[#This Row],[Amount(USD)]],0)</f>
        <v>60000</v>
      </c>
      <c r="I302" s="129">
        <f>IF(Tracking[[#This Row],[Type]]="Outflow",-Tracking[[#This Row],[Amount(USD)]],0)</f>
        <v>0</v>
      </c>
      <c r="J302" s="140" t="str">
        <f t="shared" si="115"/>
        <v>EUR</v>
      </c>
      <c r="K302" s="151">
        <f>IFERROR(K301+Tracking[[#This Row],[Cash In]]+Tracking[[#This Row],[Cash Out]],0)</f>
        <v>201779</v>
      </c>
      <c r="L302" s="151">
        <f>Tracking[[#This Row],[Running Balance]]*Settings!$E$15</f>
        <v>173529.94</v>
      </c>
    </row>
    <row r="303" spans="3:12" x14ac:dyDescent="0.3">
      <c r="C303" s="123">
        <f>'Cash Flow Entry'!C303</f>
        <v>45591</v>
      </c>
      <c r="D303" s="126" t="str">
        <f t="shared" ref="D303:D304" si="154">IF(OR(ISBLANK(E303), E303=0),"N/A",E303)</f>
        <v>N/A</v>
      </c>
      <c r="E303" s="126" t="str">
        <f t="shared" ref="E303:E304" si="155">IF(OR(ISBLANK(F303), F303=0),"N/A",F303)</f>
        <v>N/A</v>
      </c>
      <c r="F303" s="124" t="str">
        <f t="shared" ref="F303:F304" si="156">IF(OR(ISBLANK(G303), G303=0),"N/A",G303)</f>
        <v>N/A</v>
      </c>
      <c r="G303" s="127">
        <f>'Cash Flow Entry'!F303</f>
        <v>0</v>
      </c>
      <c r="H303" s="128">
        <f>IF(Tracking[[#This Row],[Type]]="Inflow",Tracking[[#This Row],[Amount(USD)]],0)</f>
        <v>0</v>
      </c>
      <c r="I303" s="129">
        <f>IF(Tracking[[#This Row],[Type]]="Outflow",-Tracking[[#This Row],[Amount(USD)]],0)</f>
        <v>0</v>
      </c>
      <c r="J303" s="140" t="str">
        <f t="shared" si="115"/>
        <v>EUR</v>
      </c>
      <c r="K303" s="151">
        <f>IFERROR(K302+Tracking[[#This Row],[Cash In]]+Tracking[[#This Row],[Cash Out]],0)</f>
        <v>201779</v>
      </c>
      <c r="L303" s="151">
        <f>Tracking[[#This Row],[Running Balance]]*Settings!$E$15</f>
        <v>173529.94</v>
      </c>
    </row>
    <row r="304" spans="3:12" x14ac:dyDescent="0.3">
      <c r="C304" s="123">
        <f>'Cash Flow Entry'!C304</f>
        <v>45592</v>
      </c>
      <c r="D304" s="126" t="str">
        <f t="shared" si="154"/>
        <v>N/A</v>
      </c>
      <c r="E304" s="126" t="str">
        <f t="shared" si="155"/>
        <v>N/A</v>
      </c>
      <c r="F304" s="124" t="str">
        <f t="shared" si="156"/>
        <v>N/A</v>
      </c>
      <c r="G304" s="127">
        <f>'Cash Flow Entry'!F304</f>
        <v>0</v>
      </c>
      <c r="H304" s="128">
        <f>IF(Tracking[[#This Row],[Type]]="Inflow",Tracking[[#This Row],[Amount(USD)]],0)</f>
        <v>0</v>
      </c>
      <c r="I304" s="129">
        <f>IF(Tracking[[#This Row],[Type]]="Outflow",-Tracking[[#This Row],[Amount(USD)]],0)</f>
        <v>0</v>
      </c>
      <c r="J304" s="140" t="str">
        <f t="shared" si="115"/>
        <v>EUR</v>
      </c>
      <c r="K304" s="151">
        <f>IFERROR(K303+Tracking[[#This Row],[Cash In]]+Tracking[[#This Row],[Cash Out]],0)</f>
        <v>201779</v>
      </c>
      <c r="L304" s="151">
        <f>Tracking[[#This Row],[Running Balance]]*Settings!$E$15</f>
        <v>173529.94</v>
      </c>
    </row>
    <row r="305" spans="3:12" x14ac:dyDescent="0.3">
      <c r="C305" s="123">
        <f>'Cash Flow Entry'!C305</f>
        <v>45593</v>
      </c>
      <c r="D305" s="126" t="str">
        <f>'Cash Flow Entry'!H305</f>
        <v>Outflow</v>
      </c>
      <c r="E305" s="124" t="str">
        <f>'Cash Flow Entry'!D305</f>
        <v>Investing</v>
      </c>
      <c r="F305" s="124" t="str">
        <f>'Cash Flow Entry'!E305</f>
        <v>Proceeds from sale of Property, Plant or Equipment (PP&amp;M)</v>
      </c>
      <c r="G305" s="127">
        <f>'Cash Flow Entry'!F305</f>
        <v>8000</v>
      </c>
      <c r="H305" s="128">
        <f>IF(Tracking[[#This Row],[Type]]="Inflow",Tracking[[#This Row],[Amount(USD)]],0)</f>
        <v>0</v>
      </c>
      <c r="I305" s="129">
        <f>IF(Tracking[[#This Row],[Type]]="Outflow",-Tracking[[#This Row],[Amount(USD)]],0)</f>
        <v>-8000</v>
      </c>
      <c r="J305" s="140" t="str">
        <f t="shared" si="115"/>
        <v>EUR</v>
      </c>
      <c r="K305" s="151">
        <f>IFERROR(K304+Tracking[[#This Row],[Cash In]]+Tracking[[#This Row],[Cash Out]],0)</f>
        <v>193779</v>
      </c>
      <c r="L305" s="151">
        <f>Tracking[[#This Row],[Running Balance]]*Settings!$E$15</f>
        <v>166649.94</v>
      </c>
    </row>
    <row r="306" spans="3:12" x14ac:dyDescent="0.3">
      <c r="C306" s="123">
        <f>'Cash Flow Entry'!C306</f>
        <v>45594</v>
      </c>
      <c r="D306" s="126" t="str">
        <f t="shared" ref="D306:D307" si="157">IF(OR(ISBLANK(E306), E306=0),"N/A",E306)</f>
        <v>N/A</v>
      </c>
      <c r="E306" s="126" t="str">
        <f t="shared" ref="E306:E307" si="158">IF(OR(ISBLANK(F306), F306=0),"N/A",F306)</f>
        <v>N/A</v>
      </c>
      <c r="F306" s="124" t="str">
        <f t="shared" ref="F306:F307" si="159">IF(OR(ISBLANK(G306), G306=0),"N/A",G306)</f>
        <v>N/A</v>
      </c>
      <c r="G306" s="127">
        <f>'Cash Flow Entry'!F306</f>
        <v>0</v>
      </c>
      <c r="H306" s="128">
        <f>IF(Tracking[[#This Row],[Type]]="Inflow",Tracking[[#This Row],[Amount(USD)]],0)</f>
        <v>0</v>
      </c>
      <c r="I306" s="129">
        <f>IF(Tracking[[#This Row],[Type]]="Outflow",-Tracking[[#This Row],[Amount(USD)]],0)</f>
        <v>0</v>
      </c>
      <c r="J306" s="140" t="str">
        <f t="shared" si="115"/>
        <v>EUR</v>
      </c>
      <c r="K306" s="151">
        <f>IFERROR(K305+Tracking[[#This Row],[Cash In]]+Tracking[[#This Row],[Cash Out]],0)</f>
        <v>193779</v>
      </c>
      <c r="L306" s="151">
        <f>Tracking[[#This Row],[Running Balance]]*Settings!$E$15</f>
        <v>166649.94</v>
      </c>
    </row>
    <row r="307" spans="3:12" ht="15" thickBot="1" x14ac:dyDescent="0.35">
      <c r="C307" s="123">
        <f>'Cash Flow Entry'!C307</f>
        <v>45595</v>
      </c>
      <c r="D307" s="126" t="str">
        <f t="shared" si="157"/>
        <v>N/A</v>
      </c>
      <c r="E307" s="126" t="str">
        <f t="shared" si="158"/>
        <v>N/A</v>
      </c>
      <c r="F307" s="124" t="str">
        <f t="shared" si="159"/>
        <v>N/A</v>
      </c>
      <c r="G307" s="127">
        <f>'Cash Flow Entry'!F307</f>
        <v>0</v>
      </c>
      <c r="H307" s="128">
        <f>IF(Tracking[[#This Row],[Type]]="Inflow",Tracking[[#This Row],[Amount(USD)]],0)</f>
        <v>0</v>
      </c>
      <c r="I307" s="129">
        <f>IF(Tracking[[#This Row],[Type]]="Outflow",-Tracking[[#This Row],[Amount(USD)]],0)</f>
        <v>0</v>
      </c>
      <c r="J307" s="140" t="str">
        <f t="shared" si="115"/>
        <v>EUR</v>
      </c>
      <c r="K307" s="151">
        <f>IFERROR(K306+Tracking[[#This Row],[Cash In]]+Tracking[[#This Row],[Cash Out]],0)</f>
        <v>193779</v>
      </c>
      <c r="L307" s="151">
        <f>Tracking[[#This Row],[Running Balance]]*Settings!$E$15</f>
        <v>166649.94</v>
      </c>
    </row>
    <row r="308" spans="3:12" ht="15" thickBot="1" x14ac:dyDescent="0.35">
      <c r="C308" s="125">
        <f>'Cash Flow Entry'!C308</f>
        <v>45596</v>
      </c>
      <c r="D308" s="109" t="str">
        <f>'Cash Flow Entry'!H308</f>
        <v>Outflow</v>
      </c>
      <c r="E308" s="110" t="str">
        <f>'Cash Flow Entry'!D308</f>
        <v>Operating</v>
      </c>
      <c r="F308" s="110" t="str">
        <f>'Cash Flow Entry'!E308</f>
        <v>Cash paid for Operating expenses</v>
      </c>
      <c r="G308" s="131">
        <f>'Cash Flow Entry'!F308</f>
        <v>600</v>
      </c>
      <c r="H308" s="132">
        <f>IF(Tracking[[#This Row],[Type]]="Inflow",Tracking[[#This Row],[Amount(USD)]],0)</f>
        <v>0</v>
      </c>
      <c r="I308" s="133">
        <f>IF(Tracking[[#This Row],[Type]]="Outflow",-Tracking[[#This Row],[Amount(USD)]],0)</f>
        <v>-600</v>
      </c>
      <c r="J308" s="141" t="str">
        <f t="shared" si="115"/>
        <v>EUR</v>
      </c>
      <c r="K308" s="153">
        <f>IFERROR(K307+Tracking[[#This Row],[Cash In]]+Tracking[[#This Row],[Cash Out]],0)</f>
        <v>193179</v>
      </c>
      <c r="L308" s="153">
        <f>Tracking[[#This Row],[Running Balance]]*Settings!$E$15</f>
        <v>166133.94</v>
      </c>
    </row>
    <row r="309" spans="3:12" x14ac:dyDescent="0.3">
      <c r="C309" s="123">
        <f>'Cash Flow Entry'!C309</f>
        <v>45597</v>
      </c>
      <c r="D309" s="126" t="str">
        <f>'Cash Flow Entry'!H309</f>
        <v>Outflow</v>
      </c>
      <c r="E309" s="124" t="str">
        <f>'Cash Flow Entry'!D309</f>
        <v>Operating</v>
      </c>
      <c r="F309" s="124" t="str">
        <f>'Cash Flow Entry'!E309</f>
        <v>Cash-paid to suppliers</v>
      </c>
      <c r="G309" s="127">
        <f>'Cash Flow Entry'!F309</f>
        <v>25000</v>
      </c>
      <c r="H309" s="128">
        <f>IF(Tracking[[#This Row],[Type]]="Inflow",Tracking[[#This Row],[Amount(USD)]],0)</f>
        <v>0</v>
      </c>
      <c r="I309" s="129">
        <f>IF(Tracking[[#This Row],[Type]]="Outflow",-Tracking[[#This Row],[Amount(USD)]],0)</f>
        <v>-25000</v>
      </c>
      <c r="J309" s="140" t="str">
        <f t="shared" si="115"/>
        <v>EUR</v>
      </c>
      <c r="K309" s="151">
        <f>IFERROR(K308+Tracking[[#This Row],[Cash In]]+Tracking[[#This Row],[Cash Out]],0)</f>
        <v>168179</v>
      </c>
      <c r="L309" s="151">
        <f>Tracking[[#This Row],[Running Balance]]*Settings!$E$15</f>
        <v>144633.94</v>
      </c>
    </row>
    <row r="310" spans="3:12" x14ac:dyDescent="0.3">
      <c r="C310" s="123">
        <f>'Cash Flow Entry'!C310</f>
        <v>45598</v>
      </c>
      <c r="D310" s="126" t="str">
        <f>'Cash Flow Entry'!H310</f>
        <v>Outflow</v>
      </c>
      <c r="E310" s="124" t="str">
        <f>'Cash Flow Entry'!D310</f>
        <v>Operating</v>
      </c>
      <c r="F310" s="124" t="str">
        <f>'Cash Flow Entry'!E310</f>
        <v>Cash paid for Operating expenses</v>
      </c>
      <c r="G310" s="127">
        <f>'Cash Flow Entry'!F310</f>
        <v>1200</v>
      </c>
      <c r="H310" s="128">
        <f>IF(Tracking[[#This Row],[Type]]="Inflow",Tracking[[#This Row],[Amount(USD)]],0)</f>
        <v>0</v>
      </c>
      <c r="I310" s="129">
        <f>IF(Tracking[[#This Row],[Type]]="Outflow",-Tracking[[#This Row],[Amount(USD)]],0)</f>
        <v>-1200</v>
      </c>
      <c r="J310" s="140" t="str">
        <f t="shared" si="115"/>
        <v>EUR</v>
      </c>
      <c r="K310" s="151">
        <f>IFERROR(K309+Tracking[[#This Row],[Cash In]]+Tracking[[#This Row],[Cash Out]],0)</f>
        <v>166979</v>
      </c>
      <c r="L310" s="151">
        <f>Tracking[[#This Row],[Running Balance]]*Settings!$E$15</f>
        <v>143601.94</v>
      </c>
    </row>
    <row r="311" spans="3:12" x14ac:dyDescent="0.3">
      <c r="C311" s="123">
        <f>'Cash Flow Entry'!C311</f>
        <v>45599</v>
      </c>
      <c r="D311" s="126" t="str">
        <f t="shared" ref="D311" si="160">IF(OR(ISBLANK(E311), E311=0),"N/A",E311)</f>
        <v>N/A</v>
      </c>
      <c r="E311" s="126" t="str">
        <f t="shared" ref="E311" si="161">IF(OR(ISBLANK(F311), F311=0),"N/A",F311)</f>
        <v>N/A</v>
      </c>
      <c r="F311" s="124" t="str">
        <f t="shared" ref="F311" si="162">IF(OR(ISBLANK(G311), G311=0),"N/A",G311)</f>
        <v>N/A</v>
      </c>
      <c r="G311" s="127">
        <f>'Cash Flow Entry'!F311</f>
        <v>0</v>
      </c>
      <c r="H311" s="128">
        <f>IF(Tracking[[#This Row],[Type]]="Inflow",Tracking[[#This Row],[Amount(USD)]],0)</f>
        <v>0</v>
      </c>
      <c r="I311" s="129">
        <f>IF(Tracking[[#This Row],[Type]]="Outflow",-Tracking[[#This Row],[Amount(USD)]],0)</f>
        <v>0</v>
      </c>
      <c r="J311" s="140" t="str">
        <f t="shared" si="115"/>
        <v>EUR</v>
      </c>
      <c r="K311" s="151">
        <f>IFERROR(K310+Tracking[[#This Row],[Cash In]]+Tracking[[#This Row],[Cash Out]],0)</f>
        <v>166979</v>
      </c>
      <c r="L311" s="151">
        <f>Tracking[[#This Row],[Running Balance]]*Settings!$E$15</f>
        <v>143601.94</v>
      </c>
    </row>
    <row r="312" spans="3:12" x14ac:dyDescent="0.3">
      <c r="C312" s="123">
        <f>'Cash Flow Entry'!C312</f>
        <v>45600</v>
      </c>
      <c r="D312" s="126" t="str">
        <f>'Cash Flow Entry'!H312</f>
        <v>Outflow</v>
      </c>
      <c r="E312" s="124" t="str">
        <f>'Cash Flow Entry'!D312</f>
        <v>Operating</v>
      </c>
      <c r="F312" s="124" t="str">
        <f>'Cash Flow Entry'!E312</f>
        <v>Cash paid to employees</v>
      </c>
      <c r="G312" s="127">
        <f>'Cash Flow Entry'!F312</f>
        <v>18000</v>
      </c>
      <c r="H312" s="128">
        <f>IF(Tracking[[#This Row],[Type]]="Inflow",Tracking[[#This Row],[Amount(USD)]],0)</f>
        <v>0</v>
      </c>
      <c r="I312" s="129">
        <f>IF(Tracking[[#This Row],[Type]]="Outflow",-Tracking[[#This Row],[Amount(USD)]],0)</f>
        <v>-18000</v>
      </c>
      <c r="J312" s="140" t="str">
        <f t="shared" si="115"/>
        <v>EUR</v>
      </c>
      <c r="K312" s="151">
        <f>IFERROR(K311+Tracking[[#This Row],[Cash In]]+Tracking[[#This Row],[Cash Out]],0)</f>
        <v>148979</v>
      </c>
      <c r="L312" s="151">
        <f>Tracking[[#This Row],[Running Balance]]*Settings!$E$15</f>
        <v>128121.94</v>
      </c>
    </row>
    <row r="313" spans="3:12" x14ac:dyDescent="0.3">
      <c r="C313" s="123">
        <f>'Cash Flow Entry'!C313</f>
        <v>45601</v>
      </c>
      <c r="D313" s="126" t="str">
        <f t="shared" ref="D313" si="163">IF(OR(ISBLANK(E313), E313=0),"N/A",E313)</f>
        <v>N/A</v>
      </c>
      <c r="E313" s="126" t="str">
        <f t="shared" ref="E313" si="164">IF(OR(ISBLANK(F313), F313=0),"N/A",F313)</f>
        <v>N/A</v>
      </c>
      <c r="F313" s="124" t="str">
        <f t="shared" ref="F313" si="165">IF(OR(ISBLANK(G313), G313=0),"N/A",G313)</f>
        <v>N/A</v>
      </c>
      <c r="G313" s="127">
        <f>'Cash Flow Entry'!F313</f>
        <v>0</v>
      </c>
      <c r="H313" s="128">
        <f>IF(Tracking[[#This Row],[Type]]="Inflow",Tracking[[#This Row],[Amount(USD)]],0)</f>
        <v>0</v>
      </c>
      <c r="I313" s="129">
        <f>IF(Tracking[[#This Row],[Type]]="Outflow",-Tracking[[#This Row],[Amount(USD)]],0)</f>
        <v>0</v>
      </c>
      <c r="J313" s="140" t="str">
        <f t="shared" si="115"/>
        <v>EUR</v>
      </c>
      <c r="K313" s="151">
        <f>IFERROR(K312+Tracking[[#This Row],[Cash In]]+Tracking[[#This Row],[Cash Out]],0)</f>
        <v>148979</v>
      </c>
      <c r="L313" s="151">
        <f>Tracking[[#This Row],[Running Balance]]*Settings!$E$15</f>
        <v>128121.94</v>
      </c>
    </row>
    <row r="314" spans="3:12" x14ac:dyDescent="0.3">
      <c r="C314" s="123">
        <f>'Cash Flow Entry'!C314</f>
        <v>45602</v>
      </c>
      <c r="D314" s="126" t="str">
        <f>'Cash Flow Entry'!H314</f>
        <v>Inflow</v>
      </c>
      <c r="E314" s="124" t="str">
        <f>'Cash Flow Entry'!D314</f>
        <v>Operating</v>
      </c>
      <c r="F314" s="124" t="str">
        <f>'Cash Flow Entry'!E314</f>
        <v>Cash-received from customers</v>
      </c>
      <c r="G314" s="127">
        <f>'Cash Flow Entry'!F314</f>
        <v>15000</v>
      </c>
      <c r="H314" s="128">
        <f>IF(Tracking[[#This Row],[Type]]="Inflow",Tracking[[#This Row],[Amount(USD)]],0)</f>
        <v>15000</v>
      </c>
      <c r="I314" s="129">
        <f>IF(Tracking[[#This Row],[Type]]="Outflow",-Tracking[[#This Row],[Amount(USD)]],0)</f>
        <v>0</v>
      </c>
      <c r="J314" s="140" t="str">
        <f t="shared" si="115"/>
        <v>EUR</v>
      </c>
      <c r="K314" s="151">
        <f>IFERROR(K313+Tracking[[#This Row],[Cash In]]+Tracking[[#This Row],[Cash Out]],0)</f>
        <v>163979</v>
      </c>
      <c r="L314" s="151">
        <f>Tracking[[#This Row],[Running Balance]]*Settings!$E$15</f>
        <v>141021.94</v>
      </c>
    </row>
    <row r="315" spans="3:12" x14ac:dyDescent="0.3">
      <c r="C315" s="123">
        <f>'Cash Flow Entry'!C315</f>
        <v>45603</v>
      </c>
      <c r="D315" s="126" t="str">
        <f>'Cash Flow Entry'!H315</f>
        <v>Inflow</v>
      </c>
      <c r="E315" s="124" t="str">
        <f>'Cash Flow Entry'!D315</f>
        <v>Operating</v>
      </c>
      <c r="F315" s="124" t="str">
        <f>'Cash Flow Entry'!E315</f>
        <v>Cash-received from customers</v>
      </c>
      <c r="G315" s="127">
        <f>'Cash Flow Entry'!F315</f>
        <v>15000</v>
      </c>
      <c r="H315" s="128">
        <f>IF(Tracking[[#This Row],[Type]]="Inflow",Tracking[[#This Row],[Amount(USD)]],0)</f>
        <v>15000</v>
      </c>
      <c r="I315" s="129">
        <f>IF(Tracking[[#This Row],[Type]]="Outflow",-Tracking[[#This Row],[Amount(USD)]],0)</f>
        <v>0</v>
      </c>
      <c r="J315" s="140" t="str">
        <f t="shared" si="115"/>
        <v>EUR</v>
      </c>
      <c r="K315" s="151">
        <f>IFERROR(K314+Tracking[[#This Row],[Cash In]]+Tracking[[#This Row],[Cash Out]],0)</f>
        <v>178979</v>
      </c>
      <c r="L315" s="151">
        <f>Tracking[[#This Row],[Running Balance]]*Settings!$E$15</f>
        <v>153921.94</v>
      </c>
    </row>
    <row r="316" spans="3:12" x14ac:dyDescent="0.3">
      <c r="C316" s="123">
        <f>'Cash Flow Entry'!C316</f>
        <v>45604</v>
      </c>
      <c r="D316" s="126" t="str">
        <f t="shared" ref="D316" si="166">IF(OR(ISBLANK(E316), E316=0),"N/A",E316)</f>
        <v>N/A</v>
      </c>
      <c r="E316" s="126" t="str">
        <f t="shared" ref="E316" si="167">IF(OR(ISBLANK(F316), F316=0),"N/A",F316)</f>
        <v>N/A</v>
      </c>
      <c r="F316" s="124" t="str">
        <f t="shared" ref="F316" si="168">IF(OR(ISBLANK(G316), G316=0),"N/A",G316)</f>
        <v>N/A</v>
      </c>
      <c r="G316" s="127">
        <f>'Cash Flow Entry'!F316</f>
        <v>0</v>
      </c>
      <c r="H316" s="128">
        <f>IF(Tracking[[#This Row],[Type]]="Inflow",Tracking[[#This Row],[Amount(USD)]],0)</f>
        <v>0</v>
      </c>
      <c r="I316" s="129">
        <f>IF(Tracking[[#This Row],[Type]]="Outflow",-Tracking[[#This Row],[Amount(USD)]],0)</f>
        <v>0</v>
      </c>
      <c r="J316" s="140" t="str">
        <f t="shared" si="115"/>
        <v>EUR</v>
      </c>
      <c r="K316" s="151">
        <f>IFERROR(K315+Tracking[[#This Row],[Cash In]]+Tracking[[#This Row],[Cash Out]],0)</f>
        <v>178979</v>
      </c>
      <c r="L316" s="151">
        <f>Tracking[[#This Row],[Running Balance]]*Settings!$E$15</f>
        <v>153921.94</v>
      </c>
    </row>
    <row r="317" spans="3:12" x14ac:dyDescent="0.3">
      <c r="C317" s="123">
        <f>'Cash Flow Entry'!C317</f>
        <v>45605</v>
      </c>
      <c r="D317" s="126" t="str">
        <f>'Cash Flow Entry'!H317</f>
        <v>Outflow</v>
      </c>
      <c r="E317" s="124" t="str">
        <f>'Cash Flow Entry'!D317</f>
        <v>Financing</v>
      </c>
      <c r="F317" s="124" t="str">
        <f>'Cash Flow Entry'!E317</f>
        <v>Repayment of short-term borrowings</v>
      </c>
      <c r="G317" s="127">
        <f>'Cash Flow Entry'!F317</f>
        <v>8000</v>
      </c>
      <c r="H317" s="128">
        <f>IF(Tracking[[#This Row],[Type]]="Inflow",Tracking[[#This Row],[Amount(USD)]],0)</f>
        <v>0</v>
      </c>
      <c r="I317" s="129">
        <f>IF(Tracking[[#This Row],[Type]]="Outflow",-Tracking[[#This Row],[Amount(USD)]],0)</f>
        <v>-8000</v>
      </c>
      <c r="J317" s="140" t="str">
        <f t="shared" si="115"/>
        <v>EUR</v>
      </c>
      <c r="K317" s="151">
        <f>IFERROR(K316+Tracking[[#This Row],[Cash In]]+Tracking[[#This Row],[Cash Out]],0)</f>
        <v>170979</v>
      </c>
      <c r="L317" s="151">
        <f>Tracking[[#This Row],[Running Balance]]*Settings!$E$15</f>
        <v>147041.94</v>
      </c>
    </row>
    <row r="318" spans="3:12" x14ac:dyDescent="0.3">
      <c r="C318" s="123">
        <f>'Cash Flow Entry'!C318</f>
        <v>45606</v>
      </c>
      <c r="D318" s="126" t="str">
        <f>'Cash Flow Entry'!H318</f>
        <v>Inflow</v>
      </c>
      <c r="E318" s="124" t="str">
        <f>'Cash Flow Entry'!D318</f>
        <v>Financing</v>
      </c>
      <c r="F318" s="124" t="str">
        <f>'Cash Flow Entry'!E318</f>
        <v>Proceeds from long-term borrowings</v>
      </c>
      <c r="G318" s="127">
        <f>'Cash Flow Entry'!F318</f>
        <v>140000</v>
      </c>
      <c r="H318" s="128">
        <f>IF(Tracking[[#This Row],[Type]]="Inflow",Tracking[[#This Row],[Amount(USD)]],0)</f>
        <v>140000</v>
      </c>
      <c r="I318" s="129">
        <f>IF(Tracking[[#This Row],[Type]]="Outflow",-Tracking[[#This Row],[Amount(USD)]],0)</f>
        <v>0</v>
      </c>
      <c r="J318" s="140" t="str">
        <f t="shared" si="115"/>
        <v>EUR</v>
      </c>
      <c r="K318" s="151">
        <f>IFERROR(K317+Tracking[[#This Row],[Cash In]]+Tracking[[#This Row],[Cash Out]],0)</f>
        <v>310979</v>
      </c>
      <c r="L318" s="151">
        <f>Tracking[[#This Row],[Running Balance]]*Settings!$E$15</f>
        <v>267441.94</v>
      </c>
    </row>
    <row r="319" spans="3:12" x14ac:dyDescent="0.3">
      <c r="C319" s="123">
        <f>'Cash Flow Entry'!C319</f>
        <v>45607</v>
      </c>
      <c r="D319" s="126" t="str">
        <f>'Cash Flow Entry'!H319</f>
        <v>Outflow</v>
      </c>
      <c r="E319" s="124" t="str">
        <f>'Cash Flow Entry'!D319</f>
        <v>Investing</v>
      </c>
      <c r="F319" s="124" t="str">
        <f>'Cash Flow Entry'!E319</f>
        <v>Purchase of property, plant, or equipment</v>
      </c>
      <c r="G319" s="127">
        <f>'Cash Flow Entry'!F319</f>
        <v>300000</v>
      </c>
      <c r="H319" s="128">
        <f>IF(Tracking[[#This Row],[Type]]="Inflow",Tracking[[#This Row],[Amount(USD)]],0)</f>
        <v>0</v>
      </c>
      <c r="I319" s="129">
        <f>IF(Tracking[[#This Row],[Type]]="Outflow",-Tracking[[#This Row],[Amount(USD)]],0)</f>
        <v>-300000</v>
      </c>
      <c r="J319" s="140" t="str">
        <f t="shared" si="115"/>
        <v>EUR</v>
      </c>
      <c r="K319" s="151">
        <f>IFERROR(K318+Tracking[[#This Row],[Cash In]]+Tracking[[#This Row],[Cash Out]],0)</f>
        <v>10979</v>
      </c>
      <c r="L319" s="151">
        <f>Tracking[[#This Row],[Running Balance]]*Settings!$E$15</f>
        <v>9441.94</v>
      </c>
    </row>
    <row r="320" spans="3:12" x14ac:dyDescent="0.3">
      <c r="C320" s="123">
        <f>'Cash Flow Entry'!C320</f>
        <v>45608</v>
      </c>
      <c r="D320" s="126" t="str">
        <f t="shared" ref="D320" si="169">IF(OR(ISBLANK(E320), E320=0),"N/A",E320)</f>
        <v>N/A</v>
      </c>
      <c r="E320" s="126" t="str">
        <f t="shared" ref="E320" si="170">IF(OR(ISBLANK(F320), F320=0),"N/A",F320)</f>
        <v>N/A</v>
      </c>
      <c r="F320" s="124" t="str">
        <f t="shared" ref="F320" si="171">IF(OR(ISBLANK(G320), G320=0),"N/A",G320)</f>
        <v>N/A</v>
      </c>
      <c r="G320" s="127">
        <f>'Cash Flow Entry'!F320</f>
        <v>0</v>
      </c>
      <c r="H320" s="128">
        <f>IF(Tracking[[#This Row],[Type]]="Inflow",Tracking[[#This Row],[Amount(USD)]],0)</f>
        <v>0</v>
      </c>
      <c r="I320" s="129">
        <f>IF(Tracking[[#This Row],[Type]]="Outflow",-Tracking[[#This Row],[Amount(USD)]],0)</f>
        <v>0</v>
      </c>
      <c r="J320" s="140" t="str">
        <f t="shared" si="115"/>
        <v>EUR</v>
      </c>
      <c r="K320" s="151">
        <f>IFERROR(K319+Tracking[[#This Row],[Cash In]]+Tracking[[#This Row],[Cash Out]],0)</f>
        <v>10979</v>
      </c>
      <c r="L320" s="151">
        <f>Tracking[[#This Row],[Running Balance]]*Settings!$E$15</f>
        <v>9441.94</v>
      </c>
    </row>
    <row r="321" spans="3:12" x14ac:dyDescent="0.3">
      <c r="C321" s="123">
        <f>'Cash Flow Entry'!C321</f>
        <v>45609</v>
      </c>
      <c r="D321" s="126" t="str">
        <f>'Cash Flow Entry'!H321</f>
        <v>Inflow</v>
      </c>
      <c r="E321" s="124" t="str">
        <f>'Cash Flow Entry'!D321</f>
        <v>Operating</v>
      </c>
      <c r="F321" s="124" t="str">
        <f>'Cash Flow Entry'!E321</f>
        <v>Cash received from other operating income</v>
      </c>
      <c r="G321" s="127">
        <f>'Cash Flow Entry'!F321</f>
        <v>2800</v>
      </c>
      <c r="H321" s="128">
        <f>IF(Tracking[[#This Row],[Type]]="Inflow",Tracking[[#This Row],[Amount(USD)]],0)</f>
        <v>2800</v>
      </c>
      <c r="I321" s="129">
        <f>IF(Tracking[[#This Row],[Type]]="Outflow",-Tracking[[#This Row],[Amount(USD)]],0)</f>
        <v>0</v>
      </c>
      <c r="J321" s="140" t="str">
        <f t="shared" si="115"/>
        <v>EUR</v>
      </c>
      <c r="K321" s="151">
        <f>IFERROR(K320+Tracking[[#This Row],[Cash In]]+Tracking[[#This Row],[Cash Out]],0)</f>
        <v>13779</v>
      </c>
      <c r="L321" s="151">
        <f>Tracking[[#This Row],[Running Balance]]*Settings!$E$15</f>
        <v>11849.94</v>
      </c>
    </row>
    <row r="322" spans="3:12" x14ac:dyDescent="0.3">
      <c r="C322" s="123">
        <f>'Cash Flow Entry'!C322</f>
        <v>45610</v>
      </c>
      <c r="D322" s="126" t="str">
        <f t="shared" ref="D322" si="172">IF(OR(ISBLANK(E322), E322=0),"N/A",E322)</f>
        <v>N/A</v>
      </c>
      <c r="E322" s="126" t="str">
        <f t="shared" ref="E322" si="173">IF(OR(ISBLANK(F322), F322=0),"N/A",F322)</f>
        <v>N/A</v>
      </c>
      <c r="F322" s="124" t="str">
        <f t="shared" ref="F322" si="174">IF(OR(ISBLANK(G322), G322=0),"N/A",G322)</f>
        <v>N/A</v>
      </c>
      <c r="G322" s="127">
        <f>'Cash Flow Entry'!F322</f>
        <v>0</v>
      </c>
      <c r="H322" s="128">
        <f>IF(Tracking[[#This Row],[Type]]="Inflow",Tracking[[#This Row],[Amount(USD)]],0)</f>
        <v>0</v>
      </c>
      <c r="I322" s="129">
        <f>IF(Tracking[[#This Row],[Type]]="Outflow",-Tracking[[#This Row],[Amount(USD)]],0)</f>
        <v>0</v>
      </c>
      <c r="J322" s="140" t="str">
        <f t="shared" si="115"/>
        <v>EUR</v>
      </c>
      <c r="K322" s="151">
        <f>IFERROR(K321+Tracking[[#This Row],[Cash In]]+Tracking[[#This Row],[Cash Out]],0)</f>
        <v>13779</v>
      </c>
      <c r="L322" s="151">
        <f>Tracking[[#This Row],[Running Balance]]*Settings!$E$15</f>
        <v>11849.94</v>
      </c>
    </row>
    <row r="323" spans="3:12" x14ac:dyDescent="0.3">
      <c r="C323" s="123">
        <f>'Cash Flow Entry'!C323</f>
        <v>45611</v>
      </c>
      <c r="D323" s="126" t="str">
        <f>'Cash Flow Entry'!H323</f>
        <v>Outflow</v>
      </c>
      <c r="E323" s="124" t="str">
        <f>'Cash Flow Entry'!D323</f>
        <v>Operating</v>
      </c>
      <c r="F323" s="124" t="str">
        <f>'Cash Flow Entry'!E323</f>
        <v>Cash-paid to suppliers</v>
      </c>
      <c r="G323" s="127">
        <f>'Cash Flow Entry'!F323</f>
        <v>80000</v>
      </c>
      <c r="H323" s="128">
        <f>IF(Tracking[[#This Row],[Type]]="Inflow",Tracking[[#This Row],[Amount(USD)]],0)</f>
        <v>0</v>
      </c>
      <c r="I323" s="129">
        <f>IF(Tracking[[#This Row],[Type]]="Outflow",-Tracking[[#This Row],[Amount(USD)]],0)</f>
        <v>-80000</v>
      </c>
      <c r="J323" s="140" t="str">
        <f t="shared" si="115"/>
        <v>EUR</v>
      </c>
      <c r="K323" s="151">
        <f>IFERROR(K322+Tracking[[#This Row],[Cash In]]+Tracking[[#This Row],[Cash Out]],0)</f>
        <v>-66221</v>
      </c>
      <c r="L323" s="151">
        <f>Tracking[[#This Row],[Running Balance]]*Settings!$E$15</f>
        <v>-56950.06</v>
      </c>
    </row>
    <row r="324" spans="3:12" x14ac:dyDescent="0.3">
      <c r="C324" s="123">
        <f>'Cash Flow Entry'!C324</f>
        <v>45612</v>
      </c>
      <c r="D324" s="126" t="str">
        <f>'Cash Flow Entry'!H324</f>
        <v>Inflow</v>
      </c>
      <c r="E324" s="124" t="str">
        <f>'Cash Flow Entry'!D324</f>
        <v>Investing</v>
      </c>
      <c r="F324" s="124" t="str">
        <f>'Cash Flow Entry'!E324</f>
        <v>Interest Received</v>
      </c>
      <c r="G324" s="127">
        <f>'Cash Flow Entry'!F324</f>
        <v>800</v>
      </c>
      <c r="H324" s="128">
        <f>IF(Tracking[[#This Row],[Type]]="Inflow",Tracking[[#This Row],[Amount(USD)]],0)</f>
        <v>800</v>
      </c>
      <c r="I324" s="129">
        <f>IF(Tracking[[#This Row],[Type]]="Outflow",-Tracking[[#This Row],[Amount(USD)]],0)</f>
        <v>0</v>
      </c>
      <c r="J324" s="140" t="str">
        <f t="shared" ref="J324:J369" si="175">select_currency</f>
        <v>EUR</v>
      </c>
      <c r="K324" s="151">
        <f>IFERROR(K323+Tracking[[#This Row],[Cash In]]+Tracking[[#This Row],[Cash Out]],0)</f>
        <v>-65421</v>
      </c>
      <c r="L324" s="151">
        <f>Tracking[[#This Row],[Running Balance]]*Settings!$E$15</f>
        <v>-56262.06</v>
      </c>
    </row>
    <row r="325" spans="3:12" x14ac:dyDescent="0.3">
      <c r="C325" s="123">
        <f>'Cash Flow Entry'!C325</f>
        <v>45613</v>
      </c>
      <c r="D325" s="126" t="str">
        <f t="shared" ref="D325" si="176">IF(OR(ISBLANK(E325), E325=0),"N/A",E325)</f>
        <v>N/A</v>
      </c>
      <c r="E325" s="126" t="str">
        <f t="shared" ref="E325" si="177">IF(OR(ISBLANK(F325), F325=0),"N/A",F325)</f>
        <v>N/A</v>
      </c>
      <c r="F325" s="124" t="str">
        <f t="shared" ref="F325" si="178">IF(OR(ISBLANK(G325), G325=0),"N/A",G325)</f>
        <v>N/A</v>
      </c>
      <c r="G325" s="127">
        <f>'Cash Flow Entry'!F325</f>
        <v>0</v>
      </c>
      <c r="H325" s="128">
        <f>IF(Tracking[[#This Row],[Type]]="Inflow",Tracking[[#This Row],[Amount(USD)]],0)</f>
        <v>0</v>
      </c>
      <c r="I325" s="129">
        <f>IF(Tracking[[#This Row],[Type]]="Outflow",-Tracking[[#This Row],[Amount(USD)]],0)</f>
        <v>0</v>
      </c>
      <c r="J325" s="140" t="str">
        <f t="shared" si="175"/>
        <v>EUR</v>
      </c>
      <c r="K325" s="151">
        <f>IFERROR(K324+Tracking[[#This Row],[Cash In]]+Tracking[[#This Row],[Cash Out]],0)</f>
        <v>-65421</v>
      </c>
      <c r="L325" s="151">
        <f>Tracking[[#This Row],[Running Balance]]*Settings!$E$15</f>
        <v>-56262.06</v>
      </c>
    </row>
    <row r="326" spans="3:12" x14ac:dyDescent="0.3">
      <c r="C326" s="123">
        <f>'Cash Flow Entry'!C326</f>
        <v>45614</v>
      </c>
      <c r="D326" s="126" t="str">
        <f>'Cash Flow Entry'!H326</f>
        <v>Outflow</v>
      </c>
      <c r="E326" s="124" t="str">
        <f>'Cash Flow Entry'!D326</f>
        <v>Operating</v>
      </c>
      <c r="F326" s="124" t="str">
        <f>'Cash Flow Entry'!E326</f>
        <v>Cash-paid to suppliers</v>
      </c>
      <c r="G326" s="127">
        <f>'Cash Flow Entry'!F326</f>
        <v>40000</v>
      </c>
      <c r="H326" s="128">
        <f>IF(Tracking[[#This Row],[Type]]="Inflow",Tracking[[#This Row],[Amount(USD)]],0)</f>
        <v>0</v>
      </c>
      <c r="I326" s="129">
        <f>IF(Tracking[[#This Row],[Type]]="Outflow",-Tracking[[#This Row],[Amount(USD)]],0)</f>
        <v>-40000</v>
      </c>
      <c r="J326" s="140" t="str">
        <f t="shared" si="175"/>
        <v>EUR</v>
      </c>
      <c r="K326" s="151">
        <f>IFERROR(K325+Tracking[[#This Row],[Cash In]]+Tracking[[#This Row],[Cash Out]],0)</f>
        <v>-105421</v>
      </c>
      <c r="L326" s="151">
        <f>Tracking[[#This Row],[Running Balance]]*Settings!$E$15</f>
        <v>-90662.06</v>
      </c>
    </row>
    <row r="327" spans="3:12" x14ac:dyDescent="0.3">
      <c r="C327" s="123">
        <f>'Cash Flow Entry'!C327</f>
        <v>45615</v>
      </c>
      <c r="D327" s="126" t="str">
        <f t="shared" ref="D327" si="179">IF(OR(ISBLANK(E327), E327=0),"N/A",E327)</f>
        <v>N/A</v>
      </c>
      <c r="E327" s="126" t="str">
        <f t="shared" ref="E327" si="180">IF(OR(ISBLANK(F327), F327=0),"N/A",F327)</f>
        <v>N/A</v>
      </c>
      <c r="F327" s="124" t="str">
        <f t="shared" ref="F327" si="181">IF(OR(ISBLANK(G327), G327=0),"N/A",G327)</f>
        <v>N/A</v>
      </c>
      <c r="G327" s="127">
        <f>'Cash Flow Entry'!F327</f>
        <v>0</v>
      </c>
      <c r="H327" s="128">
        <f>IF(Tracking[[#This Row],[Type]]="Inflow",Tracking[[#This Row],[Amount(USD)]],0)</f>
        <v>0</v>
      </c>
      <c r="I327" s="129">
        <f>IF(Tracking[[#This Row],[Type]]="Outflow",-Tracking[[#This Row],[Amount(USD)]],0)</f>
        <v>0</v>
      </c>
      <c r="J327" s="140" t="str">
        <f t="shared" si="175"/>
        <v>EUR</v>
      </c>
      <c r="K327" s="151">
        <f>IFERROR(K326+Tracking[[#This Row],[Cash In]]+Tracking[[#This Row],[Cash Out]],0)</f>
        <v>-105421</v>
      </c>
      <c r="L327" s="151">
        <f>Tracking[[#This Row],[Running Balance]]*Settings!$E$15</f>
        <v>-90662.06</v>
      </c>
    </row>
    <row r="328" spans="3:12" x14ac:dyDescent="0.3">
      <c r="C328" s="123">
        <f>'Cash Flow Entry'!C328</f>
        <v>45616</v>
      </c>
      <c r="D328" s="126" t="str">
        <f>'Cash Flow Entry'!H328</f>
        <v>Inflow</v>
      </c>
      <c r="E328" s="124" t="str">
        <f>'Cash Flow Entry'!D328</f>
        <v>Operating</v>
      </c>
      <c r="F328" s="124" t="str">
        <f>'Cash Flow Entry'!E328</f>
        <v>Cash-received from customers</v>
      </c>
      <c r="G328" s="127">
        <f>'Cash Flow Entry'!F328</f>
        <v>180000</v>
      </c>
      <c r="H328" s="128">
        <f>IF(Tracking[[#This Row],[Type]]="Inflow",Tracking[[#This Row],[Amount(USD)]],0)</f>
        <v>180000</v>
      </c>
      <c r="I328" s="129">
        <f>IF(Tracking[[#This Row],[Type]]="Outflow",-Tracking[[#This Row],[Amount(USD)]],0)</f>
        <v>0</v>
      </c>
      <c r="J328" s="140" t="str">
        <f t="shared" si="175"/>
        <v>EUR</v>
      </c>
      <c r="K328" s="151">
        <f>IFERROR(K327+Tracking[[#This Row],[Cash In]]+Tracking[[#This Row],[Cash Out]],0)</f>
        <v>74579</v>
      </c>
      <c r="L328" s="151">
        <f>Tracking[[#This Row],[Running Balance]]*Settings!$E$15</f>
        <v>64137.94</v>
      </c>
    </row>
    <row r="329" spans="3:12" x14ac:dyDescent="0.3">
      <c r="C329" s="123">
        <f>'Cash Flow Entry'!C329</f>
        <v>45617</v>
      </c>
      <c r="D329" s="126" t="str">
        <f t="shared" ref="D329:D331" si="182">IF(OR(ISBLANK(E329), E329=0),"N/A",E329)</f>
        <v>N/A</v>
      </c>
      <c r="E329" s="126" t="str">
        <f t="shared" ref="E329:E331" si="183">IF(OR(ISBLANK(F329), F329=0),"N/A",F329)</f>
        <v>N/A</v>
      </c>
      <c r="F329" s="124" t="str">
        <f t="shared" ref="F329:F331" si="184">IF(OR(ISBLANK(G329), G329=0),"N/A",G329)</f>
        <v>N/A</v>
      </c>
      <c r="G329" s="127">
        <f>'Cash Flow Entry'!F329</f>
        <v>0</v>
      </c>
      <c r="H329" s="128">
        <f>IF(Tracking[[#This Row],[Type]]="Inflow",Tracking[[#This Row],[Amount(USD)]],0)</f>
        <v>0</v>
      </c>
      <c r="I329" s="129">
        <f>IF(Tracking[[#This Row],[Type]]="Outflow",-Tracking[[#This Row],[Amount(USD)]],0)</f>
        <v>0</v>
      </c>
      <c r="J329" s="140" t="str">
        <f t="shared" si="175"/>
        <v>EUR</v>
      </c>
      <c r="K329" s="151">
        <f>IFERROR(K328+Tracking[[#This Row],[Cash In]]+Tracking[[#This Row],[Cash Out]],0)</f>
        <v>74579</v>
      </c>
      <c r="L329" s="151">
        <f>Tracking[[#This Row],[Running Balance]]*Settings!$E$15</f>
        <v>64137.94</v>
      </c>
    </row>
    <row r="330" spans="3:12" x14ac:dyDescent="0.3">
      <c r="C330" s="123">
        <f>'Cash Flow Entry'!C330</f>
        <v>45618</v>
      </c>
      <c r="D330" s="126" t="str">
        <f t="shared" si="182"/>
        <v>N/A</v>
      </c>
      <c r="E330" s="126" t="str">
        <f t="shared" si="183"/>
        <v>N/A</v>
      </c>
      <c r="F330" s="124" t="str">
        <f t="shared" si="184"/>
        <v>N/A</v>
      </c>
      <c r="G330" s="127">
        <f>'Cash Flow Entry'!F330</f>
        <v>0</v>
      </c>
      <c r="H330" s="128">
        <f>IF(Tracking[[#This Row],[Type]]="Inflow",Tracking[[#This Row],[Amount(USD)]],0)</f>
        <v>0</v>
      </c>
      <c r="I330" s="129">
        <f>IF(Tracking[[#This Row],[Type]]="Outflow",-Tracking[[#This Row],[Amount(USD)]],0)</f>
        <v>0</v>
      </c>
      <c r="J330" s="140" t="str">
        <f t="shared" si="175"/>
        <v>EUR</v>
      </c>
      <c r="K330" s="151">
        <f>IFERROR(K329+Tracking[[#This Row],[Cash In]]+Tracking[[#This Row],[Cash Out]],0)</f>
        <v>74579</v>
      </c>
      <c r="L330" s="151">
        <f>Tracking[[#This Row],[Running Balance]]*Settings!$E$15</f>
        <v>64137.94</v>
      </c>
    </row>
    <row r="331" spans="3:12" x14ac:dyDescent="0.3">
      <c r="C331" s="123">
        <f>'Cash Flow Entry'!C331</f>
        <v>45619</v>
      </c>
      <c r="D331" s="126" t="str">
        <f t="shared" si="182"/>
        <v>N/A</v>
      </c>
      <c r="E331" s="126" t="str">
        <f t="shared" si="183"/>
        <v>N/A</v>
      </c>
      <c r="F331" s="124" t="str">
        <f t="shared" si="184"/>
        <v>N/A</v>
      </c>
      <c r="G331" s="127">
        <f>'Cash Flow Entry'!F331</f>
        <v>0</v>
      </c>
      <c r="H331" s="128">
        <f>IF(Tracking[[#This Row],[Type]]="Inflow",Tracking[[#This Row],[Amount(USD)]],0)</f>
        <v>0</v>
      </c>
      <c r="I331" s="129">
        <f>IF(Tracking[[#This Row],[Type]]="Outflow",-Tracking[[#This Row],[Amount(USD)]],0)</f>
        <v>0</v>
      </c>
      <c r="J331" s="140" t="str">
        <f t="shared" si="175"/>
        <v>EUR</v>
      </c>
      <c r="K331" s="151">
        <f>IFERROR(K330+Tracking[[#This Row],[Cash In]]+Tracking[[#This Row],[Cash Out]],0)</f>
        <v>74579</v>
      </c>
      <c r="L331" s="151">
        <f>Tracking[[#This Row],[Running Balance]]*Settings!$E$15</f>
        <v>64137.94</v>
      </c>
    </row>
    <row r="332" spans="3:12" x14ac:dyDescent="0.3">
      <c r="C332" s="123">
        <f>'Cash Flow Entry'!C332</f>
        <v>45620</v>
      </c>
      <c r="D332" s="126" t="str">
        <f>'Cash Flow Entry'!H332</f>
        <v>Outflow</v>
      </c>
      <c r="E332" s="124" t="str">
        <f>'Cash Flow Entry'!D332</f>
        <v>Operating</v>
      </c>
      <c r="F332" s="124" t="str">
        <f>'Cash Flow Entry'!E332</f>
        <v>Cash paid for Operating expenses</v>
      </c>
      <c r="G332" s="127">
        <f>'Cash Flow Entry'!F332</f>
        <v>1500</v>
      </c>
      <c r="H332" s="128">
        <f>IF(Tracking[[#This Row],[Type]]="Inflow",Tracking[[#This Row],[Amount(USD)]],0)</f>
        <v>0</v>
      </c>
      <c r="I332" s="129">
        <f>IF(Tracking[[#This Row],[Type]]="Outflow",-Tracking[[#This Row],[Amount(USD)]],0)</f>
        <v>-1500</v>
      </c>
      <c r="J332" s="140" t="str">
        <f t="shared" si="175"/>
        <v>EUR</v>
      </c>
      <c r="K332" s="151">
        <f>IFERROR(K331+Tracking[[#This Row],[Cash In]]+Tracking[[#This Row],[Cash Out]],0)</f>
        <v>73079</v>
      </c>
      <c r="L332" s="151">
        <f>Tracking[[#This Row],[Running Balance]]*Settings!$E$15</f>
        <v>62847.94</v>
      </c>
    </row>
    <row r="333" spans="3:12" x14ac:dyDescent="0.3">
      <c r="C333" s="123">
        <f>'Cash Flow Entry'!C333</f>
        <v>45621</v>
      </c>
      <c r="D333" s="126" t="str">
        <f t="shared" ref="D333:D336" si="185">IF(OR(ISBLANK(E333), E333=0),"N/A",E333)</f>
        <v>N/A</v>
      </c>
      <c r="E333" s="126" t="str">
        <f t="shared" ref="E333:E336" si="186">IF(OR(ISBLANK(F333), F333=0),"N/A",F333)</f>
        <v>N/A</v>
      </c>
      <c r="F333" s="124" t="str">
        <f t="shared" ref="F333:F336" si="187">IF(OR(ISBLANK(G333), G333=0),"N/A",G333)</f>
        <v>N/A</v>
      </c>
      <c r="G333" s="127">
        <f>'Cash Flow Entry'!F333</f>
        <v>0</v>
      </c>
      <c r="H333" s="128">
        <f>IF(Tracking[[#This Row],[Type]]="Inflow",Tracking[[#This Row],[Amount(USD)]],0)</f>
        <v>0</v>
      </c>
      <c r="I333" s="129">
        <f>IF(Tracking[[#This Row],[Type]]="Outflow",-Tracking[[#This Row],[Amount(USD)]],0)</f>
        <v>0</v>
      </c>
      <c r="J333" s="140" t="str">
        <f t="shared" si="175"/>
        <v>EUR</v>
      </c>
      <c r="K333" s="151">
        <f>IFERROR(K332+Tracking[[#This Row],[Cash In]]+Tracking[[#This Row],[Cash Out]],0)</f>
        <v>73079</v>
      </c>
      <c r="L333" s="151">
        <f>Tracking[[#This Row],[Running Balance]]*Settings!$E$15</f>
        <v>62847.94</v>
      </c>
    </row>
    <row r="334" spans="3:12" x14ac:dyDescent="0.3">
      <c r="C334" s="123">
        <f>'Cash Flow Entry'!C334</f>
        <v>45622</v>
      </c>
      <c r="D334" s="126" t="str">
        <f t="shared" si="185"/>
        <v>N/A</v>
      </c>
      <c r="E334" s="126" t="str">
        <f t="shared" si="186"/>
        <v>N/A</v>
      </c>
      <c r="F334" s="124" t="str">
        <f t="shared" si="187"/>
        <v>N/A</v>
      </c>
      <c r="G334" s="127">
        <f>'Cash Flow Entry'!F334</f>
        <v>0</v>
      </c>
      <c r="H334" s="128">
        <f>IF(Tracking[[#This Row],[Type]]="Inflow",Tracking[[#This Row],[Amount(USD)]],0)</f>
        <v>0</v>
      </c>
      <c r="I334" s="129">
        <f>IF(Tracking[[#This Row],[Type]]="Outflow",-Tracking[[#This Row],[Amount(USD)]],0)</f>
        <v>0</v>
      </c>
      <c r="J334" s="140" t="str">
        <f t="shared" si="175"/>
        <v>EUR</v>
      </c>
      <c r="K334" s="151">
        <f>IFERROR(K333+Tracking[[#This Row],[Cash In]]+Tracking[[#This Row],[Cash Out]],0)</f>
        <v>73079</v>
      </c>
      <c r="L334" s="151">
        <f>Tracking[[#This Row],[Running Balance]]*Settings!$E$15</f>
        <v>62847.94</v>
      </c>
    </row>
    <row r="335" spans="3:12" x14ac:dyDescent="0.3">
      <c r="C335" s="123">
        <f>'Cash Flow Entry'!C335</f>
        <v>45623</v>
      </c>
      <c r="D335" s="126" t="str">
        <f t="shared" si="185"/>
        <v>N/A</v>
      </c>
      <c r="E335" s="126" t="str">
        <f t="shared" si="186"/>
        <v>N/A</v>
      </c>
      <c r="F335" s="124" t="str">
        <f t="shared" si="187"/>
        <v>N/A</v>
      </c>
      <c r="G335" s="127">
        <f>'Cash Flow Entry'!F335</f>
        <v>0</v>
      </c>
      <c r="H335" s="128">
        <f>IF(Tracking[[#This Row],[Type]]="Inflow",Tracking[[#This Row],[Amount(USD)]],0)</f>
        <v>0</v>
      </c>
      <c r="I335" s="129">
        <f>IF(Tracking[[#This Row],[Type]]="Outflow",-Tracking[[#This Row],[Amount(USD)]],0)</f>
        <v>0</v>
      </c>
      <c r="J335" s="140" t="str">
        <f t="shared" si="175"/>
        <v>EUR</v>
      </c>
      <c r="K335" s="151">
        <f>IFERROR(K334+Tracking[[#This Row],[Cash In]]+Tracking[[#This Row],[Cash Out]],0)</f>
        <v>73079</v>
      </c>
      <c r="L335" s="151">
        <f>Tracking[[#This Row],[Running Balance]]*Settings!$E$15</f>
        <v>62847.94</v>
      </c>
    </row>
    <row r="336" spans="3:12" x14ac:dyDescent="0.3">
      <c r="C336" s="123">
        <f>'Cash Flow Entry'!C336</f>
        <v>45624</v>
      </c>
      <c r="D336" s="126" t="str">
        <f t="shared" si="185"/>
        <v>N/A</v>
      </c>
      <c r="E336" s="126" t="str">
        <f t="shared" si="186"/>
        <v>N/A</v>
      </c>
      <c r="F336" s="124" t="str">
        <f t="shared" si="187"/>
        <v>N/A</v>
      </c>
      <c r="G336" s="127">
        <f>'Cash Flow Entry'!F336</f>
        <v>0</v>
      </c>
      <c r="H336" s="128">
        <f>IF(Tracking[[#This Row],[Type]]="Inflow",Tracking[[#This Row],[Amount(USD)]],0)</f>
        <v>0</v>
      </c>
      <c r="I336" s="129">
        <f>IF(Tracking[[#This Row],[Type]]="Outflow",-Tracking[[#This Row],[Amount(USD)]],0)</f>
        <v>0</v>
      </c>
      <c r="J336" s="140" t="str">
        <f t="shared" si="175"/>
        <v>EUR</v>
      </c>
      <c r="K336" s="151">
        <f>IFERROR(K335+Tracking[[#This Row],[Cash In]]+Tracking[[#This Row],[Cash Out]],0)</f>
        <v>73079</v>
      </c>
      <c r="L336" s="151">
        <f>Tracking[[#This Row],[Running Balance]]*Settings!$E$15</f>
        <v>62847.94</v>
      </c>
    </row>
    <row r="337" spans="3:12" ht="15" thickBot="1" x14ac:dyDescent="0.35">
      <c r="C337" s="123">
        <f>'Cash Flow Entry'!C337</f>
        <v>45625</v>
      </c>
      <c r="D337" s="126" t="str">
        <f>'Cash Flow Entry'!H337</f>
        <v>Inflow</v>
      </c>
      <c r="E337" s="124" t="str">
        <f>'Cash Flow Entry'!D337</f>
        <v>Operating</v>
      </c>
      <c r="F337" s="124" t="str">
        <f>'Cash Flow Entry'!E337</f>
        <v>Cash received from other operating income</v>
      </c>
      <c r="G337" s="127">
        <f>'Cash Flow Entry'!F337</f>
        <v>2600</v>
      </c>
      <c r="H337" s="128">
        <f>IF(Tracking[[#This Row],[Type]]="Inflow",Tracking[[#This Row],[Amount(USD)]],0)</f>
        <v>2600</v>
      </c>
      <c r="I337" s="129">
        <f>IF(Tracking[[#This Row],[Type]]="Outflow",-Tracking[[#This Row],[Amount(USD)]],0)</f>
        <v>0</v>
      </c>
      <c r="J337" s="140" t="str">
        <f t="shared" si="175"/>
        <v>EUR</v>
      </c>
      <c r="K337" s="151">
        <f>IFERROR(K336+Tracking[[#This Row],[Cash In]]+Tracking[[#This Row],[Cash Out]],0)</f>
        <v>75679</v>
      </c>
      <c r="L337" s="151">
        <f>Tracking[[#This Row],[Running Balance]]*Settings!$E$15</f>
        <v>65083.94</v>
      </c>
    </row>
    <row r="338" spans="3:12" ht="15" thickBot="1" x14ac:dyDescent="0.35">
      <c r="C338" s="125">
        <f>'Cash Flow Entry'!C338</f>
        <v>45626</v>
      </c>
      <c r="D338" s="109" t="str">
        <f t="shared" ref="D338" si="188">IF(OR(ISBLANK(E338), E338=0),"N/A",E338)</f>
        <v>N/A</v>
      </c>
      <c r="E338" s="109" t="str">
        <f t="shared" ref="E338" si="189">IF(OR(ISBLANK(F338), F338=0),"N/A",F338)</f>
        <v>N/A</v>
      </c>
      <c r="F338" s="110" t="str">
        <f t="shared" ref="F338" si="190">IF(OR(ISBLANK(G338), G338=0),"N/A",G338)</f>
        <v>N/A</v>
      </c>
      <c r="G338" s="131">
        <f>'Cash Flow Entry'!F338</f>
        <v>0</v>
      </c>
      <c r="H338" s="132">
        <f>IF(Tracking[[#This Row],[Type]]="Inflow",Tracking[[#This Row],[Amount(USD)]],0)</f>
        <v>0</v>
      </c>
      <c r="I338" s="133">
        <f>IF(Tracking[[#This Row],[Type]]="Outflow",-Tracking[[#This Row],[Amount(USD)]],0)</f>
        <v>0</v>
      </c>
      <c r="J338" s="141" t="str">
        <f t="shared" si="175"/>
        <v>EUR</v>
      </c>
      <c r="K338" s="153">
        <f>IFERROR(K337+Tracking[[#This Row],[Cash In]]+Tracking[[#This Row],[Cash Out]],0)</f>
        <v>75679</v>
      </c>
      <c r="L338" s="153">
        <f>Tracking[[#This Row],[Running Balance]]*Settings!$E$15</f>
        <v>65083.94</v>
      </c>
    </row>
    <row r="339" spans="3:12" x14ac:dyDescent="0.3">
      <c r="C339" s="123">
        <f>'Cash Flow Entry'!C339</f>
        <v>45627</v>
      </c>
      <c r="D339" s="126" t="str">
        <f>'Cash Flow Entry'!H339</f>
        <v>Outflow</v>
      </c>
      <c r="E339" s="124" t="str">
        <f>'Cash Flow Entry'!D339</f>
        <v>Investing</v>
      </c>
      <c r="F339" s="124" t="str">
        <f>'Cash Flow Entry'!E339</f>
        <v>Purchase of investments</v>
      </c>
      <c r="G339" s="127">
        <f>'Cash Flow Entry'!F339</f>
        <v>45000</v>
      </c>
      <c r="H339" s="128">
        <f>IF(Tracking[[#This Row],[Type]]="Inflow",Tracking[[#This Row],[Amount(USD)]],0)</f>
        <v>0</v>
      </c>
      <c r="I339" s="129">
        <f>IF(Tracking[[#This Row],[Type]]="Outflow",-Tracking[[#This Row],[Amount(USD)]],0)</f>
        <v>-45000</v>
      </c>
      <c r="J339" s="140" t="str">
        <f t="shared" si="175"/>
        <v>EUR</v>
      </c>
      <c r="K339" s="151">
        <f>IFERROR(K338+Tracking[[#This Row],[Cash In]]+Tracking[[#This Row],[Cash Out]],0)</f>
        <v>30679</v>
      </c>
      <c r="L339" s="151">
        <f>Tracking[[#This Row],[Running Balance]]*Settings!$E$15</f>
        <v>26383.94</v>
      </c>
    </row>
    <row r="340" spans="3:12" x14ac:dyDescent="0.3">
      <c r="C340" s="123">
        <f>'Cash Flow Entry'!C340</f>
        <v>45628</v>
      </c>
      <c r="D340" s="126" t="str">
        <f t="shared" ref="D340:F340" si="191">IF(OR(ISBLANK(E340), E340=0),"N/A",E340)</f>
        <v>N/A</v>
      </c>
      <c r="E340" s="126" t="str">
        <f t="shared" si="191"/>
        <v>N/A</v>
      </c>
      <c r="F340" s="124" t="str">
        <f t="shared" si="191"/>
        <v>N/A</v>
      </c>
      <c r="G340" s="127">
        <f>'Cash Flow Entry'!F340</f>
        <v>0</v>
      </c>
      <c r="H340" s="128">
        <f>IF(Tracking[[#This Row],[Type]]="Inflow",Tracking[[#This Row],[Amount(USD)]],0)</f>
        <v>0</v>
      </c>
      <c r="I340" s="129">
        <f>IF(Tracking[[#This Row],[Type]]="Outflow",-Tracking[[#This Row],[Amount(USD)]],0)</f>
        <v>0</v>
      </c>
      <c r="J340" s="140" t="str">
        <f t="shared" si="175"/>
        <v>EUR</v>
      </c>
      <c r="K340" s="151">
        <f>IFERROR(K339+Tracking[[#This Row],[Cash In]]+Tracking[[#This Row],[Cash Out]],0)</f>
        <v>30679</v>
      </c>
      <c r="L340" s="151">
        <f>Tracking[[#This Row],[Running Balance]]*Settings!$E$15</f>
        <v>26383.94</v>
      </c>
    </row>
    <row r="341" spans="3:12" x14ac:dyDescent="0.3">
      <c r="C341" s="123">
        <f>'Cash Flow Entry'!C341</f>
        <v>45629</v>
      </c>
      <c r="D341" s="126" t="str">
        <f>'Cash Flow Entry'!H341</f>
        <v>Outflow</v>
      </c>
      <c r="E341" s="124" t="str">
        <f>'Cash Flow Entry'!D341</f>
        <v>Operating</v>
      </c>
      <c r="F341" s="124" t="str">
        <f>'Cash Flow Entry'!E341</f>
        <v>Cash-paid to suppliers</v>
      </c>
      <c r="G341" s="127">
        <f>'Cash Flow Entry'!F341</f>
        <v>15000</v>
      </c>
      <c r="H341" s="128">
        <f>IF(Tracking[[#This Row],[Type]]="Inflow",Tracking[[#This Row],[Amount(USD)]],0)</f>
        <v>0</v>
      </c>
      <c r="I341" s="129">
        <f>IF(Tracking[[#This Row],[Type]]="Outflow",-Tracking[[#This Row],[Amount(USD)]],0)</f>
        <v>-15000</v>
      </c>
      <c r="J341" s="140" t="str">
        <f t="shared" si="175"/>
        <v>EUR</v>
      </c>
      <c r="K341" s="151">
        <f>IFERROR(K340+Tracking[[#This Row],[Cash In]]+Tracking[[#This Row],[Cash Out]],0)</f>
        <v>15679</v>
      </c>
      <c r="L341" s="151">
        <f>Tracking[[#This Row],[Running Balance]]*Settings!$E$15</f>
        <v>13483.94</v>
      </c>
    </row>
    <row r="342" spans="3:12" x14ac:dyDescent="0.3">
      <c r="C342" s="123">
        <f>'Cash Flow Entry'!C342</f>
        <v>45630</v>
      </c>
      <c r="D342" s="126" t="str">
        <f t="shared" ref="D342" si="192">IF(OR(ISBLANK(E342), E342=0),"N/A",E342)</f>
        <v>N/A</v>
      </c>
      <c r="E342" s="126" t="str">
        <f t="shared" ref="E342" si="193">IF(OR(ISBLANK(F342), F342=0),"N/A",F342)</f>
        <v>N/A</v>
      </c>
      <c r="F342" s="124" t="str">
        <f t="shared" ref="F342" si="194">IF(OR(ISBLANK(G342), G342=0),"N/A",G342)</f>
        <v>N/A</v>
      </c>
      <c r="G342" s="127">
        <f>'Cash Flow Entry'!F342</f>
        <v>0</v>
      </c>
      <c r="H342" s="128">
        <f>IF(Tracking[[#This Row],[Type]]="Inflow",Tracking[[#This Row],[Amount(USD)]],0)</f>
        <v>0</v>
      </c>
      <c r="I342" s="129">
        <f>IF(Tracking[[#This Row],[Type]]="Outflow",-Tracking[[#This Row],[Amount(USD)]],0)</f>
        <v>0</v>
      </c>
      <c r="J342" s="140" t="str">
        <f t="shared" si="175"/>
        <v>EUR</v>
      </c>
      <c r="K342" s="151">
        <f>IFERROR(K341+Tracking[[#This Row],[Cash In]]+Tracking[[#This Row],[Cash Out]],0)</f>
        <v>15679</v>
      </c>
      <c r="L342" s="151">
        <f>Tracking[[#This Row],[Running Balance]]*Settings!$E$15</f>
        <v>13483.94</v>
      </c>
    </row>
    <row r="343" spans="3:12" x14ac:dyDescent="0.3">
      <c r="C343" s="123">
        <f>'Cash Flow Entry'!C343</f>
        <v>45631</v>
      </c>
      <c r="D343" s="126" t="str">
        <f>'Cash Flow Entry'!H343</f>
        <v>Inflow</v>
      </c>
      <c r="E343" s="124" t="str">
        <f>'Cash Flow Entry'!D343</f>
        <v>Operating</v>
      </c>
      <c r="F343" s="124" t="str">
        <f>'Cash Flow Entry'!E343</f>
        <v>Cash-received from customers</v>
      </c>
      <c r="G343" s="127">
        <f>'Cash Flow Entry'!F343</f>
        <v>25000</v>
      </c>
      <c r="H343" s="128">
        <f>IF(Tracking[[#This Row],[Type]]="Inflow",Tracking[[#This Row],[Amount(USD)]],0)</f>
        <v>25000</v>
      </c>
      <c r="I343" s="129">
        <f>IF(Tracking[[#This Row],[Type]]="Outflow",-Tracking[[#This Row],[Amount(USD)]],0)</f>
        <v>0</v>
      </c>
      <c r="J343" s="140" t="str">
        <f t="shared" si="175"/>
        <v>EUR</v>
      </c>
      <c r="K343" s="151">
        <f>IFERROR(K342+Tracking[[#This Row],[Cash In]]+Tracking[[#This Row],[Cash Out]],0)</f>
        <v>40679</v>
      </c>
      <c r="L343" s="151">
        <f>Tracking[[#This Row],[Running Balance]]*Settings!$E$15</f>
        <v>34983.94</v>
      </c>
    </row>
    <row r="344" spans="3:12" x14ac:dyDescent="0.3">
      <c r="C344" s="123">
        <f>'Cash Flow Entry'!C344</f>
        <v>45632</v>
      </c>
      <c r="D344" s="126" t="str">
        <f>'Cash Flow Entry'!H344</f>
        <v>Outflow</v>
      </c>
      <c r="E344" s="124" t="str">
        <f>'Cash Flow Entry'!D344</f>
        <v>Financing</v>
      </c>
      <c r="F344" s="124" t="str">
        <f>'Cash Flow Entry'!E344</f>
        <v>Interest Paid</v>
      </c>
      <c r="G344" s="127">
        <f>'Cash Flow Entry'!F344</f>
        <v>650</v>
      </c>
      <c r="H344" s="128">
        <f>IF(Tracking[[#This Row],[Type]]="Inflow",Tracking[[#This Row],[Amount(USD)]],0)</f>
        <v>0</v>
      </c>
      <c r="I344" s="129">
        <f>IF(Tracking[[#This Row],[Type]]="Outflow",-Tracking[[#This Row],[Amount(USD)]],0)</f>
        <v>-650</v>
      </c>
      <c r="J344" s="140" t="str">
        <f t="shared" si="175"/>
        <v>EUR</v>
      </c>
      <c r="K344" s="151">
        <f>IFERROR(K343+Tracking[[#This Row],[Cash In]]+Tracking[[#This Row],[Cash Out]],0)</f>
        <v>40029</v>
      </c>
      <c r="L344" s="151">
        <f>Tracking[[#This Row],[Running Balance]]*Settings!$E$15</f>
        <v>34424.94</v>
      </c>
    </row>
    <row r="345" spans="3:12" x14ac:dyDescent="0.3">
      <c r="C345" s="123">
        <f>'Cash Flow Entry'!C345</f>
        <v>45633</v>
      </c>
      <c r="D345" s="126" t="str">
        <f t="shared" ref="D345" si="195">IF(OR(ISBLANK(E345), E345=0),"N/A",E345)</f>
        <v>N/A</v>
      </c>
      <c r="E345" s="126" t="str">
        <f t="shared" ref="E345" si="196">IF(OR(ISBLANK(F345), F345=0),"N/A",F345)</f>
        <v>N/A</v>
      </c>
      <c r="F345" s="124" t="str">
        <f t="shared" ref="F345" si="197">IF(OR(ISBLANK(G345), G345=0),"N/A",G345)</f>
        <v>N/A</v>
      </c>
      <c r="G345" s="127">
        <f>'Cash Flow Entry'!F345</f>
        <v>0</v>
      </c>
      <c r="H345" s="128">
        <f>IF(Tracking[[#This Row],[Type]]="Inflow",Tracking[[#This Row],[Amount(USD)]],0)</f>
        <v>0</v>
      </c>
      <c r="I345" s="129">
        <f>IF(Tracking[[#This Row],[Type]]="Outflow",-Tracking[[#This Row],[Amount(USD)]],0)</f>
        <v>0</v>
      </c>
      <c r="J345" s="140" t="str">
        <f t="shared" si="175"/>
        <v>EUR</v>
      </c>
      <c r="K345" s="151">
        <f>IFERROR(K344+Tracking[[#This Row],[Cash In]]+Tracking[[#This Row],[Cash Out]],0)</f>
        <v>40029</v>
      </c>
      <c r="L345" s="151">
        <f>Tracking[[#This Row],[Running Balance]]*Settings!$E$15</f>
        <v>34424.94</v>
      </c>
    </row>
    <row r="346" spans="3:12" x14ac:dyDescent="0.3">
      <c r="C346" s="123">
        <f>'Cash Flow Entry'!C346</f>
        <v>45634</v>
      </c>
      <c r="D346" s="126" t="str">
        <f>'Cash Flow Entry'!H346</f>
        <v>Outflow</v>
      </c>
      <c r="E346" s="124" t="str">
        <f>'Cash Flow Entry'!D346</f>
        <v>Operating</v>
      </c>
      <c r="F346" s="124" t="str">
        <f>'Cash Flow Entry'!E346</f>
        <v>Cash-paid to suppliers</v>
      </c>
      <c r="G346" s="127">
        <f>'Cash Flow Entry'!F346</f>
        <v>45000</v>
      </c>
      <c r="H346" s="128">
        <f>IF(Tracking[[#This Row],[Type]]="Inflow",Tracking[[#This Row],[Amount(USD)]],0)</f>
        <v>0</v>
      </c>
      <c r="I346" s="129">
        <f>IF(Tracking[[#This Row],[Type]]="Outflow",-Tracking[[#This Row],[Amount(USD)]],0)</f>
        <v>-45000</v>
      </c>
      <c r="J346" s="140" t="str">
        <f t="shared" si="175"/>
        <v>EUR</v>
      </c>
      <c r="K346" s="151">
        <f>IFERROR(K345+Tracking[[#This Row],[Cash In]]+Tracking[[#This Row],[Cash Out]],0)</f>
        <v>-4971</v>
      </c>
      <c r="L346" s="151">
        <f>Tracking[[#This Row],[Running Balance]]*Settings!$E$15</f>
        <v>-4275.0599999999995</v>
      </c>
    </row>
    <row r="347" spans="3:12" x14ac:dyDescent="0.3">
      <c r="C347" s="123">
        <f>'Cash Flow Entry'!C347</f>
        <v>45635</v>
      </c>
      <c r="D347" s="126" t="str">
        <f>'Cash Flow Entry'!H347</f>
        <v>Outflow</v>
      </c>
      <c r="E347" s="124" t="str">
        <f>'Cash Flow Entry'!D347</f>
        <v>Operating</v>
      </c>
      <c r="F347" s="124" t="str">
        <f>'Cash Flow Entry'!E347</f>
        <v>Cash-paid to suppliers</v>
      </c>
      <c r="G347" s="127">
        <f>'Cash Flow Entry'!F347</f>
        <v>15000</v>
      </c>
      <c r="H347" s="128">
        <f>IF(Tracking[[#This Row],[Type]]="Inflow",Tracking[[#This Row],[Amount(USD)]],0)</f>
        <v>0</v>
      </c>
      <c r="I347" s="129">
        <f>IF(Tracking[[#This Row],[Type]]="Outflow",-Tracking[[#This Row],[Amount(USD)]],0)</f>
        <v>-15000</v>
      </c>
      <c r="J347" s="140" t="str">
        <f t="shared" si="175"/>
        <v>EUR</v>
      </c>
      <c r="K347" s="151">
        <f>IFERROR(K346+Tracking[[#This Row],[Cash In]]+Tracking[[#This Row],[Cash Out]],0)</f>
        <v>-19971</v>
      </c>
      <c r="L347" s="151">
        <f>Tracking[[#This Row],[Running Balance]]*Settings!$E$15</f>
        <v>-17175.060000000001</v>
      </c>
    </row>
    <row r="348" spans="3:12" x14ac:dyDescent="0.3">
      <c r="C348" s="123">
        <f>'Cash Flow Entry'!C348</f>
        <v>45636</v>
      </c>
      <c r="D348" s="126" t="str">
        <f t="shared" ref="D348" si="198">IF(OR(ISBLANK(E348), E348=0),"N/A",E348)</f>
        <v>N/A</v>
      </c>
      <c r="E348" s="126" t="str">
        <f t="shared" ref="E348" si="199">IF(OR(ISBLANK(F348), F348=0),"N/A",F348)</f>
        <v>N/A</v>
      </c>
      <c r="F348" s="124" t="str">
        <f t="shared" ref="F348" si="200">IF(OR(ISBLANK(G348), G348=0),"N/A",G348)</f>
        <v>N/A</v>
      </c>
      <c r="G348" s="127">
        <f>'Cash Flow Entry'!F348</f>
        <v>0</v>
      </c>
      <c r="H348" s="128">
        <f>IF(Tracking[[#This Row],[Type]]="Inflow",Tracking[[#This Row],[Amount(USD)]],0)</f>
        <v>0</v>
      </c>
      <c r="I348" s="129">
        <f>IF(Tracking[[#This Row],[Type]]="Outflow",-Tracking[[#This Row],[Amount(USD)]],0)</f>
        <v>0</v>
      </c>
      <c r="J348" s="140" t="str">
        <f t="shared" si="175"/>
        <v>EUR</v>
      </c>
      <c r="K348" s="151">
        <f>IFERROR(K347+Tracking[[#This Row],[Cash In]]+Tracking[[#This Row],[Cash Out]],0)</f>
        <v>-19971</v>
      </c>
      <c r="L348" s="151">
        <f>Tracking[[#This Row],[Running Balance]]*Settings!$E$15</f>
        <v>-17175.060000000001</v>
      </c>
    </row>
    <row r="349" spans="3:12" x14ac:dyDescent="0.3">
      <c r="C349" s="123">
        <f>'Cash Flow Entry'!C349</f>
        <v>45637</v>
      </c>
      <c r="D349" s="126" t="str">
        <f>'Cash Flow Entry'!H349</f>
        <v>Outflow</v>
      </c>
      <c r="E349" s="124" t="str">
        <f>'Cash Flow Entry'!D349</f>
        <v>Operating</v>
      </c>
      <c r="F349" s="124" t="str">
        <f>'Cash Flow Entry'!E349</f>
        <v>Cash paid to employees</v>
      </c>
      <c r="G349" s="127">
        <f>'Cash Flow Entry'!F349</f>
        <v>20000</v>
      </c>
      <c r="H349" s="128">
        <f>IF(Tracking[[#This Row],[Type]]="Inflow",Tracking[[#This Row],[Amount(USD)]],0)</f>
        <v>0</v>
      </c>
      <c r="I349" s="129">
        <f>IF(Tracking[[#This Row],[Type]]="Outflow",-Tracking[[#This Row],[Amount(USD)]],0)</f>
        <v>-20000</v>
      </c>
      <c r="J349" s="140" t="str">
        <f t="shared" si="175"/>
        <v>EUR</v>
      </c>
      <c r="K349" s="151">
        <f>IFERROR(K348+Tracking[[#This Row],[Cash In]]+Tracking[[#This Row],[Cash Out]],0)</f>
        <v>-39971</v>
      </c>
      <c r="L349" s="151">
        <f>Tracking[[#This Row],[Running Balance]]*Settings!$E$15</f>
        <v>-34375.06</v>
      </c>
    </row>
    <row r="350" spans="3:12" x14ac:dyDescent="0.3">
      <c r="C350" s="123">
        <f>'Cash Flow Entry'!C350</f>
        <v>45638</v>
      </c>
      <c r="D350" s="126" t="str">
        <f>'Cash Flow Entry'!H350</f>
        <v>Outflow</v>
      </c>
      <c r="E350" s="124" t="str">
        <f>'Cash Flow Entry'!D350</f>
        <v>Operating</v>
      </c>
      <c r="F350" s="124" t="str">
        <f>'Cash Flow Entry'!E350</f>
        <v>Cash paid for Operating expenses</v>
      </c>
      <c r="G350" s="127">
        <f>'Cash Flow Entry'!F350</f>
        <v>1800</v>
      </c>
      <c r="H350" s="128">
        <f>IF(Tracking[[#This Row],[Type]]="Inflow",Tracking[[#This Row],[Amount(USD)]],0)</f>
        <v>0</v>
      </c>
      <c r="I350" s="129">
        <f>IF(Tracking[[#This Row],[Type]]="Outflow",-Tracking[[#This Row],[Amount(USD)]],0)</f>
        <v>-1800</v>
      </c>
      <c r="J350" s="140" t="str">
        <f t="shared" si="175"/>
        <v>EUR</v>
      </c>
      <c r="K350" s="151">
        <f>IFERROR(K349+Tracking[[#This Row],[Cash In]]+Tracking[[#This Row],[Cash Out]],0)</f>
        <v>-41771</v>
      </c>
      <c r="L350" s="151">
        <f>Tracking[[#This Row],[Running Balance]]*Settings!$E$15</f>
        <v>-35923.06</v>
      </c>
    </row>
    <row r="351" spans="3:12" x14ac:dyDescent="0.3">
      <c r="C351" s="123">
        <f>'Cash Flow Entry'!C351</f>
        <v>45639</v>
      </c>
      <c r="D351" s="126" t="str">
        <f>'Cash Flow Entry'!H351</f>
        <v>Outflow</v>
      </c>
      <c r="E351" s="124" t="str">
        <f>'Cash Flow Entry'!D351</f>
        <v>Financing</v>
      </c>
      <c r="F351" s="124" t="str">
        <f>'Cash Flow Entry'!E351</f>
        <v>Interest Paid</v>
      </c>
      <c r="G351" s="127">
        <f>'Cash Flow Entry'!F351</f>
        <v>100</v>
      </c>
      <c r="H351" s="128">
        <f>IF(Tracking[[#This Row],[Type]]="Inflow",Tracking[[#This Row],[Amount(USD)]],0)</f>
        <v>0</v>
      </c>
      <c r="I351" s="129">
        <f>IF(Tracking[[#This Row],[Type]]="Outflow",-Tracking[[#This Row],[Amount(USD)]],0)</f>
        <v>-100</v>
      </c>
      <c r="J351" s="140" t="str">
        <f t="shared" si="175"/>
        <v>EUR</v>
      </c>
      <c r="K351" s="151">
        <f>IFERROR(K350+Tracking[[#This Row],[Cash In]]+Tracking[[#This Row],[Cash Out]],0)</f>
        <v>-41871</v>
      </c>
      <c r="L351" s="151">
        <f>Tracking[[#This Row],[Running Balance]]*Settings!$E$15</f>
        <v>-36009.06</v>
      </c>
    </row>
    <row r="352" spans="3:12" x14ac:dyDescent="0.3">
      <c r="C352" s="123">
        <f>'Cash Flow Entry'!C352</f>
        <v>45640</v>
      </c>
      <c r="D352" s="126" t="str">
        <f t="shared" ref="D352:D354" si="201">IF(OR(ISBLANK(E352), E352=0),"N/A",E352)</f>
        <v>N/A</v>
      </c>
      <c r="E352" s="126" t="str">
        <f t="shared" ref="E352:E354" si="202">IF(OR(ISBLANK(F352), F352=0),"N/A",F352)</f>
        <v>N/A</v>
      </c>
      <c r="F352" s="124" t="str">
        <f t="shared" ref="F352:F354" si="203">IF(OR(ISBLANK(G352), G352=0),"N/A",G352)</f>
        <v>N/A</v>
      </c>
      <c r="G352" s="127">
        <f>'Cash Flow Entry'!F352</f>
        <v>0</v>
      </c>
      <c r="H352" s="128">
        <f>IF(Tracking[[#This Row],[Type]]="Inflow",Tracking[[#This Row],[Amount(USD)]],0)</f>
        <v>0</v>
      </c>
      <c r="I352" s="129">
        <f>IF(Tracking[[#This Row],[Type]]="Outflow",-Tracking[[#This Row],[Amount(USD)]],0)</f>
        <v>0</v>
      </c>
      <c r="J352" s="140" t="str">
        <f t="shared" si="175"/>
        <v>EUR</v>
      </c>
      <c r="K352" s="151">
        <f>IFERROR(K351+Tracking[[#This Row],[Cash In]]+Tracking[[#This Row],[Cash Out]],0)</f>
        <v>-41871</v>
      </c>
      <c r="L352" s="151">
        <f>Tracking[[#This Row],[Running Balance]]*Settings!$E$15</f>
        <v>-36009.06</v>
      </c>
    </row>
    <row r="353" spans="3:12" x14ac:dyDescent="0.3">
      <c r="C353" s="123">
        <f>'Cash Flow Entry'!C353</f>
        <v>45641</v>
      </c>
      <c r="D353" s="126" t="str">
        <f t="shared" si="201"/>
        <v>N/A</v>
      </c>
      <c r="E353" s="126" t="str">
        <f t="shared" si="202"/>
        <v>N/A</v>
      </c>
      <c r="F353" s="124" t="str">
        <f t="shared" si="203"/>
        <v>N/A</v>
      </c>
      <c r="G353" s="127">
        <f>'Cash Flow Entry'!F353</f>
        <v>0</v>
      </c>
      <c r="H353" s="128">
        <f>IF(Tracking[[#This Row],[Type]]="Inflow",Tracking[[#This Row],[Amount(USD)]],0)</f>
        <v>0</v>
      </c>
      <c r="I353" s="129">
        <f>IF(Tracking[[#This Row],[Type]]="Outflow",-Tracking[[#This Row],[Amount(USD)]],0)</f>
        <v>0</v>
      </c>
      <c r="J353" s="140" t="str">
        <f t="shared" si="175"/>
        <v>EUR</v>
      </c>
      <c r="K353" s="151">
        <f>IFERROR(K352+Tracking[[#This Row],[Cash In]]+Tracking[[#This Row],[Cash Out]],0)</f>
        <v>-41871</v>
      </c>
      <c r="L353" s="151">
        <f>Tracking[[#This Row],[Running Balance]]*Settings!$E$15</f>
        <v>-36009.06</v>
      </c>
    </row>
    <row r="354" spans="3:12" x14ac:dyDescent="0.3">
      <c r="C354" s="123">
        <f>'Cash Flow Entry'!C354</f>
        <v>45642</v>
      </c>
      <c r="D354" s="126" t="str">
        <f t="shared" si="201"/>
        <v>N/A</v>
      </c>
      <c r="E354" s="126" t="str">
        <f t="shared" si="202"/>
        <v>N/A</v>
      </c>
      <c r="F354" s="124" t="str">
        <f t="shared" si="203"/>
        <v>N/A</v>
      </c>
      <c r="G354" s="127">
        <f>'Cash Flow Entry'!F354</f>
        <v>0</v>
      </c>
      <c r="H354" s="128">
        <f>IF(Tracking[[#This Row],[Type]]="Inflow",Tracking[[#This Row],[Amount(USD)]],0)</f>
        <v>0</v>
      </c>
      <c r="I354" s="129">
        <f>IF(Tracking[[#This Row],[Type]]="Outflow",-Tracking[[#This Row],[Amount(USD)]],0)</f>
        <v>0</v>
      </c>
      <c r="J354" s="140" t="str">
        <f t="shared" si="175"/>
        <v>EUR</v>
      </c>
      <c r="K354" s="151">
        <f>IFERROR(K353+Tracking[[#This Row],[Cash In]]+Tracking[[#This Row],[Cash Out]],0)</f>
        <v>-41871</v>
      </c>
      <c r="L354" s="151">
        <f>Tracking[[#This Row],[Running Balance]]*Settings!$E$15</f>
        <v>-36009.06</v>
      </c>
    </row>
    <row r="355" spans="3:12" x14ac:dyDescent="0.3">
      <c r="C355" s="123">
        <f>'Cash Flow Entry'!C355</f>
        <v>45643</v>
      </c>
      <c r="D355" s="126" t="str">
        <f>'Cash Flow Entry'!H355</f>
        <v>Inflow</v>
      </c>
      <c r="E355" s="124" t="str">
        <f>'Cash Flow Entry'!D355</f>
        <v>Operating</v>
      </c>
      <c r="F355" s="124" t="str">
        <f>'Cash Flow Entry'!E355</f>
        <v>Cash-received from customers</v>
      </c>
      <c r="G355" s="127">
        <f>'Cash Flow Entry'!F355</f>
        <v>40000</v>
      </c>
      <c r="H355" s="128">
        <f>IF(Tracking[[#This Row],[Type]]="Inflow",Tracking[[#This Row],[Amount(USD)]],0)</f>
        <v>40000</v>
      </c>
      <c r="I355" s="129">
        <f>IF(Tracking[[#This Row],[Type]]="Outflow",-Tracking[[#This Row],[Amount(USD)]],0)</f>
        <v>0</v>
      </c>
      <c r="J355" s="140" t="str">
        <f t="shared" si="175"/>
        <v>EUR</v>
      </c>
      <c r="K355" s="151">
        <f>IFERROR(K354+Tracking[[#This Row],[Cash In]]+Tracking[[#This Row],[Cash Out]],0)</f>
        <v>-1871</v>
      </c>
      <c r="L355" s="151">
        <f>Tracking[[#This Row],[Running Balance]]*Settings!$E$15</f>
        <v>-1609.06</v>
      </c>
    </row>
    <row r="356" spans="3:12" x14ac:dyDescent="0.3">
      <c r="C356" s="123">
        <f>'Cash Flow Entry'!C356</f>
        <v>45644</v>
      </c>
      <c r="D356" s="126" t="str">
        <f>'Cash Flow Entry'!H356</f>
        <v>Inflow</v>
      </c>
      <c r="E356" s="124" t="str">
        <f>'Cash Flow Entry'!D356</f>
        <v>Operating</v>
      </c>
      <c r="F356" s="124" t="str">
        <f>'Cash Flow Entry'!E356</f>
        <v>Cash-received from customers</v>
      </c>
      <c r="G356" s="127">
        <f>'Cash Flow Entry'!F356</f>
        <v>5000</v>
      </c>
      <c r="H356" s="128">
        <f>IF(Tracking[[#This Row],[Type]]="Inflow",Tracking[[#This Row],[Amount(USD)]],0)</f>
        <v>5000</v>
      </c>
      <c r="I356" s="129">
        <f>IF(Tracking[[#This Row],[Type]]="Outflow",-Tracking[[#This Row],[Amount(USD)]],0)</f>
        <v>0</v>
      </c>
      <c r="J356" s="140" t="str">
        <f t="shared" si="175"/>
        <v>EUR</v>
      </c>
      <c r="K356" s="151">
        <f>IFERROR(K355+Tracking[[#This Row],[Cash In]]+Tracking[[#This Row],[Cash Out]],0)</f>
        <v>3129</v>
      </c>
      <c r="L356" s="151">
        <f>Tracking[[#This Row],[Running Balance]]*Settings!$E$15</f>
        <v>2690.94</v>
      </c>
    </row>
    <row r="357" spans="3:12" x14ac:dyDescent="0.3">
      <c r="C357" s="123">
        <f>'Cash Flow Entry'!C357</f>
        <v>45645</v>
      </c>
      <c r="D357" s="126" t="str">
        <f t="shared" ref="D357:D358" si="204">IF(OR(ISBLANK(E357), E357=0),"N/A",E357)</f>
        <v>N/A</v>
      </c>
      <c r="E357" s="126" t="str">
        <f t="shared" ref="E357:E358" si="205">IF(OR(ISBLANK(F357), F357=0),"N/A",F357)</f>
        <v>N/A</v>
      </c>
      <c r="F357" s="124" t="str">
        <f t="shared" ref="F357:F358" si="206">IF(OR(ISBLANK(G357), G357=0),"N/A",G357)</f>
        <v>N/A</v>
      </c>
      <c r="G357" s="127">
        <f>'Cash Flow Entry'!F357</f>
        <v>0</v>
      </c>
      <c r="H357" s="128">
        <f>IF(Tracking[[#This Row],[Type]]="Inflow",Tracking[[#This Row],[Amount(USD)]],0)</f>
        <v>0</v>
      </c>
      <c r="I357" s="129">
        <f>IF(Tracking[[#This Row],[Type]]="Outflow",-Tracking[[#This Row],[Amount(USD)]],0)</f>
        <v>0</v>
      </c>
      <c r="J357" s="140" t="str">
        <f t="shared" si="175"/>
        <v>EUR</v>
      </c>
      <c r="K357" s="151">
        <f>IFERROR(K356+Tracking[[#This Row],[Cash In]]+Tracking[[#This Row],[Cash Out]],0)</f>
        <v>3129</v>
      </c>
      <c r="L357" s="151">
        <f>Tracking[[#This Row],[Running Balance]]*Settings!$E$15</f>
        <v>2690.94</v>
      </c>
    </row>
    <row r="358" spans="3:12" x14ac:dyDescent="0.3">
      <c r="C358" s="123">
        <f>'Cash Flow Entry'!C358</f>
        <v>45646</v>
      </c>
      <c r="D358" s="126" t="str">
        <f t="shared" si="204"/>
        <v>N/A</v>
      </c>
      <c r="E358" s="126" t="str">
        <f t="shared" si="205"/>
        <v>N/A</v>
      </c>
      <c r="F358" s="124" t="str">
        <f t="shared" si="206"/>
        <v>N/A</v>
      </c>
      <c r="G358" s="127">
        <f>'Cash Flow Entry'!F358</f>
        <v>0</v>
      </c>
      <c r="H358" s="128">
        <f>IF(Tracking[[#This Row],[Type]]="Inflow",Tracking[[#This Row],[Amount(USD)]],0)</f>
        <v>0</v>
      </c>
      <c r="I358" s="129">
        <f>IF(Tracking[[#This Row],[Type]]="Outflow",-Tracking[[#This Row],[Amount(USD)]],0)</f>
        <v>0</v>
      </c>
      <c r="J358" s="140" t="str">
        <f t="shared" si="175"/>
        <v>EUR</v>
      </c>
      <c r="K358" s="151">
        <f>IFERROR(K357+Tracking[[#This Row],[Cash In]]+Tracking[[#This Row],[Cash Out]],0)</f>
        <v>3129</v>
      </c>
      <c r="L358" s="151">
        <f>Tracking[[#This Row],[Running Balance]]*Settings!$E$15</f>
        <v>2690.94</v>
      </c>
    </row>
    <row r="359" spans="3:12" x14ac:dyDescent="0.3">
      <c r="C359" s="123">
        <f>'Cash Flow Entry'!C359</f>
        <v>45647</v>
      </c>
      <c r="D359" s="126" t="str">
        <f>'Cash Flow Entry'!H359</f>
        <v>Outflow</v>
      </c>
      <c r="E359" s="124" t="str">
        <f>'Cash Flow Entry'!D359</f>
        <v>Investing</v>
      </c>
      <c r="F359" s="124" t="str">
        <f>'Cash Flow Entry'!E359</f>
        <v>Purchase of property, plant, or equipment</v>
      </c>
      <c r="G359" s="127">
        <f>'Cash Flow Entry'!F359</f>
        <v>20000</v>
      </c>
      <c r="H359" s="128">
        <f>IF(Tracking[[#This Row],[Type]]="Inflow",Tracking[[#This Row],[Amount(USD)]],0)</f>
        <v>0</v>
      </c>
      <c r="I359" s="129">
        <f>IF(Tracking[[#This Row],[Type]]="Outflow",-Tracking[[#This Row],[Amount(USD)]],0)</f>
        <v>-20000</v>
      </c>
      <c r="J359" s="140" t="str">
        <f t="shared" si="175"/>
        <v>EUR</v>
      </c>
      <c r="K359" s="151">
        <f>IFERROR(K358+Tracking[[#This Row],[Cash In]]+Tracking[[#This Row],[Cash Out]],0)</f>
        <v>-16871</v>
      </c>
      <c r="L359" s="151">
        <f>Tracking[[#This Row],[Running Balance]]*Settings!$E$15</f>
        <v>-14509.06</v>
      </c>
    </row>
    <row r="360" spans="3:12" x14ac:dyDescent="0.3">
      <c r="C360" s="123">
        <f>'Cash Flow Entry'!C360</f>
        <v>45648</v>
      </c>
      <c r="D360" s="126" t="str">
        <f>'Cash Flow Entry'!H360</f>
        <v>Outflow</v>
      </c>
      <c r="E360" s="124" t="str">
        <f>'Cash Flow Entry'!D360</f>
        <v>Operating</v>
      </c>
      <c r="F360" s="124" t="str">
        <f>'Cash Flow Entry'!E360</f>
        <v>Cash paid for Operating expenses</v>
      </c>
      <c r="G360" s="127">
        <f>'Cash Flow Entry'!F360</f>
        <v>2000</v>
      </c>
      <c r="H360" s="128">
        <f>IF(Tracking[[#This Row],[Type]]="Inflow",Tracking[[#This Row],[Amount(USD)]],0)</f>
        <v>0</v>
      </c>
      <c r="I360" s="129">
        <f>IF(Tracking[[#This Row],[Type]]="Outflow",-Tracking[[#This Row],[Amount(USD)]],0)</f>
        <v>-2000</v>
      </c>
      <c r="J360" s="140" t="str">
        <f t="shared" si="175"/>
        <v>EUR</v>
      </c>
      <c r="K360" s="151">
        <f>IFERROR(K359+Tracking[[#This Row],[Cash In]]+Tracking[[#This Row],[Cash Out]],0)</f>
        <v>-18871</v>
      </c>
      <c r="L360" s="151">
        <f>Tracking[[#This Row],[Running Balance]]*Settings!$E$15</f>
        <v>-16229.06</v>
      </c>
    </row>
    <row r="361" spans="3:12" x14ac:dyDescent="0.3">
      <c r="C361" s="123">
        <f>'Cash Flow Entry'!C361</f>
        <v>45649</v>
      </c>
      <c r="D361" s="126" t="str">
        <f t="shared" ref="D361" si="207">IF(OR(ISBLANK(E361), E361=0),"N/A",E361)</f>
        <v>N/A</v>
      </c>
      <c r="E361" s="126" t="str">
        <f t="shared" ref="E361" si="208">IF(OR(ISBLANK(F361), F361=0),"N/A",F361)</f>
        <v>N/A</v>
      </c>
      <c r="F361" s="124" t="str">
        <f t="shared" ref="F361" si="209">IF(OR(ISBLANK(G361), G361=0),"N/A",G361)</f>
        <v>N/A</v>
      </c>
      <c r="G361" s="127">
        <f>'Cash Flow Entry'!F361</f>
        <v>0</v>
      </c>
      <c r="H361" s="128">
        <f>IF(Tracking[[#This Row],[Type]]="Inflow",Tracking[[#This Row],[Amount(USD)]],0)</f>
        <v>0</v>
      </c>
      <c r="I361" s="129">
        <f>IF(Tracking[[#This Row],[Type]]="Outflow",-Tracking[[#This Row],[Amount(USD)]],0)</f>
        <v>0</v>
      </c>
      <c r="J361" s="140" t="str">
        <f t="shared" si="175"/>
        <v>EUR</v>
      </c>
      <c r="K361" s="151">
        <f>IFERROR(K360+Tracking[[#This Row],[Cash In]]+Tracking[[#This Row],[Cash Out]],0)</f>
        <v>-18871</v>
      </c>
      <c r="L361" s="151">
        <f>Tracking[[#This Row],[Running Balance]]*Settings!$E$15</f>
        <v>-16229.06</v>
      </c>
    </row>
    <row r="362" spans="3:12" x14ac:dyDescent="0.3">
      <c r="C362" s="123">
        <f>'Cash Flow Entry'!C362</f>
        <v>45650</v>
      </c>
      <c r="D362" s="126" t="str">
        <f>'Cash Flow Entry'!H362</f>
        <v>Inflow</v>
      </c>
      <c r="E362" s="124" t="str">
        <f>'Cash Flow Entry'!D362</f>
        <v>Investing</v>
      </c>
      <c r="F362" s="124" t="str">
        <f>'Cash Flow Entry'!E362</f>
        <v>Proceeds from sale of investments</v>
      </c>
      <c r="G362" s="127">
        <f>'Cash Flow Entry'!F362</f>
        <v>25000</v>
      </c>
      <c r="H362" s="128">
        <f>IF(Tracking[[#This Row],[Type]]="Inflow",Tracking[[#This Row],[Amount(USD)]],0)</f>
        <v>25000</v>
      </c>
      <c r="I362" s="129">
        <f>IF(Tracking[[#This Row],[Type]]="Outflow",-Tracking[[#This Row],[Amount(USD)]],0)</f>
        <v>0</v>
      </c>
      <c r="J362" s="140" t="str">
        <f t="shared" si="175"/>
        <v>EUR</v>
      </c>
      <c r="K362" s="151">
        <f>IFERROR(K361+Tracking[[#This Row],[Cash In]]+Tracking[[#This Row],[Cash Out]],0)</f>
        <v>6129</v>
      </c>
      <c r="L362" s="151">
        <f>Tracking[[#This Row],[Running Balance]]*Settings!$E$15</f>
        <v>5270.94</v>
      </c>
    </row>
    <row r="363" spans="3:12" x14ac:dyDescent="0.3">
      <c r="C363" s="123">
        <f>'Cash Flow Entry'!C363</f>
        <v>45651</v>
      </c>
      <c r="D363" s="126" t="str">
        <f t="shared" ref="D363" si="210">IF(OR(ISBLANK(E363), E363=0),"N/A",E363)</f>
        <v>N/A</v>
      </c>
      <c r="E363" s="126" t="str">
        <f t="shared" ref="E363" si="211">IF(OR(ISBLANK(F363), F363=0),"N/A",F363)</f>
        <v>N/A</v>
      </c>
      <c r="F363" s="124" t="str">
        <f t="shared" ref="F363" si="212">IF(OR(ISBLANK(G363), G363=0),"N/A",G363)</f>
        <v>N/A</v>
      </c>
      <c r="G363" s="127">
        <f>'Cash Flow Entry'!F363</f>
        <v>0</v>
      </c>
      <c r="H363" s="128">
        <f>IF(Tracking[[#This Row],[Type]]="Inflow",Tracking[[#This Row],[Amount(USD)]],0)</f>
        <v>0</v>
      </c>
      <c r="I363" s="129">
        <f>IF(Tracking[[#This Row],[Type]]="Outflow",-Tracking[[#This Row],[Amount(USD)]],0)</f>
        <v>0</v>
      </c>
      <c r="J363" s="140" t="str">
        <f t="shared" si="175"/>
        <v>EUR</v>
      </c>
      <c r="K363" s="151">
        <f>IFERROR(K362+Tracking[[#This Row],[Cash In]]+Tracking[[#This Row],[Cash Out]],0)</f>
        <v>6129</v>
      </c>
      <c r="L363" s="151">
        <f>Tracking[[#This Row],[Running Balance]]*Settings!$E$15</f>
        <v>5270.94</v>
      </c>
    </row>
    <row r="364" spans="3:12" x14ac:dyDescent="0.3">
      <c r="C364" s="123">
        <f>'Cash Flow Entry'!C364</f>
        <v>45652</v>
      </c>
      <c r="D364" s="126" t="str">
        <f>'Cash Flow Entry'!H364</f>
        <v>Outflow</v>
      </c>
      <c r="E364" s="124" t="str">
        <f>'Cash Flow Entry'!D364</f>
        <v>Operating</v>
      </c>
      <c r="F364" s="124" t="str">
        <f>'Cash Flow Entry'!E364</f>
        <v>Cash-received from customers</v>
      </c>
      <c r="G364" s="127">
        <f>'Cash Flow Entry'!F364</f>
        <v>18000</v>
      </c>
      <c r="H364" s="128">
        <f>IF(Tracking[[#This Row],[Type]]="Inflow",Tracking[[#This Row],[Amount(USD)]],0)</f>
        <v>0</v>
      </c>
      <c r="I364" s="129">
        <f>IF(Tracking[[#This Row],[Type]]="Outflow",-Tracking[[#This Row],[Amount(USD)]],0)</f>
        <v>-18000</v>
      </c>
      <c r="J364" s="140" t="str">
        <f t="shared" si="175"/>
        <v>EUR</v>
      </c>
      <c r="K364" s="151">
        <f>IFERROR(K363+Tracking[[#This Row],[Cash In]]+Tracking[[#This Row],[Cash Out]],0)</f>
        <v>-11871</v>
      </c>
      <c r="L364" s="151">
        <f>Tracking[[#This Row],[Running Balance]]*Settings!$E$15</f>
        <v>-10209.06</v>
      </c>
    </row>
    <row r="365" spans="3:12" x14ac:dyDescent="0.3">
      <c r="C365" s="123">
        <f>'Cash Flow Entry'!C365</f>
        <v>45653</v>
      </c>
      <c r="D365" s="126" t="str">
        <f t="shared" ref="D365" si="213">IF(OR(ISBLANK(E365), E365=0),"N/A",E365)</f>
        <v>N/A</v>
      </c>
      <c r="E365" s="126" t="str">
        <f t="shared" ref="E365" si="214">IF(OR(ISBLANK(F365), F365=0),"N/A",F365)</f>
        <v>N/A</v>
      </c>
      <c r="F365" s="124" t="str">
        <f t="shared" ref="F365" si="215">IF(OR(ISBLANK(G365), G365=0),"N/A",G365)</f>
        <v>N/A</v>
      </c>
      <c r="G365" s="127">
        <f>'Cash Flow Entry'!F365</f>
        <v>0</v>
      </c>
      <c r="H365" s="128">
        <f>IF(Tracking[[#This Row],[Type]]="Inflow",Tracking[[#This Row],[Amount(USD)]],0)</f>
        <v>0</v>
      </c>
      <c r="I365" s="129">
        <f>IF(Tracking[[#This Row],[Type]]="Outflow",-Tracking[[#This Row],[Amount(USD)]],0)</f>
        <v>0</v>
      </c>
      <c r="J365" s="140" t="str">
        <f t="shared" si="175"/>
        <v>EUR</v>
      </c>
      <c r="K365" s="151">
        <f>IFERROR(K364+Tracking[[#This Row],[Cash In]]+Tracking[[#This Row],[Cash Out]],0)</f>
        <v>-11871</v>
      </c>
      <c r="L365" s="151">
        <f>Tracking[[#This Row],[Running Balance]]*Settings!$E$15</f>
        <v>-10209.06</v>
      </c>
    </row>
    <row r="366" spans="3:12" x14ac:dyDescent="0.3">
      <c r="C366" s="123">
        <f>'Cash Flow Entry'!C366</f>
        <v>45654</v>
      </c>
      <c r="D366" s="126" t="str">
        <f>'Cash Flow Entry'!H366</f>
        <v>Outflow</v>
      </c>
      <c r="E366" s="124" t="str">
        <f>'Cash Flow Entry'!D366</f>
        <v>Operating</v>
      </c>
      <c r="F366" s="124" t="str">
        <f>'Cash Flow Entry'!E366</f>
        <v>Cash-paid to suppliers</v>
      </c>
      <c r="G366" s="127">
        <f>'Cash Flow Entry'!F366</f>
        <v>30000</v>
      </c>
      <c r="H366" s="128">
        <f>IF(Tracking[[#This Row],[Type]]="Inflow",Tracking[[#This Row],[Amount(USD)]],0)</f>
        <v>0</v>
      </c>
      <c r="I366" s="129">
        <f>IF(Tracking[[#This Row],[Type]]="Outflow",-Tracking[[#This Row],[Amount(USD)]],0)</f>
        <v>-30000</v>
      </c>
      <c r="J366" s="140" t="str">
        <f t="shared" si="175"/>
        <v>EUR</v>
      </c>
      <c r="K366" s="151">
        <f>IFERROR(K365+Tracking[[#This Row],[Cash In]]+Tracking[[#This Row],[Cash Out]],0)</f>
        <v>-41871</v>
      </c>
      <c r="L366" s="151">
        <f>Tracking[[#This Row],[Running Balance]]*Settings!$E$15</f>
        <v>-36009.06</v>
      </c>
    </row>
    <row r="367" spans="3:12" x14ac:dyDescent="0.3">
      <c r="C367" s="123">
        <f>'Cash Flow Entry'!C367</f>
        <v>45655</v>
      </c>
      <c r="D367" s="126" t="str">
        <f t="shared" ref="D367" si="216">IF(OR(ISBLANK(E367), E367=0),"N/A",E367)</f>
        <v>N/A</v>
      </c>
      <c r="E367" s="126" t="str">
        <f t="shared" ref="E367" si="217">IF(OR(ISBLANK(F367), F367=0),"N/A",F367)</f>
        <v>N/A</v>
      </c>
      <c r="F367" s="124" t="str">
        <f t="shared" ref="F367" si="218">IF(OR(ISBLANK(G367), G367=0),"N/A",G367)</f>
        <v>N/A</v>
      </c>
      <c r="G367" s="127">
        <f>'Cash Flow Entry'!F367</f>
        <v>0</v>
      </c>
      <c r="H367" s="128">
        <f>IF(Tracking[[#This Row],[Type]]="Inflow",Tracking[[#This Row],[Amount(USD)]],0)</f>
        <v>0</v>
      </c>
      <c r="I367" s="129">
        <f>IF(Tracking[[#This Row],[Type]]="Outflow",-Tracking[[#This Row],[Amount(USD)]],0)</f>
        <v>0</v>
      </c>
      <c r="J367" s="140" t="str">
        <f t="shared" si="175"/>
        <v>EUR</v>
      </c>
      <c r="K367" s="151">
        <f>IFERROR(K366+Tracking[[#This Row],[Cash In]]+Tracking[[#This Row],[Cash Out]],0)</f>
        <v>-41871</v>
      </c>
      <c r="L367" s="151">
        <f>Tracking[[#This Row],[Running Balance]]*Settings!$E$15</f>
        <v>-36009.06</v>
      </c>
    </row>
    <row r="368" spans="3:12" ht="15" thickBot="1" x14ac:dyDescent="0.35">
      <c r="C368" s="123">
        <f>'Cash Flow Entry'!C368</f>
        <v>45656</v>
      </c>
      <c r="D368" s="126" t="str">
        <f>'Cash Flow Entry'!H368</f>
        <v>Outflow</v>
      </c>
      <c r="E368" s="124" t="str">
        <f>'Cash Flow Entry'!D368</f>
        <v>Operating</v>
      </c>
      <c r="F368" s="124" t="str">
        <f>'Cash Flow Entry'!E368</f>
        <v>Income tax paid</v>
      </c>
      <c r="G368" s="127">
        <f>'Cash Flow Entry'!F368</f>
        <v>11800</v>
      </c>
      <c r="H368" s="128">
        <f>IF(Tracking[[#This Row],[Type]]="Inflow",Tracking[[#This Row],[Amount(USD)]],0)</f>
        <v>0</v>
      </c>
      <c r="I368" s="129">
        <f>IF(Tracking[[#This Row],[Type]]="Outflow",-Tracking[[#This Row],[Amount(USD)]],0)</f>
        <v>-11800</v>
      </c>
      <c r="J368" s="140" t="str">
        <f t="shared" si="175"/>
        <v>EUR</v>
      </c>
      <c r="K368" s="151">
        <f>IFERROR(K367+Tracking[[#This Row],[Cash In]]+Tracking[[#This Row],[Cash Out]],0)</f>
        <v>-53671</v>
      </c>
      <c r="L368" s="151">
        <f>Tracking[[#This Row],[Running Balance]]*Settings!$E$15</f>
        <v>-46157.06</v>
      </c>
    </row>
    <row r="369" spans="3:12" ht="15" thickBot="1" x14ac:dyDescent="0.35">
      <c r="C369" s="125">
        <f>'Cash Flow Entry'!C369</f>
        <v>45657</v>
      </c>
      <c r="D369" s="109" t="str">
        <f t="shared" ref="D369" si="219">IF(OR(ISBLANK(E369), E369=0),"N/A",E369)</f>
        <v>N/A</v>
      </c>
      <c r="E369" s="109" t="str">
        <f t="shared" ref="E369" si="220">IF(OR(ISBLANK(F369), F369=0),"N/A",F369)</f>
        <v>N/A</v>
      </c>
      <c r="F369" s="110" t="str">
        <f t="shared" ref="F369" si="221">IF(OR(ISBLANK(G369), G369=0),"N/A",G369)</f>
        <v>N/A</v>
      </c>
      <c r="G369" s="131">
        <f>'Cash Flow Entry'!F369</f>
        <v>0</v>
      </c>
      <c r="H369" s="132">
        <f>IF(Tracking[[#This Row],[Type]]="Inflow",Tracking[[#This Row],[Amount(USD)]],0)</f>
        <v>0</v>
      </c>
      <c r="I369" s="133">
        <f>IF(Tracking[[#This Row],[Type]]="Outflow",-Tracking[[#This Row],[Amount(USD)]],0)</f>
        <v>0</v>
      </c>
      <c r="J369" s="141" t="str">
        <f t="shared" si="175"/>
        <v>EUR</v>
      </c>
      <c r="K369" s="153">
        <f>IFERROR(K368+Tracking[[#This Row],[Cash In]]+Tracking[[#This Row],[Cash Out]],0)</f>
        <v>-53671</v>
      </c>
      <c r="L369" s="153">
        <f>Tracking[[#This Row],[Running Balance]]*Settings!$E$15</f>
        <v>-46157.06</v>
      </c>
    </row>
  </sheetData>
  <sheetProtection algorithmName="SHA-512" hashValue="k8mSR2lxNl9+b9P2kED0l5sCJkl7/O8CMREVOGjI24wdDRJHGBd103WvRCU7mSe2hWEgZ59lWPyoNhXL7Gp+vg==" saltValue="pFeWrBTpPMbVR5e7NTXWqA==" spinCount="100000" sheet="1" objects="1" scenarios="1"/>
  <phoneticPr fontId="10" type="noConversion"/>
  <conditionalFormatting sqref="D4:D157 D158:F158 D159 D160:F160 D161:D162 D163:F165 D166:D167 D168:F168 D169 D170:F170 D171:D172 D173:F174 D175 D176:F176 D177 D178:F181 D182 D183:F183 D184 D185:F185 D186:D187 D188:F188 D189 D190:F190 D191 D192:F192 D193 D194:F194 D195 D196:F196 D197:D198 D199:F202 D203 D204:F204 D205:D206 D207:F208 D209 D210:F212 D213 D214:F215 D216:D218 D219:F219 D220 D221:F221 D222 D223:F223 D224 D225:F225 D226:D227 D228:F229 D230 D231:F232 D233 D234:F237 D238:D239 D240:F240 D241 D242:F242 D243:D244 D245:F245 D246 D247:F249 D250:D251 D252:F252 D253:D256 D257:F257 D258 D259:F259 D260:D262 D263:F263 D264 D265:F267 D268:D269 D270:F273 D274 D275:F276 D277:D280 D281:F281 D282 D283:F283 D284 D285:F286 D287 D288:F288 D289 D290:F290 D291:D292 D293:F294 D295 D296:F297 D298:D302 D303:F304 D305 D306:F307 D308:D310 D311:F311 D312 D313:F313 D314:D315 D316:F316 D317:D319 D320:F320 D321 D322:F322 D323:D324 D325:F325 D326 D327:F327 D328 D329:F331 D332 D333:F336 D337 D338:F338 D339:D341 D342:F342 D343:D344 D345:F345 D346:D347 D348:F348 D349:D351 D352:F354 D355:D356 D357:F358 D359:D360 D361:F361 D362 D363:F363 D364 D365:F365 D366 D367:F367 D368 D369:F369">
    <cfRule type="expression" dxfId="22" priority="5">
      <formula>D4="N/A"</formula>
    </cfRule>
  </conditionalFormatting>
  <conditionalFormatting sqref="E4:E157 E159 E161:E162 E166:E167 E169 E171:E172 E175 E177 E182 E184 E186:E187 E189 E191 E193 E195 E197:E198 E203 E205:E206 E209 E213 E216:E218 E220 E222 E224 E226:E227 E230 E233 E238:E239 E241 E243:E244 E246 E250:E251 E253:E256 E258 E260 E262 E264 E268:E269 E274 E277:E280 E282 E284 E287 E289 E291:E292 E295 E298 E300 E302 E305 E308:E310 E312 E314:E315 E317:E319 E321 E323:E324 E326 E328 E332 E337 E339 E341 E343:E344 E346:E347 E349:E351 E355:E356 E359:E360 E362 E364 E366 E368">
    <cfRule type="expression" dxfId="21" priority="4">
      <formula>E4="N/A"</formula>
    </cfRule>
  </conditionalFormatting>
  <conditionalFormatting sqref="E261:F261 E299:F299 E301:F301">
    <cfRule type="expression" dxfId="20" priority="2">
      <formula>E261="N/A"</formula>
    </cfRule>
  </conditionalFormatting>
  <conditionalFormatting sqref="E340:F340">
    <cfRule type="expression" dxfId="19" priority="1">
      <formula>E340="N/A"</formula>
    </cfRule>
  </conditionalFormatting>
  <conditionalFormatting sqref="F4:F53 F56:F57 F59 F63:F67 F71:F74 F79:F80 F88 F92:F93 F95:F96 F98 F100:F101 F109 F114 F118:F119 F122:F124 F126:F128 F130:F131 F137 F139:F140 F142 F144 F149:F150 F153 F155:F157 F159 F161:F162 F166:F167 F169 F171:F172 F175 F177 F182 F184 F186:F187 F189 F191 F193 F195 F197:F198 F203 F205:F206 F209 F213 F216:F218 F220 F222 F224 F226:F227 F230 F233 F238:F239 F241 F243:F244 F246 F250:F251 F253:F256 F258 F260 F262 F264 F268:F269 F274 F277:F280 F282 F284 F287 F289 F291:F292 F295 F298 F300 F302 F305 F308:F310 F312 F314:F315 F317:F319 F321 F323:F324 F326 F328 F332 F337 F339 F341 F343:F344 F346:F347 F349:F351 F355:F356 F359:F360 F362 F364 F366 F368">
    <cfRule type="expression" dxfId="18" priority="8">
      <formula>ISNA(MATCH(F4, INDIRECT(D4),0))</formula>
    </cfRule>
  </conditionalFormatting>
  <conditionalFormatting sqref="F4:F157 F159 F161:F162 F166:F167 F169 F171:F172 F175 F177 F182 F184 F186:F187 F189 F191 F193 F195 F197:F198 F203 F205:F206 F209 F213 F216:F218 F220 F222 F224 F226:F227 F230 F233 F238:F239 F241 F243:F244 F246 F250:F251 F253:F256 F258 F260 F262 F264 F268:F269 F274 F277:F280 F282 F284 F287 F289 F291:F292 F295 F298 F300 F302 F305 F308:F310 F312 F314:F315 F317:F319 F321 F323:F324 F326 F328 F332 F337 F339 F341 F343:F344 F346:F347 F349:F351 F355:F356 F359:F360 F362 F364 F366 F368">
    <cfRule type="expression" dxfId="17" priority="3">
      <formula>F4="N/A"</formula>
    </cfRule>
  </conditionalFormatting>
  <conditionalFormatting sqref="G4:G369">
    <cfRule type="expression" dxfId="13" priority="7">
      <formula>D4="Revenue"</formula>
    </cfRule>
  </conditionalFormatting>
  <conditionalFormatting sqref="I4:I369">
    <cfRule type="expression" dxfId="12" priority="6">
      <formula>IF(AND(D4="Revenue",shift_income_status="Active",DAY(C4)&gt;=shift_income_starting_day),DATE(YEAR(C4),MONTH(C4)+1,1),C4)</formula>
    </cfRule>
  </conditionalFormatting>
  <dataValidations count="4">
    <dataValidation allowBlank="1" showInputMessage="1" showErrorMessage="1" errorTitle="Invalid Type" error="Please select a valid type from the drop down list" sqref="F81:F87 F89:F91 F94 F97 F99 F102:F108 F110:F113 F115:F117 F120:F121 F132:F136 F129 F125 F138 F141 F143 F145:F148 F151:F152 F154 F54:F55 F58 F60:F62 F68:F70 F75:F78 D4:E157 D158:F158 D159:E159 D160:F160 D161:E162 D163:F165 D166:E167 D168:F168 D169:E169 D170:F170 D171:E172 D173:F174 D175:E175 D176:F176 D177:E177 D178:F181 D182:E182 D183:F183 D184:E184 D185:F185 D186:E187 D188:F188 D189:E189 D190:F190 D191:E191 D192:F192 D193:E193 D194:F194 D195:E195 D196:F196 D197:E198 D199:F202 D203:E203 D204:F204 D205:E206 D207:F208 D209:E209 D210:F212 D213:E213 D214:F215 D216:E218 D219:F219 D220:E220 D221:F221 D222:E222 D223:F223 D224:E224 D225:F225 D226:E227 D228:F229 D230:E230 D231:F232 D233:E233 D234:F237 D238:E239 D240:F240 D241:E241 D242:F242 D243:E244 D245:F245 D246:E246 D247:F249 D250:E251 D252:F252 D253:E256 D257:F257 D258:E258 D259:F259 E261:F261 E260 F263 F265:F267 F270:F273 F275:F276 F281 F283 F285:F286 F288 F290 F293:F294 E299:F299 F296:F297 E262:E298 F301 F303:F304 F306:F307 F311 F313 F316 F320 F322 F325 F327 F329:F331 F333:F336 F338 F340 F342 F345 F348 F352:F354 F357:F358 F361 F363 F365 F367 D260:D369 E300:E369 F369" xr:uid="{F83B88AF-CB1C-4C34-A0F0-AC1C2591C363}"/>
    <dataValidation type="custom" allowBlank="1" showInputMessage="1" showErrorMessage="1" errorTitle="Invalid Amount" error="Please enter a valid number" sqref="G4:G369" xr:uid="{79257B4A-A906-4457-B688-9520952DAA04}">
      <formula1>ISNUMBER(G4)</formula1>
    </dataValidation>
    <dataValidation allowBlank="1" showInputMessage="1" showErrorMessage="1" errorTitle="Invalid Category" error="Please select a valid category from the drop down" sqref="F79:F80 F88 F92:F93 F95:F96 F98 F100:F101 F109 F114 F118:F119 F126:F128 F130:F131 F122:F124 F137 F139:F140 F142 F144 F149:F150 F153 F4:F53 F56:F57 F59 F63:F67 F71:F74 F155:F157 F159 F161:F162 F166:F167 F169 F171:F172 F175 F177 F182 F184 F186:F187 F189 F191 F193 F195 F197:F198 F203 F205:F206 F209 F213 F216:F218 F220 F222 F224 F226:F227 F230 F233 F238:F239 F241 F243:F244 F246 F250:F251 F253:F256 F258 F260 F262 F264 F268:F269 F274 F277:F280 F282 F284 F287 F289 F291:F292 F295 F298 F300 F302 F305 F308:F310 F312 F314:F315 F317:F319 F321 F323:F324 F326 F328 F332 F337 F339 F341 F343:F344 F346:F347 F349:F351 F355:F356 F359:F360 F362 F364 F366 F368" xr:uid="{C5D01EE9-5DF8-49AB-AD1C-192E7B6C4ADF}"/>
    <dataValidation type="date" operator="greaterThan" allowBlank="1" showInputMessage="1" showErrorMessage="1" errorTitle="Invalid Date" error="Please enter a valid date" sqref="C4:C369" xr:uid="{FBF7E4F6-107B-4EDE-A5AD-AB24A5EF62D9}">
      <formula1>1</formula1>
    </dataValidation>
  </dataValidations>
  <pageMargins left="0.7" right="0.7" top="0.75" bottom="0.75" header="0.3" footer="0.3"/>
  <ignoredErrors>
    <ignoredError sqref="J4:L369 G4:I369" unlockedFormula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6993-739F-41A4-8EA7-DC332D097120}">
  <dimension ref="C1:S370"/>
  <sheetViews>
    <sheetView showGridLines="0" workbookViewId="0">
      <selection activeCell="K28" sqref="K28"/>
    </sheetView>
  </sheetViews>
  <sheetFormatPr defaultRowHeight="14.4" x14ac:dyDescent="0.3"/>
  <cols>
    <col min="3" max="3" width="12.77734375" customWidth="1"/>
    <col min="4" max="4" width="11.5546875" style="17" customWidth="1"/>
    <col min="5" max="5" width="50.21875" style="17" bestFit="1" customWidth="1"/>
    <col min="6" max="6" width="21.44140625" style="108" bestFit="1" customWidth="1"/>
    <col min="7" max="7" width="24.6640625" style="17" bestFit="1" customWidth="1"/>
    <col min="8" max="8" width="8.88671875" style="17"/>
    <col min="9" max="9" width="14.109375" style="17" bestFit="1" customWidth="1"/>
    <col min="19" max="19" width="50.21875" bestFit="1" customWidth="1"/>
  </cols>
  <sheetData>
    <row r="1" spans="3:19" x14ac:dyDescent="0.3">
      <c r="D1"/>
      <c r="E1"/>
      <c r="F1"/>
      <c r="G1"/>
      <c r="H1"/>
      <c r="I1"/>
    </row>
    <row r="2" spans="3:19" x14ac:dyDescent="0.3">
      <c r="D2"/>
      <c r="E2"/>
      <c r="F2"/>
      <c r="G2"/>
      <c r="H2"/>
      <c r="I2"/>
    </row>
    <row r="3" spans="3:19" x14ac:dyDescent="0.3">
      <c r="C3" s="19" t="s">
        <v>11</v>
      </c>
      <c r="D3" s="19" t="s">
        <v>13</v>
      </c>
      <c r="E3" s="19" t="s">
        <v>18</v>
      </c>
      <c r="F3" s="19" t="s">
        <v>21</v>
      </c>
      <c r="G3" s="19" t="s">
        <v>22</v>
      </c>
      <c r="H3" s="19" t="s">
        <v>12</v>
      </c>
      <c r="I3" s="19" t="s">
        <v>19</v>
      </c>
      <c r="J3" s="19" t="s">
        <v>20</v>
      </c>
      <c r="R3" s="17" t="s">
        <v>13</v>
      </c>
      <c r="S3" s="17" t="s">
        <v>18</v>
      </c>
    </row>
    <row r="4" spans="3:19" x14ac:dyDescent="0.3">
      <c r="C4" s="112">
        <v>45292</v>
      </c>
      <c r="D4" s="113" t="s">
        <v>24</v>
      </c>
      <c r="E4" s="113" t="s">
        <v>25</v>
      </c>
      <c r="F4" s="142">
        <v>4750</v>
      </c>
      <c r="G4" s="114">
        <f>(F4*Settings!$E$15)</f>
        <v>4085</v>
      </c>
      <c r="H4" s="113" t="s">
        <v>45</v>
      </c>
      <c r="I4" s="113" t="s">
        <v>46</v>
      </c>
      <c r="J4" s="115"/>
      <c r="R4" s="17" t="s">
        <v>24</v>
      </c>
      <c r="S4" t="s">
        <v>25</v>
      </c>
    </row>
    <row r="5" spans="3:19" x14ac:dyDescent="0.3">
      <c r="C5" s="112">
        <v>45293</v>
      </c>
      <c r="D5" s="113" t="s">
        <v>24</v>
      </c>
      <c r="E5" s="113" t="s">
        <v>25</v>
      </c>
      <c r="F5" s="142">
        <v>225</v>
      </c>
      <c r="G5" s="114">
        <f>(F5*Settings!$E$15)</f>
        <v>193.5</v>
      </c>
      <c r="H5" s="113" t="s">
        <v>45</v>
      </c>
      <c r="I5" s="113" t="s">
        <v>46</v>
      </c>
      <c r="J5" s="115"/>
      <c r="R5" s="17" t="s">
        <v>24</v>
      </c>
      <c r="S5" t="s">
        <v>26</v>
      </c>
    </row>
    <row r="6" spans="3:19" x14ac:dyDescent="0.3">
      <c r="C6" s="112">
        <v>45294</v>
      </c>
      <c r="D6" s="113" t="s">
        <v>24</v>
      </c>
      <c r="E6" s="113" t="s">
        <v>28</v>
      </c>
      <c r="F6" s="142">
        <v>115</v>
      </c>
      <c r="G6" s="114">
        <f>(F6*Settings!$E$15)</f>
        <v>98.899999999999991</v>
      </c>
      <c r="H6" s="113" t="s">
        <v>44</v>
      </c>
      <c r="I6" s="113" t="s">
        <v>46</v>
      </c>
      <c r="J6" s="115"/>
      <c r="R6" s="17" t="s">
        <v>24</v>
      </c>
      <c r="S6" t="s">
        <v>27</v>
      </c>
    </row>
    <row r="7" spans="3:19" x14ac:dyDescent="0.3">
      <c r="C7" s="112">
        <v>45295</v>
      </c>
      <c r="D7" s="113" t="s">
        <v>24</v>
      </c>
      <c r="E7" s="113" t="s">
        <v>26</v>
      </c>
      <c r="F7" s="143">
        <v>2250</v>
      </c>
      <c r="G7" s="114">
        <f>(F7*Settings!$E$15)</f>
        <v>1935</v>
      </c>
      <c r="H7" s="113" t="s">
        <v>44</v>
      </c>
      <c r="I7" s="113" t="s">
        <v>46</v>
      </c>
      <c r="J7" s="115"/>
      <c r="R7" s="17" t="str">
        <f>R6</f>
        <v>Operating</v>
      </c>
      <c r="S7" t="s">
        <v>28</v>
      </c>
    </row>
    <row r="8" spans="3:19" x14ac:dyDescent="0.3">
      <c r="C8" s="112">
        <v>45296</v>
      </c>
      <c r="D8" s="113" t="s">
        <v>24</v>
      </c>
      <c r="E8" s="113" t="s">
        <v>26</v>
      </c>
      <c r="F8" s="142">
        <v>1455</v>
      </c>
      <c r="G8" s="114">
        <f>(F8*Settings!$E$15)</f>
        <v>1251.3</v>
      </c>
      <c r="H8" s="113" t="s">
        <v>44</v>
      </c>
      <c r="I8" s="113" t="s">
        <v>46</v>
      </c>
      <c r="J8" s="115"/>
      <c r="R8" s="17" t="str">
        <f t="shared" ref="R8:R10" si="0">R7</f>
        <v>Operating</v>
      </c>
      <c r="S8" t="s">
        <v>29</v>
      </c>
    </row>
    <row r="9" spans="3:19" x14ac:dyDescent="0.3">
      <c r="C9" s="112">
        <v>45297</v>
      </c>
      <c r="D9" s="113" t="s">
        <v>23</v>
      </c>
      <c r="E9" s="113" t="s">
        <v>35</v>
      </c>
      <c r="F9" s="142">
        <v>20000</v>
      </c>
      <c r="G9" s="114">
        <f>(F9*Settings!$E$15)</f>
        <v>17200</v>
      </c>
      <c r="H9" s="113" t="s">
        <v>45</v>
      </c>
      <c r="I9" s="113" t="s">
        <v>46</v>
      </c>
      <c r="J9" s="115"/>
      <c r="R9" s="17" t="str">
        <f t="shared" si="0"/>
        <v>Operating</v>
      </c>
      <c r="S9" t="s">
        <v>30</v>
      </c>
    </row>
    <row r="10" spans="3:19" x14ac:dyDescent="0.3">
      <c r="C10" s="112">
        <v>45298</v>
      </c>
      <c r="D10" s="113" t="s">
        <v>24</v>
      </c>
      <c r="E10" s="113" t="s">
        <v>25</v>
      </c>
      <c r="F10" s="142">
        <v>1100</v>
      </c>
      <c r="G10" s="114">
        <f>(F10*Settings!$E$15)</f>
        <v>946</v>
      </c>
      <c r="H10" s="113" t="s">
        <v>45</v>
      </c>
      <c r="I10" s="113" t="s">
        <v>46</v>
      </c>
      <c r="J10" s="115"/>
      <c r="R10" s="17" t="str">
        <f t="shared" si="0"/>
        <v>Operating</v>
      </c>
      <c r="S10" t="s">
        <v>31</v>
      </c>
    </row>
    <row r="11" spans="3:19" x14ac:dyDescent="0.3">
      <c r="C11" s="112">
        <v>45299</v>
      </c>
      <c r="D11" s="113" t="s">
        <v>24</v>
      </c>
      <c r="E11" s="113" t="s">
        <v>25</v>
      </c>
      <c r="F11" s="142">
        <v>12500</v>
      </c>
      <c r="G11" s="114">
        <f>(F11*Settings!$E$15)</f>
        <v>10750</v>
      </c>
      <c r="H11" s="113" t="s">
        <v>45</v>
      </c>
      <c r="I11" s="113" t="s">
        <v>46</v>
      </c>
      <c r="J11" s="115"/>
      <c r="R11" s="17" t="s">
        <v>23</v>
      </c>
      <c r="S11" t="s">
        <v>32</v>
      </c>
    </row>
    <row r="12" spans="3:19" x14ac:dyDescent="0.3">
      <c r="C12" s="112">
        <v>45300</v>
      </c>
      <c r="D12" s="113" t="s">
        <v>24</v>
      </c>
      <c r="E12" s="113" t="s">
        <v>26</v>
      </c>
      <c r="F12" s="142">
        <v>11000</v>
      </c>
      <c r="G12" s="114">
        <f>(F12*Settings!$E$15)</f>
        <v>9460</v>
      </c>
      <c r="H12" s="113" t="s">
        <v>44</v>
      </c>
      <c r="I12" s="113" t="s">
        <v>46</v>
      </c>
      <c r="J12" s="115"/>
      <c r="R12" s="17" t="str">
        <f>R11</f>
        <v>Financing</v>
      </c>
      <c r="S12" t="s">
        <v>33</v>
      </c>
    </row>
    <row r="13" spans="3:19" x14ac:dyDescent="0.3">
      <c r="C13" s="112">
        <v>45301</v>
      </c>
      <c r="D13" s="113" t="s">
        <v>37</v>
      </c>
      <c r="E13" s="113" t="s">
        <v>40</v>
      </c>
      <c r="F13" s="142">
        <v>15000</v>
      </c>
      <c r="G13" s="114">
        <f>(F13*Settings!$E$15)</f>
        <v>12900</v>
      </c>
      <c r="H13" s="113" t="s">
        <v>44</v>
      </c>
      <c r="I13" s="113" t="s">
        <v>47</v>
      </c>
      <c r="J13" s="115"/>
      <c r="R13" s="17" t="str">
        <f t="shared" ref="R13:R16" si="1">R12</f>
        <v>Financing</v>
      </c>
      <c r="S13" t="s">
        <v>34</v>
      </c>
    </row>
    <row r="14" spans="3:19" x14ac:dyDescent="0.3">
      <c r="C14" s="112">
        <v>45302</v>
      </c>
      <c r="D14" s="113" t="s">
        <v>24</v>
      </c>
      <c r="E14" s="113" t="s">
        <v>28</v>
      </c>
      <c r="F14" s="142">
        <v>1250</v>
      </c>
      <c r="G14" s="114">
        <f>(F14*Settings!$E$15)</f>
        <v>1075</v>
      </c>
      <c r="H14" s="113" t="s">
        <v>44</v>
      </c>
      <c r="I14" s="113" t="s">
        <v>46</v>
      </c>
      <c r="J14" s="115"/>
      <c r="R14" s="17" t="str">
        <f t="shared" si="1"/>
        <v>Financing</v>
      </c>
      <c r="S14" t="s">
        <v>35</v>
      </c>
    </row>
    <row r="15" spans="3:19" x14ac:dyDescent="0.3">
      <c r="C15" s="112">
        <v>45303</v>
      </c>
      <c r="D15" s="113" t="s">
        <v>24</v>
      </c>
      <c r="E15" s="113" t="s">
        <v>28</v>
      </c>
      <c r="F15" s="142">
        <v>4500</v>
      </c>
      <c r="G15" s="114">
        <f>(F15*Settings!$E$15)</f>
        <v>3870</v>
      </c>
      <c r="H15" s="113" t="s">
        <v>44</v>
      </c>
      <c r="I15" s="113" t="s">
        <v>46</v>
      </c>
      <c r="J15" s="115"/>
      <c r="R15" s="17" t="str">
        <f t="shared" si="1"/>
        <v>Financing</v>
      </c>
      <c r="S15" t="s">
        <v>36</v>
      </c>
    </row>
    <row r="16" spans="3:19" x14ac:dyDescent="0.3">
      <c r="C16" s="112">
        <v>45304</v>
      </c>
      <c r="D16" s="113" t="s">
        <v>24</v>
      </c>
      <c r="E16" s="113" t="s">
        <v>26</v>
      </c>
      <c r="F16" s="142">
        <v>5000</v>
      </c>
      <c r="G16" s="114">
        <f>(F16*Settings!$E$15)</f>
        <v>4300</v>
      </c>
      <c r="H16" s="113" t="s">
        <v>44</v>
      </c>
      <c r="I16" s="113" t="s">
        <v>48</v>
      </c>
      <c r="J16" s="115"/>
      <c r="R16" s="17" t="str">
        <f t="shared" si="1"/>
        <v>Financing</v>
      </c>
      <c r="S16" t="s">
        <v>10</v>
      </c>
    </row>
    <row r="17" spans="3:19" x14ac:dyDescent="0.3">
      <c r="C17" s="112">
        <v>45305</v>
      </c>
      <c r="D17" s="113" t="s">
        <v>24</v>
      </c>
      <c r="E17" s="113" t="s">
        <v>25</v>
      </c>
      <c r="F17" s="142">
        <v>25000</v>
      </c>
      <c r="G17" s="114">
        <f>(F17*Settings!$E$15)</f>
        <v>21500</v>
      </c>
      <c r="H17" s="113" t="s">
        <v>45</v>
      </c>
      <c r="I17" s="113" t="s">
        <v>46</v>
      </c>
      <c r="J17" s="115"/>
      <c r="R17" s="17" t="s">
        <v>37</v>
      </c>
      <c r="S17" t="s">
        <v>38</v>
      </c>
    </row>
    <row r="18" spans="3:19" x14ac:dyDescent="0.3">
      <c r="C18" s="112">
        <v>45306</v>
      </c>
      <c r="D18" s="113" t="s">
        <v>24</v>
      </c>
      <c r="E18" s="113" t="s">
        <v>28</v>
      </c>
      <c r="F18" s="142">
        <v>110</v>
      </c>
      <c r="G18" s="114">
        <f>(F18*Settings!$E$15)</f>
        <v>94.6</v>
      </c>
      <c r="H18" s="113" t="s">
        <v>44</v>
      </c>
      <c r="I18" s="113" t="s">
        <v>48</v>
      </c>
      <c r="J18" s="115"/>
      <c r="R18" s="17" t="str">
        <f>R17</f>
        <v>Investing</v>
      </c>
      <c r="S18" t="s">
        <v>39</v>
      </c>
    </row>
    <row r="19" spans="3:19" x14ac:dyDescent="0.3">
      <c r="C19" s="112">
        <v>45307</v>
      </c>
      <c r="D19" s="113" t="s">
        <v>37</v>
      </c>
      <c r="E19" s="113" t="s">
        <v>39</v>
      </c>
      <c r="F19" s="142">
        <v>14000</v>
      </c>
      <c r="G19" s="114">
        <f>(F19*Settings!$E$15)</f>
        <v>12040</v>
      </c>
      <c r="H19" s="113" t="s">
        <v>45</v>
      </c>
      <c r="I19" s="113" t="s">
        <v>46</v>
      </c>
      <c r="J19" s="115"/>
      <c r="R19" s="17" t="str">
        <f t="shared" ref="R19:R22" si="2">R18</f>
        <v>Investing</v>
      </c>
      <c r="S19" t="s">
        <v>40</v>
      </c>
    </row>
    <row r="20" spans="3:19" x14ac:dyDescent="0.3">
      <c r="C20" s="112">
        <v>45308</v>
      </c>
      <c r="D20" s="113" t="s">
        <v>37</v>
      </c>
      <c r="E20" s="113" t="s">
        <v>42</v>
      </c>
      <c r="F20" s="142">
        <v>5000</v>
      </c>
      <c r="G20" s="114">
        <f>(F20*Settings!$E$15)</f>
        <v>4300</v>
      </c>
      <c r="H20" s="113" t="s">
        <v>44</v>
      </c>
      <c r="I20" s="113" t="s">
        <v>46</v>
      </c>
      <c r="J20" s="115"/>
      <c r="R20" s="17" t="str">
        <f t="shared" si="2"/>
        <v>Investing</v>
      </c>
      <c r="S20" t="s">
        <v>41</v>
      </c>
    </row>
    <row r="21" spans="3:19" x14ac:dyDescent="0.3">
      <c r="C21" s="112">
        <v>45309</v>
      </c>
      <c r="D21" s="113" t="s">
        <v>24</v>
      </c>
      <c r="E21" s="113" t="s">
        <v>26</v>
      </c>
      <c r="F21" s="142">
        <v>1255</v>
      </c>
      <c r="G21" s="114">
        <f>(F21*Settings!$E$15)</f>
        <v>1079.3</v>
      </c>
      <c r="H21" s="113" t="s">
        <v>44</v>
      </c>
      <c r="I21" s="113" t="s">
        <v>48</v>
      </c>
      <c r="J21" s="115"/>
      <c r="R21" s="17" t="str">
        <f t="shared" si="2"/>
        <v>Investing</v>
      </c>
      <c r="S21" t="s">
        <v>42</v>
      </c>
    </row>
    <row r="22" spans="3:19" x14ac:dyDescent="0.3">
      <c r="C22" s="112">
        <v>45310</v>
      </c>
      <c r="D22" s="113" t="s">
        <v>24</v>
      </c>
      <c r="E22" s="113" t="s">
        <v>27</v>
      </c>
      <c r="F22" s="142">
        <v>4400</v>
      </c>
      <c r="G22" s="114">
        <f>(F22*Settings!$E$15)</f>
        <v>3784</v>
      </c>
      <c r="H22" s="113" t="s">
        <v>44</v>
      </c>
      <c r="I22" s="113" t="s">
        <v>46</v>
      </c>
      <c r="J22" s="115"/>
      <c r="R22" s="17" t="str">
        <f t="shared" si="2"/>
        <v>Investing</v>
      </c>
      <c r="S22" t="s">
        <v>43</v>
      </c>
    </row>
    <row r="23" spans="3:19" x14ac:dyDescent="0.3">
      <c r="C23" s="112">
        <v>45311</v>
      </c>
      <c r="D23" s="113" t="s">
        <v>23</v>
      </c>
      <c r="E23" s="113" t="s">
        <v>35</v>
      </c>
      <c r="F23" s="142">
        <v>5500</v>
      </c>
      <c r="G23" s="114">
        <f>(F23*Settings!$E$15)</f>
        <v>4730</v>
      </c>
      <c r="H23" s="113" t="s">
        <v>45</v>
      </c>
      <c r="I23" s="113" t="s">
        <v>46</v>
      </c>
      <c r="J23" s="115"/>
      <c r="R23" s="17"/>
    </row>
    <row r="24" spans="3:19" x14ac:dyDescent="0.3">
      <c r="C24" s="112">
        <v>45312</v>
      </c>
      <c r="D24" s="113" t="s">
        <v>24</v>
      </c>
      <c r="E24" s="113" t="s">
        <v>25</v>
      </c>
      <c r="F24" s="142">
        <v>11100</v>
      </c>
      <c r="G24" s="114">
        <f>(F24*Settings!$E$15)</f>
        <v>9546</v>
      </c>
      <c r="H24" s="113" t="s">
        <v>45</v>
      </c>
      <c r="I24" s="113" t="s">
        <v>46</v>
      </c>
      <c r="J24" s="115"/>
      <c r="R24" s="17"/>
    </row>
    <row r="25" spans="3:19" x14ac:dyDescent="0.3">
      <c r="C25" s="112">
        <v>45313</v>
      </c>
      <c r="D25" s="113" t="s">
        <v>24</v>
      </c>
      <c r="E25" s="113" t="s">
        <v>28</v>
      </c>
      <c r="F25" s="142">
        <v>2000</v>
      </c>
      <c r="G25" s="114">
        <f>(F25*Settings!$E$15)</f>
        <v>1720</v>
      </c>
      <c r="H25" s="113" t="s">
        <v>44</v>
      </c>
      <c r="I25" s="113" t="s">
        <v>46</v>
      </c>
      <c r="J25" s="115"/>
    </row>
    <row r="26" spans="3:19" x14ac:dyDescent="0.3">
      <c r="C26" s="112">
        <v>45314</v>
      </c>
      <c r="D26" s="113" t="s">
        <v>24</v>
      </c>
      <c r="E26" s="113" t="s">
        <v>27</v>
      </c>
      <c r="F26" s="142">
        <v>5600</v>
      </c>
      <c r="G26" s="114">
        <f>(F26*Settings!$E$15)</f>
        <v>4816</v>
      </c>
      <c r="H26" s="113" t="s">
        <v>44</v>
      </c>
      <c r="I26" s="113" t="s">
        <v>46</v>
      </c>
      <c r="J26" s="115"/>
    </row>
    <row r="27" spans="3:19" x14ac:dyDescent="0.3">
      <c r="C27" s="112">
        <v>45315</v>
      </c>
      <c r="D27" s="113" t="s">
        <v>24</v>
      </c>
      <c r="E27" s="113" t="s">
        <v>26</v>
      </c>
      <c r="F27" s="142">
        <v>18000</v>
      </c>
      <c r="G27" s="114">
        <f>(F27*Settings!$E$15)</f>
        <v>15480</v>
      </c>
      <c r="H27" s="113" t="s">
        <v>44</v>
      </c>
      <c r="I27" s="113" t="s">
        <v>46</v>
      </c>
      <c r="J27" s="115"/>
    </row>
    <row r="28" spans="3:19" x14ac:dyDescent="0.3">
      <c r="C28" s="112">
        <v>45316</v>
      </c>
      <c r="D28" s="113" t="s">
        <v>24</v>
      </c>
      <c r="E28" s="113" t="s">
        <v>26</v>
      </c>
      <c r="F28" s="142">
        <v>12000</v>
      </c>
      <c r="G28" s="114">
        <f>(F28*Settings!$E$15)</f>
        <v>10320</v>
      </c>
      <c r="H28" s="113" t="s">
        <v>44</v>
      </c>
      <c r="I28" s="113" t="s">
        <v>48</v>
      </c>
      <c r="J28" s="115"/>
    </row>
    <row r="29" spans="3:19" x14ac:dyDescent="0.3">
      <c r="C29" s="112">
        <v>45317</v>
      </c>
      <c r="D29" s="113" t="s">
        <v>24</v>
      </c>
      <c r="E29" s="113" t="s">
        <v>25</v>
      </c>
      <c r="F29" s="142">
        <v>24000</v>
      </c>
      <c r="G29" s="114">
        <f>(F29*Settings!$E$15)</f>
        <v>20640</v>
      </c>
      <c r="H29" s="113" t="s">
        <v>45</v>
      </c>
      <c r="I29" s="113" t="s">
        <v>46</v>
      </c>
      <c r="J29" s="115"/>
    </row>
    <row r="30" spans="3:19" x14ac:dyDescent="0.3">
      <c r="C30" s="112">
        <v>45318</v>
      </c>
      <c r="D30" s="113" t="s">
        <v>24</v>
      </c>
      <c r="E30" s="113" t="s">
        <v>29</v>
      </c>
      <c r="F30" s="142">
        <v>1400</v>
      </c>
      <c r="G30" s="114">
        <f>(F30*Settings!$E$15)</f>
        <v>1204</v>
      </c>
      <c r="H30" s="113" t="s">
        <v>45</v>
      </c>
      <c r="I30" s="113" t="s">
        <v>46</v>
      </c>
      <c r="J30" s="115"/>
    </row>
    <row r="31" spans="3:19" x14ac:dyDescent="0.3">
      <c r="C31" s="112">
        <v>45319</v>
      </c>
      <c r="D31" s="113" t="s">
        <v>37</v>
      </c>
      <c r="E31" s="113" t="s">
        <v>40</v>
      </c>
      <c r="F31" s="142">
        <v>12000</v>
      </c>
      <c r="G31" s="114">
        <f>(F31*Settings!$E$15)</f>
        <v>10320</v>
      </c>
      <c r="H31" s="113" t="s">
        <v>44</v>
      </c>
      <c r="I31" s="113" t="s">
        <v>48</v>
      </c>
      <c r="J31" s="115"/>
    </row>
    <row r="32" spans="3:19" x14ac:dyDescent="0.3">
      <c r="C32" s="112">
        <v>45320</v>
      </c>
      <c r="D32" s="113" t="s">
        <v>24</v>
      </c>
      <c r="E32" s="113" t="s">
        <v>28</v>
      </c>
      <c r="F32" s="142">
        <v>1000</v>
      </c>
      <c r="G32" s="114">
        <f>(F32*Settings!$E$15)</f>
        <v>860</v>
      </c>
      <c r="H32" s="113" t="s">
        <v>44</v>
      </c>
      <c r="I32" s="113" t="s">
        <v>46</v>
      </c>
      <c r="J32" s="115"/>
    </row>
    <row r="33" spans="3:10" x14ac:dyDescent="0.3">
      <c r="C33" s="112">
        <v>45321</v>
      </c>
      <c r="D33" s="113" t="s">
        <v>24</v>
      </c>
      <c r="E33" s="113" t="s">
        <v>25</v>
      </c>
      <c r="F33" s="142">
        <v>4000</v>
      </c>
      <c r="G33" s="114">
        <f>(F33*Settings!$E$15)</f>
        <v>3440</v>
      </c>
      <c r="H33" s="113" t="s">
        <v>45</v>
      </c>
      <c r="I33" s="113" t="s">
        <v>46</v>
      </c>
      <c r="J33" s="115"/>
    </row>
    <row r="34" spans="3:10" x14ac:dyDescent="0.3">
      <c r="C34" s="112">
        <v>45322</v>
      </c>
      <c r="D34" s="113" t="s">
        <v>37</v>
      </c>
      <c r="E34" s="113" t="s">
        <v>43</v>
      </c>
      <c r="F34" s="142">
        <v>240</v>
      </c>
      <c r="G34" s="114">
        <f>(F34*Settings!$E$15)</f>
        <v>206.4</v>
      </c>
      <c r="H34" s="113" t="s">
        <v>45</v>
      </c>
      <c r="I34" s="113" t="s">
        <v>46</v>
      </c>
      <c r="J34" s="115"/>
    </row>
    <row r="35" spans="3:10" x14ac:dyDescent="0.3">
      <c r="C35" s="112">
        <v>45323</v>
      </c>
      <c r="D35" s="113" t="s">
        <v>24</v>
      </c>
      <c r="E35" s="113" t="s">
        <v>26</v>
      </c>
      <c r="F35" s="144">
        <v>14000</v>
      </c>
      <c r="G35" s="116">
        <f>(F35*Settings!$E$15)</f>
        <v>12040</v>
      </c>
      <c r="H35" s="113" t="s">
        <v>44</v>
      </c>
      <c r="I35" s="113" t="s">
        <v>46</v>
      </c>
      <c r="J35" s="115"/>
    </row>
    <row r="36" spans="3:10" x14ac:dyDescent="0.3">
      <c r="C36" s="112">
        <v>45324</v>
      </c>
      <c r="D36" s="113" t="s">
        <v>24</v>
      </c>
      <c r="E36" s="113" t="s">
        <v>28</v>
      </c>
      <c r="F36" s="144">
        <v>2000</v>
      </c>
      <c r="G36" s="116">
        <f>(F36*Settings!$E$15)</f>
        <v>1720</v>
      </c>
      <c r="H36" s="113" t="s">
        <v>44</v>
      </c>
      <c r="I36" s="113" t="s">
        <v>46</v>
      </c>
      <c r="J36" s="115"/>
    </row>
    <row r="37" spans="3:10" x14ac:dyDescent="0.3">
      <c r="C37" s="112">
        <v>45325</v>
      </c>
      <c r="D37" s="113" t="s">
        <v>24</v>
      </c>
      <c r="E37" s="113" t="s">
        <v>25</v>
      </c>
      <c r="F37" s="144">
        <v>8000</v>
      </c>
      <c r="G37" s="116">
        <f>(F37*Settings!$E$15)</f>
        <v>6880</v>
      </c>
      <c r="H37" s="113" t="s">
        <v>45</v>
      </c>
      <c r="I37" s="113" t="s">
        <v>46</v>
      </c>
      <c r="J37" s="115"/>
    </row>
    <row r="38" spans="3:10" x14ac:dyDescent="0.3">
      <c r="C38" s="112">
        <v>45326</v>
      </c>
      <c r="D38" s="113" t="s">
        <v>23</v>
      </c>
      <c r="E38" s="113" t="s">
        <v>33</v>
      </c>
      <c r="F38" s="144">
        <v>72000</v>
      </c>
      <c r="G38" s="116">
        <f>(F38*Settings!$E$15)</f>
        <v>61920</v>
      </c>
      <c r="H38" s="113" t="s">
        <v>45</v>
      </c>
      <c r="I38" s="113" t="s">
        <v>46</v>
      </c>
      <c r="J38" s="115"/>
    </row>
    <row r="39" spans="3:10" x14ac:dyDescent="0.3">
      <c r="C39" s="112">
        <v>45327</v>
      </c>
      <c r="D39" s="113" t="s">
        <v>24</v>
      </c>
      <c r="E39" s="113" t="s">
        <v>26</v>
      </c>
      <c r="F39" s="144">
        <v>36000</v>
      </c>
      <c r="G39" s="116">
        <f>(F39*Settings!$E$15)</f>
        <v>30960</v>
      </c>
      <c r="H39" s="113" t="s">
        <v>44</v>
      </c>
      <c r="I39" s="113" t="s">
        <v>46</v>
      </c>
      <c r="J39" s="115"/>
    </row>
    <row r="40" spans="3:10" x14ac:dyDescent="0.3">
      <c r="C40" s="112">
        <v>45328</v>
      </c>
      <c r="D40" s="113" t="s">
        <v>24</v>
      </c>
      <c r="E40" s="113" t="s">
        <v>28</v>
      </c>
      <c r="F40" s="144">
        <v>1480</v>
      </c>
      <c r="G40" s="116">
        <f>(F40*Settings!$E$15)</f>
        <v>1272.8</v>
      </c>
      <c r="H40" s="113" t="s">
        <v>44</v>
      </c>
      <c r="I40" s="113" t="s">
        <v>46</v>
      </c>
      <c r="J40" s="115"/>
    </row>
    <row r="41" spans="3:10" x14ac:dyDescent="0.3">
      <c r="C41" s="112">
        <v>45329</v>
      </c>
      <c r="D41" s="113" t="s">
        <v>23</v>
      </c>
      <c r="E41" s="113" t="s">
        <v>10</v>
      </c>
      <c r="F41" s="144">
        <v>900</v>
      </c>
      <c r="G41" s="116">
        <f>(F41*Settings!$E$15)</f>
        <v>774</v>
      </c>
      <c r="H41" s="113" t="s">
        <v>44</v>
      </c>
      <c r="I41" s="113" t="s">
        <v>46</v>
      </c>
      <c r="J41" s="115"/>
    </row>
    <row r="42" spans="3:10" x14ac:dyDescent="0.3">
      <c r="C42" s="112">
        <v>45330</v>
      </c>
      <c r="D42" s="113" t="s">
        <v>37</v>
      </c>
      <c r="E42" s="113" t="s">
        <v>40</v>
      </c>
      <c r="F42" s="144">
        <v>12000</v>
      </c>
      <c r="G42" s="116">
        <f>(F42*Settings!$E$15)</f>
        <v>10320</v>
      </c>
      <c r="H42" s="113" t="s">
        <v>44</v>
      </c>
      <c r="I42" s="113" t="s">
        <v>46</v>
      </c>
      <c r="J42" s="115"/>
    </row>
    <row r="43" spans="3:10" x14ac:dyDescent="0.3">
      <c r="C43" s="112">
        <v>45331</v>
      </c>
      <c r="D43" s="113" t="s">
        <v>24</v>
      </c>
      <c r="E43" s="113" t="s">
        <v>28</v>
      </c>
      <c r="F43" s="144">
        <v>4500</v>
      </c>
      <c r="G43" s="116">
        <f>(F43*Settings!$E$15)</f>
        <v>3870</v>
      </c>
      <c r="H43" s="113" t="s">
        <v>44</v>
      </c>
      <c r="I43" s="113" t="s">
        <v>46</v>
      </c>
      <c r="J43" s="115"/>
    </row>
    <row r="44" spans="3:10" x14ac:dyDescent="0.3">
      <c r="C44" s="112">
        <v>45332</v>
      </c>
      <c r="D44" s="113" t="s">
        <v>24</v>
      </c>
      <c r="E44" s="113" t="s">
        <v>25</v>
      </c>
      <c r="F44" s="144">
        <v>45000</v>
      </c>
      <c r="G44" s="116">
        <f>(F44*Settings!$E$15)</f>
        <v>38700</v>
      </c>
      <c r="H44" s="113" t="s">
        <v>45</v>
      </c>
      <c r="I44" s="113" t="s">
        <v>46</v>
      </c>
      <c r="J44" s="115"/>
    </row>
    <row r="45" spans="3:10" x14ac:dyDescent="0.3">
      <c r="C45" s="112">
        <v>45333</v>
      </c>
      <c r="D45" s="113" t="s">
        <v>23</v>
      </c>
      <c r="E45" s="113" t="s">
        <v>34</v>
      </c>
      <c r="F45" s="144">
        <v>10000</v>
      </c>
      <c r="G45" s="116">
        <f>(F45*Settings!$E$15)</f>
        <v>8600</v>
      </c>
      <c r="H45" s="113" t="s">
        <v>44</v>
      </c>
      <c r="I45" s="113" t="s">
        <v>46</v>
      </c>
      <c r="J45" s="115"/>
    </row>
    <row r="46" spans="3:10" x14ac:dyDescent="0.3">
      <c r="C46" s="112">
        <v>45334</v>
      </c>
      <c r="D46" s="113" t="s">
        <v>24</v>
      </c>
      <c r="E46" s="113" t="s">
        <v>25</v>
      </c>
      <c r="F46" s="144">
        <v>19000</v>
      </c>
      <c r="G46" s="116">
        <f>(F46*Settings!$E$15)</f>
        <v>16340</v>
      </c>
      <c r="H46" s="113" t="s">
        <v>45</v>
      </c>
      <c r="I46" s="113" t="s">
        <v>46</v>
      </c>
      <c r="J46" s="115"/>
    </row>
    <row r="47" spans="3:10" x14ac:dyDescent="0.3">
      <c r="C47" s="112">
        <v>45335</v>
      </c>
      <c r="D47" s="113" t="s">
        <v>24</v>
      </c>
      <c r="E47" s="113" t="s">
        <v>28</v>
      </c>
      <c r="F47" s="144">
        <v>1800</v>
      </c>
      <c r="G47" s="116">
        <f>(F47*Settings!$E$15)</f>
        <v>1548</v>
      </c>
      <c r="H47" s="113" t="s">
        <v>44</v>
      </c>
      <c r="I47" s="113" t="s">
        <v>46</v>
      </c>
      <c r="J47" s="115"/>
    </row>
    <row r="48" spans="3:10" x14ac:dyDescent="0.3">
      <c r="C48" s="112">
        <v>45336</v>
      </c>
      <c r="D48" s="113" t="s">
        <v>24</v>
      </c>
      <c r="E48" s="113" t="s">
        <v>25</v>
      </c>
      <c r="F48" s="144">
        <v>24000</v>
      </c>
      <c r="G48" s="116">
        <f>(F48*Settings!$E$15)</f>
        <v>20640</v>
      </c>
      <c r="H48" s="113" t="s">
        <v>45</v>
      </c>
      <c r="I48" s="113" t="s">
        <v>46</v>
      </c>
      <c r="J48" s="115"/>
    </row>
    <row r="49" spans="3:10" x14ac:dyDescent="0.3">
      <c r="C49" s="112">
        <v>45337</v>
      </c>
      <c r="D49" s="113" t="s">
        <v>24</v>
      </c>
      <c r="E49" s="113" t="s">
        <v>29</v>
      </c>
      <c r="F49" s="144">
        <v>1400</v>
      </c>
      <c r="G49" s="116">
        <f>(F49*Settings!$E$15)</f>
        <v>1204</v>
      </c>
      <c r="H49" s="113" t="s">
        <v>45</v>
      </c>
      <c r="I49" s="113" t="s">
        <v>48</v>
      </c>
      <c r="J49" s="115"/>
    </row>
    <row r="50" spans="3:10" x14ac:dyDescent="0.3">
      <c r="C50" s="112">
        <v>45338</v>
      </c>
      <c r="D50" s="113" t="s">
        <v>24</v>
      </c>
      <c r="E50" s="113" t="s">
        <v>26</v>
      </c>
      <c r="F50" s="144">
        <v>17000</v>
      </c>
      <c r="G50" s="116">
        <f>(F50*Settings!$E$15)</f>
        <v>14620</v>
      </c>
      <c r="H50" s="113" t="s">
        <v>44</v>
      </c>
      <c r="I50" s="113" t="s">
        <v>46</v>
      </c>
      <c r="J50" s="115"/>
    </row>
    <row r="51" spans="3:10" x14ac:dyDescent="0.3">
      <c r="C51" s="112">
        <v>45339</v>
      </c>
      <c r="D51" s="113" t="s">
        <v>24</v>
      </c>
      <c r="E51" s="113" t="s">
        <v>27</v>
      </c>
      <c r="F51" s="144">
        <v>15000</v>
      </c>
      <c r="G51" s="116">
        <f>(F51*Settings!$E$15)</f>
        <v>12900</v>
      </c>
      <c r="H51" s="113" t="s">
        <v>44</v>
      </c>
      <c r="I51" s="113" t="s">
        <v>46</v>
      </c>
      <c r="J51" s="115"/>
    </row>
    <row r="52" spans="3:10" x14ac:dyDescent="0.3">
      <c r="C52" s="112">
        <v>45340</v>
      </c>
      <c r="D52" s="113" t="s">
        <v>37</v>
      </c>
      <c r="E52" s="113" t="s">
        <v>41</v>
      </c>
      <c r="F52" s="144">
        <v>26000</v>
      </c>
      <c r="G52" s="116">
        <f>(F52*Settings!$E$15)</f>
        <v>22360</v>
      </c>
      <c r="H52" s="113" t="s">
        <v>44</v>
      </c>
      <c r="I52" s="113" t="s">
        <v>46</v>
      </c>
      <c r="J52" s="115"/>
    </row>
    <row r="53" spans="3:10" x14ac:dyDescent="0.3">
      <c r="C53" s="112">
        <v>45341</v>
      </c>
      <c r="D53" s="113" t="s">
        <v>24</v>
      </c>
      <c r="E53" s="113" t="s">
        <v>28</v>
      </c>
      <c r="F53" s="144">
        <v>2500</v>
      </c>
      <c r="G53" s="116">
        <f>(F53*Settings!$E$15)</f>
        <v>2150</v>
      </c>
      <c r="H53" s="113" t="s">
        <v>44</v>
      </c>
      <c r="I53" s="113" t="s">
        <v>46</v>
      </c>
      <c r="J53" s="115"/>
    </row>
    <row r="54" spans="3:10" x14ac:dyDescent="0.3">
      <c r="C54" s="112">
        <v>45342</v>
      </c>
      <c r="D54" s="113"/>
      <c r="E54" s="113"/>
      <c r="F54" s="144"/>
      <c r="G54" s="116"/>
      <c r="H54" s="113"/>
      <c r="I54" s="113"/>
      <c r="J54" s="115"/>
    </row>
    <row r="55" spans="3:10" x14ac:dyDescent="0.3">
      <c r="C55" s="112">
        <v>45343</v>
      </c>
      <c r="D55" s="113"/>
      <c r="E55" s="113"/>
      <c r="F55" s="144"/>
      <c r="G55" s="116"/>
      <c r="H55" s="113"/>
      <c r="I55" s="113"/>
      <c r="J55" s="115"/>
    </row>
    <row r="56" spans="3:10" x14ac:dyDescent="0.3">
      <c r="C56" s="112">
        <v>45344</v>
      </c>
      <c r="D56" s="113" t="s">
        <v>24</v>
      </c>
      <c r="E56" s="113" t="s">
        <v>25</v>
      </c>
      <c r="F56" s="144">
        <v>15800</v>
      </c>
      <c r="G56" s="116">
        <f>(F56*Settings!$E$15)</f>
        <v>13588</v>
      </c>
      <c r="H56" s="113" t="s">
        <v>45</v>
      </c>
      <c r="I56" s="113" t="s">
        <v>46</v>
      </c>
      <c r="J56" s="115"/>
    </row>
    <row r="57" spans="3:10" x14ac:dyDescent="0.3">
      <c r="C57" s="112">
        <v>45345</v>
      </c>
      <c r="D57" s="113" t="s">
        <v>37</v>
      </c>
      <c r="E57" s="113" t="s">
        <v>39</v>
      </c>
      <c r="F57" s="144">
        <v>18000</v>
      </c>
      <c r="G57" s="116">
        <f>(F57*Settings!$E$15)</f>
        <v>15480</v>
      </c>
      <c r="H57" s="113" t="s">
        <v>45</v>
      </c>
      <c r="I57" s="113" t="s">
        <v>46</v>
      </c>
      <c r="J57" s="115"/>
    </row>
    <row r="58" spans="3:10" x14ac:dyDescent="0.3">
      <c r="C58" s="112">
        <v>45346</v>
      </c>
      <c r="D58" s="113"/>
      <c r="E58" s="113"/>
      <c r="F58" s="144"/>
      <c r="G58" s="116"/>
      <c r="H58" s="113"/>
      <c r="I58" s="113"/>
      <c r="J58" s="115"/>
    </row>
    <row r="59" spans="3:10" x14ac:dyDescent="0.3">
      <c r="C59" s="112">
        <v>45347</v>
      </c>
      <c r="D59" s="113" t="s">
        <v>24</v>
      </c>
      <c r="E59" s="113" t="s">
        <v>26</v>
      </c>
      <c r="F59" s="144">
        <v>12000</v>
      </c>
      <c r="G59" s="116">
        <f>(F59*Settings!$E$15)</f>
        <v>10320</v>
      </c>
      <c r="H59" s="113" t="s">
        <v>44</v>
      </c>
      <c r="I59" s="113" t="s">
        <v>46</v>
      </c>
      <c r="J59" s="115"/>
    </row>
    <row r="60" spans="3:10" x14ac:dyDescent="0.3">
      <c r="C60" s="112">
        <v>45348</v>
      </c>
      <c r="D60" s="113"/>
      <c r="E60" s="113"/>
      <c r="F60" s="144"/>
      <c r="G60" s="116"/>
      <c r="H60" s="113"/>
      <c r="I60" s="113"/>
      <c r="J60" s="115"/>
    </row>
    <row r="61" spans="3:10" x14ac:dyDescent="0.3">
      <c r="C61" s="112">
        <v>45349</v>
      </c>
      <c r="D61" s="113"/>
      <c r="E61" s="113"/>
      <c r="F61" s="144"/>
      <c r="G61" s="116"/>
      <c r="H61" s="113"/>
      <c r="I61" s="113"/>
      <c r="J61" s="115"/>
    </row>
    <row r="62" spans="3:10" x14ac:dyDescent="0.3">
      <c r="C62" s="112">
        <v>45350</v>
      </c>
      <c r="D62" s="113"/>
      <c r="E62" s="113"/>
      <c r="F62" s="144"/>
      <c r="G62" s="116"/>
      <c r="H62" s="113"/>
      <c r="I62" s="113"/>
      <c r="J62" s="115"/>
    </row>
    <row r="63" spans="3:10" x14ac:dyDescent="0.3">
      <c r="C63" s="112">
        <v>45351</v>
      </c>
      <c r="D63" s="113" t="s">
        <v>24</v>
      </c>
      <c r="E63" s="113" t="s">
        <v>29</v>
      </c>
      <c r="F63" s="144">
        <v>2000</v>
      </c>
      <c r="G63" s="116">
        <f>(F63*Settings!$E$15)</f>
        <v>1720</v>
      </c>
      <c r="H63" s="113" t="s">
        <v>45</v>
      </c>
      <c r="I63" s="113" t="s">
        <v>46</v>
      </c>
      <c r="J63" s="115"/>
    </row>
    <row r="64" spans="3:10" x14ac:dyDescent="0.3">
      <c r="C64" s="112">
        <v>45352</v>
      </c>
      <c r="D64" s="113" t="s">
        <v>24</v>
      </c>
      <c r="E64" s="113" t="s">
        <v>27</v>
      </c>
      <c r="F64" s="144">
        <v>15000</v>
      </c>
      <c r="G64" s="116">
        <f>(F64*Settings!$E$15)</f>
        <v>12900</v>
      </c>
      <c r="H64" s="113" t="s">
        <v>44</v>
      </c>
      <c r="I64" s="113" t="s">
        <v>46</v>
      </c>
      <c r="J64" s="115"/>
    </row>
    <row r="65" spans="3:10" x14ac:dyDescent="0.3">
      <c r="C65" s="112">
        <v>45353</v>
      </c>
      <c r="D65" s="113" t="s">
        <v>24</v>
      </c>
      <c r="E65" s="113" t="s">
        <v>26</v>
      </c>
      <c r="F65" s="144">
        <v>27000</v>
      </c>
      <c r="G65" s="116">
        <f>(F65*Settings!$E$15)</f>
        <v>23220</v>
      </c>
      <c r="H65" s="113" t="s">
        <v>44</v>
      </c>
      <c r="I65" s="113" t="s">
        <v>46</v>
      </c>
      <c r="J65" s="115"/>
    </row>
    <row r="66" spans="3:10" x14ac:dyDescent="0.3">
      <c r="C66" s="112">
        <v>45354</v>
      </c>
      <c r="D66" s="113" t="s">
        <v>24</v>
      </c>
      <c r="E66" s="113" t="s">
        <v>25</v>
      </c>
      <c r="F66" s="144">
        <v>22000</v>
      </c>
      <c r="G66" s="116">
        <f>(F66*Settings!$E$15)</f>
        <v>18920</v>
      </c>
      <c r="H66" s="113" t="s">
        <v>45</v>
      </c>
      <c r="I66" s="113" t="s">
        <v>46</v>
      </c>
      <c r="J66" s="115"/>
    </row>
    <row r="67" spans="3:10" x14ac:dyDescent="0.3">
      <c r="C67" s="112">
        <v>45355</v>
      </c>
      <c r="D67" s="113" t="s">
        <v>23</v>
      </c>
      <c r="E67" s="113" t="s">
        <v>36</v>
      </c>
      <c r="F67" s="144">
        <v>12000</v>
      </c>
      <c r="G67" s="116">
        <f>(F67*Settings!$E$15)</f>
        <v>10320</v>
      </c>
      <c r="H67" s="113" t="s">
        <v>44</v>
      </c>
      <c r="I67" s="113" t="s">
        <v>46</v>
      </c>
      <c r="J67" s="115"/>
    </row>
    <row r="68" spans="3:10" x14ac:dyDescent="0.3">
      <c r="C68" s="112">
        <v>45356</v>
      </c>
      <c r="D68" s="113"/>
      <c r="E68" s="113"/>
      <c r="F68" s="144"/>
      <c r="G68" s="116"/>
      <c r="H68" s="113"/>
      <c r="I68" s="113"/>
      <c r="J68" s="115"/>
    </row>
    <row r="69" spans="3:10" x14ac:dyDescent="0.3">
      <c r="C69" s="112">
        <v>45357</v>
      </c>
      <c r="D69" s="113"/>
      <c r="E69" s="113"/>
      <c r="F69" s="144"/>
      <c r="G69" s="116"/>
      <c r="H69" s="113"/>
      <c r="I69" s="113"/>
      <c r="J69" s="115"/>
    </row>
    <row r="70" spans="3:10" x14ac:dyDescent="0.3">
      <c r="C70" s="112">
        <v>45358</v>
      </c>
      <c r="D70" s="113"/>
      <c r="E70" s="113"/>
      <c r="F70" s="144"/>
      <c r="G70" s="116"/>
      <c r="H70" s="113"/>
      <c r="I70" s="113"/>
      <c r="J70" s="115"/>
    </row>
    <row r="71" spans="3:10" x14ac:dyDescent="0.3">
      <c r="C71" s="112">
        <v>45359</v>
      </c>
      <c r="D71" s="113" t="s">
        <v>24</v>
      </c>
      <c r="E71" s="113" t="s">
        <v>25</v>
      </c>
      <c r="F71" s="144">
        <v>28000</v>
      </c>
      <c r="G71" s="116">
        <f>(F71*Settings!$E$15)</f>
        <v>24080</v>
      </c>
      <c r="H71" s="113" t="s">
        <v>45</v>
      </c>
      <c r="I71" s="113" t="s">
        <v>46</v>
      </c>
      <c r="J71" s="115"/>
    </row>
    <row r="72" spans="3:10" x14ac:dyDescent="0.3">
      <c r="C72" s="112">
        <v>45360</v>
      </c>
      <c r="D72" s="113" t="s">
        <v>24</v>
      </c>
      <c r="E72" s="113" t="s">
        <v>26</v>
      </c>
      <c r="F72" s="144">
        <v>12000</v>
      </c>
      <c r="G72" s="116">
        <f>(F72*Settings!$E$15)</f>
        <v>10320</v>
      </c>
      <c r="H72" s="113" t="s">
        <v>44</v>
      </c>
      <c r="I72" s="113" t="s">
        <v>46</v>
      </c>
      <c r="J72" s="115"/>
    </row>
    <row r="73" spans="3:10" x14ac:dyDescent="0.3">
      <c r="C73" s="112">
        <v>45361</v>
      </c>
      <c r="D73" s="113" t="s">
        <v>23</v>
      </c>
      <c r="E73" s="113" t="s">
        <v>34</v>
      </c>
      <c r="F73" s="144">
        <v>10000</v>
      </c>
      <c r="G73" s="116">
        <f>(F73*Settings!$E$15)</f>
        <v>8600</v>
      </c>
      <c r="H73" s="113" t="s">
        <v>44</v>
      </c>
      <c r="I73" s="113" t="s">
        <v>46</v>
      </c>
      <c r="J73" s="115"/>
    </row>
    <row r="74" spans="3:10" x14ac:dyDescent="0.3">
      <c r="C74" s="112">
        <v>45362</v>
      </c>
      <c r="D74" s="113" t="s">
        <v>24</v>
      </c>
      <c r="E74" s="113" t="s">
        <v>25</v>
      </c>
      <c r="F74" s="144">
        <v>30000</v>
      </c>
      <c r="G74" s="116">
        <f>(F74*Settings!$E$15)</f>
        <v>25800</v>
      </c>
      <c r="H74" s="113" t="s">
        <v>45</v>
      </c>
      <c r="I74" s="113" t="s">
        <v>46</v>
      </c>
      <c r="J74" s="115"/>
    </row>
    <row r="75" spans="3:10" x14ac:dyDescent="0.3">
      <c r="C75" s="112">
        <v>45363</v>
      </c>
      <c r="D75" s="113"/>
      <c r="E75" s="113"/>
      <c r="F75" s="144"/>
      <c r="G75" s="116"/>
      <c r="H75" s="113"/>
      <c r="I75" s="113"/>
      <c r="J75" s="115"/>
    </row>
    <row r="76" spans="3:10" x14ac:dyDescent="0.3">
      <c r="C76" s="112">
        <v>45364</v>
      </c>
      <c r="D76" s="113"/>
      <c r="E76" s="113"/>
      <c r="F76" s="144"/>
      <c r="G76" s="116"/>
      <c r="H76" s="113"/>
      <c r="I76" s="113"/>
      <c r="J76" s="115"/>
    </row>
    <row r="77" spans="3:10" x14ac:dyDescent="0.3">
      <c r="C77" s="112">
        <v>45365</v>
      </c>
      <c r="D77" s="113"/>
      <c r="E77" s="113"/>
      <c r="F77" s="144"/>
      <c r="G77" s="116"/>
      <c r="H77" s="113"/>
      <c r="I77" s="113"/>
      <c r="J77" s="115"/>
    </row>
    <row r="78" spans="3:10" x14ac:dyDescent="0.3">
      <c r="C78" s="112">
        <v>45366</v>
      </c>
      <c r="D78" s="113"/>
      <c r="E78" s="113"/>
      <c r="F78" s="144"/>
      <c r="G78" s="116"/>
      <c r="H78" s="113"/>
      <c r="I78" s="113"/>
      <c r="J78" s="115"/>
    </row>
    <row r="79" spans="3:10" x14ac:dyDescent="0.3">
      <c r="C79" s="112">
        <v>45367</v>
      </c>
      <c r="D79" s="113" t="s">
        <v>37</v>
      </c>
      <c r="E79" s="113" t="s">
        <v>38</v>
      </c>
      <c r="F79" s="144">
        <v>6000</v>
      </c>
      <c r="G79" s="116">
        <f>(F79*Settings!$E$15)</f>
        <v>5160</v>
      </c>
      <c r="H79" s="113" t="s">
        <v>45</v>
      </c>
      <c r="I79" s="113" t="s">
        <v>46</v>
      </c>
      <c r="J79" s="115"/>
    </row>
    <row r="80" spans="3:10" x14ac:dyDescent="0.3">
      <c r="C80" s="112">
        <v>45368</v>
      </c>
      <c r="D80" s="113" t="s">
        <v>24</v>
      </c>
      <c r="E80" s="113" t="s">
        <v>28</v>
      </c>
      <c r="F80" s="144">
        <v>4000</v>
      </c>
      <c r="G80" s="116">
        <f>(F80*Settings!$E$15)</f>
        <v>3440</v>
      </c>
      <c r="H80" s="113" t="s">
        <v>44</v>
      </c>
      <c r="I80" s="113" t="s">
        <v>46</v>
      </c>
      <c r="J80" s="115"/>
    </row>
    <row r="81" spans="3:10" x14ac:dyDescent="0.3">
      <c r="C81" s="112">
        <v>45369</v>
      </c>
      <c r="D81" s="113"/>
      <c r="E81" s="113"/>
      <c r="F81" s="144"/>
      <c r="G81" s="116"/>
      <c r="H81" s="113"/>
      <c r="I81" s="113"/>
      <c r="J81" s="115"/>
    </row>
    <row r="82" spans="3:10" x14ac:dyDescent="0.3">
      <c r="C82" s="112">
        <v>45370</v>
      </c>
      <c r="D82" s="113"/>
      <c r="E82" s="113"/>
      <c r="F82" s="144"/>
      <c r="G82" s="116"/>
      <c r="H82" s="113"/>
      <c r="I82" s="113"/>
      <c r="J82" s="115"/>
    </row>
    <row r="83" spans="3:10" x14ac:dyDescent="0.3">
      <c r="C83" s="112">
        <v>45371</v>
      </c>
      <c r="D83" s="113"/>
      <c r="E83" s="113"/>
      <c r="F83" s="144"/>
      <c r="G83" s="116"/>
      <c r="H83" s="113"/>
      <c r="I83" s="113"/>
      <c r="J83" s="115"/>
    </row>
    <row r="84" spans="3:10" x14ac:dyDescent="0.3">
      <c r="C84" s="112">
        <v>45372</v>
      </c>
      <c r="D84" s="113"/>
      <c r="E84" s="113"/>
      <c r="F84" s="144"/>
      <c r="G84" s="116"/>
      <c r="H84" s="113"/>
      <c r="I84" s="113"/>
      <c r="J84" s="115"/>
    </row>
    <row r="85" spans="3:10" x14ac:dyDescent="0.3">
      <c r="C85" s="112">
        <v>45373</v>
      </c>
      <c r="D85" s="113"/>
      <c r="E85" s="113"/>
      <c r="F85" s="144"/>
      <c r="G85" s="116"/>
      <c r="H85" s="113"/>
      <c r="I85" s="113"/>
      <c r="J85" s="115"/>
    </row>
    <row r="86" spans="3:10" x14ac:dyDescent="0.3">
      <c r="C86" s="112">
        <v>45374</v>
      </c>
      <c r="D86" s="113"/>
      <c r="E86" s="113"/>
      <c r="F86" s="144"/>
      <c r="G86" s="116"/>
      <c r="H86" s="113"/>
      <c r="I86" s="113"/>
      <c r="J86" s="115"/>
    </row>
    <row r="87" spans="3:10" x14ac:dyDescent="0.3">
      <c r="C87" s="112">
        <v>45375</v>
      </c>
      <c r="D87" s="113"/>
      <c r="E87" s="113"/>
      <c r="F87" s="144"/>
      <c r="G87" s="116"/>
      <c r="H87" s="113"/>
      <c r="I87" s="113"/>
      <c r="J87" s="115"/>
    </row>
    <row r="88" spans="3:10" x14ac:dyDescent="0.3">
      <c r="C88" s="112">
        <v>45376</v>
      </c>
      <c r="D88" s="113" t="s">
        <v>24</v>
      </c>
      <c r="E88" s="113" t="s">
        <v>25</v>
      </c>
      <c r="F88" s="144">
        <v>15000</v>
      </c>
      <c r="G88" s="116">
        <f>(F88*Settings!$E$15)</f>
        <v>12900</v>
      </c>
      <c r="H88" s="113" t="s">
        <v>45</v>
      </c>
      <c r="I88" s="113" t="s">
        <v>46</v>
      </c>
      <c r="J88" s="115"/>
    </row>
    <row r="89" spans="3:10" x14ac:dyDescent="0.3">
      <c r="C89" s="112">
        <v>45377</v>
      </c>
      <c r="D89" s="113"/>
      <c r="E89" s="113"/>
      <c r="F89" s="144"/>
      <c r="G89" s="116"/>
      <c r="H89" s="113"/>
      <c r="I89" s="113"/>
      <c r="J89" s="115"/>
    </row>
    <row r="90" spans="3:10" x14ac:dyDescent="0.3">
      <c r="C90" s="112">
        <v>45378</v>
      </c>
      <c r="D90" s="113"/>
      <c r="E90" s="113"/>
      <c r="F90" s="144"/>
      <c r="G90" s="116"/>
      <c r="H90" s="113"/>
      <c r="I90" s="113"/>
      <c r="J90" s="115"/>
    </row>
    <row r="91" spans="3:10" x14ac:dyDescent="0.3">
      <c r="C91" s="112">
        <v>45379</v>
      </c>
      <c r="D91" s="113"/>
      <c r="E91" s="113"/>
      <c r="F91" s="144"/>
      <c r="G91" s="116"/>
      <c r="H91" s="113"/>
      <c r="I91" s="113"/>
      <c r="J91" s="115"/>
    </row>
    <row r="92" spans="3:10" x14ac:dyDescent="0.3">
      <c r="C92" s="112">
        <v>45380</v>
      </c>
      <c r="D92" s="113" t="s">
        <v>23</v>
      </c>
      <c r="E92" s="113" t="s">
        <v>10</v>
      </c>
      <c r="F92" s="144">
        <v>210</v>
      </c>
      <c r="G92" s="116">
        <f>(F92*Settings!$E$15)</f>
        <v>180.6</v>
      </c>
      <c r="H92" s="113" t="s">
        <v>44</v>
      </c>
      <c r="I92" s="113" t="s">
        <v>46</v>
      </c>
      <c r="J92" s="115"/>
    </row>
    <row r="93" spans="3:10" x14ac:dyDescent="0.3">
      <c r="C93" s="112">
        <v>45381</v>
      </c>
      <c r="D93" s="113" t="s">
        <v>24</v>
      </c>
      <c r="E93" s="113" t="s">
        <v>30</v>
      </c>
      <c r="F93" s="144">
        <v>8800</v>
      </c>
      <c r="G93" s="116">
        <f>(F93*Settings!$E$15)</f>
        <v>7568</v>
      </c>
      <c r="H93" s="113" t="s">
        <v>44</v>
      </c>
      <c r="I93" s="113" t="s">
        <v>46</v>
      </c>
      <c r="J93" s="115"/>
    </row>
    <row r="94" spans="3:10" x14ac:dyDescent="0.3">
      <c r="C94" s="112">
        <v>45382</v>
      </c>
      <c r="D94" s="113"/>
      <c r="E94" s="113"/>
      <c r="F94" s="144"/>
      <c r="G94" s="116"/>
      <c r="H94" s="113"/>
      <c r="I94" s="113"/>
      <c r="J94" s="115"/>
    </row>
    <row r="95" spans="3:10" x14ac:dyDescent="0.3">
      <c r="C95" s="112">
        <v>45383</v>
      </c>
      <c r="D95" s="113" t="s">
        <v>24</v>
      </c>
      <c r="E95" s="113" t="s">
        <v>28</v>
      </c>
      <c r="F95" s="144">
        <v>2500</v>
      </c>
      <c r="G95" s="116">
        <f>(F95*Settings!$E$15)</f>
        <v>2150</v>
      </c>
      <c r="H95" s="113" t="s">
        <v>44</v>
      </c>
      <c r="I95" s="113" t="s">
        <v>46</v>
      </c>
      <c r="J95" s="115"/>
    </row>
    <row r="96" spans="3:10" x14ac:dyDescent="0.3">
      <c r="C96" s="112">
        <v>45384</v>
      </c>
      <c r="D96" s="113" t="s">
        <v>24</v>
      </c>
      <c r="E96" s="113" t="s">
        <v>26</v>
      </c>
      <c r="F96" s="144">
        <v>45000</v>
      </c>
      <c r="G96" s="116">
        <f>(F96*Settings!$E$15)</f>
        <v>38700</v>
      </c>
      <c r="H96" s="113" t="s">
        <v>44</v>
      </c>
      <c r="I96" s="113" t="s">
        <v>46</v>
      </c>
      <c r="J96" s="115"/>
    </row>
    <row r="97" spans="3:10" x14ac:dyDescent="0.3">
      <c r="C97" s="112">
        <v>45385</v>
      </c>
      <c r="D97" s="113"/>
      <c r="E97" s="113"/>
      <c r="F97" s="144"/>
      <c r="G97" s="116"/>
      <c r="H97" s="113"/>
      <c r="I97" s="113"/>
      <c r="J97" s="115"/>
    </row>
    <row r="98" spans="3:10" x14ac:dyDescent="0.3">
      <c r="C98" s="112">
        <v>45386</v>
      </c>
      <c r="D98" s="113" t="s">
        <v>23</v>
      </c>
      <c r="E98" s="113" t="s">
        <v>36</v>
      </c>
      <c r="F98" s="144">
        <v>8000</v>
      </c>
      <c r="G98" s="116">
        <f>(F98*Settings!$E$15)</f>
        <v>6880</v>
      </c>
      <c r="H98" s="113" t="s">
        <v>44</v>
      </c>
      <c r="I98" s="113" t="s">
        <v>46</v>
      </c>
      <c r="J98" s="115"/>
    </row>
    <row r="99" spans="3:10" x14ac:dyDescent="0.3">
      <c r="C99" s="112">
        <v>45387</v>
      </c>
      <c r="D99" s="113"/>
      <c r="E99" s="113"/>
      <c r="F99" s="144"/>
      <c r="G99" s="116"/>
      <c r="H99" s="113"/>
      <c r="I99" s="113"/>
      <c r="J99" s="115"/>
    </row>
    <row r="100" spans="3:10" x14ac:dyDescent="0.3">
      <c r="C100" s="112">
        <v>45388</v>
      </c>
      <c r="D100" s="113" t="s">
        <v>37</v>
      </c>
      <c r="E100" s="113" t="s">
        <v>41</v>
      </c>
      <c r="F100" s="144">
        <v>25000</v>
      </c>
      <c r="G100" s="116">
        <f>(F100*Settings!$E$15)</f>
        <v>21500</v>
      </c>
      <c r="H100" s="113" t="s">
        <v>44</v>
      </c>
      <c r="I100" s="113" t="s">
        <v>46</v>
      </c>
      <c r="J100" s="115"/>
    </row>
    <row r="101" spans="3:10" x14ac:dyDescent="0.3">
      <c r="C101" s="112">
        <v>45389</v>
      </c>
      <c r="D101" s="113" t="s">
        <v>23</v>
      </c>
      <c r="E101" s="113" t="s">
        <v>35</v>
      </c>
      <c r="F101" s="144">
        <v>25000</v>
      </c>
      <c r="G101" s="116">
        <f>(F101*Settings!$E$15)</f>
        <v>21500</v>
      </c>
      <c r="H101" s="113" t="s">
        <v>45</v>
      </c>
      <c r="I101" s="113" t="s">
        <v>46</v>
      </c>
      <c r="J101" s="115"/>
    </row>
    <row r="102" spans="3:10" x14ac:dyDescent="0.3">
      <c r="C102" s="112">
        <v>45390</v>
      </c>
      <c r="D102" s="113"/>
      <c r="E102" s="113"/>
      <c r="F102" s="144"/>
      <c r="G102" s="116"/>
      <c r="H102" s="113"/>
      <c r="I102" s="113"/>
      <c r="J102" s="115"/>
    </row>
    <row r="103" spans="3:10" x14ac:dyDescent="0.3">
      <c r="C103" s="112">
        <v>45391</v>
      </c>
      <c r="D103" s="113"/>
      <c r="E103" s="113"/>
      <c r="F103" s="144"/>
      <c r="G103" s="116"/>
      <c r="H103" s="113"/>
      <c r="I103" s="113"/>
      <c r="J103" s="115"/>
    </row>
    <row r="104" spans="3:10" x14ac:dyDescent="0.3">
      <c r="C104" s="112">
        <v>45392</v>
      </c>
      <c r="D104" s="113"/>
      <c r="E104" s="113"/>
      <c r="F104" s="144"/>
      <c r="G104" s="116"/>
      <c r="H104" s="113"/>
      <c r="I104" s="113"/>
      <c r="J104" s="115"/>
    </row>
    <row r="105" spans="3:10" x14ac:dyDescent="0.3">
      <c r="C105" s="112">
        <v>45393</v>
      </c>
      <c r="D105" s="113"/>
      <c r="E105" s="113"/>
      <c r="F105" s="144"/>
      <c r="G105" s="116"/>
      <c r="H105" s="113"/>
      <c r="I105" s="113"/>
      <c r="J105" s="115"/>
    </row>
    <row r="106" spans="3:10" x14ac:dyDescent="0.3">
      <c r="C106" s="112">
        <v>45394</v>
      </c>
      <c r="D106" s="113"/>
      <c r="E106" s="113"/>
      <c r="F106" s="144"/>
      <c r="G106" s="116"/>
      <c r="H106" s="113"/>
      <c r="I106" s="113"/>
      <c r="J106" s="115"/>
    </row>
    <row r="107" spans="3:10" x14ac:dyDescent="0.3">
      <c r="C107" s="112">
        <v>45395</v>
      </c>
      <c r="D107" s="113"/>
      <c r="E107" s="113"/>
      <c r="F107" s="144"/>
      <c r="G107" s="116"/>
      <c r="H107" s="113"/>
      <c r="I107" s="113"/>
      <c r="J107" s="115"/>
    </row>
    <row r="108" spans="3:10" x14ac:dyDescent="0.3">
      <c r="C108" s="112">
        <v>45396</v>
      </c>
      <c r="D108" s="113"/>
      <c r="E108" s="113"/>
      <c r="F108" s="144"/>
      <c r="G108" s="116"/>
      <c r="H108" s="113"/>
      <c r="I108" s="113"/>
      <c r="J108" s="115"/>
    </row>
    <row r="109" spans="3:10" x14ac:dyDescent="0.3">
      <c r="C109" s="112">
        <v>45397</v>
      </c>
      <c r="D109" s="113" t="s">
        <v>24</v>
      </c>
      <c r="E109" s="113" t="s">
        <v>25</v>
      </c>
      <c r="F109" s="144">
        <v>25000</v>
      </c>
      <c r="G109" s="116">
        <f>(F109*Settings!$E$15)</f>
        <v>21500</v>
      </c>
      <c r="H109" s="113" t="s">
        <v>45</v>
      </c>
      <c r="I109" s="113" t="s">
        <v>46</v>
      </c>
      <c r="J109" s="115"/>
    </row>
    <row r="110" spans="3:10" x14ac:dyDescent="0.3">
      <c r="C110" s="112">
        <v>45398</v>
      </c>
      <c r="D110" s="113"/>
      <c r="E110" s="113"/>
      <c r="F110" s="144"/>
      <c r="G110" s="116"/>
      <c r="H110" s="113"/>
      <c r="I110" s="113"/>
      <c r="J110" s="115"/>
    </row>
    <row r="111" spans="3:10" x14ac:dyDescent="0.3">
      <c r="C111" s="112">
        <v>45399</v>
      </c>
      <c r="D111" s="113"/>
      <c r="E111" s="113"/>
      <c r="F111" s="144"/>
      <c r="G111" s="116"/>
      <c r="H111" s="113"/>
      <c r="I111" s="113"/>
      <c r="J111" s="115"/>
    </row>
    <row r="112" spans="3:10" x14ac:dyDescent="0.3">
      <c r="C112" s="112">
        <v>45400</v>
      </c>
      <c r="D112" s="113"/>
      <c r="E112" s="113"/>
      <c r="F112" s="144"/>
      <c r="G112" s="116"/>
      <c r="H112" s="113"/>
      <c r="I112" s="113"/>
      <c r="J112" s="115"/>
    </row>
    <row r="113" spans="3:10" x14ac:dyDescent="0.3">
      <c r="C113" s="112">
        <v>45401</v>
      </c>
      <c r="D113" s="113"/>
      <c r="E113" s="113"/>
      <c r="F113" s="144"/>
      <c r="G113" s="116"/>
      <c r="H113" s="113"/>
      <c r="I113" s="113"/>
      <c r="J113" s="115"/>
    </row>
    <row r="114" spans="3:10" x14ac:dyDescent="0.3">
      <c r="C114" s="112">
        <v>45402</v>
      </c>
      <c r="D114" s="113" t="s">
        <v>24</v>
      </c>
      <c r="E114" s="113" t="s">
        <v>27</v>
      </c>
      <c r="F114" s="144">
        <v>18000</v>
      </c>
      <c r="G114" s="116">
        <f>(F114*Settings!$E$15)</f>
        <v>15480</v>
      </c>
      <c r="H114" s="113" t="s">
        <v>44</v>
      </c>
      <c r="I114" s="113" t="s">
        <v>46</v>
      </c>
      <c r="J114" s="115"/>
    </row>
    <row r="115" spans="3:10" x14ac:dyDescent="0.3">
      <c r="C115" s="112">
        <v>45403</v>
      </c>
      <c r="D115" s="113"/>
      <c r="E115" s="113"/>
      <c r="F115" s="144"/>
      <c r="G115" s="116"/>
      <c r="H115" s="113"/>
      <c r="I115" s="113"/>
      <c r="J115" s="115"/>
    </row>
    <row r="116" spans="3:10" x14ac:dyDescent="0.3">
      <c r="C116" s="112">
        <v>45404</v>
      </c>
      <c r="D116" s="113"/>
      <c r="E116" s="113"/>
      <c r="F116" s="144"/>
      <c r="G116" s="116"/>
      <c r="H116" s="113"/>
      <c r="I116" s="113"/>
      <c r="J116" s="115"/>
    </row>
    <row r="117" spans="3:10" x14ac:dyDescent="0.3">
      <c r="C117" s="112">
        <v>45405</v>
      </c>
      <c r="D117" s="113"/>
      <c r="E117" s="113"/>
      <c r="F117" s="144"/>
      <c r="G117" s="116"/>
      <c r="H117" s="113"/>
      <c r="I117" s="113"/>
      <c r="J117" s="115"/>
    </row>
    <row r="118" spans="3:10" x14ac:dyDescent="0.3">
      <c r="C118" s="112">
        <v>45406</v>
      </c>
      <c r="D118" s="113" t="s">
        <v>24</v>
      </c>
      <c r="E118" s="113" t="s">
        <v>25</v>
      </c>
      <c r="F118" s="144">
        <v>30000</v>
      </c>
      <c r="G118" s="116">
        <f>(F118*Settings!$E$15)</f>
        <v>25800</v>
      </c>
      <c r="H118" s="113" t="s">
        <v>45</v>
      </c>
      <c r="I118" s="113" t="s">
        <v>46</v>
      </c>
      <c r="J118" s="115"/>
    </row>
    <row r="119" spans="3:10" x14ac:dyDescent="0.3">
      <c r="C119" s="112">
        <v>45407</v>
      </c>
      <c r="D119" s="113" t="s">
        <v>24</v>
      </c>
      <c r="E119" s="113" t="s">
        <v>31</v>
      </c>
      <c r="F119" s="144">
        <v>220</v>
      </c>
      <c r="G119" s="116">
        <f>(F119*Settings!$E$15)</f>
        <v>189.2</v>
      </c>
      <c r="H119" s="113" t="s">
        <v>45</v>
      </c>
      <c r="I119" s="113" t="s">
        <v>46</v>
      </c>
      <c r="J119" s="115"/>
    </row>
    <row r="120" spans="3:10" x14ac:dyDescent="0.3">
      <c r="C120" s="112">
        <v>45408</v>
      </c>
      <c r="D120" s="113"/>
      <c r="E120" s="113"/>
      <c r="F120" s="144"/>
      <c r="G120" s="116"/>
      <c r="H120" s="113"/>
      <c r="I120" s="113"/>
      <c r="J120" s="115"/>
    </row>
    <row r="121" spans="3:10" x14ac:dyDescent="0.3">
      <c r="C121" s="112">
        <v>45409</v>
      </c>
      <c r="D121" s="113"/>
      <c r="E121" s="113"/>
      <c r="F121" s="144"/>
      <c r="G121" s="116"/>
      <c r="H121" s="113"/>
      <c r="I121" s="113"/>
      <c r="J121" s="115"/>
    </row>
    <row r="122" spans="3:10" x14ac:dyDescent="0.3">
      <c r="C122" s="112">
        <v>45410</v>
      </c>
      <c r="D122" s="113" t="s">
        <v>24</v>
      </c>
      <c r="E122" s="113" t="s">
        <v>26</v>
      </c>
      <c r="F122" s="144">
        <v>18500</v>
      </c>
      <c r="G122" s="116">
        <f>(F122*Settings!$E$15)</f>
        <v>15910</v>
      </c>
      <c r="H122" s="113" t="s">
        <v>44</v>
      </c>
      <c r="I122" s="113" t="s">
        <v>46</v>
      </c>
      <c r="J122" s="115"/>
    </row>
    <row r="123" spans="3:10" x14ac:dyDescent="0.3">
      <c r="C123" s="112">
        <v>45411</v>
      </c>
      <c r="D123" s="113" t="s">
        <v>24</v>
      </c>
      <c r="E123" s="113" t="s">
        <v>28</v>
      </c>
      <c r="F123" s="144">
        <v>2000</v>
      </c>
      <c r="G123" s="116">
        <f>(F123*Settings!$E$15)</f>
        <v>1720</v>
      </c>
      <c r="H123" s="113" t="s">
        <v>44</v>
      </c>
      <c r="I123" s="113" t="s">
        <v>48</v>
      </c>
      <c r="J123" s="115"/>
    </row>
    <row r="124" spans="3:10" x14ac:dyDescent="0.3">
      <c r="C124" s="112">
        <v>45412</v>
      </c>
      <c r="D124" s="113" t="s">
        <v>37</v>
      </c>
      <c r="E124" s="113" t="s">
        <v>40</v>
      </c>
      <c r="F124" s="144">
        <v>40000</v>
      </c>
      <c r="G124" s="116">
        <f>(F124*Settings!$E$15)</f>
        <v>34400</v>
      </c>
      <c r="H124" s="113" t="s">
        <v>44</v>
      </c>
      <c r="I124" s="113" t="s">
        <v>46</v>
      </c>
      <c r="J124" s="115"/>
    </row>
    <row r="125" spans="3:10" x14ac:dyDescent="0.3">
      <c r="C125" s="112">
        <v>45413</v>
      </c>
      <c r="D125" s="113"/>
      <c r="E125" s="113"/>
      <c r="F125" s="144"/>
      <c r="G125" s="116"/>
      <c r="H125" s="113"/>
      <c r="I125" s="113"/>
      <c r="J125" s="115"/>
    </row>
    <row r="126" spans="3:10" x14ac:dyDescent="0.3">
      <c r="C126" s="112">
        <v>45414</v>
      </c>
      <c r="D126" s="113" t="s">
        <v>24</v>
      </c>
      <c r="E126" s="113" t="s">
        <v>28</v>
      </c>
      <c r="F126" s="144">
        <v>2500</v>
      </c>
      <c r="G126" s="116">
        <f>(F126*Settings!$E$15)</f>
        <v>2150</v>
      </c>
      <c r="H126" s="113" t="s">
        <v>44</v>
      </c>
      <c r="I126" s="113" t="s">
        <v>46</v>
      </c>
      <c r="J126" s="115"/>
    </row>
    <row r="127" spans="3:10" x14ac:dyDescent="0.3">
      <c r="C127" s="112">
        <v>45415</v>
      </c>
      <c r="D127" s="113" t="s">
        <v>24</v>
      </c>
      <c r="E127" s="113" t="s">
        <v>26</v>
      </c>
      <c r="F127" s="144">
        <v>26000</v>
      </c>
      <c r="G127" s="116">
        <f>(F127*Settings!$E$15)</f>
        <v>22360</v>
      </c>
      <c r="H127" s="113" t="s">
        <v>44</v>
      </c>
      <c r="I127" s="113" t="s">
        <v>46</v>
      </c>
      <c r="J127" s="115"/>
    </row>
    <row r="128" spans="3:10" x14ac:dyDescent="0.3">
      <c r="C128" s="112">
        <v>45416</v>
      </c>
      <c r="D128" s="113" t="s">
        <v>23</v>
      </c>
      <c r="E128" s="113" t="s">
        <v>36</v>
      </c>
      <c r="F128" s="144">
        <v>12000</v>
      </c>
      <c r="G128" s="116">
        <f>(F128*Settings!$E$15)</f>
        <v>10320</v>
      </c>
      <c r="H128" s="113" t="s">
        <v>44</v>
      </c>
      <c r="I128" s="113" t="s">
        <v>46</v>
      </c>
      <c r="J128" s="115"/>
    </row>
    <row r="129" spans="3:10" x14ac:dyDescent="0.3">
      <c r="C129" s="112">
        <v>45417</v>
      </c>
      <c r="D129" s="113"/>
      <c r="E129" s="113"/>
      <c r="F129" s="144"/>
      <c r="G129" s="116"/>
      <c r="H129" s="113"/>
      <c r="I129" s="113"/>
      <c r="J129" s="115"/>
    </row>
    <row r="130" spans="3:10" x14ac:dyDescent="0.3">
      <c r="C130" s="112">
        <v>45418</v>
      </c>
      <c r="D130" s="113" t="s">
        <v>23</v>
      </c>
      <c r="E130" s="113" t="s">
        <v>34</v>
      </c>
      <c r="F130" s="144">
        <v>25000</v>
      </c>
      <c r="G130" s="116">
        <f>(F130*Settings!$E$15)</f>
        <v>21500</v>
      </c>
      <c r="H130" s="113" t="s">
        <v>45</v>
      </c>
      <c r="I130" s="113" t="s">
        <v>46</v>
      </c>
      <c r="J130" s="115"/>
    </row>
    <row r="131" spans="3:10" x14ac:dyDescent="0.3">
      <c r="C131" s="112">
        <v>45419</v>
      </c>
      <c r="D131" s="113" t="s">
        <v>24</v>
      </c>
      <c r="E131" s="113" t="s">
        <v>29</v>
      </c>
      <c r="F131" s="144">
        <v>4000</v>
      </c>
      <c r="G131" s="116">
        <f>(F131*Settings!$E$15)</f>
        <v>3440</v>
      </c>
      <c r="H131" s="113" t="s">
        <v>45</v>
      </c>
      <c r="I131" s="113" t="s">
        <v>46</v>
      </c>
      <c r="J131" s="115"/>
    </row>
    <row r="132" spans="3:10" x14ac:dyDescent="0.3">
      <c r="C132" s="112">
        <v>45420</v>
      </c>
      <c r="D132" s="113"/>
      <c r="E132" s="113"/>
      <c r="F132" s="144"/>
      <c r="G132" s="116"/>
      <c r="H132" s="113"/>
      <c r="I132" s="113"/>
      <c r="J132" s="115"/>
    </row>
    <row r="133" spans="3:10" x14ac:dyDescent="0.3">
      <c r="C133" s="112">
        <v>45421</v>
      </c>
      <c r="D133" s="113"/>
      <c r="E133" s="113"/>
      <c r="F133" s="144"/>
      <c r="G133" s="116"/>
      <c r="H133" s="113"/>
      <c r="I133" s="113"/>
      <c r="J133" s="115"/>
    </row>
    <row r="134" spans="3:10" x14ac:dyDescent="0.3">
      <c r="C134" s="112">
        <v>45422</v>
      </c>
      <c r="D134" s="113"/>
      <c r="E134" s="113"/>
      <c r="F134" s="144"/>
      <c r="G134" s="116"/>
      <c r="H134" s="113"/>
      <c r="I134" s="113"/>
      <c r="J134" s="115"/>
    </row>
    <row r="135" spans="3:10" x14ac:dyDescent="0.3">
      <c r="C135" s="112">
        <v>45423</v>
      </c>
      <c r="D135" s="113"/>
      <c r="E135" s="113"/>
      <c r="F135" s="144"/>
      <c r="G135" s="116"/>
      <c r="H135" s="113"/>
      <c r="I135" s="113"/>
      <c r="J135" s="115"/>
    </row>
    <row r="136" spans="3:10" x14ac:dyDescent="0.3">
      <c r="C136" s="112">
        <v>45424</v>
      </c>
      <c r="D136" s="113"/>
      <c r="E136" s="113"/>
      <c r="F136" s="144"/>
      <c r="G136" s="116"/>
      <c r="H136" s="113"/>
      <c r="I136" s="113"/>
      <c r="J136" s="115"/>
    </row>
    <row r="137" spans="3:10" x14ac:dyDescent="0.3">
      <c r="C137" s="112">
        <v>45425</v>
      </c>
      <c r="D137" s="113" t="s">
        <v>24</v>
      </c>
      <c r="E137" s="113" t="s">
        <v>26</v>
      </c>
      <c r="F137" s="144">
        <v>24000</v>
      </c>
      <c r="G137" s="116">
        <f>(F137*Settings!$E$15)</f>
        <v>20640</v>
      </c>
      <c r="H137" s="113" t="s">
        <v>44</v>
      </c>
      <c r="I137" s="113" t="s">
        <v>46</v>
      </c>
      <c r="J137" s="115"/>
    </row>
    <row r="138" spans="3:10" x14ac:dyDescent="0.3">
      <c r="C138" s="112">
        <v>45426</v>
      </c>
      <c r="D138" s="113"/>
      <c r="E138" s="113"/>
      <c r="F138" s="144"/>
      <c r="G138" s="116"/>
      <c r="H138" s="113"/>
      <c r="I138" s="113"/>
      <c r="J138" s="115"/>
    </row>
    <row r="139" spans="3:10" x14ac:dyDescent="0.3">
      <c r="C139" s="112">
        <v>45427</v>
      </c>
      <c r="D139" s="113" t="s">
        <v>37</v>
      </c>
      <c r="E139" s="113" t="s">
        <v>43</v>
      </c>
      <c r="F139" s="144">
        <v>1587</v>
      </c>
      <c r="G139" s="116">
        <f>(F139*Settings!$E$15)</f>
        <v>1364.82</v>
      </c>
      <c r="H139" s="113" t="s">
        <v>45</v>
      </c>
      <c r="I139" s="113" t="s">
        <v>46</v>
      </c>
      <c r="J139" s="115"/>
    </row>
    <row r="140" spans="3:10" x14ac:dyDescent="0.3">
      <c r="C140" s="112">
        <v>45428</v>
      </c>
      <c r="D140" s="113" t="s">
        <v>37</v>
      </c>
      <c r="E140" s="113" t="s">
        <v>39</v>
      </c>
      <c r="F140" s="144">
        <v>15000</v>
      </c>
      <c r="G140" s="116">
        <f>(F140*Settings!$E$15)</f>
        <v>12900</v>
      </c>
      <c r="H140" s="113" t="s">
        <v>45</v>
      </c>
      <c r="I140" s="113" t="s">
        <v>46</v>
      </c>
      <c r="J140" s="115"/>
    </row>
    <row r="141" spans="3:10" x14ac:dyDescent="0.3">
      <c r="C141" s="112">
        <v>45429</v>
      </c>
      <c r="D141" s="113"/>
      <c r="E141" s="113"/>
      <c r="F141" s="144"/>
      <c r="G141" s="116"/>
      <c r="H141" s="113"/>
      <c r="I141" s="113"/>
      <c r="J141" s="115"/>
    </row>
    <row r="142" spans="3:10" x14ac:dyDescent="0.3">
      <c r="C142" s="112">
        <v>45430</v>
      </c>
      <c r="D142" s="113" t="s">
        <v>24</v>
      </c>
      <c r="E142" s="113" t="s">
        <v>27</v>
      </c>
      <c r="F142" s="144">
        <v>8000</v>
      </c>
      <c r="G142" s="116">
        <f>(F142*Settings!$E$15)</f>
        <v>6880</v>
      </c>
      <c r="H142" s="113" t="s">
        <v>44</v>
      </c>
      <c r="I142" s="113" t="s">
        <v>46</v>
      </c>
      <c r="J142" s="115"/>
    </row>
    <row r="143" spans="3:10" x14ac:dyDescent="0.3">
      <c r="C143" s="112">
        <v>45431</v>
      </c>
      <c r="D143" s="113"/>
      <c r="E143" s="113"/>
      <c r="F143" s="144"/>
      <c r="G143" s="116"/>
      <c r="H143" s="113"/>
      <c r="I143" s="113"/>
      <c r="J143" s="115"/>
    </row>
    <row r="144" spans="3:10" x14ac:dyDescent="0.3">
      <c r="C144" s="112">
        <v>45432</v>
      </c>
      <c r="D144" s="113" t="s">
        <v>24</v>
      </c>
      <c r="E144" s="113" t="s">
        <v>25</v>
      </c>
      <c r="F144" s="144">
        <v>18000</v>
      </c>
      <c r="G144" s="116">
        <f>(F144*Settings!$E$15)</f>
        <v>15480</v>
      </c>
      <c r="H144" s="113" t="s">
        <v>45</v>
      </c>
      <c r="I144" s="113" t="s">
        <v>46</v>
      </c>
      <c r="J144" s="115"/>
    </row>
    <row r="145" spans="3:10" x14ac:dyDescent="0.3">
      <c r="C145" s="112">
        <v>45433</v>
      </c>
      <c r="D145" s="113"/>
      <c r="E145" s="113"/>
      <c r="F145" s="144"/>
      <c r="G145" s="116"/>
      <c r="H145" s="113"/>
      <c r="I145" s="113"/>
      <c r="J145" s="115"/>
    </row>
    <row r="146" spans="3:10" x14ac:dyDescent="0.3">
      <c r="C146" s="112">
        <v>45434</v>
      </c>
      <c r="D146" s="113"/>
      <c r="E146" s="113"/>
      <c r="F146" s="144"/>
      <c r="G146" s="116"/>
      <c r="H146" s="113"/>
      <c r="I146" s="113"/>
      <c r="J146" s="115"/>
    </row>
    <row r="147" spans="3:10" x14ac:dyDescent="0.3">
      <c r="C147" s="112">
        <v>45435</v>
      </c>
      <c r="D147" s="113"/>
      <c r="E147" s="113"/>
      <c r="F147" s="144"/>
      <c r="G147" s="116"/>
      <c r="H147" s="113"/>
      <c r="I147" s="113"/>
      <c r="J147" s="115"/>
    </row>
    <row r="148" spans="3:10" x14ac:dyDescent="0.3">
      <c r="C148" s="112">
        <v>45436</v>
      </c>
      <c r="D148" s="113"/>
      <c r="E148" s="113"/>
      <c r="F148" s="144"/>
      <c r="G148" s="116"/>
      <c r="H148" s="113"/>
      <c r="I148" s="113"/>
      <c r="J148" s="115"/>
    </row>
    <row r="149" spans="3:10" x14ac:dyDescent="0.3">
      <c r="C149" s="112">
        <v>45437</v>
      </c>
      <c r="D149" s="113" t="s">
        <v>24</v>
      </c>
      <c r="E149" s="113" t="s">
        <v>25</v>
      </c>
      <c r="F149" s="144">
        <v>45000</v>
      </c>
      <c r="G149" s="116">
        <f>(F149*Settings!$E$15)</f>
        <v>38700</v>
      </c>
      <c r="H149" s="113" t="s">
        <v>45</v>
      </c>
      <c r="I149" s="113" t="s">
        <v>46</v>
      </c>
      <c r="J149" s="115"/>
    </row>
    <row r="150" spans="3:10" x14ac:dyDescent="0.3">
      <c r="C150" s="112">
        <v>45438</v>
      </c>
      <c r="D150" s="113" t="s">
        <v>37</v>
      </c>
      <c r="E150" s="113" t="s">
        <v>39</v>
      </c>
      <c r="F150" s="144">
        <v>15000</v>
      </c>
      <c r="G150" s="116">
        <f>(F150*Settings!$E$15)</f>
        <v>12900</v>
      </c>
      <c r="H150" s="113" t="s">
        <v>45</v>
      </c>
      <c r="I150" s="113" t="s">
        <v>46</v>
      </c>
      <c r="J150" s="115"/>
    </row>
    <row r="151" spans="3:10" x14ac:dyDescent="0.3">
      <c r="C151" s="112">
        <v>45439</v>
      </c>
      <c r="D151" s="113"/>
      <c r="E151" s="113"/>
      <c r="F151" s="144"/>
      <c r="G151" s="116"/>
      <c r="H151" s="113"/>
      <c r="I151" s="113"/>
      <c r="J151" s="115"/>
    </row>
    <row r="152" spans="3:10" x14ac:dyDescent="0.3">
      <c r="C152" s="112">
        <v>45440</v>
      </c>
      <c r="D152" s="113"/>
      <c r="E152" s="113"/>
      <c r="F152" s="144"/>
      <c r="G152" s="116"/>
      <c r="H152" s="113"/>
      <c r="I152" s="113"/>
      <c r="J152" s="115"/>
    </row>
    <row r="153" spans="3:10" x14ac:dyDescent="0.3">
      <c r="C153" s="112">
        <v>45441</v>
      </c>
      <c r="D153" s="113" t="s">
        <v>24</v>
      </c>
      <c r="E153" s="113" t="s">
        <v>25</v>
      </c>
      <c r="F153" s="144">
        <v>6000</v>
      </c>
      <c r="G153" s="116">
        <f>(F153*Settings!$E$15)</f>
        <v>5160</v>
      </c>
      <c r="H153" s="113" t="s">
        <v>45</v>
      </c>
      <c r="I153" s="113" t="s">
        <v>46</v>
      </c>
      <c r="J153" s="115"/>
    </row>
    <row r="154" spans="3:10" x14ac:dyDescent="0.3">
      <c r="C154" s="112">
        <v>45442</v>
      </c>
      <c r="D154" s="113"/>
      <c r="E154" s="113"/>
      <c r="F154" s="144"/>
      <c r="G154" s="116"/>
      <c r="H154" s="113"/>
      <c r="I154" s="113"/>
      <c r="J154" s="115"/>
    </row>
    <row r="155" spans="3:10" x14ac:dyDescent="0.3">
      <c r="C155" s="112">
        <v>45443</v>
      </c>
      <c r="D155" s="113" t="s">
        <v>24</v>
      </c>
      <c r="E155" s="113" t="s">
        <v>26</v>
      </c>
      <c r="F155" s="144">
        <v>3000</v>
      </c>
      <c r="G155" s="116">
        <f>(F155*Settings!$E$15)</f>
        <v>2580</v>
      </c>
      <c r="H155" s="113" t="s">
        <v>44</v>
      </c>
      <c r="I155" s="113" t="s">
        <v>46</v>
      </c>
      <c r="J155" s="115"/>
    </row>
    <row r="156" spans="3:10" x14ac:dyDescent="0.3">
      <c r="C156" s="112">
        <v>45444</v>
      </c>
      <c r="D156" s="113" t="s">
        <v>24</v>
      </c>
      <c r="E156" s="113" t="s">
        <v>27</v>
      </c>
      <c r="F156" s="144">
        <v>12000</v>
      </c>
      <c r="G156" s="116">
        <f>(F156*Settings!$E$15)</f>
        <v>10320</v>
      </c>
      <c r="H156" s="113" t="s">
        <v>44</v>
      </c>
      <c r="I156" s="113" t="s">
        <v>46</v>
      </c>
      <c r="J156" s="115"/>
    </row>
    <row r="157" spans="3:10" x14ac:dyDescent="0.3">
      <c r="C157" s="112">
        <v>45445</v>
      </c>
      <c r="D157" s="113" t="s">
        <v>23</v>
      </c>
      <c r="E157" s="113" t="s">
        <v>35</v>
      </c>
      <c r="F157" s="144">
        <v>15000</v>
      </c>
      <c r="G157" s="116">
        <f>(F157*Settings!$E$15)</f>
        <v>12900</v>
      </c>
      <c r="H157" s="113" t="s">
        <v>45</v>
      </c>
      <c r="I157" s="113" t="s">
        <v>46</v>
      </c>
      <c r="J157" s="115"/>
    </row>
    <row r="158" spans="3:10" x14ac:dyDescent="0.3">
      <c r="C158" s="112">
        <v>45446</v>
      </c>
      <c r="D158" s="113"/>
      <c r="E158" s="113"/>
      <c r="F158" s="144"/>
      <c r="G158" s="116"/>
      <c r="H158" s="113"/>
      <c r="I158" s="113"/>
      <c r="J158" s="115"/>
    </row>
    <row r="159" spans="3:10" x14ac:dyDescent="0.3">
      <c r="C159" s="112">
        <v>45447</v>
      </c>
      <c r="D159" s="113" t="s">
        <v>23</v>
      </c>
      <c r="E159" s="113" t="s">
        <v>36</v>
      </c>
      <c r="F159" s="144">
        <v>20000</v>
      </c>
      <c r="G159" s="116">
        <f>(F159*Settings!$E$15)</f>
        <v>17200</v>
      </c>
      <c r="H159" s="113" t="s">
        <v>44</v>
      </c>
      <c r="I159" s="113" t="s">
        <v>46</v>
      </c>
      <c r="J159" s="115"/>
    </row>
    <row r="160" spans="3:10" x14ac:dyDescent="0.3">
      <c r="C160" s="112">
        <v>45448</v>
      </c>
      <c r="D160" s="113"/>
      <c r="E160" s="113"/>
      <c r="F160" s="144"/>
      <c r="G160" s="116"/>
      <c r="H160" s="113"/>
      <c r="I160" s="113"/>
      <c r="J160" s="115"/>
    </row>
    <row r="161" spans="3:10" x14ac:dyDescent="0.3">
      <c r="C161" s="112">
        <v>45449</v>
      </c>
      <c r="D161" s="113" t="s">
        <v>24</v>
      </c>
      <c r="E161" s="113" t="s">
        <v>26</v>
      </c>
      <c r="F161" s="144">
        <v>25000</v>
      </c>
      <c r="G161" s="116">
        <f>(F161*Settings!$E$15)</f>
        <v>21500</v>
      </c>
      <c r="H161" s="113" t="s">
        <v>44</v>
      </c>
      <c r="I161" s="113" t="s">
        <v>46</v>
      </c>
      <c r="J161" s="115"/>
    </row>
    <row r="162" spans="3:10" x14ac:dyDescent="0.3">
      <c r="C162" s="112">
        <v>45450</v>
      </c>
      <c r="D162" s="113" t="s">
        <v>37</v>
      </c>
      <c r="E162" s="113" t="s">
        <v>38</v>
      </c>
      <c r="F162" s="144">
        <v>4000</v>
      </c>
      <c r="G162" s="116">
        <f>(F162*Settings!$E$15)</f>
        <v>3440</v>
      </c>
      <c r="H162" s="113" t="s">
        <v>45</v>
      </c>
      <c r="I162" s="113" t="s">
        <v>46</v>
      </c>
      <c r="J162" s="115"/>
    </row>
    <row r="163" spans="3:10" x14ac:dyDescent="0.3">
      <c r="C163" s="112">
        <v>45451</v>
      </c>
      <c r="D163" s="113"/>
      <c r="E163" s="113"/>
      <c r="F163" s="144"/>
      <c r="G163" s="116"/>
      <c r="H163" s="113"/>
      <c r="I163" s="113"/>
      <c r="J163" s="115"/>
    </row>
    <row r="164" spans="3:10" x14ac:dyDescent="0.3">
      <c r="C164" s="112">
        <v>45452</v>
      </c>
      <c r="D164" s="113"/>
      <c r="E164" s="113"/>
      <c r="F164" s="144"/>
      <c r="G164" s="116"/>
      <c r="H164" s="113"/>
      <c r="I164" s="113"/>
      <c r="J164" s="115"/>
    </row>
    <row r="165" spans="3:10" x14ac:dyDescent="0.3">
      <c r="C165" s="112">
        <v>45453</v>
      </c>
      <c r="D165" s="113"/>
      <c r="E165" s="113"/>
      <c r="F165" s="144"/>
      <c r="G165" s="116"/>
      <c r="H165" s="113"/>
      <c r="I165" s="113"/>
      <c r="J165" s="115"/>
    </row>
    <row r="166" spans="3:10" x14ac:dyDescent="0.3">
      <c r="C166" s="112">
        <v>45454</v>
      </c>
      <c r="D166" s="113" t="s">
        <v>24</v>
      </c>
      <c r="E166" s="113" t="s">
        <v>25</v>
      </c>
      <c r="F166" s="144">
        <v>28000</v>
      </c>
      <c r="G166" s="116">
        <f>(F166*Settings!$E$15)</f>
        <v>24080</v>
      </c>
      <c r="H166" s="113" t="s">
        <v>45</v>
      </c>
      <c r="I166" s="113" t="s">
        <v>46</v>
      </c>
      <c r="J166" s="115"/>
    </row>
    <row r="167" spans="3:10" x14ac:dyDescent="0.3">
      <c r="C167" s="112">
        <v>45455</v>
      </c>
      <c r="D167" s="113" t="s">
        <v>23</v>
      </c>
      <c r="E167" s="113" t="s">
        <v>32</v>
      </c>
      <c r="F167" s="144">
        <v>25000</v>
      </c>
      <c r="G167" s="116">
        <f>(F167*Settings!$E$15)</f>
        <v>21500</v>
      </c>
      <c r="H167" s="113" t="s">
        <v>45</v>
      </c>
      <c r="I167" s="113" t="s">
        <v>46</v>
      </c>
      <c r="J167" s="115"/>
    </row>
    <row r="168" spans="3:10" x14ac:dyDescent="0.3">
      <c r="C168" s="112">
        <v>45456</v>
      </c>
      <c r="D168" s="113"/>
      <c r="E168" s="113"/>
      <c r="F168" s="144"/>
      <c r="G168" s="116"/>
      <c r="H168" s="113"/>
      <c r="I168" s="113"/>
      <c r="J168" s="115"/>
    </row>
    <row r="169" spans="3:10" x14ac:dyDescent="0.3">
      <c r="C169" s="112">
        <v>45457</v>
      </c>
      <c r="D169" s="113" t="s">
        <v>24</v>
      </c>
      <c r="E169" s="113" t="s">
        <v>28</v>
      </c>
      <c r="F169" s="144">
        <v>1700</v>
      </c>
      <c r="G169" s="116">
        <f>(F169*Settings!$E$15)</f>
        <v>1462</v>
      </c>
      <c r="H169" s="113" t="s">
        <v>44</v>
      </c>
      <c r="I169" s="113" t="s">
        <v>48</v>
      </c>
      <c r="J169" s="115"/>
    </row>
    <row r="170" spans="3:10" x14ac:dyDescent="0.3">
      <c r="C170" s="112">
        <v>45458</v>
      </c>
      <c r="D170" s="113"/>
      <c r="E170" s="113"/>
      <c r="F170" s="144"/>
      <c r="G170" s="116"/>
      <c r="H170" s="113"/>
      <c r="I170" s="113"/>
      <c r="J170" s="115"/>
    </row>
    <row r="171" spans="3:10" x14ac:dyDescent="0.3">
      <c r="C171" s="112">
        <v>45459</v>
      </c>
      <c r="D171" s="113" t="s">
        <v>24</v>
      </c>
      <c r="E171" s="113" t="s">
        <v>28</v>
      </c>
      <c r="F171" s="144">
        <v>2300</v>
      </c>
      <c r="G171" s="116">
        <f>(F171*Settings!$E$15)</f>
        <v>1978</v>
      </c>
      <c r="H171" s="113" t="s">
        <v>44</v>
      </c>
      <c r="I171" s="113" t="s">
        <v>46</v>
      </c>
      <c r="J171" s="115"/>
    </row>
    <row r="172" spans="3:10" x14ac:dyDescent="0.3">
      <c r="C172" s="112">
        <v>45460</v>
      </c>
      <c r="D172" s="113" t="s">
        <v>24</v>
      </c>
      <c r="E172" s="113" t="s">
        <v>29</v>
      </c>
      <c r="F172" s="144">
        <v>4500</v>
      </c>
      <c r="G172" s="116">
        <f>(F172*Settings!$E$15)</f>
        <v>3870</v>
      </c>
      <c r="H172" s="113" t="s">
        <v>45</v>
      </c>
      <c r="I172" s="113" t="s">
        <v>46</v>
      </c>
      <c r="J172" s="115"/>
    </row>
    <row r="173" spans="3:10" x14ac:dyDescent="0.3">
      <c r="C173" s="112">
        <v>45461</v>
      </c>
      <c r="D173" s="113"/>
      <c r="E173" s="113"/>
      <c r="F173" s="144"/>
      <c r="G173" s="116"/>
      <c r="H173" s="113"/>
      <c r="I173" s="113"/>
      <c r="J173" s="115"/>
    </row>
    <row r="174" spans="3:10" x14ac:dyDescent="0.3">
      <c r="C174" s="112">
        <v>45462</v>
      </c>
      <c r="D174" s="113"/>
      <c r="E174" s="113"/>
      <c r="F174" s="144"/>
      <c r="G174" s="116"/>
      <c r="H174" s="113"/>
      <c r="I174" s="113"/>
      <c r="J174" s="115"/>
    </row>
    <row r="175" spans="3:10" x14ac:dyDescent="0.3">
      <c r="C175" s="112">
        <v>45463</v>
      </c>
      <c r="D175" s="113" t="s">
        <v>24</v>
      </c>
      <c r="E175" s="113" t="s">
        <v>25</v>
      </c>
      <c r="F175" s="144">
        <v>32000</v>
      </c>
      <c r="G175" s="116">
        <f>(F175*Settings!$E$15)</f>
        <v>27520</v>
      </c>
      <c r="H175" s="113" t="s">
        <v>45</v>
      </c>
      <c r="I175" s="113" t="s">
        <v>46</v>
      </c>
      <c r="J175" s="115"/>
    </row>
    <row r="176" spans="3:10" x14ac:dyDescent="0.3">
      <c r="C176" s="112">
        <v>45464</v>
      </c>
      <c r="D176" s="113"/>
      <c r="E176" s="113"/>
      <c r="F176" s="144"/>
      <c r="G176" s="116"/>
      <c r="H176" s="113"/>
      <c r="I176" s="113"/>
      <c r="J176" s="115"/>
    </row>
    <row r="177" spans="3:10" x14ac:dyDescent="0.3">
      <c r="C177" s="112">
        <v>45465</v>
      </c>
      <c r="D177" s="113" t="s">
        <v>24</v>
      </c>
      <c r="E177" s="113" t="s">
        <v>26</v>
      </c>
      <c r="F177" s="144">
        <v>30000</v>
      </c>
      <c r="G177" s="116">
        <f>(F177*Settings!$E$15)</f>
        <v>25800</v>
      </c>
      <c r="H177" s="113" t="s">
        <v>44</v>
      </c>
      <c r="I177" s="113" t="s">
        <v>46</v>
      </c>
      <c r="J177" s="115"/>
    </row>
    <row r="178" spans="3:10" x14ac:dyDescent="0.3">
      <c r="C178" s="112">
        <v>45466</v>
      </c>
      <c r="D178" s="113"/>
      <c r="E178" s="113"/>
      <c r="F178" s="144"/>
      <c r="G178" s="116"/>
      <c r="H178" s="113"/>
      <c r="I178" s="113"/>
      <c r="J178" s="115"/>
    </row>
    <row r="179" spans="3:10" x14ac:dyDescent="0.3">
      <c r="C179" s="112">
        <v>45467</v>
      </c>
      <c r="D179" s="113"/>
      <c r="E179" s="113"/>
      <c r="F179" s="144"/>
      <c r="G179" s="116"/>
      <c r="H179" s="113"/>
      <c r="I179" s="113"/>
      <c r="J179" s="115"/>
    </row>
    <row r="180" spans="3:10" x14ac:dyDescent="0.3">
      <c r="C180" s="112">
        <v>45468</v>
      </c>
      <c r="D180" s="113"/>
      <c r="E180" s="113"/>
      <c r="F180" s="144"/>
      <c r="G180" s="116"/>
      <c r="H180" s="113"/>
      <c r="I180" s="113"/>
      <c r="J180" s="115"/>
    </row>
    <row r="181" spans="3:10" x14ac:dyDescent="0.3">
      <c r="C181" s="112">
        <v>45469</v>
      </c>
      <c r="D181" s="113"/>
      <c r="E181" s="113"/>
      <c r="F181" s="144"/>
      <c r="G181" s="116"/>
      <c r="H181" s="113"/>
      <c r="I181" s="113"/>
      <c r="J181" s="115"/>
    </row>
    <row r="182" spans="3:10" x14ac:dyDescent="0.3">
      <c r="C182" s="112">
        <v>45470</v>
      </c>
      <c r="D182" s="113" t="s">
        <v>37</v>
      </c>
      <c r="E182" s="113" t="s">
        <v>41</v>
      </c>
      <c r="F182" s="144">
        <v>40000</v>
      </c>
      <c r="G182" s="116">
        <f>(F182*Settings!$E$15)</f>
        <v>34400</v>
      </c>
      <c r="H182" s="113" t="s">
        <v>44</v>
      </c>
      <c r="I182" s="113" t="s">
        <v>46</v>
      </c>
      <c r="J182" s="115"/>
    </row>
    <row r="183" spans="3:10" x14ac:dyDescent="0.3">
      <c r="C183" s="112">
        <v>45471</v>
      </c>
      <c r="D183" s="113"/>
      <c r="E183" s="113"/>
      <c r="F183" s="144"/>
      <c r="G183" s="116"/>
      <c r="H183" s="113"/>
      <c r="I183" s="113"/>
      <c r="J183" s="115"/>
    </row>
    <row r="184" spans="3:10" x14ac:dyDescent="0.3">
      <c r="C184" s="112">
        <v>45472</v>
      </c>
      <c r="D184" s="113" t="s">
        <v>24</v>
      </c>
      <c r="E184" s="113" t="s">
        <v>26</v>
      </c>
      <c r="F184" s="144">
        <v>14000</v>
      </c>
      <c r="G184" s="116">
        <f>(F184*Settings!$E$15)</f>
        <v>12040</v>
      </c>
      <c r="H184" s="113" t="s">
        <v>44</v>
      </c>
      <c r="I184" s="113" t="s">
        <v>46</v>
      </c>
      <c r="J184" s="115"/>
    </row>
    <row r="185" spans="3:10" x14ac:dyDescent="0.3">
      <c r="C185" s="112">
        <v>45473</v>
      </c>
      <c r="D185" s="113" t="s">
        <v>24</v>
      </c>
      <c r="E185" s="113" t="s">
        <v>30</v>
      </c>
      <c r="F185" s="144">
        <v>7500</v>
      </c>
      <c r="G185" s="116">
        <f>(F185*Settings!$E$15)</f>
        <v>6450</v>
      </c>
      <c r="H185" s="113" t="s">
        <v>44</v>
      </c>
      <c r="I185" s="113" t="s">
        <v>46</v>
      </c>
      <c r="J185" s="115"/>
    </row>
    <row r="186" spans="3:10" x14ac:dyDescent="0.3">
      <c r="C186" s="112">
        <v>45474</v>
      </c>
      <c r="D186" s="113" t="s">
        <v>37</v>
      </c>
      <c r="E186" s="113" t="s">
        <v>43</v>
      </c>
      <c r="F186" s="144">
        <v>750</v>
      </c>
      <c r="G186" s="116">
        <f>(F186*Settings!$E$15)</f>
        <v>645</v>
      </c>
      <c r="H186" s="113" t="s">
        <v>45</v>
      </c>
      <c r="I186" s="113" t="s">
        <v>46</v>
      </c>
      <c r="J186" s="115"/>
    </row>
    <row r="187" spans="3:10" x14ac:dyDescent="0.3">
      <c r="C187" s="112">
        <v>45475</v>
      </c>
      <c r="D187" s="113" t="s">
        <v>24</v>
      </c>
      <c r="E187" s="113" t="s">
        <v>25</v>
      </c>
      <c r="F187" s="144">
        <v>20000</v>
      </c>
      <c r="G187" s="116">
        <f>(F187*Settings!$E$15)</f>
        <v>17200</v>
      </c>
      <c r="H187" s="113" t="s">
        <v>45</v>
      </c>
      <c r="I187" s="113" t="s">
        <v>46</v>
      </c>
      <c r="J187" s="115"/>
    </row>
    <row r="188" spans="3:10" x14ac:dyDescent="0.3">
      <c r="C188" s="112">
        <v>45476</v>
      </c>
      <c r="D188" s="113"/>
      <c r="E188" s="113"/>
      <c r="F188" s="144"/>
      <c r="G188" s="116"/>
      <c r="H188" s="113"/>
      <c r="I188" s="113"/>
      <c r="J188" s="115"/>
    </row>
    <row r="189" spans="3:10" x14ac:dyDescent="0.3">
      <c r="C189" s="112">
        <v>45477</v>
      </c>
      <c r="D189" s="113" t="s">
        <v>24</v>
      </c>
      <c r="E189" s="113" t="s">
        <v>28</v>
      </c>
      <c r="F189" s="144">
        <v>2000</v>
      </c>
      <c r="G189" s="116">
        <f>(F189*Settings!$E$15)</f>
        <v>1720</v>
      </c>
      <c r="H189" s="113" t="s">
        <v>44</v>
      </c>
      <c r="I189" s="113" t="s">
        <v>46</v>
      </c>
      <c r="J189" s="115"/>
    </row>
    <row r="190" spans="3:10" x14ac:dyDescent="0.3">
      <c r="C190" s="112">
        <v>45478</v>
      </c>
      <c r="D190" s="113"/>
      <c r="E190" s="113"/>
      <c r="F190" s="144"/>
      <c r="G190" s="116"/>
      <c r="H190" s="113"/>
      <c r="I190" s="113"/>
      <c r="J190" s="115"/>
    </row>
    <row r="191" spans="3:10" x14ac:dyDescent="0.3">
      <c r="C191" s="112">
        <v>45479</v>
      </c>
      <c r="D191" s="113" t="s">
        <v>24</v>
      </c>
      <c r="E191" s="113" t="s">
        <v>29</v>
      </c>
      <c r="F191" s="144">
        <v>1500</v>
      </c>
      <c r="G191" s="116">
        <f>(F191*Settings!$E$15)</f>
        <v>1290</v>
      </c>
      <c r="H191" s="113" t="s">
        <v>45</v>
      </c>
      <c r="I191" s="113" t="s">
        <v>46</v>
      </c>
      <c r="J191" s="115"/>
    </row>
    <row r="192" spans="3:10" x14ac:dyDescent="0.3">
      <c r="C192" s="112">
        <v>45480</v>
      </c>
      <c r="D192" s="113"/>
      <c r="E192" s="113"/>
      <c r="F192" s="144"/>
      <c r="G192" s="116"/>
      <c r="H192" s="113"/>
      <c r="I192" s="113"/>
      <c r="J192" s="115"/>
    </row>
    <row r="193" spans="3:10" x14ac:dyDescent="0.3">
      <c r="C193" s="112">
        <v>45481</v>
      </c>
      <c r="D193" s="113" t="s">
        <v>24</v>
      </c>
      <c r="E193" s="113" t="s">
        <v>26</v>
      </c>
      <c r="F193" s="144">
        <v>18000</v>
      </c>
      <c r="G193" s="116">
        <f>(F193*Settings!$E$15)</f>
        <v>15480</v>
      </c>
      <c r="H193" s="113" t="s">
        <v>44</v>
      </c>
      <c r="I193" s="113" t="s">
        <v>46</v>
      </c>
      <c r="J193" s="115"/>
    </row>
    <row r="194" spans="3:10" x14ac:dyDescent="0.3">
      <c r="C194" s="112">
        <v>45482</v>
      </c>
      <c r="D194" s="113"/>
      <c r="E194" s="113"/>
      <c r="F194" s="144"/>
      <c r="G194" s="116"/>
      <c r="H194" s="113"/>
      <c r="I194" s="113"/>
      <c r="J194" s="115"/>
    </row>
    <row r="195" spans="3:10" x14ac:dyDescent="0.3">
      <c r="C195" s="112">
        <v>45483</v>
      </c>
      <c r="D195" s="113" t="s">
        <v>37</v>
      </c>
      <c r="E195" s="113" t="s">
        <v>39</v>
      </c>
      <c r="F195" s="144">
        <v>25000</v>
      </c>
      <c r="G195" s="116">
        <f>(F195*Settings!$E$15)</f>
        <v>21500</v>
      </c>
      <c r="H195" s="113" t="s">
        <v>45</v>
      </c>
      <c r="I195" s="113" t="s">
        <v>46</v>
      </c>
      <c r="J195" s="115"/>
    </row>
    <row r="196" spans="3:10" x14ac:dyDescent="0.3">
      <c r="C196" s="112">
        <v>45484</v>
      </c>
      <c r="D196" s="113"/>
      <c r="E196" s="113"/>
      <c r="F196" s="144"/>
      <c r="G196" s="116"/>
      <c r="H196" s="113"/>
      <c r="I196" s="113"/>
      <c r="J196" s="115"/>
    </row>
    <row r="197" spans="3:10" x14ac:dyDescent="0.3">
      <c r="C197" s="112">
        <v>45485</v>
      </c>
      <c r="D197" s="113" t="s">
        <v>24</v>
      </c>
      <c r="E197" s="113" t="s">
        <v>26</v>
      </c>
      <c r="F197" s="144">
        <v>28000</v>
      </c>
      <c r="G197" s="116">
        <f>(F197*Settings!$E$15)</f>
        <v>24080</v>
      </c>
      <c r="H197" s="113" t="s">
        <v>44</v>
      </c>
      <c r="I197" s="113" t="s">
        <v>46</v>
      </c>
      <c r="J197" s="115"/>
    </row>
    <row r="198" spans="3:10" x14ac:dyDescent="0.3">
      <c r="C198" s="112">
        <v>45486</v>
      </c>
      <c r="D198" s="113" t="s">
        <v>24</v>
      </c>
      <c r="E198" s="113" t="s">
        <v>25</v>
      </c>
      <c r="F198" s="144">
        <v>20000</v>
      </c>
      <c r="G198" s="116">
        <f>(F198*Settings!$E$15)</f>
        <v>17200</v>
      </c>
      <c r="H198" s="113" t="s">
        <v>45</v>
      </c>
      <c r="I198" s="113" t="s">
        <v>46</v>
      </c>
      <c r="J198" s="115"/>
    </row>
    <row r="199" spans="3:10" x14ac:dyDescent="0.3">
      <c r="C199" s="112">
        <v>45487</v>
      </c>
      <c r="D199" s="113"/>
      <c r="E199" s="113"/>
      <c r="F199" s="144"/>
      <c r="G199" s="116"/>
      <c r="H199" s="113"/>
      <c r="I199" s="113"/>
      <c r="J199" s="115"/>
    </row>
    <row r="200" spans="3:10" x14ac:dyDescent="0.3">
      <c r="C200" s="112">
        <v>45488</v>
      </c>
      <c r="D200" s="113"/>
      <c r="E200" s="113"/>
      <c r="F200" s="144"/>
      <c r="G200" s="116"/>
      <c r="H200" s="113"/>
      <c r="I200" s="113"/>
      <c r="J200" s="115"/>
    </row>
    <row r="201" spans="3:10" x14ac:dyDescent="0.3">
      <c r="C201" s="112">
        <v>45489</v>
      </c>
      <c r="D201" s="113"/>
      <c r="E201" s="113"/>
      <c r="F201" s="144"/>
      <c r="G201" s="116"/>
      <c r="H201" s="113"/>
      <c r="I201" s="113"/>
      <c r="J201" s="115"/>
    </row>
    <row r="202" spans="3:10" x14ac:dyDescent="0.3">
      <c r="C202" s="112">
        <v>45490</v>
      </c>
      <c r="D202" s="113"/>
      <c r="E202" s="113"/>
      <c r="F202" s="144"/>
      <c r="G202" s="116"/>
      <c r="H202" s="113"/>
      <c r="I202" s="113"/>
      <c r="J202" s="115"/>
    </row>
    <row r="203" spans="3:10" x14ac:dyDescent="0.3">
      <c r="C203" s="112">
        <v>45491</v>
      </c>
      <c r="D203" s="113" t="s">
        <v>23</v>
      </c>
      <c r="E203" s="113" t="s">
        <v>36</v>
      </c>
      <c r="F203" s="144">
        <v>14000</v>
      </c>
      <c r="G203" s="116">
        <f>(F203*Settings!$E$15)</f>
        <v>12040</v>
      </c>
      <c r="H203" s="113" t="s">
        <v>44</v>
      </c>
      <c r="I203" s="113" t="s">
        <v>46</v>
      </c>
      <c r="J203" s="115"/>
    </row>
    <row r="204" spans="3:10" x14ac:dyDescent="0.3">
      <c r="C204" s="112">
        <v>45492</v>
      </c>
      <c r="D204" s="113"/>
      <c r="E204" s="113"/>
      <c r="F204" s="144"/>
      <c r="G204" s="116"/>
      <c r="H204" s="113"/>
      <c r="I204" s="113"/>
      <c r="J204" s="115"/>
    </row>
    <row r="205" spans="3:10" x14ac:dyDescent="0.3">
      <c r="C205" s="112">
        <v>45493</v>
      </c>
      <c r="D205" s="113" t="s">
        <v>24</v>
      </c>
      <c r="E205" s="113" t="s">
        <v>27</v>
      </c>
      <c r="F205" s="144">
        <v>20000</v>
      </c>
      <c r="G205" s="116">
        <f>(F205*Settings!$E$15)</f>
        <v>17200</v>
      </c>
      <c r="H205" s="113" t="s">
        <v>44</v>
      </c>
      <c r="I205" s="113" t="s">
        <v>46</v>
      </c>
      <c r="J205" s="115"/>
    </row>
    <row r="206" spans="3:10" x14ac:dyDescent="0.3">
      <c r="C206" s="112">
        <v>45494</v>
      </c>
      <c r="D206" s="113" t="s">
        <v>37</v>
      </c>
      <c r="E206" s="113" t="s">
        <v>39</v>
      </c>
      <c r="F206" s="144">
        <v>10000</v>
      </c>
      <c r="G206" s="116">
        <f>(F206*Settings!$E$15)</f>
        <v>8600</v>
      </c>
      <c r="H206" s="113" t="s">
        <v>45</v>
      </c>
      <c r="I206" s="113" t="s">
        <v>46</v>
      </c>
      <c r="J206" s="115"/>
    </row>
    <row r="207" spans="3:10" x14ac:dyDescent="0.3">
      <c r="C207" s="112">
        <v>45495</v>
      </c>
      <c r="D207" s="113"/>
      <c r="E207" s="113"/>
      <c r="F207" s="144"/>
      <c r="G207" s="116"/>
      <c r="H207" s="113"/>
      <c r="I207" s="113"/>
      <c r="J207" s="115"/>
    </row>
    <row r="208" spans="3:10" x14ac:dyDescent="0.3">
      <c r="C208" s="112">
        <v>45496</v>
      </c>
      <c r="D208" s="113"/>
      <c r="E208" s="113"/>
      <c r="F208" s="144"/>
      <c r="G208" s="116"/>
      <c r="H208" s="113"/>
      <c r="I208" s="113"/>
      <c r="J208" s="115"/>
    </row>
    <row r="209" spans="3:10" x14ac:dyDescent="0.3">
      <c r="C209" s="112">
        <v>45497</v>
      </c>
      <c r="D209" s="113" t="s">
        <v>24</v>
      </c>
      <c r="E209" s="113" t="s">
        <v>28</v>
      </c>
      <c r="F209" s="144">
        <v>1000</v>
      </c>
      <c r="G209" s="116">
        <f>(F209*Settings!$E$15)</f>
        <v>860</v>
      </c>
      <c r="H209" s="113" t="s">
        <v>44</v>
      </c>
      <c r="I209" s="113" t="s">
        <v>46</v>
      </c>
      <c r="J209" s="115"/>
    </row>
    <row r="210" spans="3:10" x14ac:dyDescent="0.3">
      <c r="C210" s="112">
        <v>45498</v>
      </c>
      <c r="D210" s="113"/>
      <c r="E210" s="113"/>
      <c r="F210" s="144"/>
      <c r="G210" s="116"/>
      <c r="H210" s="113"/>
      <c r="I210" s="113"/>
      <c r="J210" s="115"/>
    </row>
    <row r="211" spans="3:10" x14ac:dyDescent="0.3">
      <c r="C211" s="112">
        <v>45499</v>
      </c>
      <c r="D211" s="113"/>
      <c r="E211" s="113"/>
      <c r="F211" s="144"/>
      <c r="G211" s="116"/>
      <c r="H211" s="113"/>
      <c r="I211" s="113"/>
      <c r="J211" s="115"/>
    </row>
    <row r="212" spans="3:10" x14ac:dyDescent="0.3">
      <c r="C212" s="112">
        <v>45500</v>
      </c>
      <c r="D212" s="113"/>
      <c r="E212" s="113"/>
      <c r="F212" s="144"/>
      <c r="G212" s="116"/>
      <c r="H212" s="113"/>
      <c r="I212" s="113"/>
      <c r="J212" s="115"/>
    </row>
    <row r="213" spans="3:10" x14ac:dyDescent="0.3">
      <c r="C213" s="112">
        <v>45501</v>
      </c>
      <c r="D213" s="113" t="s">
        <v>37</v>
      </c>
      <c r="E213" s="113" t="s">
        <v>40</v>
      </c>
      <c r="F213" s="144">
        <v>250</v>
      </c>
      <c r="G213" s="116">
        <f>(F213*Settings!$E$15)</f>
        <v>215</v>
      </c>
      <c r="H213" s="113" t="s">
        <v>44</v>
      </c>
      <c r="I213" s="113" t="s">
        <v>46</v>
      </c>
      <c r="J213" s="115"/>
    </row>
    <row r="214" spans="3:10" x14ac:dyDescent="0.3">
      <c r="C214" s="112">
        <v>45502</v>
      </c>
      <c r="D214" s="113"/>
      <c r="E214" s="113"/>
      <c r="F214" s="144"/>
      <c r="G214" s="116"/>
      <c r="H214" s="113"/>
      <c r="I214" s="113"/>
      <c r="J214" s="115"/>
    </row>
    <row r="215" spans="3:10" x14ac:dyDescent="0.3">
      <c r="C215" s="112">
        <v>45503</v>
      </c>
      <c r="D215" s="113"/>
      <c r="E215" s="113"/>
      <c r="F215" s="144"/>
      <c r="G215" s="116"/>
      <c r="H215" s="113"/>
      <c r="I215" s="113"/>
      <c r="J215" s="115"/>
    </row>
    <row r="216" spans="3:10" x14ac:dyDescent="0.3">
      <c r="C216" s="112">
        <v>45504</v>
      </c>
      <c r="D216" s="113" t="s">
        <v>24</v>
      </c>
      <c r="E216" s="113" t="s">
        <v>25</v>
      </c>
      <c r="F216" s="144">
        <v>40000</v>
      </c>
      <c r="G216" s="116">
        <f>(F216*Settings!$E$15)</f>
        <v>34400</v>
      </c>
      <c r="H216" s="113" t="s">
        <v>45</v>
      </c>
      <c r="I216" s="113" t="s">
        <v>46</v>
      </c>
      <c r="J216" s="115"/>
    </row>
    <row r="217" spans="3:10" x14ac:dyDescent="0.3">
      <c r="C217" s="112">
        <v>45505</v>
      </c>
      <c r="D217" s="113" t="s">
        <v>24</v>
      </c>
      <c r="E217" s="113" t="s">
        <v>28</v>
      </c>
      <c r="F217" s="144">
        <v>1200</v>
      </c>
      <c r="G217" s="116">
        <f>(F217*Settings!$E$15)</f>
        <v>1032</v>
      </c>
      <c r="H217" s="113" t="s">
        <v>44</v>
      </c>
      <c r="I217" s="113" t="s">
        <v>46</v>
      </c>
      <c r="J217" s="115"/>
    </row>
    <row r="218" spans="3:10" x14ac:dyDescent="0.3">
      <c r="C218" s="112">
        <v>45506</v>
      </c>
      <c r="D218" s="113" t="s">
        <v>24</v>
      </c>
      <c r="E218" s="113" t="s">
        <v>31</v>
      </c>
      <c r="F218" s="144">
        <v>1250</v>
      </c>
      <c r="G218" s="116">
        <f>(F218*Settings!$E$15)</f>
        <v>1075</v>
      </c>
      <c r="H218" s="113" t="s">
        <v>45</v>
      </c>
      <c r="I218" s="113" t="s">
        <v>46</v>
      </c>
      <c r="J218" s="115"/>
    </row>
    <row r="219" spans="3:10" x14ac:dyDescent="0.3">
      <c r="C219" s="112">
        <v>45507</v>
      </c>
      <c r="D219" s="113"/>
      <c r="E219" s="113"/>
      <c r="F219" s="144"/>
      <c r="G219" s="116"/>
      <c r="H219" s="113"/>
      <c r="I219" s="113"/>
      <c r="J219" s="115"/>
    </row>
    <row r="220" spans="3:10" x14ac:dyDescent="0.3">
      <c r="C220" s="112">
        <v>45508</v>
      </c>
      <c r="D220" s="113" t="s">
        <v>24</v>
      </c>
      <c r="E220" s="113" t="s">
        <v>27</v>
      </c>
      <c r="F220" s="144">
        <v>14000</v>
      </c>
      <c r="G220" s="116">
        <f>(F220*Settings!$E$15)</f>
        <v>12040</v>
      </c>
      <c r="H220" s="113" t="s">
        <v>44</v>
      </c>
      <c r="I220" s="113" t="s">
        <v>46</v>
      </c>
      <c r="J220" s="115"/>
    </row>
    <row r="221" spans="3:10" x14ac:dyDescent="0.3">
      <c r="C221" s="112">
        <v>45509</v>
      </c>
      <c r="D221" s="113"/>
      <c r="E221" s="113"/>
      <c r="F221" s="144"/>
      <c r="G221" s="116"/>
      <c r="H221" s="113"/>
      <c r="I221" s="113"/>
      <c r="J221" s="115"/>
    </row>
    <row r="222" spans="3:10" x14ac:dyDescent="0.3">
      <c r="C222" s="112">
        <v>45510</v>
      </c>
      <c r="D222" s="113" t="s">
        <v>24</v>
      </c>
      <c r="E222" s="113" t="s">
        <v>26</v>
      </c>
      <c r="F222" s="144">
        <v>45000</v>
      </c>
      <c r="G222" s="116">
        <f>(F222*Settings!$E$15)</f>
        <v>38700</v>
      </c>
      <c r="H222" s="113" t="s">
        <v>44</v>
      </c>
      <c r="I222" s="113" t="s">
        <v>46</v>
      </c>
      <c r="J222" s="115"/>
    </row>
    <row r="223" spans="3:10" x14ac:dyDescent="0.3">
      <c r="C223" s="112">
        <v>45511</v>
      </c>
      <c r="D223" s="113"/>
      <c r="E223" s="113"/>
      <c r="F223" s="144"/>
      <c r="G223" s="116"/>
      <c r="H223" s="113"/>
      <c r="I223" s="113"/>
      <c r="J223" s="115"/>
    </row>
    <row r="224" spans="3:10" x14ac:dyDescent="0.3">
      <c r="C224" s="112">
        <v>45512</v>
      </c>
      <c r="D224" s="113" t="s">
        <v>23</v>
      </c>
      <c r="E224" s="113" t="s">
        <v>36</v>
      </c>
      <c r="F224" s="144">
        <v>15000</v>
      </c>
      <c r="G224" s="116">
        <f>(F224*Settings!$E$15)</f>
        <v>12900</v>
      </c>
      <c r="H224" s="113" t="s">
        <v>44</v>
      </c>
      <c r="I224" s="113" t="s">
        <v>46</v>
      </c>
      <c r="J224" s="115"/>
    </row>
    <row r="225" spans="3:10" x14ac:dyDescent="0.3">
      <c r="C225" s="112">
        <v>45513</v>
      </c>
      <c r="D225" s="113"/>
      <c r="E225" s="113"/>
      <c r="F225" s="144"/>
      <c r="G225" s="116"/>
      <c r="H225" s="113"/>
      <c r="I225" s="113"/>
      <c r="J225" s="115"/>
    </row>
    <row r="226" spans="3:10" x14ac:dyDescent="0.3">
      <c r="C226" s="112">
        <v>45514</v>
      </c>
      <c r="D226" s="113" t="s">
        <v>24</v>
      </c>
      <c r="E226" s="113" t="s">
        <v>29</v>
      </c>
      <c r="F226" s="144">
        <v>2400</v>
      </c>
      <c r="G226" s="116">
        <f>(F226*Settings!$E$15)</f>
        <v>2064</v>
      </c>
      <c r="H226" s="113" t="s">
        <v>45</v>
      </c>
      <c r="I226" s="113" t="s">
        <v>46</v>
      </c>
      <c r="J226" s="115"/>
    </row>
    <row r="227" spans="3:10" x14ac:dyDescent="0.3">
      <c r="C227" s="112">
        <v>45515</v>
      </c>
      <c r="D227" s="113" t="s">
        <v>37</v>
      </c>
      <c r="E227" s="113" t="s">
        <v>41</v>
      </c>
      <c r="F227" s="144">
        <v>20000</v>
      </c>
      <c r="G227" s="116">
        <f>(F227*Settings!$E$15)</f>
        <v>17200</v>
      </c>
      <c r="H227" s="113" t="s">
        <v>44</v>
      </c>
      <c r="I227" s="113" t="s">
        <v>46</v>
      </c>
      <c r="J227" s="115"/>
    </row>
    <row r="228" spans="3:10" x14ac:dyDescent="0.3">
      <c r="C228" s="112">
        <v>45516</v>
      </c>
      <c r="D228" s="113"/>
      <c r="E228" s="113"/>
      <c r="F228" s="144"/>
      <c r="G228" s="116"/>
      <c r="H228" s="113"/>
      <c r="I228" s="113"/>
      <c r="J228" s="115"/>
    </row>
    <row r="229" spans="3:10" x14ac:dyDescent="0.3">
      <c r="C229" s="112">
        <v>45517</v>
      </c>
      <c r="D229" s="113"/>
      <c r="E229" s="113"/>
      <c r="F229" s="144"/>
      <c r="G229" s="116"/>
      <c r="H229" s="113"/>
      <c r="I229" s="113"/>
      <c r="J229" s="115"/>
    </row>
    <row r="230" spans="3:10" x14ac:dyDescent="0.3">
      <c r="C230" s="112">
        <v>45518</v>
      </c>
      <c r="D230" s="113" t="s">
        <v>24</v>
      </c>
      <c r="E230" s="113" t="s">
        <v>25</v>
      </c>
      <c r="F230" s="144">
        <v>38000</v>
      </c>
      <c r="G230" s="116">
        <f>(F230*Settings!$E$15)</f>
        <v>32680</v>
      </c>
      <c r="H230" s="113" t="s">
        <v>45</v>
      </c>
      <c r="I230" s="113" t="s">
        <v>46</v>
      </c>
      <c r="J230" s="115"/>
    </row>
    <row r="231" spans="3:10" x14ac:dyDescent="0.3">
      <c r="C231" s="112">
        <v>45519</v>
      </c>
      <c r="D231" s="113"/>
      <c r="E231" s="113"/>
      <c r="F231" s="144"/>
      <c r="G231" s="116"/>
      <c r="H231" s="113"/>
      <c r="I231" s="113"/>
      <c r="J231" s="115"/>
    </row>
    <row r="232" spans="3:10" x14ac:dyDescent="0.3">
      <c r="C232" s="112">
        <v>45520</v>
      </c>
      <c r="D232" s="113"/>
      <c r="E232" s="113"/>
      <c r="F232" s="144"/>
      <c r="G232" s="116"/>
      <c r="H232" s="113"/>
      <c r="I232" s="113"/>
      <c r="J232" s="115"/>
    </row>
    <row r="233" spans="3:10" x14ac:dyDescent="0.3">
      <c r="C233" s="112">
        <v>45521</v>
      </c>
      <c r="D233" s="113" t="s">
        <v>37</v>
      </c>
      <c r="E233" s="113" t="s">
        <v>43</v>
      </c>
      <c r="F233" s="144">
        <v>677</v>
      </c>
      <c r="G233" s="116">
        <f>(F233*Settings!$E$15)</f>
        <v>582.22</v>
      </c>
      <c r="H233" s="113" t="s">
        <v>45</v>
      </c>
      <c r="I233" s="113" t="s">
        <v>46</v>
      </c>
      <c r="J233" s="115"/>
    </row>
    <row r="234" spans="3:10" x14ac:dyDescent="0.3">
      <c r="C234" s="112">
        <v>45522</v>
      </c>
      <c r="D234" s="113"/>
      <c r="E234" s="113"/>
      <c r="F234" s="144"/>
      <c r="G234" s="116"/>
      <c r="H234" s="113"/>
      <c r="I234" s="113"/>
      <c r="J234" s="115"/>
    </row>
    <row r="235" spans="3:10" x14ac:dyDescent="0.3">
      <c r="C235" s="112">
        <v>45523</v>
      </c>
      <c r="D235" s="113"/>
      <c r="E235" s="113"/>
      <c r="F235" s="144"/>
      <c r="G235" s="116"/>
      <c r="H235" s="113"/>
      <c r="I235" s="113"/>
      <c r="J235" s="115"/>
    </row>
    <row r="236" spans="3:10" x14ac:dyDescent="0.3">
      <c r="C236" s="112">
        <v>45524</v>
      </c>
      <c r="D236" s="113"/>
      <c r="E236" s="113"/>
      <c r="F236" s="144"/>
      <c r="G236" s="116"/>
      <c r="H236" s="113"/>
      <c r="I236" s="113"/>
      <c r="J236" s="115"/>
    </row>
    <row r="237" spans="3:10" x14ac:dyDescent="0.3">
      <c r="C237" s="112">
        <v>45525</v>
      </c>
      <c r="D237" s="113"/>
      <c r="E237" s="113"/>
      <c r="F237" s="144"/>
      <c r="G237" s="116"/>
      <c r="H237" s="113"/>
      <c r="I237" s="113"/>
      <c r="J237" s="115"/>
    </row>
    <row r="238" spans="3:10" x14ac:dyDescent="0.3">
      <c r="C238" s="112">
        <v>45526</v>
      </c>
      <c r="D238" s="113" t="s">
        <v>24</v>
      </c>
      <c r="E238" s="113" t="s">
        <v>25</v>
      </c>
      <c r="F238" s="144">
        <v>25000</v>
      </c>
      <c r="G238" s="116">
        <f>(F238*Settings!$E$15)</f>
        <v>21500</v>
      </c>
      <c r="H238" s="113" t="s">
        <v>45</v>
      </c>
      <c r="I238" s="113" t="s">
        <v>46</v>
      </c>
      <c r="J238" s="115"/>
    </row>
    <row r="239" spans="3:10" x14ac:dyDescent="0.3">
      <c r="C239" s="112">
        <v>45527</v>
      </c>
      <c r="D239" s="113" t="s">
        <v>24</v>
      </c>
      <c r="E239" s="113" t="s">
        <v>28</v>
      </c>
      <c r="F239" s="144">
        <v>1400</v>
      </c>
      <c r="G239" s="116">
        <f>(F239*Settings!$E$15)</f>
        <v>1204</v>
      </c>
      <c r="H239" s="113" t="s">
        <v>44</v>
      </c>
      <c r="I239" s="113" t="s">
        <v>48</v>
      </c>
      <c r="J239" s="115"/>
    </row>
    <row r="240" spans="3:10" x14ac:dyDescent="0.3">
      <c r="C240" s="112">
        <v>45528</v>
      </c>
      <c r="D240" s="113"/>
      <c r="E240" s="113"/>
      <c r="F240" s="144"/>
      <c r="G240" s="116"/>
      <c r="H240" s="113"/>
      <c r="I240" s="113"/>
      <c r="J240" s="115"/>
    </row>
    <row r="241" spans="3:10" x14ac:dyDescent="0.3">
      <c r="C241" s="112">
        <v>45529</v>
      </c>
      <c r="D241" s="113" t="s">
        <v>24</v>
      </c>
      <c r="E241" s="113" t="s">
        <v>26</v>
      </c>
      <c r="F241" s="144">
        <v>29000</v>
      </c>
      <c r="G241" s="116">
        <f>(F241*Settings!$E$15)</f>
        <v>24940</v>
      </c>
      <c r="H241" s="113" t="s">
        <v>44</v>
      </c>
      <c r="I241" s="113" t="s">
        <v>46</v>
      </c>
      <c r="J241" s="115"/>
    </row>
    <row r="242" spans="3:10" x14ac:dyDescent="0.3">
      <c r="C242" s="112">
        <v>45530</v>
      </c>
      <c r="D242" s="113"/>
      <c r="E242" s="113"/>
      <c r="F242" s="144"/>
      <c r="G242" s="116"/>
      <c r="H242" s="113"/>
      <c r="I242" s="113"/>
      <c r="J242" s="115"/>
    </row>
    <row r="243" spans="3:10" x14ac:dyDescent="0.3">
      <c r="C243" s="112">
        <v>45531</v>
      </c>
      <c r="D243" s="113" t="s">
        <v>24</v>
      </c>
      <c r="E243" s="113" t="s">
        <v>26</v>
      </c>
      <c r="F243" s="144">
        <v>6000</v>
      </c>
      <c r="G243" s="116">
        <f>(F243*Settings!$E$15)</f>
        <v>5160</v>
      </c>
      <c r="H243" s="113" t="s">
        <v>44</v>
      </c>
      <c r="I243" s="113" t="s">
        <v>46</v>
      </c>
      <c r="J243" s="115"/>
    </row>
    <row r="244" spans="3:10" x14ac:dyDescent="0.3">
      <c r="C244" s="112">
        <v>45532</v>
      </c>
      <c r="D244" s="113" t="s">
        <v>24</v>
      </c>
      <c r="E244" s="113" t="s">
        <v>26</v>
      </c>
      <c r="F244" s="144">
        <v>5000</v>
      </c>
      <c r="G244" s="116">
        <f>(F244*Settings!$E$15)</f>
        <v>4300</v>
      </c>
      <c r="H244" s="113" t="s">
        <v>44</v>
      </c>
      <c r="I244" s="113" t="s">
        <v>46</v>
      </c>
      <c r="J244" s="115"/>
    </row>
    <row r="245" spans="3:10" x14ac:dyDescent="0.3">
      <c r="C245" s="112">
        <v>45533</v>
      </c>
      <c r="D245" s="113"/>
      <c r="E245" s="113"/>
      <c r="F245" s="144"/>
      <c r="G245" s="116"/>
      <c r="H245" s="113"/>
      <c r="I245" s="113"/>
      <c r="J245" s="115"/>
    </row>
    <row r="246" spans="3:10" x14ac:dyDescent="0.3">
      <c r="C246" s="112">
        <v>45534</v>
      </c>
      <c r="D246" s="113" t="s">
        <v>24</v>
      </c>
      <c r="E246" s="113" t="s">
        <v>25</v>
      </c>
      <c r="F246" s="144">
        <v>70000</v>
      </c>
      <c r="G246" s="116">
        <f>(F246*Settings!$E$15)</f>
        <v>60200</v>
      </c>
      <c r="H246" s="113" t="s">
        <v>45</v>
      </c>
      <c r="I246" s="113" t="s">
        <v>46</v>
      </c>
      <c r="J246" s="115"/>
    </row>
    <row r="247" spans="3:10" x14ac:dyDescent="0.3">
      <c r="C247" s="112">
        <v>45535</v>
      </c>
      <c r="D247" s="113"/>
      <c r="E247" s="113"/>
      <c r="F247" s="144"/>
      <c r="G247" s="116"/>
      <c r="H247" s="113"/>
      <c r="I247" s="113"/>
      <c r="J247" s="115"/>
    </row>
    <row r="248" spans="3:10" x14ac:dyDescent="0.3">
      <c r="C248" s="112">
        <v>45536</v>
      </c>
      <c r="D248" s="113"/>
      <c r="E248" s="113"/>
      <c r="F248" s="144"/>
      <c r="G248" s="116"/>
      <c r="H248" s="113"/>
      <c r="I248" s="113"/>
      <c r="J248" s="115"/>
    </row>
    <row r="249" spans="3:10" x14ac:dyDescent="0.3">
      <c r="C249" s="112">
        <v>45537</v>
      </c>
      <c r="D249" s="113"/>
      <c r="E249" s="113"/>
      <c r="F249" s="144"/>
      <c r="G249" s="116"/>
      <c r="H249" s="113"/>
      <c r="I249" s="113"/>
      <c r="J249" s="115"/>
    </row>
    <row r="250" spans="3:10" x14ac:dyDescent="0.3">
      <c r="C250" s="112">
        <v>45538</v>
      </c>
      <c r="D250" s="113" t="s">
        <v>24</v>
      </c>
      <c r="E250" s="113" t="s">
        <v>26</v>
      </c>
      <c r="F250" s="144">
        <v>24000</v>
      </c>
      <c r="G250" s="116">
        <f>(F250*Settings!$E$15)</f>
        <v>20640</v>
      </c>
      <c r="H250" s="113" t="s">
        <v>44</v>
      </c>
      <c r="I250" s="113" t="s">
        <v>46</v>
      </c>
      <c r="J250" s="115"/>
    </row>
    <row r="251" spans="3:10" x14ac:dyDescent="0.3">
      <c r="C251" s="112">
        <v>45539</v>
      </c>
      <c r="D251" s="113" t="s">
        <v>23</v>
      </c>
      <c r="E251" s="113" t="s">
        <v>36</v>
      </c>
      <c r="F251" s="144">
        <v>14000</v>
      </c>
      <c r="G251" s="116">
        <f>(F251*Settings!$E$15)</f>
        <v>12040</v>
      </c>
      <c r="H251" s="113" t="s">
        <v>44</v>
      </c>
      <c r="I251" s="113" t="s">
        <v>46</v>
      </c>
      <c r="J251" s="115"/>
    </row>
    <row r="252" spans="3:10" x14ac:dyDescent="0.3">
      <c r="C252" s="112">
        <v>45540</v>
      </c>
      <c r="D252" s="113"/>
      <c r="E252" s="113"/>
      <c r="F252" s="144"/>
      <c r="G252" s="116"/>
      <c r="H252" s="113"/>
      <c r="I252" s="113"/>
      <c r="J252" s="115"/>
    </row>
    <row r="253" spans="3:10" x14ac:dyDescent="0.3">
      <c r="C253" s="112">
        <v>45541</v>
      </c>
      <c r="D253" s="113" t="s">
        <v>24</v>
      </c>
      <c r="E253" s="113" t="s">
        <v>27</v>
      </c>
      <c r="F253" s="144">
        <v>18000</v>
      </c>
      <c r="G253" s="116">
        <f>(F253*Settings!$E$15)</f>
        <v>15480</v>
      </c>
      <c r="H253" s="113" t="s">
        <v>44</v>
      </c>
      <c r="I253" s="113" t="s">
        <v>46</v>
      </c>
      <c r="J253" s="115"/>
    </row>
    <row r="254" spans="3:10" x14ac:dyDescent="0.3">
      <c r="C254" s="112">
        <v>45542</v>
      </c>
      <c r="D254" s="113" t="s">
        <v>37</v>
      </c>
      <c r="E254" s="113" t="s">
        <v>43</v>
      </c>
      <c r="F254" s="144">
        <v>145</v>
      </c>
      <c r="G254" s="116">
        <f>(F254*Settings!$E$15)</f>
        <v>124.7</v>
      </c>
      <c r="H254" s="113" t="s">
        <v>45</v>
      </c>
      <c r="I254" s="113" t="s">
        <v>46</v>
      </c>
      <c r="J254" s="115"/>
    </row>
    <row r="255" spans="3:10" x14ac:dyDescent="0.3">
      <c r="C255" s="112">
        <v>45543</v>
      </c>
      <c r="D255" s="113" t="s">
        <v>24</v>
      </c>
      <c r="E255" s="113" t="s">
        <v>28</v>
      </c>
      <c r="F255" s="144">
        <v>2110</v>
      </c>
      <c r="G255" s="116">
        <f>(F255*Settings!$E$15)</f>
        <v>1814.6</v>
      </c>
      <c r="H255" s="113" t="s">
        <v>44</v>
      </c>
      <c r="I255" s="113" t="s">
        <v>46</v>
      </c>
      <c r="J255" s="115"/>
    </row>
    <row r="256" spans="3:10" x14ac:dyDescent="0.3">
      <c r="C256" s="112">
        <v>45544</v>
      </c>
      <c r="D256" s="113" t="s">
        <v>37</v>
      </c>
      <c r="E256" s="113" t="s">
        <v>42</v>
      </c>
      <c r="F256" s="144">
        <v>6000</v>
      </c>
      <c r="G256" s="116">
        <f>(F256*Settings!$E$15)</f>
        <v>5160</v>
      </c>
      <c r="H256" s="113" t="s">
        <v>44</v>
      </c>
      <c r="I256" s="113" t="s">
        <v>46</v>
      </c>
      <c r="J256" s="115"/>
    </row>
    <row r="257" spans="3:10" x14ac:dyDescent="0.3">
      <c r="C257" s="112">
        <v>45545</v>
      </c>
      <c r="D257" s="113"/>
      <c r="E257" s="113"/>
      <c r="F257" s="144"/>
      <c r="G257" s="116"/>
      <c r="H257" s="113"/>
      <c r="I257" s="113"/>
      <c r="J257" s="115"/>
    </row>
    <row r="258" spans="3:10" x14ac:dyDescent="0.3">
      <c r="C258" s="112">
        <v>45546</v>
      </c>
      <c r="D258" s="113" t="s">
        <v>24</v>
      </c>
      <c r="E258" s="113" t="s">
        <v>25</v>
      </c>
      <c r="F258" s="144">
        <v>35000</v>
      </c>
      <c r="G258" s="116">
        <f>(F258*Settings!$E$15)</f>
        <v>30100</v>
      </c>
      <c r="H258" s="113" t="s">
        <v>45</v>
      </c>
      <c r="I258" s="113" t="s">
        <v>46</v>
      </c>
      <c r="J258" s="115"/>
    </row>
    <row r="259" spans="3:10" x14ac:dyDescent="0.3">
      <c r="C259" s="112">
        <v>45547</v>
      </c>
      <c r="D259" s="113"/>
      <c r="E259" s="113"/>
      <c r="F259" s="144"/>
      <c r="G259" s="116"/>
      <c r="H259" s="113"/>
      <c r="I259" s="113"/>
      <c r="J259" s="115"/>
    </row>
    <row r="260" spans="3:10" x14ac:dyDescent="0.3">
      <c r="C260" s="112">
        <v>45548</v>
      </c>
      <c r="D260" s="113" t="s">
        <v>24</v>
      </c>
      <c r="E260" s="113" t="s">
        <v>29</v>
      </c>
      <c r="F260" s="144">
        <v>1400</v>
      </c>
      <c r="G260" s="116">
        <f>(F260*Settings!$E$15)</f>
        <v>1204</v>
      </c>
      <c r="H260" s="113" t="s">
        <v>45</v>
      </c>
      <c r="I260" s="113" t="s">
        <v>46</v>
      </c>
      <c r="J260" s="115"/>
    </row>
    <row r="261" spans="3:10" x14ac:dyDescent="0.3">
      <c r="C261" s="112">
        <v>45549</v>
      </c>
      <c r="D261" s="113"/>
      <c r="E261" s="113"/>
      <c r="F261" s="144"/>
      <c r="G261" s="116"/>
      <c r="H261" s="113"/>
      <c r="I261" s="113"/>
      <c r="J261" s="115"/>
    </row>
    <row r="262" spans="3:10" x14ac:dyDescent="0.3">
      <c r="C262" s="112">
        <v>45550</v>
      </c>
      <c r="D262" s="113" t="s">
        <v>23</v>
      </c>
      <c r="E262" s="113" t="s">
        <v>35</v>
      </c>
      <c r="F262" s="144">
        <v>44000</v>
      </c>
      <c r="G262" s="116">
        <f>(F262*Settings!$E$15)</f>
        <v>37840</v>
      </c>
      <c r="H262" s="113" t="s">
        <v>45</v>
      </c>
      <c r="I262" s="113" t="s">
        <v>46</v>
      </c>
      <c r="J262" s="115"/>
    </row>
    <row r="263" spans="3:10" x14ac:dyDescent="0.3">
      <c r="C263" s="112">
        <v>45551</v>
      </c>
      <c r="D263" s="113"/>
      <c r="E263" s="113"/>
      <c r="F263" s="144"/>
      <c r="G263" s="116"/>
      <c r="H263" s="113"/>
      <c r="I263" s="113"/>
      <c r="J263" s="115"/>
    </row>
    <row r="264" spans="3:10" x14ac:dyDescent="0.3">
      <c r="C264" s="112">
        <v>45552</v>
      </c>
      <c r="D264" s="113" t="s">
        <v>24</v>
      </c>
      <c r="E264" s="113" t="s">
        <v>25</v>
      </c>
      <c r="F264" s="144">
        <v>14000</v>
      </c>
      <c r="G264" s="116">
        <f>(F264*Settings!$E$15)</f>
        <v>12040</v>
      </c>
      <c r="H264" s="113" t="s">
        <v>45</v>
      </c>
      <c r="I264" s="113" t="s">
        <v>46</v>
      </c>
      <c r="J264" s="115"/>
    </row>
    <row r="265" spans="3:10" x14ac:dyDescent="0.3">
      <c r="C265" s="112">
        <v>45553</v>
      </c>
      <c r="D265" s="113"/>
      <c r="E265" s="113"/>
      <c r="F265" s="144"/>
      <c r="G265" s="116"/>
      <c r="H265" s="113"/>
      <c r="I265" s="113"/>
      <c r="J265" s="115"/>
    </row>
    <row r="266" spans="3:10" x14ac:dyDescent="0.3">
      <c r="C266" s="112">
        <v>45554</v>
      </c>
      <c r="D266" s="113"/>
      <c r="E266" s="113"/>
      <c r="F266" s="144"/>
      <c r="G266" s="116"/>
      <c r="H266" s="113"/>
      <c r="I266" s="113"/>
      <c r="J266" s="115"/>
    </row>
    <row r="267" spans="3:10" x14ac:dyDescent="0.3">
      <c r="C267" s="112">
        <v>45555</v>
      </c>
      <c r="D267" s="113"/>
      <c r="E267" s="113"/>
      <c r="F267" s="144"/>
      <c r="G267" s="116"/>
      <c r="H267" s="113"/>
      <c r="I267" s="113"/>
      <c r="J267" s="115"/>
    </row>
    <row r="268" spans="3:10" x14ac:dyDescent="0.3">
      <c r="C268" s="112">
        <v>45556</v>
      </c>
      <c r="D268" s="113" t="s">
        <v>24</v>
      </c>
      <c r="E268" s="113" t="s">
        <v>28</v>
      </c>
      <c r="F268" s="144">
        <v>1000</v>
      </c>
      <c r="G268" s="116">
        <f>(F268*Settings!$E$15)</f>
        <v>860</v>
      </c>
      <c r="H268" s="113" t="s">
        <v>44</v>
      </c>
      <c r="I268" s="113" t="s">
        <v>48</v>
      </c>
      <c r="J268" s="115"/>
    </row>
    <row r="269" spans="3:10" x14ac:dyDescent="0.3">
      <c r="C269" s="112">
        <v>45557</v>
      </c>
      <c r="D269" s="113" t="s">
        <v>37</v>
      </c>
      <c r="E269" s="113" t="s">
        <v>38</v>
      </c>
      <c r="F269" s="144">
        <v>125000</v>
      </c>
      <c r="G269" s="116">
        <f>(F269*Settings!$E$15)</f>
        <v>107500</v>
      </c>
      <c r="H269" s="113" t="s">
        <v>45</v>
      </c>
      <c r="I269" s="113" t="s">
        <v>46</v>
      </c>
      <c r="J269" s="115"/>
    </row>
    <row r="270" spans="3:10" x14ac:dyDescent="0.3">
      <c r="C270" s="112">
        <v>45558</v>
      </c>
      <c r="D270" s="113"/>
      <c r="E270" s="113"/>
      <c r="F270" s="144"/>
      <c r="G270" s="116"/>
      <c r="H270" s="113"/>
      <c r="I270" s="113"/>
      <c r="J270" s="115"/>
    </row>
    <row r="271" spans="3:10" x14ac:dyDescent="0.3">
      <c r="C271" s="112">
        <v>45559</v>
      </c>
      <c r="D271" s="113"/>
      <c r="E271" s="113"/>
      <c r="F271" s="144"/>
      <c r="G271" s="116"/>
      <c r="H271" s="113"/>
      <c r="I271" s="113"/>
      <c r="J271" s="115"/>
    </row>
    <row r="272" spans="3:10" x14ac:dyDescent="0.3">
      <c r="C272" s="112">
        <v>45560</v>
      </c>
      <c r="D272" s="113"/>
      <c r="E272" s="113"/>
      <c r="F272" s="144"/>
      <c r="G272" s="116"/>
      <c r="H272" s="113"/>
      <c r="I272" s="113"/>
      <c r="J272" s="115"/>
    </row>
    <row r="273" spans="3:10" x14ac:dyDescent="0.3">
      <c r="C273" s="112">
        <v>45561</v>
      </c>
      <c r="D273" s="113"/>
      <c r="E273" s="113"/>
      <c r="F273" s="144"/>
      <c r="G273" s="116"/>
      <c r="H273" s="113"/>
      <c r="I273" s="113"/>
      <c r="J273" s="115"/>
    </row>
    <row r="274" spans="3:10" x14ac:dyDescent="0.3">
      <c r="C274" s="112">
        <v>45562</v>
      </c>
      <c r="D274" s="113" t="s">
        <v>24</v>
      </c>
      <c r="E274" s="113" t="s">
        <v>26</v>
      </c>
      <c r="F274" s="144">
        <v>45000</v>
      </c>
      <c r="G274" s="116">
        <f>(F274*Settings!$E$15)</f>
        <v>38700</v>
      </c>
      <c r="H274" s="113" t="s">
        <v>44</v>
      </c>
      <c r="I274" s="113" t="s">
        <v>46</v>
      </c>
      <c r="J274" s="115"/>
    </row>
    <row r="275" spans="3:10" x14ac:dyDescent="0.3">
      <c r="C275" s="112">
        <v>45563</v>
      </c>
      <c r="D275" s="113"/>
      <c r="E275" s="113"/>
      <c r="F275" s="144"/>
      <c r="G275" s="116"/>
      <c r="H275" s="113"/>
      <c r="I275" s="113"/>
      <c r="J275" s="115"/>
    </row>
    <row r="276" spans="3:10" x14ac:dyDescent="0.3">
      <c r="C276" s="112">
        <v>45564</v>
      </c>
      <c r="D276" s="113"/>
      <c r="E276" s="113"/>
      <c r="F276" s="144"/>
      <c r="G276" s="116"/>
      <c r="H276" s="113"/>
      <c r="I276" s="113"/>
      <c r="J276" s="115"/>
    </row>
    <row r="277" spans="3:10" x14ac:dyDescent="0.3">
      <c r="C277" s="112">
        <v>45565</v>
      </c>
      <c r="D277" s="113" t="s">
        <v>24</v>
      </c>
      <c r="E277" s="113" t="s">
        <v>30</v>
      </c>
      <c r="F277" s="144">
        <v>12000</v>
      </c>
      <c r="G277" s="116">
        <f>(F277*Settings!$E$15)</f>
        <v>10320</v>
      </c>
      <c r="H277" s="113" t="s">
        <v>44</v>
      </c>
      <c r="I277" s="113" t="s">
        <v>46</v>
      </c>
      <c r="J277" s="115"/>
    </row>
    <row r="278" spans="3:10" x14ac:dyDescent="0.3">
      <c r="C278" s="112">
        <v>45566</v>
      </c>
      <c r="D278" s="113" t="s">
        <v>24</v>
      </c>
      <c r="E278" s="113" t="s">
        <v>25</v>
      </c>
      <c r="F278" s="144">
        <v>28000</v>
      </c>
      <c r="G278" s="116">
        <f>(F278*Settings!$E$15)</f>
        <v>24080</v>
      </c>
      <c r="H278" s="113" t="s">
        <v>45</v>
      </c>
      <c r="I278" s="113" t="s">
        <v>46</v>
      </c>
      <c r="J278" s="115"/>
    </row>
    <row r="279" spans="3:10" x14ac:dyDescent="0.3">
      <c r="C279" s="112">
        <v>45567</v>
      </c>
      <c r="D279" s="113" t="s">
        <v>24</v>
      </c>
      <c r="E279" s="113" t="s">
        <v>28</v>
      </c>
      <c r="F279" s="144">
        <v>400</v>
      </c>
      <c r="G279" s="116">
        <f>(F279*Settings!$E$15)</f>
        <v>344</v>
      </c>
      <c r="H279" s="113" t="s">
        <v>44</v>
      </c>
      <c r="I279" s="113" t="s">
        <v>48</v>
      </c>
      <c r="J279" s="115"/>
    </row>
    <row r="280" spans="3:10" x14ac:dyDescent="0.3">
      <c r="C280" s="112">
        <v>45568</v>
      </c>
      <c r="D280" s="113" t="s">
        <v>24</v>
      </c>
      <c r="E280" s="113" t="s">
        <v>26</v>
      </c>
      <c r="F280" s="144">
        <v>14000</v>
      </c>
      <c r="G280" s="116">
        <f>(F280*Settings!$E$15)</f>
        <v>12040</v>
      </c>
      <c r="H280" s="113" t="s">
        <v>44</v>
      </c>
      <c r="I280" s="113" t="s">
        <v>46</v>
      </c>
      <c r="J280" s="115"/>
    </row>
    <row r="281" spans="3:10" x14ac:dyDescent="0.3">
      <c r="C281" s="112">
        <v>45569</v>
      </c>
      <c r="D281" s="113"/>
      <c r="E281" s="113"/>
      <c r="F281" s="144"/>
      <c r="G281" s="116"/>
      <c r="H281" s="113"/>
      <c r="I281" s="113"/>
      <c r="J281" s="115"/>
    </row>
    <row r="282" spans="3:10" x14ac:dyDescent="0.3">
      <c r="C282" s="112">
        <v>45570</v>
      </c>
      <c r="D282" s="113" t="s">
        <v>24</v>
      </c>
      <c r="E282" s="113" t="s">
        <v>27</v>
      </c>
      <c r="F282" s="144">
        <v>15000</v>
      </c>
      <c r="G282" s="116">
        <f>(F282*Settings!$E$15)</f>
        <v>12900</v>
      </c>
      <c r="H282" s="113" t="s">
        <v>44</v>
      </c>
      <c r="I282" s="113" t="s">
        <v>46</v>
      </c>
      <c r="J282" s="115"/>
    </row>
    <row r="283" spans="3:10" x14ac:dyDescent="0.3">
      <c r="C283" s="112">
        <v>45571</v>
      </c>
      <c r="D283" s="113"/>
      <c r="E283" s="113"/>
      <c r="F283" s="144"/>
      <c r="G283" s="116"/>
      <c r="H283" s="113"/>
      <c r="I283" s="113"/>
      <c r="J283" s="115"/>
    </row>
    <row r="284" spans="3:10" x14ac:dyDescent="0.3">
      <c r="C284" s="112">
        <v>45572</v>
      </c>
      <c r="D284" s="113" t="s">
        <v>24</v>
      </c>
      <c r="E284" s="113" t="s">
        <v>26</v>
      </c>
      <c r="F284" s="144">
        <v>38000</v>
      </c>
      <c r="G284" s="116">
        <f>(F284*Settings!$E$15)</f>
        <v>32680</v>
      </c>
      <c r="H284" s="113" t="s">
        <v>44</v>
      </c>
      <c r="I284" s="113" t="s">
        <v>46</v>
      </c>
      <c r="J284" s="115"/>
    </row>
    <row r="285" spans="3:10" x14ac:dyDescent="0.3">
      <c r="C285" s="112">
        <v>45573</v>
      </c>
      <c r="D285" s="113"/>
      <c r="E285" s="113"/>
      <c r="F285" s="144"/>
      <c r="G285" s="116"/>
      <c r="H285" s="113"/>
      <c r="I285" s="113"/>
      <c r="J285" s="115"/>
    </row>
    <row r="286" spans="3:10" x14ac:dyDescent="0.3">
      <c r="C286" s="112">
        <v>45574</v>
      </c>
      <c r="D286" s="113"/>
      <c r="E286" s="113"/>
      <c r="F286" s="144"/>
      <c r="G286" s="116"/>
      <c r="H286" s="113"/>
      <c r="I286" s="113"/>
      <c r="J286" s="115"/>
    </row>
    <row r="287" spans="3:10" x14ac:dyDescent="0.3">
      <c r="C287" s="112">
        <v>45575</v>
      </c>
      <c r="D287" s="113" t="s">
        <v>23</v>
      </c>
      <c r="E287" s="113" t="s">
        <v>36</v>
      </c>
      <c r="F287" s="144">
        <v>12000</v>
      </c>
      <c r="G287" s="116">
        <f>(F287*Settings!$E$15)</f>
        <v>10320</v>
      </c>
      <c r="H287" s="113" t="s">
        <v>44</v>
      </c>
      <c r="I287" s="113" t="s">
        <v>46</v>
      </c>
      <c r="J287" s="115"/>
    </row>
    <row r="288" spans="3:10" x14ac:dyDescent="0.3">
      <c r="C288" s="112">
        <v>45576</v>
      </c>
      <c r="D288" s="113"/>
      <c r="E288" s="113"/>
      <c r="F288" s="144"/>
      <c r="G288" s="116"/>
      <c r="H288" s="113"/>
      <c r="I288" s="113"/>
      <c r="J288" s="115"/>
    </row>
    <row r="289" spans="3:10" x14ac:dyDescent="0.3">
      <c r="C289" s="112">
        <v>45577</v>
      </c>
      <c r="D289" s="113" t="s">
        <v>37</v>
      </c>
      <c r="E289" s="113" t="s">
        <v>39</v>
      </c>
      <c r="F289" s="144">
        <v>26000</v>
      </c>
      <c r="G289" s="116">
        <f>(F289*Settings!$E$15)</f>
        <v>22360</v>
      </c>
      <c r="H289" s="113" t="s">
        <v>45</v>
      </c>
      <c r="I289" s="113" t="s">
        <v>46</v>
      </c>
      <c r="J289" s="115"/>
    </row>
    <row r="290" spans="3:10" x14ac:dyDescent="0.3">
      <c r="C290" s="112">
        <v>45578</v>
      </c>
      <c r="D290" s="113"/>
      <c r="E290" s="113"/>
      <c r="F290" s="144"/>
      <c r="G290" s="116"/>
      <c r="H290" s="113"/>
      <c r="I290" s="113"/>
      <c r="J290" s="115"/>
    </row>
    <row r="291" spans="3:10" x14ac:dyDescent="0.3">
      <c r="C291" s="112">
        <v>45579</v>
      </c>
      <c r="D291" s="113" t="s">
        <v>24</v>
      </c>
      <c r="E291" s="113" t="s">
        <v>25</v>
      </c>
      <c r="F291" s="144">
        <v>40000</v>
      </c>
      <c r="G291" s="116">
        <f>(F291*Settings!$E$15)</f>
        <v>34400</v>
      </c>
      <c r="H291" s="113" t="s">
        <v>45</v>
      </c>
      <c r="I291" s="113" t="s">
        <v>46</v>
      </c>
      <c r="J291" s="115"/>
    </row>
    <row r="292" spans="3:10" x14ac:dyDescent="0.3">
      <c r="C292" s="112">
        <v>45580</v>
      </c>
      <c r="D292" s="113" t="s">
        <v>23</v>
      </c>
      <c r="E292" s="113" t="s">
        <v>10</v>
      </c>
      <c r="F292" s="144">
        <v>800</v>
      </c>
      <c r="G292" s="116">
        <f>(F292*Settings!$E$15)</f>
        <v>688</v>
      </c>
      <c r="H292" s="113" t="s">
        <v>44</v>
      </c>
      <c r="I292" s="113" t="s">
        <v>46</v>
      </c>
      <c r="J292" s="115"/>
    </row>
    <row r="293" spans="3:10" x14ac:dyDescent="0.3">
      <c r="C293" s="112">
        <v>45581</v>
      </c>
      <c r="D293" s="113"/>
      <c r="E293" s="113"/>
      <c r="F293" s="144"/>
      <c r="G293" s="116"/>
      <c r="H293" s="113"/>
      <c r="I293" s="113"/>
      <c r="J293" s="115"/>
    </row>
    <row r="294" spans="3:10" x14ac:dyDescent="0.3">
      <c r="C294" s="112">
        <v>45582</v>
      </c>
      <c r="D294" s="113"/>
      <c r="E294" s="113"/>
      <c r="F294" s="144"/>
      <c r="G294" s="116"/>
      <c r="H294" s="113"/>
      <c r="I294" s="113"/>
      <c r="J294" s="115"/>
    </row>
    <row r="295" spans="3:10" x14ac:dyDescent="0.3">
      <c r="C295" s="112">
        <v>45583</v>
      </c>
      <c r="D295" s="113" t="s">
        <v>23</v>
      </c>
      <c r="E295" s="113" t="s">
        <v>34</v>
      </c>
      <c r="F295" s="144">
        <v>5000</v>
      </c>
      <c r="G295" s="116">
        <f>(F295*Settings!$E$15)</f>
        <v>4300</v>
      </c>
      <c r="H295" s="113" t="s">
        <v>44</v>
      </c>
      <c r="I295" s="113" t="s">
        <v>46</v>
      </c>
      <c r="J295" s="115"/>
    </row>
    <row r="296" spans="3:10" x14ac:dyDescent="0.3">
      <c r="C296" s="112">
        <v>45584</v>
      </c>
      <c r="D296" s="113"/>
      <c r="E296" s="113"/>
      <c r="F296" s="144"/>
      <c r="G296" s="116"/>
      <c r="H296" s="113"/>
      <c r="I296" s="113"/>
      <c r="J296" s="115"/>
    </row>
    <row r="297" spans="3:10" x14ac:dyDescent="0.3">
      <c r="C297" s="112">
        <v>45585</v>
      </c>
      <c r="D297" s="113"/>
      <c r="E297" s="113"/>
      <c r="F297" s="144"/>
      <c r="G297" s="116"/>
      <c r="H297" s="113"/>
      <c r="I297" s="113"/>
      <c r="J297" s="115"/>
    </row>
    <row r="298" spans="3:10" x14ac:dyDescent="0.3">
      <c r="C298" s="112">
        <v>45586</v>
      </c>
      <c r="D298" s="113" t="s">
        <v>24</v>
      </c>
      <c r="E298" s="113" t="s">
        <v>28</v>
      </c>
      <c r="F298" s="144">
        <v>1800</v>
      </c>
      <c r="G298" s="116">
        <f>(F298*Settings!$E$15)</f>
        <v>1548</v>
      </c>
      <c r="H298" s="113" t="s">
        <v>44</v>
      </c>
      <c r="I298" s="113" t="s">
        <v>46</v>
      </c>
      <c r="J298" s="115"/>
    </row>
    <row r="299" spans="3:10" x14ac:dyDescent="0.3">
      <c r="C299" s="112">
        <v>45587</v>
      </c>
      <c r="D299" s="113"/>
      <c r="E299" s="113"/>
      <c r="F299" s="144"/>
      <c r="G299" s="116"/>
      <c r="H299" s="113"/>
      <c r="I299" s="113"/>
      <c r="J299" s="115"/>
    </row>
    <row r="300" spans="3:10" x14ac:dyDescent="0.3">
      <c r="C300" s="112">
        <v>45588</v>
      </c>
      <c r="D300" s="113" t="s">
        <v>24</v>
      </c>
      <c r="E300" s="113" t="s">
        <v>31</v>
      </c>
      <c r="F300" s="144">
        <v>1800</v>
      </c>
      <c r="G300" s="116">
        <f>(F300*Settings!$E$15)</f>
        <v>1548</v>
      </c>
      <c r="H300" s="113" t="s">
        <v>45</v>
      </c>
      <c r="I300" s="113" t="s">
        <v>46</v>
      </c>
      <c r="J300" s="115"/>
    </row>
    <row r="301" spans="3:10" x14ac:dyDescent="0.3">
      <c r="C301" s="112">
        <v>45589</v>
      </c>
      <c r="D301" s="113"/>
      <c r="E301" s="113"/>
      <c r="F301" s="144"/>
      <c r="G301" s="116"/>
      <c r="H301" s="113"/>
      <c r="I301" s="113"/>
      <c r="J301" s="115"/>
    </row>
    <row r="302" spans="3:10" x14ac:dyDescent="0.3">
      <c r="C302" s="112">
        <v>45590</v>
      </c>
      <c r="D302" s="113" t="s">
        <v>24</v>
      </c>
      <c r="E302" s="113" t="s">
        <v>25</v>
      </c>
      <c r="F302" s="144">
        <v>60000</v>
      </c>
      <c r="G302" s="116">
        <f>(F302*Settings!$E$15)</f>
        <v>51600</v>
      </c>
      <c r="H302" s="113" t="s">
        <v>45</v>
      </c>
      <c r="I302" s="113" t="s">
        <v>46</v>
      </c>
      <c r="J302" s="115"/>
    </row>
    <row r="303" spans="3:10" x14ac:dyDescent="0.3">
      <c r="C303" s="112">
        <v>45591</v>
      </c>
      <c r="D303" s="113"/>
      <c r="E303" s="113"/>
      <c r="F303" s="144"/>
      <c r="G303" s="116"/>
      <c r="H303" s="113"/>
      <c r="I303" s="113"/>
      <c r="J303" s="115"/>
    </row>
    <row r="304" spans="3:10" x14ac:dyDescent="0.3">
      <c r="C304" s="112">
        <v>45592</v>
      </c>
      <c r="D304" s="113"/>
      <c r="E304" s="113"/>
      <c r="F304" s="144"/>
      <c r="G304" s="116"/>
      <c r="H304" s="113"/>
      <c r="I304" s="113"/>
      <c r="J304" s="115"/>
    </row>
    <row r="305" spans="3:10" x14ac:dyDescent="0.3">
      <c r="C305" s="112">
        <v>45593</v>
      </c>
      <c r="D305" s="113" t="s">
        <v>37</v>
      </c>
      <c r="E305" s="113" t="s">
        <v>38</v>
      </c>
      <c r="F305" s="144">
        <v>8000</v>
      </c>
      <c r="G305" s="116">
        <f>(F305*Settings!$E$15)</f>
        <v>6880</v>
      </c>
      <c r="H305" s="113" t="s">
        <v>44</v>
      </c>
      <c r="I305" s="113" t="s">
        <v>46</v>
      </c>
      <c r="J305" s="115"/>
    </row>
    <row r="306" spans="3:10" x14ac:dyDescent="0.3">
      <c r="C306" s="112">
        <v>45594</v>
      </c>
      <c r="D306" s="113"/>
      <c r="E306" s="113"/>
      <c r="F306" s="144"/>
      <c r="G306" s="116"/>
      <c r="H306" s="113"/>
      <c r="I306" s="113"/>
      <c r="J306" s="115"/>
    </row>
    <row r="307" spans="3:10" x14ac:dyDescent="0.3">
      <c r="C307" s="112">
        <v>45595</v>
      </c>
      <c r="D307" s="113"/>
      <c r="E307" s="113"/>
      <c r="F307" s="144"/>
      <c r="G307" s="116"/>
      <c r="H307" s="113"/>
      <c r="I307" s="113"/>
      <c r="J307" s="115"/>
    </row>
    <row r="308" spans="3:10" x14ac:dyDescent="0.3">
      <c r="C308" s="112">
        <v>45596</v>
      </c>
      <c r="D308" s="113" t="s">
        <v>24</v>
      </c>
      <c r="E308" s="113" t="s">
        <v>28</v>
      </c>
      <c r="F308" s="144">
        <v>600</v>
      </c>
      <c r="G308" s="116">
        <f>(F308*Settings!$E$15)</f>
        <v>516</v>
      </c>
      <c r="H308" s="113" t="s">
        <v>44</v>
      </c>
      <c r="I308" s="113" t="s">
        <v>48</v>
      </c>
      <c r="J308" s="115"/>
    </row>
    <row r="309" spans="3:10" x14ac:dyDescent="0.3">
      <c r="C309" s="112">
        <v>45597</v>
      </c>
      <c r="D309" s="113" t="s">
        <v>24</v>
      </c>
      <c r="E309" s="113" t="s">
        <v>26</v>
      </c>
      <c r="F309" s="144">
        <v>25000</v>
      </c>
      <c r="G309" s="116">
        <f>(F309*Settings!$E$15)</f>
        <v>21500</v>
      </c>
      <c r="H309" s="113" t="s">
        <v>44</v>
      </c>
      <c r="I309" s="113" t="s">
        <v>46</v>
      </c>
      <c r="J309" s="115"/>
    </row>
    <row r="310" spans="3:10" x14ac:dyDescent="0.3">
      <c r="C310" s="112">
        <v>45598</v>
      </c>
      <c r="D310" s="113" t="s">
        <v>24</v>
      </c>
      <c r="E310" s="113" t="s">
        <v>28</v>
      </c>
      <c r="F310" s="144">
        <v>1200</v>
      </c>
      <c r="G310" s="116">
        <f>(F310*Settings!$E$15)</f>
        <v>1032</v>
      </c>
      <c r="H310" s="113" t="s">
        <v>44</v>
      </c>
      <c r="I310" s="113" t="s">
        <v>46</v>
      </c>
      <c r="J310" s="115"/>
    </row>
    <row r="311" spans="3:10" x14ac:dyDescent="0.3">
      <c r="C311" s="112">
        <v>45599</v>
      </c>
      <c r="D311" s="113"/>
      <c r="E311" s="113"/>
      <c r="F311" s="144"/>
      <c r="G311" s="116"/>
      <c r="H311" s="113"/>
      <c r="I311" s="113"/>
      <c r="J311" s="115"/>
    </row>
    <row r="312" spans="3:10" x14ac:dyDescent="0.3">
      <c r="C312" s="112">
        <v>45600</v>
      </c>
      <c r="D312" s="113" t="s">
        <v>24</v>
      </c>
      <c r="E312" s="113" t="s">
        <v>27</v>
      </c>
      <c r="F312" s="144">
        <v>18000</v>
      </c>
      <c r="G312" s="116">
        <f>(F312*Settings!$E$15)</f>
        <v>15480</v>
      </c>
      <c r="H312" s="113" t="s">
        <v>44</v>
      </c>
      <c r="I312" s="113" t="s">
        <v>46</v>
      </c>
      <c r="J312" s="115"/>
    </row>
    <row r="313" spans="3:10" x14ac:dyDescent="0.3">
      <c r="C313" s="112">
        <v>45601</v>
      </c>
      <c r="D313" s="113"/>
      <c r="E313" s="113"/>
      <c r="F313" s="144"/>
      <c r="G313" s="116"/>
      <c r="H313" s="113"/>
      <c r="I313" s="113"/>
      <c r="J313" s="115"/>
    </row>
    <row r="314" spans="3:10" x14ac:dyDescent="0.3">
      <c r="C314" s="112">
        <v>45602</v>
      </c>
      <c r="D314" s="113" t="s">
        <v>24</v>
      </c>
      <c r="E314" s="113" t="s">
        <v>25</v>
      </c>
      <c r="F314" s="144">
        <v>15000</v>
      </c>
      <c r="G314" s="116">
        <f>(F314*Settings!$E$15)</f>
        <v>12900</v>
      </c>
      <c r="H314" s="113" t="s">
        <v>45</v>
      </c>
      <c r="I314" s="113" t="s">
        <v>46</v>
      </c>
      <c r="J314" s="115"/>
    </row>
    <row r="315" spans="3:10" x14ac:dyDescent="0.3">
      <c r="C315" s="112">
        <v>45603</v>
      </c>
      <c r="D315" s="113" t="s">
        <v>24</v>
      </c>
      <c r="E315" s="113" t="s">
        <v>25</v>
      </c>
      <c r="F315" s="144">
        <v>15000</v>
      </c>
      <c r="G315" s="116">
        <f>(F315*Settings!$E$15)</f>
        <v>12900</v>
      </c>
      <c r="H315" s="113" t="s">
        <v>45</v>
      </c>
      <c r="I315" s="113" t="s">
        <v>46</v>
      </c>
      <c r="J315" s="115"/>
    </row>
    <row r="316" spans="3:10" x14ac:dyDescent="0.3">
      <c r="C316" s="112">
        <v>45604</v>
      </c>
      <c r="D316" s="113"/>
      <c r="E316" s="113"/>
      <c r="F316" s="144"/>
      <c r="G316" s="116"/>
      <c r="H316" s="113"/>
      <c r="I316" s="113"/>
      <c r="J316" s="115"/>
    </row>
    <row r="317" spans="3:10" x14ac:dyDescent="0.3">
      <c r="C317" s="112">
        <v>45605</v>
      </c>
      <c r="D317" s="113" t="s">
        <v>23</v>
      </c>
      <c r="E317" s="113" t="s">
        <v>34</v>
      </c>
      <c r="F317" s="144">
        <v>8000</v>
      </c>
      <c r="G317" s="116">
        <f>(F317*Settings!$E$15)</f>
        <v>6880</v>
      </c>
      <c r="H317" s="113" t="s">
        <v>44</v>
      </c>
      <c r="I317" s="113" t="s">
        <v>46</v>
      </c>
      <c r="J317" s="115"/>
    </row>
    <row r="318" spans="3:10" x14ac:dyDescent="0.3">
      <c r="C318" s="112">
        <v>45606</v>
      </c>
      <c r="D318" s="113" t="s">
        <v>23</v>
      </c>
      <c r="E318" s="113" t="s">
        <v>33</v>
      </c>
      <c r="F318" s="144">
        <v>140000</v>
      </c>
      <c r="G318" s="116">
        <f>(F318*Settings!$E$15)</f>
        <v>120400</v>
      </c>
      <c r="H318" s="113" t="s">
        <v>45</v>
      </c>
      <c r="I318" s="113" t="s">
        <v>46</v>
      </c>
      <c r="J318" s="115"/>
    </row>
    <row r="319" spans="3:10" x14ac:dyDescent="0.3">
      <c r="C319" s="112">
        <v>45607</v>
      </c>
      <c r="D319" s="113" t="s">
        <v>37</v>
      </c>
      <c r="E319" s="113" t="s">
        <v>40</v>
      </c>
      <c r="F319" s="144">
        <v>300000</v>
      </c>
      <c r="G319" s="116">
        <f>(F319*Settings!$E$15)</f>
        <v>258000</v>
      </c>
      <c r="H319" s="113" t="s">
        <v>44</v>
      </c>
      <c r="I319" s="113" t="s">
        <v>46</v>
      </c>
      <c r="J319" s="115"/>
    </row>
    <row r="320" spans="3:10" x14ac:dyDescent="0.3">
      <c r="C320" s="112">
        <v>45608</v>
      </c>
      <c r="D320" s="113"/>
      <c r="E320" s="113"/>
      <c r="F320" s="144"/>
      <c r="G320" s="116"/>
      <c r="H320" s="113"/>
      <c r="I320" s="113"/>
      <c r="J320" s="115"/>
    </row>
    <row r="321" spans="3:10" x14ac:dyDescent="0.3">
      <c r="C321" s="112">
        <v>45609</v>
      </c>
      <c r="D321" s="113" t="s">
        <v>24</v>
      </c>
      <c r="E321" s="113" t="s">
        <v>29</v>
      </c>
      <c r="F321" s="144">
        <v>2800</v>
      </c>
      <c r="G321" s="116">
        <f>(F321*Settings!$E$15)</f>
        <v>2408</v>
      </c>
      <c r="H321" s="113" t="s">
        <v>45</v>
      </c>
      <c r="I321" s="113" t="s">
        <v>46</v>
      </c>
      <c r="J321" s="115"/>
    </row>
    <row r="322" spans="3:10" x14ac:dyDescent="0.3">
      <c r="C322" s="112">
        <v>45610</v>
      </c>
      <c r="D322" s="113"/>
      <c r="E322" s="113"/>
      <c r="F322" s="144"/>
      <c r="G322" s="116"/>
      <c r="H322" s="113"/>
      <c r="I322" s="113"/>
      <c r="J322" s="115"/>
    </row>
    <row r="323" spans="3:10" x14ac:dyDescent="0.3">
      <c r="C323" s="112">
        <v>45611</v>
      </c>
      <c r="D323" s="113" t="s">
        <v>24</v>
      </c>
      <c r="E323" s="113" t="s">
        <v>26</v>
      </c>
      <c r="F323" s="144">
        <v>80000</v>
      </c>
      <c r="G323" s="116">
        <f>(F323*Settings!$E$15)</f>
        <v>68800</v>
      </c>
      <c r="H323" s="113" t="s">
        <v>44</v>
      </c>
      <c r="I323" s="113" t="s">
        <v>46</v>
      </c>
      <c r="J323" s="115"/>
    </row>
    <row r="324" spans="3:10" x14ac:dyDescent="0.3">
      <c r="C324" s="112">
        <v>45612</v>
      </c>
      <c r="D324" s="113" t="s">
        <v>37</v>
      </c>
      <c r="E324" s="113" t="s">
        <v>43</v>
      </c>
      <c r="F324" s="144">
        <v>800</v>
      </c>
      <c r="G324" s="116">
        <f>(F324*Settings!$E$15)</f>
        <v>688</v>
      </c>
      <c r="H324" s="113" t="s">
        <v>45</v>
      </c>
      <c r="I324" s="113" t="s">
        <v>46</v>
      </c>
      <c r="J324" s="115"/>
    </row>
    <row r="325" spans="3:10" x14ac:dyDescent="0.3">
      <c r="C325" s="112">
        <v>45613</v>
      </c>
      <c r="D325" s="113"/>
      <c r="E325" s="113"/>
      <c r="F325" s="144"/>
      <c r="G325" s="116"/>
      <c r="H325" s="113"/>
      <c r="I325" s="113"/>
      <c r="J325" s="115"/>
    </row>
    <row r="326" spans="3:10" x14ac:dyDescent="0.3">
      <c r="C326" s="112">
        <v>45614</v>
      </c>
      <c r="D326" s="113" t="s">
        <v>24</v>
      </c>
      <c r="E326" s="113" t="s">
        <v>26</v>
      </c>
      <c r="F326" s="144">
        <v>40000</v>
      </c>
      <c r="G326" s="116">
        <f>(F326*Settings!$E$15)</f>
        <v>34400</v>
      </c>
      <c r="H326" s="113" t="s">
        <v>44</v>
      </c>
      <c r="I326" s="113" t="s">
        <v>46</v>
      </c>
      <c r="J326" s="115"/>
    </row>
    <row r="327" spans="3:10" x14ac:dyDescent="0.3">
      <c r="C327" s="112">
        <v>45615</v>
      </c>
      <c r="D327" s="113"/>
      <c r="E327" s="113"/>
      <c r="F327" s="144"/>
      <c r="G327" s="116"/>
      <c r="H327" s="113"/>
      <c r="I327" s="113"/>
      <c r="J327" s="115"/>
    </row>
    <row r="328" spans="3:10" x14ac:dyDescent="0.3">
      <c r="C328" s="112">
        <v>45616</v>
      </c>
      <c r="D328" s="113" t="s">
        <v>24</v>
      </c>
      <c r="E328" s="113" t="s">
        <v>25</v>
      </c>
      <c r="F328" s="144">
        <v>180000</v>
      </c>
      <c r="G328" s="116">
        <f>(F328*Settings!$E$15)</f>
        <v>154800</v>
      </c>
      <c r="H328" s="113" t="s">
        <v>45</v>
      </c>
      <c r="I328" s="113" t="s">
        <v>46</v>
      </c>
      <c r="J328" s="115"/>
    </row>
    <row r="329" spans="3:10" x14ac:dyDescent="0.3">
      <c r="C329" s="112">
        <v>45617</v>
      </c>
      <c r="D329" s="113"/>
      <c r="E329" s="113"/>
      <c r="F329" s="144"/>
      <c r="G329" s="116"/>
      <c r="H329" s="113"/>
      <c r="I329" s="113"/>
      <c r="J329" s="115"/>
    </row>
    <row r="330" spans="3:10" x14ac:dyDescent="0.3">
      <c r="C330" s="112">
        <v>45618</v>
      </c>
      <c r="D330" s="113"/>
      <c r="E330" s="113"/>
      <c r="F330" s="144"/>
      <c r="G330" s="116"/>
      <c r="H330" s="113"/>
      <c r="I330" s="113"/>
      <c r="J330" s="115"/>
    </row>
    <row r="331" spans="3:10" x14ac:dyDescent="0.3">
      <c r="C331" s="112">
        <v>45619</v>
      </c>
      <c r="D331" s="113"/>
      <c r="E331" s="113"/>
      <c r="F331" s="144"/>
      <c r="G331" s="116"/>
      <c r="H331" s="113"/>
      <c r="I331" s="113"/>
      <c r="J331" s="115"/>
    </row>
    <row r="332" spans="3:10" x14ac:dyDescent="0.3">
      <c r="C332" s="112">
        <v>45620</v>
      </c>
      <c r="D332" s="113" t="s">
        <v>24</v>
      </c>
      <c r="E332" s="113" t="s">
        <v>28</v>
      </c>
      <c r="F332" s="144">
        <v>1500</v>
      </c>
      <c r="G332" s="116">
        <f>(F332*Settings!$E$15)</f>
        <v>1290</v>
      </c>
      <c r="H332" s="113" t="s">
        <v>44</v>
      </c>
      <c r="I332" s="113" t="s">
        <v>46</v>
      </c>
      <c r="J332" s="115"/>
    </row>
    <row r="333" spans="3:10" x14ac:dyDescent="0.3">
      <c r="C333" s="112">
        <v>45621</v>
      </c>
      <c r="D333" s="113"/>
      <c r="E333" s="113"/>
      <c r="F333" s="144"/>
      <c r="G333" s="116"/>
      <c r="H333" s="113"/>
      <c r="I333" s="113"/>
      <c r="J333" s="115"/>
    </row>
    <row r="334" spans="3:10" x14ac:dyDescent="0.3">
      <c r="C334" s="112">
        <v>45622</v>
      </c>
      <c r="D334" s="113"/>
      <c r="E334" s="113"/>
      <c r="F334" s="144"/>
      <c r="G334" s="116"/>
      <c r="H334" s="113"/>
      <c r="I334" s="113"/>
      <c r="J334" s="115"/>
    </row>
    <row r="335" spans="3:10" x14ac:dyDescent="0.3">
      <c r="C335" s="112">
        <v>45623</v>
      </c>
      <c r="D335" s="113"/>
      <c r="E335" s="113"/>
      <c r="F335" s="144"/>
      <c r="G335" s="116"/>
      <c r="H335" s="113"/>
      <c r="I335" s="113"/>
      <c r="J335" s="115"/>
    </row>
    <row r="336" spans="3:10" x14ac:dyDescent="0.3">
      <c r="C336" s="112">
        <v>45624</v>
      </c>
      <c r="D336" s="113"/>
      <c r="E336" s="113"/>
      <c r="F336" s="144"/>
      <c r="G336" s="116"/>
      <c r="H336" s="113"/>
      <c r="I336" s="113"/>
      <c r="J336" s="115"/>
    </row>
    <row r="337" spans="3:10" x14ac:dyDescent="0.3">
      <c r="C337" s="112">
        <v>45625</v>
      </c>
      <c r="D337" s="113" t="s">
        <v>24</v>
      </c>
      <c r="E337" s="113" t="s">
        <v>29</v>
      </c>
      <c r="F337" s="144">
        <v>2600</v>
      </c>
      <c r="G337" s="116">
        <f>(F337*Settings!$E$15)</f>
        <v>2236</v>
      </c>
      <c r="H337" s="113" t="s">
        <v>45</v>
      </c>
      <c r="I337" s="113" t="s">
        <v>46</v>
      </c>
      <c r="J337" s="115"/>
    </row>
    <row r="338" spans="3:10" x14ac:dyDescent="0.3">
      <c r="C338" s="112">
        <v>45626</v>
      </c>
      <c r="D338" s="113"/>
      <c r="E338" s="113"/>
      <c r="F338" s="144"/>
      <c r="G338" s="116"/>
      <c r="H338" s="113"/>
      <c r="I338" s="113"/>
      <c r="J338" s="115"/>
    </row>
    <row r="339" spans="3:10" x14ac:dyDescent="0.3">
      <c r="C339" s="112">
        <v>45627</v>
      </c>
      <c r="D339" s="113" t="s">
        <v>37</v>
      </c>
      <c r="E339" s="113" t="s">
        <v>41</v>
      </c>
      <c r="F339" s="144">
        <v>45000</v>
      </c>
      <c r="G339" s="116">
        <f>(F339*Settings!$E$15)</f>
        <v>38700</v>
      </c>
      <c r="H339" s="113" t="s">
        <v>44</v>
      </c>
      <c r="I339" s="113" t="s">
        <v>46</v>
      </c>
      <c r="J339" s="115"/>
    </row>
    <row r="340" spans="3:10" x14ac:dyDescent="0.3">
      <c r="C340" s="112">
        <v>45628</v>
      </c>
      <c r="D340" s="113"/>
      <c r="E340" s="113"/>
      <c r="F340" s="144"/>
      <c r="G340" s="116"/>
      <c r="H340" s="113"/>
      <c r="I340" s="113"/>
      <c r="J340" s="115"/>
    </row>
    <row r="341" spans="3:10" x14ac:dyDescent="0.3">
      <c r="C341" s="112">
        <v>45629</v>
      </c>
      <c r="D341" s="113" t="s">
        <v>24</v>
      </c>
      <c r="E341" s="113" t="s">
        <v>26</v>
      </c>
      <c r="F341" s="144">
        <v>15000</v>
      </c>
      <c r="G341" s="116">
        <f>(F341*Settings!$E$15)</f>
        <v>12900</v>
      </c>
      <c r="H341" s="113" t="s">
        <v>44</v>
      </c>
      <c r="I341" s="113" t="s">
        <v>46</v>
      </c>
      <c r="J341" s="115"/>
    </row>
    <row r="342" spans="3:10" x14ac:dyDescent="0.3">
      <c r="C342" s="112">
        <v>45630</v>
      </c>
      <c r="D342" s="113"/>
      <c r="E342" s="113"/>
      <c r="F342" s="144"/>
      <c r="G342" s="116"/>
      <c r="H342" s="113"/>
      <c r="I342" s="113"/>
      <c r="J342" s="115"/>
    </row>
    <row r="343" spans="3:10" x14ac:dyDescent="0.3">
      <c r="C343" s="112">
        <v>45631</v>
      </c>
      <c r="D343" s="113" t="s">
        <v>24</v>
      </c>
      <c r="E343" s="113" t="s">
        <v>25</v>
      </c>
      <c r="F343" s="144">
        <v>25000</v>
      </c>
      <c r="G343" s="116">
        <f>(F343*Settings!$E$15)</f>
        <v>21500</v>
      </c>
      <c r="H343" s="113" t="s">
        <v>45</v>
      </c>
      <c r="I343" s="113" t="s">
        <v>46</v>
      </c>
      <c r="J343" s="115"/>
    </row>
    <row r="344" spans="3:10" x14ac:dyDescent="0.3">
      <c r="C344" s="112">
        <v>45632</v>
      </c>
      <c r="D344" s="113" t="s">
        <v>23</v>
      </c>
      <c r="E344" s="113" t="s">
        <v>10</v>
      </c>
      <c r="F344" s="144">
        <v>650</v>
      </c>
      <c r="G344" s="116">
        <f>(F344*Settings!$E$15)</f>
        <v>559</v>
      </c>
      <c r="H344" s="113" t="s">
        <v>44</v>
      </c>
      <c r="I344" s="113" t="s">
        <v>46</v>
      </c>
      <c r="J344" s="115"/>
    </row>
    <row r="345" spans="3:10" x14ac:dyDescent="0.3">
      <c r="C345" s="112">
        <v>45633</v>
      </c>
      <c r="D345" s="113"/>
      <c r="E345" s="113"/>
      <c r="F345" s="144"/>
      <c r="G345" s="116"/>
      <c r="H345" s="113"/>
      <c r="I345" s="113"/>
      <c r="J345" s="115"/>
    </row>
    <row r="346" spans="3:10" x14ac:dyDescent="0.3">
      <c r="C346" s="112">
        <v>45634</v>
      </c>
      <c r="D346" s="113" t="s">
        <v>24</v>
      </c>
      <c r="E346" s="113" t="s">
        <v>26</v>
      </c>
      <c r="F346" s="144">
        <v>45000</v>
      </c>
      <c r="G346" s="116">
        <f>(F346*Settings!$E$15)</f>
        <v>38700</v>
      </c>
      <c r="H346" s="113" t="s">
        <v>44</v>
      </c>
      <c r="I346" s="113" t="s">
        <v>46</v>
      </c>
      <c r="J346" s="115"/>
    </row>
    <row r="347" spans="3:10" x14ac:dyDescent="0.3">
      <c r="C347" s="112">
        <v>45635</v>
      </c>
      <c r="D347" s="113" t="s">
        <v>24</v>
      </c>
      <c r="E347" s="113" t="s">
        <v>26</v>
      </c>
      <c r="F347" s="144">
        <v>15000</v>
      </c>
      <c r="G347" s="116">
        <f>(F347*Settings!$E$15)</f>
        <v>12900</v>
      </c>
      <c r="H347" s="113" t="s">
        <v>44</v>
      </c>
      <c r="I347" s="113" t="s">
        <v>46</v>
      </c>
      <c r="J347" s="115"/>
    </row>
    <row r="348" spans="3:10" x14ac:dyDescent="0.3">
      <c r="C348" s="112">
        <v>45636</v>
      </c>
      <c r="D348" s="113"/>
      <c r="E348" s="113"/>
      <c r="F348" s="144"/>
      <c r="G348" s="116"/>
      <c r="H348" s="113"/>
      <c r="I348" s="113"/>
      <c r="J348" s="115"/>
    </row>
    <row r="349" spans="3:10" x14ac:dyDescent="0.3">
      <c r="C349" s="112">
        <v>45637</v>
      </c>
      <c r="D349" s="113" t="s">
        <v>24</v>
      </c>
      <c r="E349" s="113" t="s">
        <v>27</v>
      </c>
      <c r="F349" s="144">
        <v>20000</v>
      </c>
      <c r="G349" s="116">
        <f>(F349*Settings!$E$15)</f>
        <v>17200</v>
      </c>
      <c r="H349" s="113" t="s">
        <v>44</v>
      </c>
      <c r="I349" s="113" t="s">
        <v>46</v>
      </c>
      <c r="J349" s="115"/>
    </row>
    <row r="350" spans="3:10" x14ac:dyDescent="0.3">
      <c r="C350" s="112">
        <v>45638</v>
      </c>
      <c r="D350" s="113" t="s">
        <v>24</v>
      </c>
      <c r="E350" s="113" t="s">
        <v>28</v>
      </c>
      <c r="F350" s="144">
        <v>1800</v>
      </c>
      <c r="G350" s="116">
        <f>(F350*Settings!$E$15)</f>
        <v>1548</v>
      </c>
      <c r="H350" s="113" t="s">
        <v>44</v>
      </c>
      <c r="I350" s="113" t="s">
        <v>46</v>
      </c>
      <c r="J350" s="115"/>
    </row>
    <row r="351" spans="3:10" x14ac:dyDescent="0.3">
      <c r="C351" s="112">
        <v>45639</v>
      </c>
      <c r="D351" s="113" t="s">
        <v>23</v>
      </c>
      <c r="E351" s="113" t="s">
        <v>10</v>
      </c>
      <c r="F351" s="144">
        <v>100</v>
      </c>
      <c r="G351" s="116">
        <f>(F351*Settings!$E$15)</f>
        <v>86</v>
      </c>
      <c r="H351" s="113" t="s">
        <v>44</v>
      </c>
      <c r="I351" s="113" t="s">
        <v>46</v>
      </c>
      <c r="J351" s="115"/>
    </row>
    <row r="352" spans="3:10" x14ac:dyDescent="0.3">
      <c r="C352" s="112">
        <v>45640</v>
      </c>
      <c r="D352" s="113"/>
      <c r="E352" s="113"/>
      <c r="F352" s="144"/>
      <c r="G352" s="116"/>
      <c r="H352" s="113"/>
      <c r="I352" s="113"/>
      <c r="J352" s="115"/>
    </row>
    <row r="353" spans="3:10" x14ac:dyDescent="0.3">
      <c r="C353" s="112">
        <v>45641</v>
      </c>
      <c r="D353" s="113"/>
      <c r="E353" s="113"/>
      <c r="F353" s="144"/>
      <c r="G353" s="116"/>
      <c r="H353" s="113"/>
      <c r="I353" s="113"/>
      <c r="J353" s="115"/>
    </row>
    <row r="354" spans="3:10" x14ac:dyDescent="0.3">
      <c r="C354" s="112">
        <v>45642</v>
      </c>
      <c r="D354" s="113"/>
      <c r="E354" s="113"/>
      <c r="F354" s="144"/>
      <c r="G354" s="116"/>
      <c r="H354" s="113"/>
      <c r="I354" s="113"/>
      <c r="J354" s="115"/>
    </row>
    <row r="355" spans="3:10" x14ac:dyDescent="0.3">
      <c r="C355" s="112">
        <v>45643</v>
      </c>
      <c r="D355" s="113" t="s">
        <v>24</v>
      </c>
      <c r="E355" s="113" t="s">
        <v>25</v>
      </c>
      <c r="F355" s="144">
        <v>40000</v>
      </c>
      <c r="G355" s="116">
        <f>(F355*Settings!$E$15)</f>
        <v>34400</v>
      </c>
      <c r="H355" s="113" t="s">
        <v>45</v>
      </c>
      <c r="I355" s="113" t="s">
        <v>46</v>
      </c>
      <c r="J355" s="115"/>
    </row>
    <row r="356" spans="3:10" x14ac:dyDescent="0.3">
      <c r="C356" s="112">
        <v>45644</v>
      </c>
      <c r="D356" s="113" t="s">
        <v>24</v>
      </c>
      <c r="E356" s="113" t="s">
        <v>25</v>
      </c>
      <c r="F356" s="144">
        <v>5000</v>
      </c>
      <c r="G356" s="116">
        <f>(F356*Settings!$E$15)</f>
        <v>4300</v>
      </c>
      <c r="H356" s="113" t="s">
        <v>45</v>
      </c>
      <c r="I356" s="113" t="s">
        <v>46</v>
      </c>
      <c r="J356" s="115"/>
    </row>
    <row r="357" spans="3:10" x14ac:dyDescent="0.3">
      <c r="C357" s="112">
        <v>45645</v>
      </c>
      <c r="D357" s="113"/>
      <c r="E357" s="113"/>
      <c r="F357" s="144"/>
      <c r="G357" s="116"/>
      <c r="H357" s="113"/>
      <c r="I357" s="113"/>
      <c r="J357" s="115"/>
    </row>
    <row r="358" spans="3:10" x14ac:dyDescent="0.3">
      <c r="C358" s="112">
        <v>45646</v>
      </c>
      <c r="D358" s="113"/>
      <c r="E358" s="113"/>
      <c r="F358" s="144"/>
      <c r="G358" s="116"/>
      <c r="H358" s="113"/>
      <c r="I358" s="113"/>
      <c r="J358" s="115"/>
    </row>
    <row r="359" spans="3:10" x14ac:dyDescent="0.3">
      <c r="C359" s="112">
        <v>45647</v>
      </c>
      <c r="D359" s="113" t="s">
        <v>37</v>
      </c>
      <c r="E359" s="113" t="s">
        <v>40</v>
      </c>
      <c r="F359" s="144">
        <v>20000</v>
      </c>
      <c r="G359" s="116">
        <f>(F359*Settings!$E$15)</f>
        <v>17200</v>
      </c>
      <c r="H359" s="113" t="s">
        <v>44</v>
      </c>
      <c r="I359" s="113" t="s">
        <v>46</v>
      </c>
      <c r="J359" s="115"/>
    </row>
    <row r="360" spans="3:10" x14ac:dyDescent="0.3">
      <c r="C360" s="112">
        <v>45648</v>
      </c>
      <c r="D360" s="113" t="s">
        <v>24</v>
      </c>
      <c r="E360" s="113" t="s">
        <v>28</v>
      </c>
      <c r="F360" s="144">
        <v>2000</v>
      </c>
      <c r="G360" s="116">
        <f>(F360*Settings!$E$15)</f>
        <v>1720</v>
      </c>
      <c r="H360" s="113" t="s">
        <v>44</v>
      </c>
      <c r="I360" s="113" t="s">
        <v>46</v>
      </c>
      <c r="J360" s="115"/>
    </row>
    <row r="361" spans="3:10" x14ac:dyDescent="0.3">
      <c r="C361" s="112">
        <v>45649</v>
      </c>
      <c r="D361" s="113"/>
      <c r="E361" s="113"/>
      <c r="F361" s="144"/>
      <c r="G361" s="116"/>
      <c r="H361" s="113"/>
      <c r="I361" s="113"/>
      <c r="J361" s="115"/>
    </row>
    <row r="362" spans="3:10" x14ac:dyDescent="0.3">
      <c r="C362" s="112">
        <v>45650</v>
      </c>
      <c r="D362" s="113" t="s">
        <v>37</v>
      </c>
      <c r="E362" s="113" t="s">
        <v>39</v>
      </c>
      <c r="F362" s="144">
        <v>25000</v>
      </c>
      <c r="G362" s="116">
        <f>(F362*Settings!$E$15)</f>
        <v>21500</v>
      </c>
      <c r="H362" s="113" t="s">
        <v>45</v>
      </c>
      <c r="I362" s="113" t="s">
        <v>46</v>
      </c>
      <c r="J362" s="115"/>
    </row>
    <row r="363" spans="3:10" x14ac:dyDescent="0.3">
      <c r="C363" s="112">
        <v>45651</v>
      </c>
      <c r="D363" s="113"/>
      <c r="E363" s="113"/>
      <c r="F363" s="144"/>
      <c r="G363" s="116"/>
      <c r="H363" s="113"/>
      <c r="I363" s="113"/>
      <c r="J363" s="115"/>
    </row>
    <row r="364" spans="3:10" x14ac:dyDescent="0.3">
      <c r="C364" s="112">
        <v>45652</v>
      </c>
      <c r="D364" s="113" t="s">
        <v>24</v>
      </c>
      <c r="E364" s="113" t="s">
        <v>25</v>
      </c>
      <c r="F364" s="144">
        <v>18000</v>
      </c>
      <c r="G364" s="116">
        <f>(F364*Settings!$E$15)</f>
        <v>15480</v>
      </c>
      <c r="H364" s="113" t="s">
        <v>44</v>
      </c>
      <c r="I364" s="113" t="s">
        <v>46</v>
      </c>
      <c r="J364" s="115"/>
    </row>
    <row r="365" spans="3:10" x14ac:dyDescent="0.3">
      <c r="C365" s="112">
        <v>45653</v>
      </c>
      <c r="D365" s="113"/>
      <c r="E365" s="113"/>
      <c r="F365" s="144"/>
      <c r="G365" s="116"/>
      <c r="H365" s="113"/>
      <c r="I365" s="113"/>
      <c r="J365" s="115"/>
    </row>
    <row r="366" spans="3:10" x14ac:dyDescent="0.3">
      <c r="C366" s="112">
        <v>45654</v>
      </c>
      <c r="D366" s="113" t="s">
        <v>24</v>
      </c>
      <c r="E366" s="113" t="s">
        <v>26</v>
      </c>
      <c r="F366" s="144">
        <v>30000</v>
      </c>
      <c r="G366" s="116">
        <f>(F366*Settings!$E$15)</f>
        <v>25800</v>
      </c>
      <c r="H366" s="113" t="s">
        <v>44</v>
      </c>
      <c r="I366" s="113" t="s">
        <v>46</v>
      </c>
      <c r="J366" s="115"/>
    </row>
    <row r="367" spans="3:10" x14ac:dyDescent="0.3">
      <c r="C367" s="112">
        <v>45655</v>
      </c>
      <c r="D367" s="113"/>
      <c r="E367" s="113"/>
      <c r="F367" s="144"/>
      <c r="G367" s="116"/>
      <c r="H367" s="113"/>
      <c r="I367" s="113"/>
      <c r="J367" s="115"/>
    </row>
    <row r="368" spans="3:10" x14ac:dyDescent="0.3">
      <c r="C368" s="112">
        <v>45656</v>
      </c>
      <c r="D368" s="113" t="s">
        <v>24</v>
      </c>
      <c r="E368" s="113" t="s">
        <v>30</v>
      </c>
      <c r="F368" s="144">
        <v>11800</v>
      </c>
      <c r="G368" s="116">
        <f>(F368*Settings!$E$15)</f>
        <v>10148</v>
      </c>
      <c r="H368" s="113" t="s">
        <v>44</v>
      </c>
      <c r="I368" s="113" t="s">
        <v>46</v>
      </c>
      <c r="J368" s="115"/>
    </row>
    <row r="369" spans="3:10" x14ac:dyDescent="0.3">
      <c r="C369" s="117">
        <v>45657</v>
      </c>
      <c r="D369" s="118"/>
      <c r="E369" s="118"/>
      <c r="F369" s="145"/>
      <c r="G369" s="116"/>
      <c r="H369" s="118"/>
      <c r="I369" s="118"/>
      <c r="J369" s="119"/>
    </row>
    <row r="370" spans="3:10" x14ac:dyDescent="0.3">
      <c r="C370" s="18"/>
    </row>
  </sheetData>
  <sheetProtection algorithmName="SHA-512" hashValue="q8bj+6PkFsoFMOAwkYm/8yC7PwldeEJPGxmMGB/dxtPpxiv3pANX5/C8BDu5LrBtX/j0Y8Iw36vYpAu50l9oaA==" saltValue="vVED75do71P3jnn2W+/q3Q==" spinCount="100000" sheet="1" objects="1" scenarios="1"/>
  <conditionalFormatting sqref="E4:E1048576">
    <cfRule type="expression" dxfId="16" priority="4">
      <formula>ISNA(MATCH(E4, INDIRECT(D4),0))</formula>
    </cfRule>
  </conditionalFormatting>
  <conditionalFormatting sqref="F4:F1048576">
    <cfRule type="expression" dxfId="15" priority="2">
      <formula>$H4="Inflow"</formula>
    </cfRule>
  </conditionalFormatting>
  <conditionalFormatting sqref="G4:G1048576">
    <cfRule type="expression" dxfId="14" priority="1">
      <formula>H4="Inflow"</formula>
    </cfRule>
  </conditionalFormatting>
  <dataValidations count="4">
    <dataValidation type="list" allowBlank="1" showInputMessage="1" showErrorMessage="1" sqref="D4:D369" xr:uid="{6769C894-E587-4A31-ADF6-5C5CABB4D393}">
      <formula1>"Operating, Financing, Investing"</formula1>
    </dataValidation>
    <dataValidation type="list" allowBlank="1" showInputMessage="1" showErrorMessage="1" sqref="E4:E1048576" xr:uid="{B4F0E2AB-1873-4990-9BA7-8A01ADB40313}">
      <formula1>INDIRECT(D4)</formula1>
    </dataValidation>
    <dataValidation type="list" allowBlank="1" showInputMessage="1" showErrorMessage="1" sqref="H4:H1048576" xr:uid="{8C5C2778-DA37-4B30-B2E6-019B5E1D0124}">
      <formula1>"Inflow, Outflow"</formula1>
    </dataValidation>
    <dataValidation type="list" allowBlank="1" showInputMessage="1" showErrorMessage="1" sqref="I4:I1048576" xr:uid="{2FEAFDA0-4F31-44B4-B3EE-EC634F25659F}">
      <formula1>"Bank Transfer, Wire Transfer, Cash"</formula1>
    </dataValidation>
  </dataValidations>
  <pageMargins left="0.7" right="0.7" top="0.75" bottom="0.75" header="0.3" footer="0.3"/>
  <ignoredErrors>
    <ignoredError sqref="G4:G368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D6FE-7AF9-48BD-98CF-C72E4200EC68}">
  <dimension ref="B2:Q51"/>
  <sheetViews>
    <sheetView topLeftCell="B1" workbookViewId="0">
      <selection activeCell="O12" sqref="O12"/>
    </sheetView>
  </sheetViews>
  <sheetFormatPr defaultRowHeight="14.4" x14ac:dyDescent="0.3"/>
  <cols>
    <col min="2" max="2" width="24.109375" style="17" bestFit="1" customWidth="1"/>
    <col min="3" max="4" width="12.33203125" bestFit="1" customWidth="1"/>
    <col min="5" max="5" width="10.88671875" bestFit="1" customWidth="1"/>
    <col min="6" max="6" width="12.33203125" bestFit="1" customWidth="1"/>
    <col min="7" max="7" width="10.88671875" bestFit="1" customWidth="1"/>
    <col min="8" max="8" width="12.33203125" bestFit="1" customWidth="1"/>
    <col min="9" max="9" width="10.88671875" bestFit="1" customWidth="1"/>
    <col min="10" max="11" width="12.33203125" bestFit="1" customWidth="1"/>
    <col min="12" max="12" width="10.88671875" bestFit="1" customWidth="1"/>
    <col min="13" max="14" width="12.33203125" bestFit="1" customWidth="1"/>
    <col min="16" max="16" width="12.33203125" bestFit="1" customWidth="1"/>
  </cols>
  <sheetData>
    <row r="2" spans="2:17" x14ac:dyDescent="0.3">
      <c r="B2" s="39" t="s">
        <v>98</v>
      </c>
      <c r="C2" s="31" t="s">
        <v>53</v>
      </c>
      <c r="D2" s="31" t="s">
        <v>54</v>
      </c>
      <c r="E2" s="31" t="s">
        <v>55</v>
      </c>
      <c r="F2" s="31" t="s">
        <v>56</v>
      </c>
      <c r="G2" s="31" t="s">
        <v>57</v>
      </c>
      <c r="H2" s="31" t="s">
        <v>58</v>
      </c>
      <c r="I2" s="31" t="s">
        <v>59</v>
      </c>
      <c r="J2" s="31" t="s">
        <v>60</v>
      </c>
      <c r="K2" s="31" t="s">
        <v>61</v>
      </c>
      <c r="L2" s="31" t="s">
        <v>62</v>
      </c>
      <c r="M2" s="31" t="s">
        <v>63</v>
      </c>
      <c r="N2" s="32" t="s">
        <v>64</v>
      </c>
    </row>
    <row r="3" spans="2:17" x14ac:dyDescent="0.3">
      <c r="B3" s="40" t="s">
        <v>13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</row>
    <row r="4" spans="2:17" x14ac:dyDescent="0.3">
      <c r="B4" s="41" t="s">
        <v>24</v>
      </c>
      <c r="C4" s="37">
        <f>COUNTIF('Monthly Analysis'!$E$10:$E$40,Calculations!B4)</f>
        <v>24</v>
      </c>
      <c r="D4" s="37">
        <f>COUNTIF('Monthly Analysis'!$K$10:$K$38,Calculations!B4)</f>
        <v>17</v>
      </c>
      <c r="E4" s="37">
        <f>COUNTIF('Monthly Analysis'!$Q$10:$Q$40,Calculations!B4)</f>
        <v>9</v>
      </c>
      <c r="F4" s="37">
        <f>COUNTIF('Monthly Analysis'!$W$10:$W$39,Calculations!B4)</f>
        <v>8</v>
      </c>
      <c r="G4" s="37">
        <f>COUNTIF('Monthly Analysis'!$AC$10:$AC$40,Calculations!B4)</f>
        <v>9</v>
      </c>
      <c r="H4" s="37">
        <f>COUNTIF('Monthly Analysis'!$AI$10:$AI$39,Calculations!B4)</f>
        <v>9</v>
      </c>
      <c r="I4" s="37">
        <f>COUNTIF('Monthly Analysis'!$AO$10:$AO$40,Calculations!B4)</f>
        <v>9</v>
      </c>
      <c r="J4" s="37">
        <f>COUNTIF('Monthly Analysis'!$AU$10:$AU$40,Calculations!B4)</f>
        <v>12</v>
      </c>
      <c r="K4" s="37">
        <f>COUNTIF('Monthly Analysis'!$BA$10:$BA$39,Calculations!B4)</f>
        <v>9</v>
      </c>
      <c r="L4" s="37">
        <f>COUNTIF('Monthly Analysis'!$BG$10:$BG$40,Calculations!B4)</f>
        <v>10</v>
      </c>
      <c r="M4" s="37">
        <f>COUNTIF('Monthly Analysis'!$BM$10:$BM$39,Calculations!B4)</f>
        <v>11</v>
      </c>
      <c r="N4" s="38">
        <f>COUNTIF('Monthly Analysis'!$BS$10:$BS$40,Calculations!B4)</f>
        <v>12</v>
      </c>
    </row>
    <row r="5" spans="2:17" x14ac:dyDescent="0.3">
      <c r="B5" s="41" t="s">
        <v>23</v>
      </c>
      <c r="C5" s="37">
        <f>COUNTIF('Monthly Analysis'!$E$10:$E$40,Calculations!B5)</f>
        <v>2</v>
      </c>
      <c r="D5" s="37">
        <f>COUNTIF('Monthly Analysis'!$K$10:$K$38,Calculations!B5)</f>
        <v>3</v>
      </c>
      <c r="E5" s="37">
        <f>COUNTIF('Monthly Analysis'!$Q$10:$Q$40,Calculations!B5)</f>
        <v>3</v>
      </c>
      <c r="F5" s="37">
        <f>COUNTIF('Monthly Analysis'!$W$10:$W$39,Calculations!B5)</f>
        <v>2</v>
      </c>
      <c r="G5" s="37">
        <f>COUNTIF('Monthly Analysis'!$AC$10:$AC$40,Calculations!B5)</f>
        <v>2</v>
      </c>
      <c r="H5" s="37">
        <f>COUNTIF('Monthly Analysis'!$AI$10:$AI$39,Calculations!B5)</f>
        <v>3</v>
      </c>
      <c r="I5" s="37">
        <f>COUNTIF('Monthly Analysis'!$AO$10:$AO$40,Calculations!B5)</f>
        <v>1</v>
      </c>
      <c r="J5" s="37">
        <f>COUNTIF('Monthly Analysis'!$AU$10:$AU$40,Calculations!B5)</f>
        <v>1</v>
      </c>
      <c r="K5" s="37">
        <f>COUNTIF('Monthly Analysis'!$BA$10:$BA$39,Calculations!B5)</f>
        <v>2</v>
      </c>
      <c r="L5" s="37">
        <f>COUNTIF('Monthly Analysis'!$BG$10:$BG$40,Calculations!B5)</f>
        <v>3</v>
      </c>
      <c r="M5" s="37">
        <f>COUNTIF('Monthly Analysis'!$BM$10:$BM$39,Calculations!B5)</f>
        <v>2</v>
      </c>
      <c r="N5" s="38">
        <f>COUNTIF('Monthly Analysis'!$BS$10:$BS$40,Calculations!B5)</f>
        <v>2</v>
      </c>
    </row>
    <row r="6" spans="2:17" x14ac:dyDescent="0.3">
      <c r="B6" s="41" t="s">
        <v>37</v>
      </c>
      <c r="C6" s="37">
        <f>COUNTIF('Monthly Analysis'!$E$10:$E$40,Calculations!B6)</f>
        <v>5</v>
      </c>
      <c r="D6" s="37">
        <f>COUNTIF('Monthly Analysis'!$K$10:$K$38,Calculations!B6)</f>
        <v>3</v>
      </c>
      <c r="E6" s="37">
        <f>COUNTIF('Monthly Analysis'!$Q$10:$Q$40,Calculations!B6)</f>
        <v>1</v>
      </c>
      <c r="F6" s="37">
        <f>COUNTIF('Monthly Analysis'!$W$10:$W$39,Calculations!B6)</f>
        <v>2</v>
      </c>
      <c r="G6" s="37">
        <f>COUNTIF('Monthly Analysis'!$AC$10:$AC$40,Calculations!B6)</f>
        <v>3</v>
      </c>
      <c r="H6" s="37">
        <f>COUNTIF('Monthly Analysis'!$AI$10:$AI$39,Calculations!B6)</f>
        <v>2</v>
      </c>
      <c r="I6" s="37">
        <f>COUNTIF('Monthly Analysis'!$AO$10:$AO$40,Calculations!B6)</f>
        <v>4</v>
      </c>
      <c r="J6" s="37">
        <f>COUNTIF('Monthly Analysis'!$AU$10:$AU$40,Calculations!B6)</f>
        <v>2</v>
      </c>
      <c r="K6" s="37">
        <f>COUNTIF('Monthly Analysis'!$BA$10:$BA$39,Calculations!B6)</f>
        <v>3</v>
      </c>
      <c r="L6" s="37">
        <f>COUNTIF('Monthly Analysis'!$BG$10:$BG$40,Calculations!B6)</f>
        <v>2</v>
      </c>
      <c r="M6" s="37">
        <f>COUNTIF('Monthly Analysis'!$BM$10:$BM$39,Calculations!B6)</f>
        <v>2</v>
      </c>
      <c r="N6" s="38">
        <f>COUNTIF('Monthly Analysis'!$BS$10:$BS$40,Calculations!B6)</f>
        <v>3</v>
      </c>
    </row>
    <row r="7" spans="2:17" s="6" customFormat="1" x14ac:dyDescent="0.3">
      <c r="B7" s="40" t="s">
        <v>99</v>
      </c>
      <c r="C7" s="85">
        <f>SUM(C4:C6)</f>
        <v>31</v>
      </c>
      <c r="D7" s="85">
        <f t="shared" ref="D7:N7" si="0">SUM(D4:D6)</f>
        <v>23</v>
      </c>
      <c r="E7" s="85">
        <f t="shared" si="0"/>
        <v>13</v>
      </c>
      <c r="F7" s="85">
        <f t="shared" si="0"/>
        <v>12</v>
      </c>
      <c r="G7" s="85">
        <f t="shared" si="0"/>
        <v>14</v>
      </c>
      <c r="H7" s="85">
        <f t="shared" si="0"/>
        <v>14</v>
      </c>
      <c r="I7" s="85">
        <f t="shared" si="0"/>
        <v>14</v>
      </c>
      <c r="J7" s="85">
        <f t="shared" si="0"/>
        <v>15</v>
      </c>
      <c r="K7" s="85">
        <f t="shared" si="0"/>
        <v>14</v>
      </c>
      <c r="L7" s="85">
        <f t="shared" si="0"/>
        <v>15</v>
      </c>
      <c r="M7" s="85">
        <f t="shared" si="0"/>
        <v>15</v>
      </c>
      <c r="N7" s="86">
        <f t="shared" si="0"/>
        <v>17</v>
      </c>
    </row>
    <row r="8" spans="2:17" x14ac:dyDescent="0.3">
      <c r="B8" s="41" t="s">
        <v>100</v>
      </c>
      <c r="C8" s="35" t="str">
        <f>IF(C7='Tracker Dashboard'!G4,"OK","NOT OK")</f>
        <v>OK</v>
      </c>
      <c r="D8" s="35" t="str">
        <f>IF(D7='Tracker Dashboard'!G5,"OK","NOT OK")</f>
        <v>OK</v>
      </c>
      <c r="E8" s="35" t="str">
        <f>IF(E7='Tracker Dashboard'!G6,"OK","NOT OK")</f>
        <v>OK</v>
      </c>
      <c r="F8" s="35" t="str">
        <f>IF(F7='Tracker Dashboard'!G7,"OK","NOT OK")</f>
        <v>OK</v>
      </c>
      <c r="G8" s="35" t="str">
        <f>IF(G7='Tracker Dashboard'!G8,"OK","NOT OK")</f>
        <v>OK</v>
      </c>
      <c r="H8" s="35" t="str">
        <f>IF(H7='Tracker Dashboard'!G9,"OK","NOT OK")</f>
        <v>OK</v>
      </c>
      <c r="I8" s="35" t="str">
        <f>IF(I7='Tracker Dashboard'!G10,"OK","NOT OK")</f>
        <v>OK</v>
      </c>
      <c r="J8" s="35" t="str">
        <f>IF(J7='Tracker Dashboard'!G11,"OK","NOT OK")</f>
        <v>OK</v>
      </c>
      <c r="K8" s="35" t="str">
        <f>IF(K7='Tracker Dashboard'!G12,"OK","NOT OK")</f>
        <v>OK</v>
      </c>
      <c r="L8" s="35" t="str">
        <f>IF(L7='Tracker Dashboard'!G13,"OK","NOT OK")</f>
        <v>OK</v>
      </c>
      <c r="M8" s="35" t="str">
        <f>IF(M7='Tracker Dashboard'!G14,"OK","NOT OK")</f>
        <v>OK</v>
      </c>
      <c r="N8" s="36" t="str">
        <f>IF(N7='Tracker Dashboard'!G15,"OK","NOT OK")</f>
        <v>OK</v>
      </c>
    </row>
    <row r="10" spans="2:17" x14ac:dyDescent="0.3">
      <c r="B10" s="43"/>
      <c r="C10" s="31" t="str">
        <f t="shared" ref="C10:N10" si="1">C2</f>
        <v>Jan</v>
      </c>
      <c r="D10" s="31" t="str">
        <f t="shared" si="1"/>
        <v>Feb</v>
      </c>
      <c r="E10" s="31" t="str">
        <f t="shared" si="1"/>
        <v>Mar</v>
      </c>
      <c r="F10" s="31" t="str">
        <f t="shared" si="1"/>
        <v>Apr</v>
      </c>
      <c r="G10" s="31" t="str">
        <f t="shared" si="1"/>
        <v>May</v>
      </c>
      <c r="H10" s="31" t="str">
        <f t="shared" si="1"/>
        <v>Jun</v>
      </c>
      <c r="I10" s="31" t="str">
        <f t="shared" si="1"/>
        <v>Jul</v>
      </c>
      <c r="J10" s="31" t="str">
        <f t="shared" si="1"/>
        <v>Aug</v>
      </c>
      <c r="K10" s="31" t="str">
        <f t="shared" si="1"/>
        <v>Sep</v>
      </c>
      <c r="L10" s="31" t="str">
        <f t="shared" si="1"/>
        <v>Oct</v>
      </c>
      <c r="M10" s="31" t="str">
        <f t="shared" si="1"/>
        <v>Nov</v>
      </c>
      <c r="N10" s="32" t="str">
        <f t="shared" si="1"/>
        <v>Dec</v>
      </c>
    </row>
    <row r="11" spans="2:17" x14ac:dyDescent="0.3">
      <c r="B11" s="42" t="str">
        <f>B4</f>
        <v>Operating</v>
      </c>
      <c r="C11" s="37">
        <f>SUMIFS('Monthly Analysis'!$F$10:$F$40,'Monthly Analysis'!$E$10:$E$40,Calculations!B11,'Monthly Analysis'!$D$10:$D$40,"Inflow")</f>
        <v>84075</v>
      </c>
      <c r="D11" s="37">
        <f>SUMIFS('Monthly Analysis'!$L$10:$L$38,'Monthly Analysis'!$K$10:$K$38,Calculations!B11,'Monthly Analysis'!$J$10:$J$38,"Inflow")</f>
        <v>115200</v>
      </c>
      <c r="E11" s="37">
        <f>SUMIFS('Monthly Analysis'!$R$10:$R$40,'Monthly Analysis'!$Q$10:$Q$40,Calculations!B11,'Monthly Analysis'!$P$10:$P$40,"Inflow")</f>
        <v>95000</v>
      </c>
      <c r="F11" s="37">
        <f>SUMIFS('Monthly Analysis'!$X$10:$X$39,'Monthly Analysis'!$W$10:$W$39,Calculations!B11,'Monthly Analysis'!$V$10:$V$39,"Inflow")</f>
        <v>55220</v>
      </c>
      <c r="G11" s="37">
        <f>SUMIFS('Monthly Analysis'!$AD$10:$AD$40,'Monthly Analysis'!$AC$10:$AC$40,Calculations!B11,'Monthly Analysis'!$AB$10:$AB$40,"Inflow")</f>
        <v>73000</v>
      </c>
      <c r="H11" s="37">
        <f>SUMIFS('Monthly Analysis'!$AJ$10:$AJ$39,'Monthly Analysis'!$AI$10:$AI$39,Calculations!B11,'Monthly Analysis'!$AH$10:$AH$39,"Inflow")</f>
        <v>64500</v>
      </c>
      <c r="I11" s="37">
        <f>SUMIFS('Monthly Analysis'!$AP$10:$AP$40,'Monthly Analysis'!$AO$10:$AO$40,B11,'Monthly Analysis'!$AN$10:$AN$40,"Inflow")</f>
        <v>81500</v>
      </c>
      <c r="J11" s="37">
        <f>SUMIFS('Monthly Analysis'!$AV$10:$AV$40,'Monthly Analysis'!$AU$10:$AU$40,B11,'Monthly Analysis'!$AT$10:$AT$40,"Inflow")</f>
        <v>136650</v>
      </c>
      <c r="K11" s="37">
        <f>SUMIFS('Monthly Analysis'!$BB$10:$BB$39,'Monthly Analysis'!$BA$10:$BA$39,B11,'Monthly Analysis'!$AZ$10:$AZ$39,"Inflow")</f>
        <v>50400</v>
      </c>
      <c r="L11" s="37">
        <f>SUMIFS('Monthly Analysis'!$BH$10:$BH$40,'Monthly Analysis'!$BG$10:$BG$40,B11,'Monthly Analysis'!$BF$10:$BF$40,"Inflow")</f>
        <v>129800</v>
      </c>
      <c r="M11" s="37">
        <f>SUMIFS('Monthly Analysis'!$BN$10:$BN$39,'Monthly Analysis'!$BM$10:$BM$39,Calculations!B11,'Monthly Analysis'!$BL$10:$BL$39,"Inflow")</f>
        <v>215400</v>
      </c>
      <c r="N11" s="38">
        <f>SUMIFS('Monthly Analysis'!$BT$10:$BT$40,'Monthly Analysis'!$BS$10:$BS$40,B11,'Monthly Analysis'!$BR$10:$BR$40,"Inflow")</f>
        <v>70000</v>
      </c>
      <c r="P11" s="62">
        <f>SUM(C11:N11)</f>
        <v>1170745</v>
      </c>
      <c r="Q11" s="63">
        <f>P11/$P$14</f>
        <v>0.63994579773964111</v>
      </c>
    </row>
    <row r="12" spans="2:17" x14ac:dyDescent="0.3">
      <c r="B12" s="41" t="str">
        <f t="shared" ref="B12:B13" si="2">B5</f>
        <v>Financing</v>
      </c>
      <c r="C12" s="37">
        <f>SUMIFS('Monthly Analysis'!$F$10:$F$40,'Monthly Analysis'!$E$10:$E$40,Calculations!B12,'Monthly Analysis'!$D$10:$D$40,"Inflow")</f>
        <v>25500</v>
      </c>
      <c r="D12" s="37">
        <f>SUMIFS('Monthly Analysis'!$L$10:$L$38,'Monthly Analysis'!$K$10:$K$38,Calculations!B12,'Monthly Analysis'!$J$10:$J$38,"Inflow")</f>
        <v>72000</v>
      </c>
      <c r="E12" s="37">
        <f>SUMIFS('Monthly Analysis'!$R$10:$R$40,'Monthly Analysis'!$Q$10:$Q$40,Calculations!B12,'Monthly Analysis'!$P$10:$P$40,"Inflow")</f>
        <v>0</v>
      </c>
      <c r="F12" s="37">
        <f>SUMIFS('Monthly Analysis'!$X$10:$X$39,'Monthly Analysis'!$W$10:$W$39,Calculations!B12,'Monthly Analysis'!$V$10:$V$39,"Inflow")</f>
        <v>25000</v>
      </c>
      <c r="G12" s="37">
        <f>SUMIFS('Monthly Analysis'!$AD$10:$AD$40,'Monthly Analysis'!$AC$10:$AC$40,Calculations!B12,'Monthly Analysis'!$AB$10:$AB$40,"Inflow")</f>
        <v>25000</v>
      </c>
      <c r="H12" s="37">
        <f>SUMIFS('Monthly Analysis'!$AJ$10:$AJ$39,'Monthly Analysis'!$AI$10:$AI$39,Calculations!B12,'Monthly Analysis'!$AH$10:$AH$39,"Inflow")</f>
        <v>40000</v>
      </c>
      <c r="I12" s="37">
        <f>SUMIFS('Monthly Analysis'!$AP$10:$AP$40,'Monthly Analysis'!$AO$10:$AO$40,B12,'Monthly Analysis'!$AN$10:$AN$40,"Inflow")</f>
        <v>0</v>
      </c>
      <c r="J12" s="37">
        <f>SUMIFS('Monthly Analysis'!$AV$10:$AV$40,'Monthly Analysis'!$AU$10:$AU$40,B12,'Monthly Analysis'!$AT$10:$AT$40,"Inflow")</f>
        <v>0</v>
      </c>
      <c r="K12" s="37">
        <f>SUMIFS('Monthly Analysis'!$BB$10:$BB$39,'Monthly Analysis'!$BA$10:$BA$39,B12,'Monthly Analysis'!$AZ$10:$AZ$39,"Inflow")</f>
        <v>44000</v>
      </c>
      <c r="L12" s="37">
        <f>SUMIFS('Monthly Analysis'!$BH$10:$BH$40,'Monthly Analysis'!$BG$10:$BG$40,B12,'Monthly Analysis'!$BF$10:$BF$40,"Inflow")</f>
        <v>0</v>
      </c>
      <c r="M12" s="37">
        <f>SUMIFS('Monthly Analysis'!$BN$10:$BN$39,'Monthly Analysis'!$BM$10:$BM$39,Calculations!B12,'Monthly Analysis'!$BL$10:$BL$39,"Inflow")</f>
        <v>140000</v>
      </c>
      <c r="N12" s="38">
        <f>SUMIFS('Monthly Analysis'!$BT$10:$BT$40,'Monthly Analysis'!$BS$10:$BS$40,B12,'Monthly Analysis'!$BR$10:$BR$40,"Inflow")</f>
        <v>0</v>
      </c>
      <c r="P12" s="62">
        <f>SUM(C12:N12)</f>
        <v>371500</v>
      </c>
      <c r="Q12" s="63">
        <f t="shared" ref="Q12:Q13" si="3">P12/$P$14</f>
        <v>0.20306716138892472</v>
      </c>
    </row>
    <row r="13" spans="2:17" x14ac:dyDescent="0.3">
      <c r="B13" s="41" t="str">
        <f t="shared" si="2"/>
        <v>Investing</v>
      </c>
      <c r="C13" s="37">
        <f>SUMIFS('Monthly Analysis'!$F$10:$F$40,'Monthly Analysis'!$E$10:$E$40,Calculations!B13,'Monthly Analysis'!$D$10:$D$40,"Inflow")</f>
        <v>14240</v>
      </c>
      <c r="D13" s="37">
        <f>SUMIFS('Monthly Analysis'!$L$10:$L$38,'Monthly Analysis'!$K$10:$K$38,Calculations!B13,'Monthly Analysis'!$J$10:$J$38,"Inflow")</f>
        <v>18000</v>
      </c>
      <c r="E13" s="37">
        <f>SUMIFS('Monthly Analysis'!$R$10:$R$40,'Monthly Analysis'!$Q$10:$Q$40,Calculations!B13,'Monthly Analysis'!$P$10:$P$40,"Inflow")</f>
        <v>6000</v>
      </c>
      <c r="F13" s="37">
        <f>SUMIFS('Monthly Analysis'!$X$10:$X$39,'Monthly Analysis'!$W$10:$W$39,Calculations!B13,'Monthly Analysis'!$V$10:$V$39,"Inflow")</f>
        <v>0</v>
      </c>
      <c r="G13" s="37">
        <f>SUMIFS('Monthly Analysis'!$AD$10:$AD$40,'Monthly Analysis'!$AC$10:$AC$40,Calculations!B13,'Monthly Analysis'!$AB$10:$AB$40,"Inflow")</f>
        <v>31587</v>
      </c>
      <c r="H13" s="37">
        <f>SUMIFS('Monthly Analysis'!$AJ$10:$AJ$39,'Monthly Analysis'!$AI$10:$AI$39,Calculations!B13,'Monthly Analysis'!$AH$10:$AH$39,"Inflow")</f>
        <v>4000</v>
      </c>
      <c r="I13" s="37">
        <f>SUMIFS('Monthly Analysis'!$AP$10:$AP$40,'Monthly Analysis'!$AO$10:$AO$40,B13,'Monthly Analysis'!$AN$10:$AN$40,"Inflow")</f>
        <v>35750</v>
      </c>
      <c r="J13" s="37">
        <f>SUMIFS('Monthly Analysis'!$AV$10:$AV$40,'Monthly Analysis'!$AU$10:$AU$40,B13,'Monthly Analysis'!$AT$10:$AT$40,"Inflow")</f>
        <v>677</v>
      </c>
      <c r="K13" s="37">
        <f>SUMIFS('Monthly Analysis'!$BB$10:$BB$39,'Monthly Analysis'!$BA$10:$BA$39,B13,'Monthly Analysis'!$AZ$10:$AZ$39,"Inflow")</f>
        <v>125145</v>
      </c>
      <c r="L13" s="37">
        <f>SUMIFS('Monthly Analysis'!$BH$10:$BH$40,'Monthly Analysis'!$BG$10:$BG$40,B13,'Monthly Analysis'!$BF$10:$BF$40,"Inflow")</f>
        <v>26000</v>
      </c>
      <c r="M13" s="37">
        <f>SUMIFS('Monthly Analysis'!$BN$10:$BN$39,'Monthly Analysis'!$BM$10:$BM$39,Calculations!B13,'Monthly Analysis'!$BL$10:$BL$39,"Inflow")</f>
        <v>800</v>
      </c>
      <c r="N13" s="38">
        <f>SUMIFS('Monthly Analysis'!$BT$10:$BT$40,'Monthly Analysis'!$BS$10:$BS$40,B13,'Monthly Analysis'!$BR$10:$BR$40,"Inflow")</f>
        <v>25000</v>
      </c>
      <c r="P13" s="62">
        <f t="shared" ref="P13" si="4">SUM(C13:N13)</f>
        <v>287199</v>
      </c>
      <c r="Q13" s="63">
        <f t="shared" si="3"/>
        <v>0.15698704087143417</v>
      </c>
    </row>
    <row r="14" spans="2:17" s="6" customFormat="1" x14ac:dyDescent="0.3">
      <c r="B14" s="40" t="s">
        <v>101</v>
      </c>
      <c r="C14" s="85">
        <f>SUM(C11:C13)</f>
        <v>123815</v>
      </c>
      <c r="D14" s="85">
        <f t="shared" ref="D14:N14" si="5">SUM(D11:D13)</f>
        <v>205200</v>
      </c>
      <c r="E14" s="85">
        <f t="shared" si="5"/>
        <v>101000</v>
      </c>
      <c r="F14" s="85">
        <f t="shared" si="5"/>
        <v>80220</v>
      </c>
      <c r="G14" s="85">
        <f t="shared" si="5"/>
        <v>129587</v>
      </c>
      <c r="H14" s="85">
        <f t="shared" si="5"/>
        <v>108500</v>
      </c>
      <c r="I14" s="85">
        <f t="shared" si="5"/>
        <v>117250</v>
      </c>
      <c r="J14" s="85">
        <f t="shared" si="5"/>
        <v>137327</v>
      </c>
      <c r="K14" s="85">
        <f t="shared" si="5"/>
        <v>219545</v>
      </c>
      <c r="L14" s="85">
        <f t="shared" si="5"/>
        <v>155800</v>
      </c>
      <c r="M14" s="85">
        <f t="shared" si="5"/>
        <v>356200</v>
      </c>
      <c r="N14" s="86">
        <f t="shared" si="5"/>
        <v>95000</v>
      </c>
      <c r="P14" s="87">
        <f>SUM(P11:P13)</f>
        <v>1829444</v>
      </c>
      <c r="Q14" s="88"/>
    </row>
    <row r="15" spans="2:17" x14ac:dyDescent="0.3">
      <c r="B15" s="41" t="s">
        <v>100</v>
      </c>
      <c r="C15" s="35" t="str">
        <f>IF(C14='Tracker Dashboard'!D4,"OK","NOT OK")</f>
        <v>OK</v>
      </c>
      <c r="D15" s="35" t="str">
        <f>IF(D14='Tracker Dashboard'!D5,"OK","NOT OK")</f>
        <v>OK</v>
      </c>
      <c r="E15" s="35" t="str">
        <f>IF(E14='Tracker Dashboard'!D6,"OK","NOT OK")</f>
        <v>OK</v>
      </c>
      <c r="F15" s="35" t="str">
        <f>IF(F14='Tracker Dashboard'!D7,"OK","NOT OK")</f>
        <v>OK</v>
      </c>
      <c r="G15" s="35" t="str">
        <f>IF(G14='Tracker Dashboard'!D8,"OK","NOT OK")</f>
        <v>OK</v>
      </c>
      <c r="H15" s="35" t="str">
        <f>IF(H14='Tracker Dashboard'!D9,"OK","NOT OK")</f>
        <v>OK</v>
      </c>
      <c r="I15" s="35" t="str">
        <f>IF(I14='Tracker Dashboard'!D10,"OK","NOT OK")</f>
        <v>OK</v>
      </c>
      <c r="J15" s="35" t="str">
        <f>IF(J14='Tracker Dashboard'!D11,"OK","NOT OK")</f>
        <v>OK</v>
      </c>
      <c r="K15" s="35" t="str">
        <f>IF(K14='Tracker Dashboard'!D12,"OK","NOT OK")</f>
        <v>OK</v>
      </c>
      <c r="L15" s="35" t="str">
        <f>IF(L14='Tracker Dashboard'!D13,"OK","NOT OK")</f>
        <v>OK</v>
      </c>
      <c r="M15" s="35" t="str">
        <f>IF(M14='Tracker Dashboard'!D14,"OK","NOT OK")</f>
        <v>OK</v>
      </c>
      <c r="N15" s="36" t="str">
        <f>IF(N14='Tracker Dashboard'!D15,"OK","NOT OK")</f>
        <v>OK</v>
      </c>
    </row>
    <row r="16" spans="2:17" x14ac:dyDescent="0.3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2:14" x14ac:dyDescent="0.3">
      <c r="C17" s="30" t="str">
        <f>C10</f>
        <v>Jan</v>
      </c>
      <c r="D17" s="31" t="str">
        <f t="shared" ref="D17:N17" si="6">D10</f>
        <v>Feb</v>
      </c>
      <c r="E17" s="31" t="str">
        <f t="shared" si="6"/>
        <v>Mar</v>
      </c>
      <c r="F17" s="31" t="str">
        <f t="shared" si="6"/>
        <v>Apr</v>
      </c>
      <c r="G17" s="31" t="str">
        <f t="shared" si="6"/>
        <v>May</v>
      </c>
      <c r="H17" s="31" t="str">
        <f t="shared" si="6"/>
        <v>Jun</v>
      </c>
      <c r="I17" s="31" t="str">
        <f t="shared" si="6"/>
        <v>Jul</v>
      </c>
      <c r="J17" s="31" t="str">
        <f t="shared" si="6"/>
        <v>Aug</v>
      </c>
      <c r="K17" s="31" t="str">
        <f t="shared" si="6"/>
        <v>Sep</v>
      </c>
      <c r="L17" s="31" t="str">
        <f t="shared" si="6"/>
        <v>Oct</v>
      </c>
      <c r="M17" s="31" t="str">
        <f t="shared" si="6"/>
        <v>Nov</v>
      </c>
      <c r="N17" s="32" t="str">
        <f t="shared" si="6"/>
        <v>Dec</v>
      </c>
    </row>
    <row r="18" spans="2:14" x14ac:dyDescent="0.3">
      <c r="B18" s="41" t="str">
        <f>B11</f>
        <v>Operating</v>
      </c>
      <c r="C18" s="46">
        <f>-SUMIFS('Monthly Analysis'!$G$10:$G$40,'Monthly Analysis'!$E$10:$E$40,Calculations!B11,'Monthly Analysis'!$D$10:$D$40,"Outflow")</f>
        <v>69935</v>
      </c>
      <c r="D18" s="47">
        <f>-SUMIFS('Monthly Analysis'!$M$10:$M$38,'Monthly Analysis'!$K$10:$K$38,Calculations!B11,'Monthly Analysis'!$J$10:$J$38,"Outflow")</f>
        <v>106280</v>
      </c>
      <c r="E18" s="47">
        <f>-SUMIFS('Monthly Analysis'!$S$10:$S$40,'Monthly Analysis'!$Q$10:$Q$40,Calculations!B11,'Monthly Analysis'!$P$10:$P$40,"Outflow")</f>
        <v>66800</v>
      </c>
      <c r="F18" s="47">
        <f>-SUMIFS('Monthly Analysis'!$Y$10:$Y$39,'Monthly Analysis'!$W$10:$W$39,Calculations!B11,'Monthly Analysis'!$V$10:$V$39,"Outflow")</f>
        <v>86000</v>
      </c>
      <c r="G18" s="47">
        <f>-SUMIFS('Monthly Analysis'!$AE$10:$AE$40,'Monthly Analysis'!$AC$10:$AC$40,Calculations!B11,'Monthly Analysis'!$AB$10:$AB$40,"Outflow")</f>
        <v>63500</v>
      </c>
      <c r="H18" s="47">
        <f>-SUMIFS('Monthly Analysis'!$AK$10:$AK$39,'Monthly Analysis'!$AI$10:$AI$39,Calculations!B11,'Monthly Analysis'!$AH$10:$AH$39,"Outflow")</f>
        <v>85000</v>
      </c>
      <c r="I18" s="47">
        <f>-SUMIFS('Monthly Analysis'!$AQ$10:$AQ$40,'Monthly Analysis'!$AO$10:$AO$40,B11,'Monthly Analysis'!$AN$10:$AN$40,"Outflow")</f>
        <v>69000</v>
      </c>
      <c r="J18" s="47">
        <f>-SUMIFS('Monthly Analysis'!$AW$10:$AW$40,'Monthly Analysis'!$AU$10:$AU$40,B11,'Monthly Analysis'!$AT$10:$AT$40,"Outflow")</f>
        <v>101600</v>
      </c>
      <c r="K18" s="47">
        <f>-SUMIFS('Monthly Analysis'!$BC$10:$BC$39,'Monthly Analysis'!$BA$10:$BA$39,B11,'Monthly Analysis'!$AZ$10:$AZ$39,"Outflow")</f>
        <v>102110</v>
      </c>
      <c r="L18" s="47">
        <f>-SUMIFS('Monthly Analysis'!$BI$10:$BI$40,'Monthly Analysis'!$BG$10:$BG$40,B11,'Monthly Analysis'!$BF$10:$BF$40,"Outflow")</f>
        <v>69800</v>
      </c>
      <c r="M18" s="47">
        <f>-SUMIFS('Monthly Analysis'!$BO$10:$BO$39,'Monthly Analysis'!$BM$10:$BM$39,Calculations!B11,'Monthly Analysis'!$BL$10:$BL$39,"Outflow")</f>
        <v>165700</v>
      </c>
      <c r="N18" s="48">
        <f>-SUMIFS('Monthly Analysis'!$BU$10:$BU$40,'Monthly Analysis'!$BS$10:$BS$40,B11,'Monthly Analysis'!$BR$10:$BR$40,"Outflow")</f>
        <v>158600</v>
      </c>
    </row>
    <row r="19" spans="2:14" x14ac:dyDescent="0.3">
      <c r="B19" s="41" t="str">
        <f>B12</f>
        <v>Financing</v>
      </c>
      <c r="C19" s="46">
        <f>-SUMIFS('Monthly Analysis'!$G$10:$G$40,'Monthly Analysis'!$E$10:$E$40,Calculations!B12,'Monthly Analysis'!$D$10:$D$40,"Outflow")</f>
        <v>0</v>
      </c>
      <c r="D19" s="47">
        <f>-SUMIFS('Monthly Analysis'!$M$10:$M$38,'Monthly Analysis'!$K$10:$K$38,Calculations!B12,'Monthly Analysis'!$J$10:$J$38,"Outflow")</f>
        <v>10900</v>
      </c>
      <c r="E19" s="47">
        <f>-SUMIFS('Monthly Analysis'!$S$10:$S$40,'Monthly Analysis'!$Q$10:$Q$40,Calculations!B12,'Monthly Analysis'!$P$10:$P$40,"Outflow")</f>
        <v>22210</v>
      </c>
      <c r="F19" s="47">
        <f>-SUMIFS('Monthly Analysis'!$Y$10:$Y$39,'Monthly Analysis'!$W$10:$W$39,Calculations!B12,'Monthly Analysis'!$V$10:$V$39,"Outflow")</f>
        <v>8000</v>
      </c>
      <c r="G19" s="47">
        <f>-SUMIFS('Monthly Analysis'!$AE$10:$AE$40,'Monthly Analysis'!$AC$10:$AC$40,Calculations!B12,'Monthly Analysis'!$AB$10:$AB$40,"Outflow")</f>
        <v>12000</v>
      </c>
      <c r="H19" s="47">
        <f>-SUMIFS('Monthly Analysis'!$AK$10:$AK$39,'Monthly Analysis'!$AI$10:$AI$39,Calculations!B12,'Monthly Analysis'!$AH$10:$AH$39,"Outflow")</f>
        <v>20000</v>
      </c>
      <c r="I19" s="47">
        <f>-SUMIFS('Monthly Analysis'!$AQ$10:$AQ$40,'Monthly Analysis'!$AO$10:$AO$40,B12,'Monthly Analysis'!$AN$10:$AN$40,"Outflow")</f>
        <v>14000</v>
      </c>
      <c r="J19" s="47">
        <f>-SUMIFS('Monthly Analysis'!$AW$10:$AW$40,'Monthly Analysis'!$AU$10:$AU$40,B12,'Monthly Analysis'!$AT$10:$AT$40,"Outflow")</f>
        <v>15000</v>
      </c>
      <c r="K19" s="47">
        <f>-SUMIFS('Monthly Analysis'!$BC$10:$BC$39,'Monthly Analysis'!$BA$10:$BA$39,B12,'Monthly Analysis'!$AZ$10:$AZ$39,"Outflow")</f>
        <v>14000</v>
      </c>
      <c r="L19" s="47">
        <f>-SUMIFS('Monthly Analysis'!$BI$10:$BI$40,'Monthly Analysis'!$BG$10:$BG$40,B12,'Monthly Analysis'!$BF$10:$BF$40,"Outflow")</f>
        <v>17800</v>
      </c>
      <c r="M19" s="47">
        <f>-SUMIFS('Monthly Analysis'!$BO$10:$BO$39,'Monthly Analysis'!$BM$10:$BM$39,Calculations!B12,'Monthly Analysis'!$BL$10:$BL$39,"Outflow")</f>
        <v>8000</v>
      </c>
      <c r="N19" s="48">
        <f>-SUMIFS('Monthly Analysis'!$BU$10:$BU$40,'Monthly Analysis'!$BS$10:$BS$40,B12,'Monthly Analysis'!$BR$10:$BR$40,"Outflow")</f>
        <v>750</v>
      </c>
    </row>
    <row r="20" spans="2:14" x14ac:dyDescent="0.3">
      <c r="B20" s="41" t="str">
        <f>B13</f>
        <v>Investing</v>
      </c>
      <c r="C20" s="46">
        <f>-SUMIFS('Monthly Analysis'!$G$10:$G$40,'Monthly Analysis'!$E$10:$E$40,Calculations!B13,'Monthly Analysis'!$D$10:$D$40,"Outflow")</f>
        <v>32000</v>
      </c>
      <c r="D20" s="47">
        <f>-SUMIFS('Monthly Analysis'!$M$10:$M$38,'Monthly Analysis'!$K$10:$K$38,Calculations!B13,'Monthly Analysis'!$J$10:$J$38,"Outflow")</f>
        <v>38000</v>
      </c>
      <c r="E20" s="47">
        <f>-SUMIFS('Monthly Analysis'!$S$10:$S$40,'Monthly Analysis'!$Q$10:$Q$40,Calculations!B13,'Monthly Analysis'!$P$10:$P$40,"Outflow")</f>
        <v>0</v>
      </c>
      <c r="F20" s="47">
        <f>-SUMIFS('Monthly Analysis'!$Y$10:$Y$39,'Monthly Analysis'!$W$10:$W$39,Calculations!B13,'Monthly Analysis'!$V$10:$V$39,"Outflow")</f>
        <v>65000</v>
      </c>
      <c r="G20" s="47">
        <f>-SUMIFS('Monthly Analysis'!$AE$10:$AE$40,'Monthly Analysis'!$AC$10:$AC$40,Calculations!B13,'Monthly Analysis'!$AB$10:$AB$40,"Outflow")</f>
        <v>0</v>
      </c>
      <c r="H20" s="47">
        <f>-SUMIFS('Monthly Analysis'!$AK$10:$AK$39,'Monthly Analysis'!$AI$10:$AI$39,Calculations!B13,'Monthly Analysis'!$AH$10:$AH$39,"Outflow")</f>
        <v>40000</v>
      </c>
      <c r="I20" s="47">
        <f>-SUMIFS('Monthly Analysis'!$AQ$10:$AQ$40,'Monthly Analysis'!$AO$10:$AO$40,B13,'Monthly Analysis'!$AN$10:$AN$40,"Outflow")</f>
        <v>250</v>
      </c>
      <c r="J20" s="47">
        <f>-SUMIFS('Monthly Analysis'!$AW$10:$AW$40,'Monthly Analysis'!$AU$10:$AU$40,B13,'Monthly Analysis'!$AT$10:$AT$40,"Outflow")</f>
        <v>20000</v>
      </c>
      <c r="K20" s="47">
        <f>-SUMIFS('Monthly Analysis'!$BC$10:$BC$39,'Monthly Analysis'!$BA$10:$BA$39,B13,'Monthly Analysis'!$AZ$10:$AZ$39,"Outflow")</f>
        <v>6000</v>
      </c>
      <c r="L20" s="47">
        <f>-SUMIFS('Monthly Analysis'!$BI$10:$BI$40,'Monthly Analysis'!$BG$10:$BG$40,B13,'Monthly Analysis'!$BF$10:$BF$40,"Outflow")</f>
        <v>8000</v>
      </c>
      <c r="M20" s="47">
        <f>-SUMIFS('Monthly Analysis'!$BO$10:$BO$39,'Monthly Analysis'!$BM$10:$BM$39,Calculations!B13,'Monthly Analysis'!$BL$10:$BL$39,"Outflow")</f>
        <v>300000</v>
      </c>
      <c r="N20" s="48">
        <f>-SUMIFS('Monthly Analysis'!$BU$10:$BU$40,'Monthly Analysis'!$BS$10:$BS$40,B13,'Monthly Analysis'!$BR$10:$BR$40,"Outflow")</f>
        <v>65000</v>
      </c>
    </row>
    <row r="21" spans="2:14" s="6" customFormat="1" x14ac:dyDescent="0.3">
      <c r="B21" s="40" t="s">
        <v>102</v>
      </c>
      <c r="C21" s="84">
        <f>SUM(C18:C20)</f>
        <v>101935</v>
      </c>
      <c r="D21" s="85">
        <f t="shared" ref="D21:N21" si="7">SUM(D18:D20)</f>
        <v>155180</v>
      </c>
      <c r="E21" s="85">
        <f t="shared" si="7"/>
        <v>89010</v>
      </c>
      <c r="F21" s="85">
        <f t="shared" si="7"/>
        <v>159000</v>
      </c>
      <c r="G21" s="85">
        <f t="shared" si="7"/>
        <v>75500</v>
      </c>
      <c r="H21" s="85">
        <f t="shared" si="7"/>
        <v>145000</v>
      </c>
      <c r="I21" s="85">
        <f t="shared" si="7"/>
        <v>83250</v>
      </c>
      <c r="J21" s="85">
        <f t="shared" si="7"/>
        <v>136600</v>
      </c>
      <c r="K21" s="85">
        <f t="shared" si="7"/>
        <v>122110</v>
      </c>
      <c r="L21" s="85">
        <f t="shared" si="7"/>
        <v>95600</v>
      </c>
      <c r="M21" s="85">
        <f t="shared" si="7"/>
        <v>473700</v>
      </c>
      <c r="N21" s="86">
        <f t="shared" si="7"/>
        <v>224350</v>
      </c>
    </row>
    <row r="22" spans="2:14" x14ac:dyDescent="0.3">
      <c r="B22" s="41" t="str">
        <f>B15</f>
        <v>Check</v>
      </c>
      <c r="C22" s="45" t="str">
        <f>IF(C21='Tracker Dashboard'!E4,"OK","NOT OK")</f>
        <v>OK</v>
      </c>
      <c r="D22" s="35" t="str">
        <f>IF(D21='Tracker Dashboard'!E5,"OK","NOT OK")</f>
        <v>OK</v>
      </c>
      <c r="E22" s="35" t="str">
        <f>IF(E21='Tracker Dashboard'!E6,"OK","NOT OK")</f>
        <v>OK</v>
      </c>
      <c r="F22" s="35" t="str">
        <f>IF(F21='Tracker Dashboard'!E7,"OK","NOT OK")</f>
        <v>OK</v>
      </c>
      <c r="G22" s="35" t="str">
        <f>IF(G21='Tracker Dashboard'!E8,"OK","NOT OK")</f>
        <v>OK</v>
      </c>
      <c r="H22" s="35" t="str">
        <f>IF(H21='Tracker Dashboard'!E9,"OK","NOT OK")</f>
        <v>OK</v>
      </c>
      <c r="I22" s="35" t="str">
        <f>IF(I21='Tracker Dashboard'!E10,"OK","NOT OK")</f>
        <v>OK</v>
      </c>
      <c r="J22" s="35" t="str">
        <f>IF(J21='Tracker Dashboard'!E11,"OK","NOT OK")</f>
        <v>OK</v>
      </c>
      <c r="K22" s="35" t="str">
        <f>IF(K21='Tracker Dashboard'!E12,"OK","NOT OK")</f>
        <v>OK</v>
      </c>
      <c r="L22" s="35" t="str">
        <f>IF(L21='Tracker Dashboard'!E13,"OK","NOT OK")</f>
        <v>OK</v>
      </c>
      <c r="M22" s="35" t="str">
        <f>IF(M21='Tracker Dashboard'!E14,"OK","NOT OK")</f>
        <v>OK</v>
      </c>
      <c r="N22" s="36" t="str">
        <f>IF(N21='Tracker Dashboard'!E15,"OK","NOT OK")</f>
        <v>OK</v>
      </c>
    </row>
    <row r="24" spans="2:14" x14ac:dyDescent="0.3">
      <c r="C24" t="str">
        <f>INDEX($B$18:$B$20,MATCH(MAX(C18:C20),C18:C20,0))</f>
        <v>Operating</v>
      </c>
      <c r="D24" t="str">
        <f t="shared" ref="D24:N24" si="8">INDEX($B$18:$B$20,MATCH(MAX(D18:D20),D18:D20,0))</f>
        <v>Operating</v>
      </c>
      <c r="E24" t="str">
        <f t="shared" si="8"/>
        <v>Operating</v>
      </c>
      <c r="F24" t="str">
        <f t="shared" si="8"/>
        <v>Operating</v>
      </c>
      <c r="G24" t="str">
        <f t="shared" si="8"/>
        <v>Operating</v>
      </c>
      <c r="H24" t="str">
        <f t="shared" si="8"/>
        <v>Operating</v>
      </c>
      <c r="I24" t="str">
        <f t="shared" si="8"/>
        <v>Operating</v>
      </c>
      <c r="J24" t="str">
        <f t="shared" si="8"/>
        <v>Operating</v>
      </c>
      <c r="K24" t="str">
        <f t="shared" si="8"/>
        <v>Operating</v>
      </c>
      <c r="L24" t="str">
        <f t="shared" si="8"/>
        <v>Operating</v>
      </c>
      <c r="M24" t="str">
        <f t="shared" si="8"/>
        <v>Investing</v>
      </c>
      <c r="N24" t="str">
        <f t="shared" si="8"/>
        <v>Operating</v>
      </c>
    </row>
    <row r="26" spans="2:14" x14ac:dyDescent="0.3">
      <c r="B26" s="30" t="s">
        <v>98</v>
      </c>
      <c r="C26" s="31" t="s">
        <v>53</v>
      </c>
      <c r="D26" s="31" t="s">
        <v>54</v>
      </c>
      <c r="E26" s="31" t="s">
        <v>55</v>
      </c>
      <c r="F26" s="31" t="s">
        <v>56</v>
      </c>
      <c r="G26" s="31" t="s">
        <v>57</v>
      </c>
      <c r="H26" s="31" t="s">
        <v>58</v>
      </c>
      <c r="I26" s="31" t="s">
        <v>59</v>
      </c>
      <c r="J26" s="31" t="s">
        <v>60</v>
      </c>
      <c r="K26" s="31" t="s">
        <v>61</v>
      </c>
      <c r="L26" s="31" t="s">
        <v>62</v>
      </c>
      <c r="M26" s="31" t="s">
        <v>63</v>
      </c>
      <c r="N26" s="32" t="s">
        <v>64</v>
      </c>
    </row>
    <row r="27" spans="2:14" x14ac:dyDescent="0.3">
      <c r="B27" s="52" t="s">
        <v>103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</row>
    <row r="28" spans="2:14" x14ac:dyDescent="0.3">
      <c r="B28" s="53" t="s">
        <v>24</v>
      </c>
      <c r="C28" s="33">
        <f>COUNTIFS('Monthly Analysis'!$E$10:$E$40,Calculations!B28,'Monthly Analysis'!$D$10:$D$40,"Inflow")</f>
        <v>9</v>
      </c>
      <c r="D28" s="33">
        <f>COUNTIFS('Monthly Analysis'!$K$10:$K$38,B28,'Monthly Analysis'!$J$10:$J$38,"Inflow")</f>
        <v>7</v>
      </c>
      <c r="E28" s="33">
        <f>COUNTIFS('Monthly Analysis'!$Q$10:$Q$40,B28,'Monthly Analysis'!$P$10:$P$40,"Inflow")</f>
        <v>4</v>
      </c>
      <c r="F28" s="33">
        <f>COUNTIFS('Monthly Analysis'!$W$10:$W$39,B28,'Monthly Analysis'!$V$10:$V$39,"Inflow")</f>
        <v>3</v>
      </c>
      <c r="G28" s="33">
        <f>COUNTIFS('Monthly Analysis'!$AC$10:$AC$40,B28,'Monthly Analysis'!$AB$10:$AB$40,"Inflow")</f>
        <v>4</v>
      </c>
      <c r="H28" s="33">
        <f>COUNTIFS('Monthly Analysis'!$AI$10:$AI$39,B28,'Monthly Analysis'!$AH$10:$AH$39,"Inflow")</f>
        <v>3</v>
      </c>
      <c r="I28" s="33">
        <f>COUNTIFS('Monthly Analysis'!$AO$10:$AO$40,B28,'Monthly Analysis'!$AN$10:$AN$40,"Inflow")</f>
        <v>4</v>
      </c>
      <c r="J28" s="33">
        <f>COUNTIFS('Monthly Analysis'!$AU$10:$AU$40,B28,'Monthly Analysis'!$AT$10:$AT$40,"Inflow")</f>
        <v>5</v>
      </c>
      <c r="K28" s="33">
        <f>COUNTIFS('Monthly Analysis'!$BA$10:$BA$39,B28,'Monthly Analysis'!$AZ$10:$AZ$39,"Inflow")</f>
        <v>3</v>
      </c>
      <c r="L28" s="33">
        <f>COUNTIFS('Monthly Analysis'!$BG$10:$BG$40,B28,'Monthly Analysis'!$BF$10:$BF$40,"Inflow")</f>
        <v>4</v>
      </c>
      <c r="M28" s="33">
        <f>COUNTIFS('Monthly Analysis'!$BM$10:$BM$39,B28,'Monthly Analysis'!$BL$10:$BL$39,"Inflow")</f>
        <v>5</v>
      </c>
      <c r="N28" s="34">
        <f>COUNTIFS('Monthly Analysis'!$BS$10:$BS$40,B28,'Monthly Analysis'!$BR$10:$BR$40,"Inflow")</f>
        <v>3</v>
      </c>
    </row>
    <row r="29" spans="2:14" x14ac:dyDescent="0.3">
      <c r="B29" s="53" t="s">
        <v>23</v>
      </c>
      <c r="C29" s="33">
        <f>COUNTIFS('Monthly Analysis'!$E$10:$E$40,Calculations!B29,'Monthly Analysis'!$D$10:$D$40,"Inflow")</f>
        <v>2</v>
      </c>
      <c r="D29" s="33">
        <f>COUNTIFS('Monthly Analysis'!$K$10:$K$38,B29,'Monthly Analysis'!$J$10:$J$38,"Inflow")</f>
        <v>1</v>
      </c>
      <c r="E29" s="33">
        <f>COUNTIFS('Monthly Analysis'!$Q$10:$Q$40,B29,'Monthly Analysis'!$P$10:$P$40,"Inflow")</f>
        <v>0</v>
      </c>
      <c r="F29" s="33">
        <f>COUNTIFS('Monthly Analysis'!$W$10:$W$39,B29,'Monthly Analysis'!$V$10:$V$39,"Inflow")</f>
        <v>1</v>
      </c>
      <c r="G29" s="33">
        <f>COUNTIFS('Monthly Analysis'!$AC$10:$AC$40,B29,'Monthly Analysis'!$AB$10:$AB$40,"Inflow")</f>
        <v>1</v>
      </c>
      <c r="H29" s="33">
        <f>COUNTIFS('Monthly Analysis'!$AI$10:$AI$39,B29,'Monthly Analysis'!$AH$10:$AH$39,"Inflow")</f>
        <v>2</v>
      </c>
      <c r="I29" s="33">
        <f>COUNTIFS('Monthly Analysis'!$AO$10:$AO$40,B29,'Monthly Analysis'!$AN$10:$AN$40,"Inflow")</f>
        <v>0</v>
      </c>
      <c r="J29" s="33">
        <f>COUNTIFS('Monthly Analysis'!$AU$10:$AU$40,B29,'Monthly Analysis'!$AT$10:$AT$40,"Inflow")</f>
        <v>0</v>
      </c>
      <c r="K29" s="33">
        <f>COUNTIFS('Monthly Analysis'!$BA$10:$BA$39,B29,'Monthly Analysis'!$AZ$10:$AZ$39,"Inflow")</f>
        <v>1</v>
      </c>
      <c r="L29" s="33">
        <f>COUNTIFS('Monthly Analysis'!$BG$10:$BG$40,B29,'Monthly Analysis'!$BF$10:$BF$40,"Inflow")</f>
        <v>0</v>
      </c>
      <c r="M29" s="33">
        <f>COUNTIFS('Monthly Analysis'!$BM$10:$BM$39,B29,'Monthly Analysis'!$BL$10:$BL$39,"Inflow")</f>
        <v>1</v>
      </c>
      <c r="N29" s="34">
        <f>COUNTIFS('Monthly Analysis'!$BS$10:$BS$40,B29,'Monthly Analysis'!$BR$10:$BR$40,"Inflow")</f>
        <v>0</v>
      </c>
    </row>
    <row r="30" spans="2:14" x14ac:dyDescent="0.3">
      <c r="B30" s="53" t="s">
        <v>37</v>
      </c>
      <c r="C30" s="33">
        <f>COUNTIFS('Monthly Analysis'!$E$10:$E$40,Calculations!B30,'Monthly Analysis'!$D$10:$D$40,"Inflow")</f>
        <v>2</v>
      </c>
      <c r="D30" s="33">
        <f>COUNTIFS('Monthly Analysis'!$K$10:$K$38,B30,'Monthly Analysis'!$J$10:$J$38,"Inflow")</f>
        <v>1</v>
      </c>
      <c r="E30" s="33">
        <f>COUNTIFS('Monthly Analysis'!$Q$10:$Q$40,B30,'Monthly Analysis'!$P$10:$P$40,"Inflow")</f>
        <v>1</v>
      </c>
      <c r="F30" s="33">
        <f>COUNTIFS('Monthly Analysis'!$W$10:$W$39,B30,'Monthly Analysis'!$V$10:$V$39,"Inflow")</f>
        <v>0</v>
      </c>
      <c r="G30" s="33">
        <f>COUNTIFS('Monthly Analysis'!$AC$10:$AC$40,B30,'Monthly Analysis'!$AB$10:$AB$40,"Inflow")</f>
        <v>3</v>
      </c>
      <c r="H30" s="33">
        <f>COUNTIFS('Monthly Analysis'!$AI$10:$AI$39,B30,'Monthly Analysis'!$AH$10:$AH$39,"Inflow")</f>
        <v>1</v>
      </c>
      <c r="I30" s="33">
        <f>COUNTIFS('Monthly Analysis'!$AO$10:$AO$40,B30,'Monthly Analysis'!$AN$10:$AN$40,"Inflow")</f>
        <v>3</v>
      </c>
      <c r="J30" s="33">
        <f>COUNTIFS('Monthly Analysis'!$AU$10:$AU$40,B30,'Monthly Analysis'!$AT$10:$AT$40,"Inflow")</f>
        <v>1</v>
      </c>
      <c r="K30" s="33">
        <f>COUNTIFS('Monthly Analysis'!$BA$10:$BA$39,B30,'Monthly Analysis'!$AZ$10:$AZ$39,"Inflow")</f>
        <v>2</v>
      </c>
      <c r="L30" s="33">
        <f>COUNTIFS('Monthly Analysis'!$BG$10:$BG$40,B30,'Monthly Analysis'!$BF$10:$BF$40,"Inflow")</f>
        <v>1</v>
      </c>
      <c r="M30" s="33">
        <f>COUNTIFS('Monthly Analysis'!$BM$10:$BM$39,B30,'Monthly Analysis'!$BL$10:$BL$39,"Inflow")</f>
        <v>1</v>
      </c>
      <c r="N30" s="34">
        <f>COUNTIFS('Monthly Analysis'!$BS$10:$BS$40,B30,'Monthly Analysis'!$BR$10:$BR$40,"Inflow")</f>
        <v>1</v>
      </c>
    </row>
    <row r="31" spans="2:14" x14ac:dyDescent="0.3">
      <c r="B31" s="52" t="s">
        <v>105</v>
      </c>
      <c r="C31" s="58">
        <f>SUM(C28:C30)</f>
        <v>13</v>
      </c>
      <c r="D31" s="58">
        <f t="shared" ref="D31:N31" si="9">SUM(D28:D30)</f>
        <v>9</v>
      </c>
      <c r="E31" s="58">
        <f t="shared" si="9"/>
        <v>5</v>
      </c>
      <c r="F31" s="58">
        <f t="shared" si="9"/>
        <v>4</v>
      </c>
      <c r="G31" s="58">
        <f t="shared" si="9"/>
        <v>8</v>
      </c>
      <c r="H31" s="58">
        <f t="shared" si="9"/>
        <v>6</v>
      </c>
      <c r="I31" s="58">
        <f t="shared" si="9"/>
        <v>7</v>
      </c>
      <c r="J31" s="58">
        <f t="shared" si="9"/>
        <v>6</v>
      </c>
      <c r="K31" s="58">
        <f t="shared" si="9"/>
        <v>6</v>
      </c>
      <c r="L31" s="58">
        <f t="shared" si="9"/>
        <v>5</v>
      </c>
      <c r="M31" s="58">
        <f t="shared" si="9"/>
        <v>7</v>
      </c>
      <c r="N31" s="59">
        <f t="shared" si="9"/>
        <v>4</v>
      </c>
    </row>
    <row r="33" spans="2:14" x14ac:dyDescent="0.3">
      <c r="B33" s="30" t="str">
        <f>B26</f>
        <v>Months-&gt;</v>
      </c>
      <c r="C33" s="31" t="str">
        <f t="shared" ref="C33:N33" si="10">C26</f>
        <v>Jan</v>
      </c>
      <c r="D33" s="31" t="str">
        <f t="shared" si="10"/>
        <v>Feb</v>
      </c>
      <c r="E33" s="31" t="str">
        <f t="shared" si="10"/>
        <v>Mar</v>
      </c>
      <c r="F33" s="31" t="str">
        <f t="shared" si="10"/>
        <v>Apr</v>
      </c>
      <c r="G33" s="31" t="str">
        <f t="shared" si="10"/>
        <v>May</v>
      </c>
      <c r="H33" s="31" t="str">
        <f t="shared" si="10"/>
        <v>Jun</v>
      </c>
      <c r="I33" s="31" t="str">
        <f t="shared" si="10"/>
        <v>Jul</v>
      </c>
      <c r="J33" s="31" t="str">
        <f t="shared" si="10"/>
        <v>Aug</v>
      </c>
      <c r="K33" s="31" t="str">
        <f t="shared" si="10"/>
        <v>Sep</v>
      </c>
      <c r="L33" s="31" t="str">
        <f t="shared" si="10"/>
        <v>Oct</v>
      </c>
      <c r="M33" s="31" t="str">
        <f t="shared" si="10"/>
        <v>Nov</v>
      </c>
      <c r="N33" s="32" t="str">
        <f t="shared" si="10"/>
        <v>Dec</v>
      </c>
    </row>
    <row r="34" spans="2:14" x14ac:dyDescent="0.3">
      <c r="B34" s="52" t="s">
        <v>104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4"/>
    </row>
    <row r="35" spans="2:14" x14ac:dyDescent="0.3">
      <c r="B35" s="53" t="str">
        <f>B28</f>
        <v>Operating</v>
      </c>
      <c r="C35" s="54">
        <f>C4-C28</f>
        <v>15</v>
      </c>
      <c r="D35" s="54">
        <f t="shared" ref="D35:N35" si="11">D4-D28</f>
        <v>10</v>
      </c>
      <c r="E35" s="54">
        <f t="shared" si="11"/>
        <v>5</v>
      </c>
      <c r="F35" s="54">
        <f t="shared" si="11"/>
        <v>5</v>
      </c>
      <c r="G35" s="54">
        <f t="shared" si="11"/>
        <v>5</v>
      </c>
      <c r="H35" s="54">
        <f t="shared" si="11"/>
        <v>6</v>
      </c>
      <c r="I35" s="54">
        <f t="shared" si="11"/>
        <v>5</v>
      </c>
      <c r="J35" s="54">
        <f t="shared" si="11"/>
        <v>7</v>
      </c>
      <c r="K35" s="54">
        <f t="shared" si="11"/>
        <v>6</v>
      </c>
      <c r="L35" s="54">
        <f t="shared" si="11"/>
        <v>6</v>
      </c>
      <c r="M35" s="54">
        <f t="shared" si="11"/>
        <v>6</v>
      </c>
      <c r="N35" s="55">
        <f t="shared" si="11"/>
        <v>9</v>
      </c>
    </row>
    <row r="36" spans="2:14" x14ac:dyDescent="0.3">
      <c r="B36" s="53" t="str">
        <f t="shared" ref="B36:B37" si="12">B29</f>
        <v>Financing</v>
      </c>
      <c r="C36" s="54">
        <f>C5-C29</f>
        <v>0</v>
      </c>
      <c r="D36" s="54">
        <f t="shared" ref="D36:N36" si="13">D5-D29</f>
        <v>2</v>
      </c>
      <c r="E36" s="54">
        <f t="shared" si="13"/>
        <v>3</v>
      </c>
      <c r="F36" s="54">
        <f t="shared" si="13"/>
        <v>1</v>
      </c>
      <c r="G36" s="54">
        <f t="shared" si="13"/>
        <v>1</v>
      </c>
      <c r="H36" s="54">
        <f t="shared" si="13"/>
        <v>1</v>
      </c>
      <c r="I36" s="54">
        <f t="shared" si="13"/>
        <v>1</v>
      </c>
      <c r="J36" s="54">
        <f t="shared" si="13"/>
        <v>1</v>
      </c>
      <c r="K36" s="54">
        <f t="shared" si="13"/>
        <v>1</v>
      </c>
      <c r="L36" s="54">
        <f t="shared" si="13"/>
        <v>3</v>
      </c>
      <c r="M36" s="54">
        <f t="shared" si="13"/>
        <v>1</v>
      </c>
      <c r="N36" s="55">
        <f t="shared" si="13"/>
        <v>2</v>
      </c>
    </row>
    <row r="37" spans="2:14" x14ac:dyDescent="0.3">
      <c r="B37" s="53" t="str">
        <f t="shared" si="12"/>
        <v>Investing</v>
      </c>
      <c r="C37" s="54">
        <f>C6-C30</f>
        <v>3</v>
      </c>
      <c r="D37" s="54">
        <f t="shared" ref="D37:N37" si="14">D6-D30</f>
        <v>2</v>
      </c>
      <c r="E37" s="54">
        <f t="shared" si="14"/>
        <v>0</v>
      </c>
      <c r="F37" s="54">
        <f t="shared" si="14"/>
        <v>2</v>
      </c>
      <c r="G37" s="54">
        <f t="shared" si="14"/>
        <v>0</v>
      </c>
      <c r="H37" s="54">
        <f t="shared" si="14"/>
        <v>1</v>
      </c>
      <c r="I37" s="54">
        <f t="shared" si="14"/>
        <v>1</v>
      </c>
      <c r="J37" s="54">
        <f t="shared" si="14"/>
        <v>1</v>
      </c>
      <c r="K37" s="54">
        <f t="shared" si="14"/>
        <v>1</v>
      </c>
      <c r="L37" s="54">
        <f t="shared" si="14"/>
        <v>1</v>
      </c>
      <c r="M37" s="54">
        <f t="shared" si="14"/>
        <v>1</v>
      </c>
      <c r="N37" s="55">
        <f t="shared" si="14"/>
        <v>2</v>
      </c>
    </row>
    <row r="38" spans="2:14" x14ac:dyDescent="0.3">
      <c r="B38" s="52" t="s">
        <v>106</v>
      </c>
      <c r="C38" s="56">
        <f>SUM(C35:C37)</f>
        <v>18</v>
      </c>
      <c r="D38" s="56">
        <f t="shared" ref="D38:N38" si="15">SUM(D35:D37)</f>
        <v>14</v>
      </c>
      <c r="E38" s="56">
        <f t="shared" si="15"/>
        <v>8</v>
      </c>
      <c r="F38" s="56">
        <f t="shared" si="15"/>
        <v>8</v>
      </c>
      <c r="G38" s="56">
        <f t="shared" si="15"/>
        <v>6</v>
      </c>
      <c r="H38" s="56">
        <f t="shared" si="15"/>
        <v>8</v>
      </c>
      <c r="I38" s="56">
        <f t="shared" si="15"/>
        <v>7</v>
      </c>
      <c r="J38" s="56">
        <f t="shared" si="15"/>
        <v>9</v>
      </c>
      <c r="K38" s="56">
        <f t="shared" si="15"/>
        <v>8</v>
      </c>
      <c r="L38" s="56">
        <f t="shared" si="15"/>
        <v>10</v>
      </c>
      <c r="M38" s="56">
        <f t="shared" si="15"/>
        <v>8</v>
      </c>
      <c r="N38" s="57">
        <f t="shared" si="15"/>
        <v>13</v>
      </c>
    </row>
    <row r="41" spans="2:14" x14ac:dyDescent="0.3">
      <c r="C41" s="60">
        <f>C12/C13</f>
        <v>1.7907303370786516</v>
      </c>
      <c r="D41" s="60">
        <f t="shared" ref="D41:N41" si="16">D12/D13</f>
        <v>4</v>
      </c>
      <c r="E41" s="60">
        <f t="shared" si="16"/>
        <v>0</v>
      </c>
      <c r="F41" s="60">
        <v>0</v>
      </c>
      <c r="G41" s="60">
        <f t="shared" si="16"/>
        <v>0.79146484313166809</v>
      </c>
      <c r="H41" s="60">
        <f t="shared" si="16"/>
        <v>10</v>
      </c>
      <c r="I41" s="60">
        <f t="shared" si="16"/>
        <v>0</v>
      </c>
      <c r="J41" s="60">
        <f t="shared" si="16"/>
        <v>0</v>
      </c>
      <c r="K41" s="60">
        <f t="shared" si="16"/>
        <v>0.35159215310240122</v>
      </c>
      <c r="L41" s="60">
        <f t="shared" si="16"/>
        <v>0</v>
      </c>
      <c r="M41" s="60">
        <f t="shared" si="16"/>
        <v>175</v>
      </c>
      <c r="N41" s="60">
        <f t="shared" si="16"/>
        <v>0</v>
      </c>
    </row>
    <row r="42" spans="2:14" x14ac:dyDescent="0.3">
      <c r="C42" s="60">
        <f>(C13-C20)/(C11-C18)</f>
        <v>-1.2560113154172561</v>
      </c>
      <c r="D42" s="60">
        <f t="shared" ref="D42:N42" si="17">(D13-D20)/(D11-D18)</f>
        <v>-2.2421524663677128</v>
      </c>
      <c r="E42" s="60">
        <f t="shared" si="17"/>
        <v>0.21276595744680851</v>
      </c>
      <c r="F42" s="60">
        <f t="shared" si="17"/>
        <v>2.1117608836907085</v>
      </c>
      <c r="G42" s="60">
        <f t="shared" si="17"/>
        <v>3.3249473684210527</v>
      </c>
      <c r="H42" s="60">
        <f t="shared" si="17"/>
        <v>1.7560975609756098</v>
      </c>
      <c r="I42" s="60">
        <f>(I13-I20)/(I11-I18)</f>
        <v>2.84</v>
      </c>
      <c r="J42" s="60">
        <f t="shared" si="17"/>
        <v>-0.55129814550641942</v>
      </c>
      <c r="K42" s="60">
        <f t="shared" si="17"/>
        <v>-2.3040997872751885</v>
      </c>
      <c r="L42" s="60">
        <f t="shared" si="17"/>
        <v>0.3</v>
      </c>
      <c r="M42" s="60">
        <f t="shared" si="17"/>
        <v>-6.0201207243460768</v>
      </c>
      <c r="N42" s="60">
        <f t="shared" si="17"/>
        <v>0.45146726862302483</v>
      </c>
    </row>
    <row r="43" spans="2:14" x14ac:dyDescent="0.3">
      <c r="C43" s="60">
        <f>(C12-C19)/(C11-C18)</f>
        <v>1.8033946251768034</v>
      </c>
      <c r="D43" s="60">
        <f t="shared" ref="D43:N43" si="18">(D12-D19)/(D11-D18)</f>
        <v>6.8497757847533629</v>
      </c>
      <c r="E43" s="60">
        <f t="shared" si="18"/>
        <v>-0.7875886524822695</v>
      </c>
      <c r="F43" s="60">
        <f t="shared" si="18"/>
        <v>-0.55230669265756982</v>
      </c>
      <c r="G43" s="60">
        <f t="shared" si="18"/>
        <v>1.368421052631579</v>
      </c>
      <c r="H43" s="60">
        <f t="shared" si="18"/>
        <v>-0.97560975609756095</v>
      </c>
      <c r="I43" s="60">
        <f t="shared" si="18"/>
        <v>-1.1200000000000001</v>
      </c>
      <c r="J43" s="60">
        <f t="shared" si="18"/>
        <v>-0.42796005706134094</v>
      </c>
      <c r="K43" s="60">
        <f t="shared" si="18"/>
        <v>-0.58015857667762527</v>
      </c>
      <c r="L43" s="60">
        <f t="shared" si="18"/>
        <v>-0.29666666666666669</v>
      </c>
      <c r="M43" s="60">
        <f t="shared" si="18"/>
        <v>2.6559356136820926</v>
      </c>
      <c r="N43" s="60">
        <f t="shared" si="18"/>
        <v>8.4650112866817163E-3</v>
      </c>
    </row>
    <row r="44" spans="2:14" x14ac:dyDescent="0.3">
      <c r="C44" s="64">
        <f>IF(C14&gt;C21,C14/C21,C14/-C21)</f>
        <v>1.2146465885122872</v>
      </c>
      <c r="D44" s="64">
        <f t="shared" ref="D44:N44" si="19">IF(D14&gt;D21,D14/D21,D14/-D21)</f>
        <v>1.3223353524938781</v>
      </c>
      <c r="E44" s="64">
        <f t="shared" si="19"/>
        <v>1.1347039658465341</v>
      </c>
      <c r="F44" s="64">
        <f t="shared" si="19"/>
        <v>-0.50452830188679243</v>
      </c>
      <c r="G44" s="64">
        <f t="shared" si="19"/>
        <v>1.7163841059602649</v>
      </c>
      <c r="H44" s="64">
        <f t="shared" si="19"/>
        <v>-0.74827586206896557</v>
      </c>
      <c r="I44" s="64">
        <f t="shared" si="19"/>
        <v>1.4084084084084083</v>
      </c>
      <c r="J44" s="64">
        <f t="shared" si="19"/>
        <v>1.0053221083455344</v>
      </c>
      <c r="K44" s="64">
        <f t="shared" si="19"/>
        <v>1.7979280976169028</v>
      </c>
      <c r="L44" s="64">
        <f t="shared" si="19"/>
        <v>1.6297071129707112</v>
      </c>
      <c r="M44" s="64">
        <f t="shared" si="19"/>
        <v>-0.75195271268735486</v>
      </c>
      <c r="N44" s="64">
        <f t="shared" si="19"/>
        <v>-0.42344550924894137</v>
      </c>
    </row>
    <row r="51" spans="3:14" x14ac:dyDescent="0.3">
      <c r="C51">
        <v>21880</v>
      </c>
      <c r="D51">
        <v>50020</v>
      </c>
      <c r="E51">
        <v>11990</v>
      </c>
      <c r="F51">
        <v>-78780</v>
      </c>
      <c r="G51">
        <v>54087</v>
      </c>
      <c r="H51">
        <v>-36500</v>
      </c>
      <c r="I51">
        <v>34000</v>
      </c>
      <c r="J51">
        <v>727</v>
      </c>
      <c r="K51">
        <v>97435</v>
      </c>
      <c r="L51">
        <v>60200</v>
      </c>
      <c r="M51">
        <v>-117500</v>
      </c>
      <c r="N51">
        <v>-129350</v>
      </c>
    </row>
  </sheetData>
  <sheetProtection algorithmName="SHA-512" hashValue="mq2oc+0tU49XbtzhK81XyEH8GUTNh9vB+htfpF1TOXFrKNEme8BjX7zhe3qR92+qt7RVLcXPPTCbb6+2enQh/A==" saltValue="NxM2TG00+fNAc3nHeYxynw==" spinCount="100000" sheet="1" objects="1" scenarios="1" selectLockedCells="1"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Settings</vt:lpstr>
      <vt:lpstr>Tracker Dashboard</vt:lpstr>
      <vt:lpstr>Monthly Analysis</vt:lpstr>
      <vt:lpstr>Quarterly Analysis</vt:lpstr>
      <vt:lpstr>Cash Flow Tracking</vt:lpstr>
      <vt:lpstr>Cash Flow Entry</vt:lpstr>
      <vt:lpstr>Calculations</vt:lpstr>
      <vt:lpstr>AprStart</vt:lpstr>
      <vt:lpstr>Aug_Start</vt:lpstr>
      <vt:lpstr>base_currency</vt:lpstr>
      <vt:lpstr>Dec_Start</vt:lpstr>
      <vt:lpstr>FebStart</vt:lpstr>
      <vt:lpstr>Financing</vt:lpstr>
      <vt:lpstr>Investing</vt:lpstr>
      <vt:lpstr>JanStart</vt:lpstr>
      <vt:lpstr>JulStart</vt:lpstr>
      <vt:lpstr>JunStart</vt:lpstr>
      <vt:lpstr>MarStart</vt:lpstr>
      <vt:lpstr>MayStart</vt:lpstr>
      <vt:lpstr>Nov_Start</vt:lpstr>
      <vt:lpstr>Oct_Start</vt:lpstr>
      <vt:lpstr>Operating</vt:lpstr>
      <vt:lpstr>select_currency</vt:lpstr>
      <vt:lpstr>Sep_Start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Kasturi</dc:creator>
  <cp:lastModifiedBy>Love Kasturi</cp:lastModifiedBy>
  <dcterms:created xsi:type="dcterms:W3CDTF">2025-06-24T19:18:58Z</dcterms:created>
  <dcterms:modified xsi:type="dcterms:W3CDTF">2025-08-06T15:27:54Z</dcterms:modified>
</cp:coreProperties>
</file>