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 Kasturi\Downloads\"/>
    </mc:Choice>
  </mc:AlternateContent>
  <xr:revisionPtr revIDLastSave="0" documentId="13_ncr:1_{28B86C4B-3D16-4471-AF6D-85736A87A299}" xr6:coauthVersionLast="47" xr6:coauthVersionMax="47" xr10:uidLastSave="{00000000-0000-0000-0000-000000000000}"/>
  <bookViews>
    <workbookView xWindow="-108" yWindow="-108" windowWidth="23256" windowHeight="12456" xr2:uid="{6BA423A4-38A7-433E-B8C1-5E08FDD0C4C3}"/>
  </bookViews>
  <sheets>
    <sheet name="LBO" sheetId="1" r:id="rId1"/>
    <sheet name="Shares" sheetId="2" r:id="rId2"/>
  </sheets>
  <definedNames>
    <definedName name="CASE">LBO!$G$7</definedName>
    <definedName name="CIRC">LBO!$G$6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B206" i="1"/>
  <c r="B215" i="1" s="1"/>
  <c r="B205" i="1"/>
  <c r="B214" i="1" s="1"/>
  <c r="B177" i="1"/>
  <c r="M29" i="1"/>
  <c r="O29" i="1" s="1"/>
  <c r="M28" i="1"/>
  <c r="O28" i="1" s="1"/>
  <c r="H235" i="1"/>
  <c r="I235" i="1"/>
  <c r="J235" i="1"/>
  <c r="K235" i="1"/>
  <c r="G236" i="1"/>
  <c r="H236" i="1" s="1"/>
  <c r="I236" i="1" s="1"/>
  <c r="J236" i="1" s="1"/>
  <c r="K236" i="1" s="1"/>
  <c r="G235" i="1"/>
  <c r="H250" i="1"/>
  <c r="I250" i="1"/>
  <c r="J250" i="1"/>
  <c r="K250" i="1"/>
  <c r="G251" i="1"/>
  <c r="H251" i="1" s="1"/>
  <c r="I251" i="1" s="1"/>
  <c r="J251" i="1" s="1"/>
  <c r="K251" i="1" s="1"/>
  <c r="G250" i="1"/>
  <c r="H247" i="1"/>
  <c r="I247" i="1"/>
  <c r="J247" i="1"/>
  <c r="K247" i="1"/>
  <c r="G248" i="1"/>
  <c r="H248" i="1" s="1"/>
  <c r="I248" i="1" s="1"/>
  <c r="J248" i="1" s="1"/>
  <c r="K248" i="1" s="1"/>
  <c r="G247" i="1"/>
  <c r="H232" i="1"/>
  <c r="I232" i="1"/>
  <c r="J232" i="1"/>
  <c r="K232" i="1"/>
  <c r="G232" i="1"/>
  <c r="F232" i="1"/>
  <c r="F212" i="1"/>
  <c r="G209" i="1" s="1"/>
  <c r="F203" i="1"/>
  <c r="G200" i="1" s="1"/>
  <c r="F194" i="1"/>
  <c r="G191" i="1" s="1"/>
  <c r="F175" i="1"/>
  <c r="G253" i="1" l="1"/>
  <c r="H253" i="1"/>
  <c r="I253" i="1"/>
  <c r="F233" i="1"/>
  <c r="G233" i="1" s="1"/>
  <c r="H233" i="1" s="1"/>
  <c r="I233" i="1" s="1"/>
  <c r="J233" i="1" s="1"/>
  <c r="K233" i="1" s="1"/>
  <c r="K253" i="1"/>
  <c r="J253" i="1"/>
  <c r="G226" i="1"/>
  <c r="H200" i="1"/>
  <c r="H209" i="1"/>
  <c r="E158" i="1"/>
  <c r="F158" i="1"/>
  <c r="D158" i="1"/>
  <c r="H154" i="1"/>
  <c r="H155" i="1" s="1"/>
  <c r="I154" i="1"/>
  <c r="I155" i="1" s="1"/>
  <c r="J154" i="1"/>
  <c r="J155" i="1" s="1"/>
  <c r="K154" i="1"/>
  <c r="K155" i="1" s="1"/>
  <c r="G154" i="1"/>
  <c r="G155" i="1" s="1"/>
  <c r="E148" i="1"/>
  <c r="E149" i="1" s="1"/>
  <c r="F148" i="1"/>
  <c r="F149" i="1" s="1"/>
  <c r="D148" i="1"/>
  <c r="D149" i="1" s="1"/>
  <c r="E145" i="1"/>
  <c r="E146" i="1" s="1"/>
  <c r="F145" i="1"/>
  <c r="F146" i="1" s="1"/>
  <c r="D145" i="1"/>
  <c r="D146" i="1" s="1"/>
  <c r="B250" i="1"/>
  <c r="B247" i="1"/>
  <c r="E231" i="1"/>
  <c r="F231" i="1" s="1"/>
  <c r="G231" i="1" s="1"/>
  <c r="H231" i="1" s="1"/>
  <c r="I231" i="1" s="1"/>
  <c r="J231" i="1" s="1"/>
  <c r="K231" i="1" s="1"/>
  <c r="E171" i="1"/>
  <c r="F171" i="1" s="1"/>
  <c r="G171" i="1" s="1"/>
  <c r="H171" i="1" s="1"/>
  <c r="I171" i="1" s="1"/>
  <c r="J171" i="1" s="1"/>
  <c r="K171" i="1" s="1"/>
  <c r="E160" i="1"/>
  <c r="F160" i="1" s="1"/>
  <c r="G160" i="1" s="1"/>
  <c r="H160" i="1" s="1"/>
  <c r="I160" i="1" s="1"/>
  <c r="J160" i="1" s="1"/>
  <c r="K160" i="1" s="1"/>
  <c r="E107" i="1"/>
  <c r="F107" i="1" s="1"/>
  <c r="G107" i="1" s="1"/>
  <c r="H107" i="1" s="1"/>
  <c r="I107" i="1" s="1"/>
  <c r="J107" i="1" s="1"/>
  <c r="K107" i="1" s="1"/>
  <c r="H105" i="1"/>
  <c r="I105" i="1"/>
  <c r="J105" i="1"/>
  <c r="K105" i="1"/>
  <c r="G105" i="1"/>
  <c r="E94" i="1"/>
  <c r="G152" i="1" l="1"/>
  <c r="H152" i="1" s="1"/>
  <c r="G158" i="1"/>
  <c r="H158" i="1" s="1"/>
  <c r="G146" i="1"/>
  <c r="I209" i="1"/>
  <c r="I200" i="1"/>
  <c r="E59" i="1"/>
  <c r="E51" i="1" s="1"/>
  <c r="F59" i="1"/>
  <c r="F51" i="1" s="1"/>
  <c r="G59" i="1"/>
  <c r="G51" i="1" s="1"/>
  <c r="H59" i="1"/>
  <c r="H51" i="1" s="1"/>
  <c r="I59" i="1"/>
  <c r="I51" i="1" s="1"/>
  <c r="J59" i="1"/>
  <c r="J51" i="1" s="1"/>
  <c r="K59" i="1"/>
  <c r="K51" i="1" s="1"/>
  <c r="H7" i="1"/>
  <c r="H77" i="1"/>
  <c r="I77" i="1"/>
  <c r="J77" i="1"/>
  <c r="K77" i="1"/>
  <c r="G77" i="1"/>
  <c r="E53" i="1"/>
  <c r="F53" i="1"/>
  <c r="G53" i="1" s="1"/>
  <c r="D53" i="1"/>
  <c r="D68" i="1"/>
  <c r="E68" i="1"/>
  <c r="F68" i="1"/>
  <c r="E64" i="1"/>
  <c r="E52" i="1" s="1"/>
  <c r="F64" i="1"/>
  <c r="F70" i="1" s="1"/>
  <c r="D64" i="1"/>
  <c r="D52" i="1" s="1"/>
  <c r="E62" i="1"/>
  <c r="F62" i="1"/>
  <c r="D62" i="1"/>
  <c r="D51" i="1"/>
  <c r="E56" i="1"/>
  <c r="F56" i="1" s="1"/>
  <c r="G56" i="1" s="1"/>
  <c r="H56" i="1" s="1"/>
  <c r="I56" i="1" s="1"/>
  <c r="J56" i="1" s="1"/>
  <c r="K56" i="1" s="1"/>
  <c r="F40" i="1"/>
  <c r="F41" i="1"/>
  <c r="F39" i="1"/>
  <c r="B40" i="1"/>
  <c r="B41" i="1"/>
  <c r="B39" i="1"/>
  <c r="B190" i="1" s="1"/>
  <c r="I33" i="1"/>
  <c r="R20" i="1"/>
  <c r="E6" i="2"/>
  <c r="E24" i="2" s="1"/>
  <c r="B22" i="2"/>
  <c r="B23" i="2" s="1"/>
  <c r="B24" i="2" s="1"/>
  <c r="B25" i="2" s="1"/>
  <c r="B26" i="2" s="1"/>
  <c r="B27" i="2" s="1"/>
  <c r="B28" i="2" s="1"/>
  <c r="B29" i="2" s="1"/>
  <c r="B30" i="2" s="1"/>
  <c r="B199" i="1" l="1"/>
  <c r="B128" i="1"/>
  <c r="B127" i="1"/>
  <c r="B208" i="1"/>
  <c r="B129" i="1"/>
  <c r="G151" i="1"/>
  <c r="G148" i="1" s="1"/>
  <c r="G149" i="1" s="1"/>
  <c r="G157" i="1"/>
  <c r="G164" i="1" s="1"/>
  <c r="E65" i="1"/>
  <c r="D65" i="1"/>
  <c r="D70" i="1"/>
  <c r="D71" i="1" s="1"/>
  <c r="E70" i="1"/>
  <c r="E92" i="1" s="1"/>
  <c r="E95" i="1" s="1"/>
  <c r="E98" i="1" s="1"/>
  <c r="E99" i="1" s="1"/>
  <c r="E96" i="1" s="1"/>
  <c r="F52" i="1"/>
  <c r="G52" i="1" s="1"/>
  <c r="H52" i="1" s="1"/>
  <c r="G68" i="1"/>
  <c r="G67" i="1" s="1"/>
  <c r="H53" i="1"/>
  <c r="F92" i="1"/>
  <c r="F95" i="1" s="1"/>
  <c r="F71" i="1"/>
  <c r="F82" i="1"/>
  <c r="J209" i="1"/>
  <c r="F65" i="1"/>
  <c r="J200" i="1"/>
  <c r="I152" i="1"/>
  <c r="H151" i="1"/>
  <c r="H148" i="1" s="1"/>
  <c r="H157" i="1"/>
  <c r="H164" i="1" s="1"/>
  <c r="I158" i="1"/>
  <c r="G145" i="1"/>
  <c r="G165" i="1" s="1"/>
  <c r="H146" i="1"/>
  <c r="E30" i="2"/>
  <c r="E22" i="2"/>
  <c r="E26" i="2"/>
  <c r="E27" i="2"/>
  <c r="E21" i="2"/>
  <c r="E8" i="2" s="1"/>
  <c r="E23" i="2"/>
  <c r="E29" i="2"/>
  <c r="E25" i="2"/>
  <c r="E14" i="2"/>
  <c r="E16" i="2" s="1"/>
  <c r="R17" i="1" s="1"/>
  <c r="E28" i="2"/>
  <c r="R16" i="1" l="1"/>
  <c r="G163" i="1"/>
  <c r="D92" i="1"/>
  <c r="D95" i="1" s="1"/>
  <c r="D98" i="1" s="1"/>
  <c r="D99" i="1" s="1"/>
  <c r="D96" i="1" s="1"/>
  <c r="E71" i="1"/>
  <c r="D82" i="1"/>
  <c r="D54" i="1" s="1"/>
  <c r="D86" i="1" s="1"/>
  <c r="G65" i="1"/>
  <c r="G64" i="1" s="1"/>
  <c r="G61" i="1" s="1"/>
  <c r="G62" i="1" s="1"/>
  <c r="E82" i="1"/>
  <c r="E88" i="1" s="1"/>
  <c r="E89" i="1" s="1"/>
  <c r="H68" i="1"/>
  <c r="H67" i="1" s="1"/>
  <c r="I53" i="1"/>
  <c r="H149" i="1"/>
  <c r="H163" i="1"/>
  <c r="F83" i="1"/>
  <c r="F88" i="1"/>
  <c r="F89" i="1" s="1"/>
  <c r="F54" i="1"/>
  <c r="I157" i="1"/>
  <c r="I164" i="1" s="1"/>
  <c r="J158" i="1"/>
  <c r="O39" i="1"/>
  <c r="H145" i="1"/>
  <c r="H165" i="1" s="1"/>
  <c r="I146" i="1"/>
  <c r="J152" i="1"/>
  <c r="I151" i="1"/>
  <c r="I148" i="1" s="1"/>
  <c r="K200" i="1"/>
  <c r="H65" i="1"/>
  <c r="H64" i="1" s="1"/>
  <c r="H61" i="1" s="1"/>
  <c r="H62" i="1" s="1"/>
  <c r="I52" i="1"/>
  <c r="K209" i="1"/>
  <c r="F98" i="1"/>
  <c r="F99" i="1" s="1"/>
  <c r="F96" i="1" s="1"/>
  <c r="H20" i="1"/>
  <c r="E9" i="2"/>
  <c r="E10" i="2" s="1"/>
  <c r="E11" i="2" s="1"/>
  <c r="E32" i="2"/>
  <c r="D83" i="1" l="1"/>
  <c r="D88" i="1"/>
  <c r="D89" i="1" s="1"/>
  <c r="E83" i="1"/>
  <c r="E54" i="1"/>
  <c r="E86" i="1" s="1"/>
  <c r="J29" i="1"/>
  <c r="J28" i="1"/>
  <c r="J52" i="1"/>
  <c r="I65" i="1"/>
  <c r="I64" i="1" s="1"/>
  <c r="I61" i="1" s="1"/>
  <c r="I62" i="1" s="1"/>
  <c r="I149" i="1"/>
  <c r="I163" i="1"/>
  <c r="G54" i="1"/>
  <c r="F86" i="1"/>
  <c r="J151" i="1"/>
  <c r="J148" i="1" s="1"/>
  <c r="K152" i="1"/>
  <c r="K151" i="1" s="1"/>
  <c r="K148" i="1" s="1"/>
  <c r="P39" i="1"/>
  <c r="J53" i="1"/>
  <c r="I68" i="1"/>
  <c r="I67" i="1" s="1"/>
  <c r="P41" i="1"/>
  <c r="R23" i="1"/>
  <c r="P43" i="1"/>
  <c r="G41" i="1"/>
  <c r="G39" i="1"/>
  <c r="G40" i="1"/>
  <c r="I145" i="1"/>
  <c r="I165" i="1" s="1"/>
  <c r="J146" i="1"/>
  <c r="K158" i="1"/>
  <c r="K157" i="1" s="1"/>
  <c r="K164" i="1" s="1"/>
  <c r="J157" i="1"/>
  <c r="J164" i="1" s="1"/>
  <c r="M32" i="1"/>
  <c r="O32" i="1" s="1"/>
  <c r="M31" i="1"/>
  <c r="O31" i="1" s="1"/>
  <c r="M30" i="1"/>
  <c r="O30" i="1" s="1"/>
  <c r="J31" i="1"/>
  <c r="J32" i="1"/>
  <c r="J30" i="1"/>
  <c r="H23" i="1"/>
  <c r="H21" i="1"/>
  <c r="R14" i="1"/>
  <c r="J33" i="1" l="1"/>
  <c r="K146" i="1"/>
  <c r="K145" i="1" s="1"/>
  <c r="K165" i="1" s="1"/>
  <c r="J145" i="1"/>
  <c r="J165" i="1" s="1"/>
  <c r="K53" i="1"/>
  <c r="K68" i="1" s="1"/>
  <c r="K67" i="1" s="1"/>
  <c r="J68" i="1"/>
  <c r="J67" i="1" s="1"/>
  <c r="K52" i="1"/>
  <c r="K65" i="1" s="1"/>
  <c r="K64" i="1" s="1"/>
  <c r="K61" i="1" s="1"/>
  <c r="K62" i="1" s="1"/>
  <c r="J65" i="1"/>
  <c r="J64" i="1" s="1"/>
  <c r="J61" i="1" s="1"/>
  <c r="J62" i="1" s="1"/>
  <c r="K163" i="1"/>
  <c r="K149" i="1"/>
  <c r="G86" i="1"/>
  <c r="H54" i="1"/>
  <c r="F42" i="1"/>
  <c r="G173" i="1"/>
  <c r="J163" i="1"/>
  <c r="J149" i="1"/>
  <c r="R19" i="1"/>
  <c r="R22" i="1" s="1"/>
  <c r="R24" i="1" s="1"/>
  <c r="H24" i="1" s="1"/>
  <c r="K259" i="1" s="1"/>
  <c r="O40" i="1"/>
  <c r="O33" i="1"/>
  <c r="M33" i="1"/>
  <c r="O42" i="1" s="1"/>
  <c r="I54" i="1" l="1"/>
  <c r="H86" i="1"/>
  <c r="P42" i="1"/>
  <c r="P40" i="1"/>
  <c r="O45" i="1"/>
  <c r="H173" i="1"/>
  <c r="G175" i="1"/>
  <c r="G42" i="1"/>
  <c r="I73" i="1"/>
  <c r="H73" i="1"/>
  <c r="K73" i="1"/>
  <c r="J73" i="1"/>
  <c r="G73" i="1"/>
  <c r="G70" i="1" l="1"/>
  <c r="G101" i="1"/>
  <c r="I70" i="1"/>
  <c r="I101" i="1"/>
  <c r="I173" i="1"/>
  <c r="H175" i="1"/>
  <c r="F45" i="1"/>
  <c r="Q41" i="1"/>
  <c r="Q43" i="1"/>
  <c r="Q39" i="1"/>
  <c r="Q42" i="1"/>
  <c r="K70" i="1"/>
  <c r="K101" i="1"/>
  <c r="Q40" i="1"/>
  <c r="J70" i="1"/>
  <c r="J101" i="1"/>
  <c r="H70" i="1"/>
  <c r="H101" i="1"/>
  <c r="P45" i="1"/>
  <c r="J54" i="1"/>
  <c r="I86" i="1"/>
  <c r="H74" i="1"/>
  <c r="G74" i="1"/>
  <c r="K74" i="1"/>
  <c r="I74" i="1"/>
  <c r="J74" i="1"/>
  <c r="J71" i="1" l="1"/>
  <c r="J82" i="1"/>
  <c r="F43" i="1"/>
  <c r="H40" i="1"/>
  <c r="H39" i="1"/>
  <c r="H41" i="1"/>
  <c r="H42" i="1"/>
  <c r="I71" i="1"/>
  <c r="I82" i="1"/>
  <c r="H102" i="1"/>
  <c r="H99" i="1" s="1"/>
  <c r="H98" i="1"/>
  <c r="Q45" i="1"/>
  <c r="G102" i="1"/>
  <c r="G99" i="1" s="1"/>
  <c r="G98" i="1"/>
  <c r="H71" i="1"/>
  <c r="H82" i="1"/>
  <c r="K98" i="1"/>
  <c r="K258" i="1" s="1"/>
  <c r="K260" i="1" s="1"/>
  <c r="K102" i="1"/>
  <c r="K99" i="1" s="1"/>
  <c r="I175" i="1"/>
  <c r="J173" i="1"/>
  <c r="G71" i="1"/>
  <c r="G82" i="1"/>
  <c r="K54" i="1"/>
  <c r="K86" i="1" s="1"/>
  <c r="J86" i="1"/>
  <c r="J98" i="1"/>
  <c r="J102" i="1"/>
  <c r="J99" i="1" s="1"/>
  <c r="K71" i="1"/>
  <c r="K82" i="1"/>
  <c r="I98" i="1"/>
  <c r="I102" i="1"/>
  <c r="I99" i="1" s="1"/>
  <c r="K85" i="1" l="1"/>
  <c r="K88" i="1" s="1"/>
  <c r="K83" i="1"/>
  <c r="K173" i="1"/>
  <c r="K175" i="1" s="1"/>
  <c r="J175" i="1"/>
  <c r="H85" i="1"/>
  <c r="H88" i="1" s="1"/>
  <c r="H83" i="1"/>
  <c r="K264" i="1"/>
  <c r="H43" i="1"/>
  <c r="H45" i="1" s="1"/>
  <c r="G43" i="1"/>
  <c r="G45" i="1" s="1"/>
  <c r="G85" i="1"/>
  <c r="G88" i="1" s="1"/>
  <c r="G83" i="1"/>
  <c r="J83" i="1"/>
  <c r="J85" i="1"/>
  <c r="J88" i="1" s="1"/>
  <c r="I85" i="1"/>
  <c r="I88" i="1" s="1"/>
  <c r="I83" i="1"/>
  <c r="G89" i="1" l="1"/>
  <c r="G162" i="1"/>
  <c r="G167" i="1" s="1"/>
  <c r="H162" i="1"/>
  <c r="H167" i="1" s="1"/>
  <c r="H89" i="1"/>
  <c r="K89" i="1"/>
  <c r="K162" i="1"/>
  <c r="K167" i="1" s="1"/>
  <c r="J89" i="1"/>
  <c r="J162" i="1"/>
  <c r="J167" i="1" s="1"/>
  <c r="I162" i="1"/>
  <c r="I167" i="1" s="1"/>
  <c r="I89" i="1"/>
  <c r="G193" i="1" l="1"/>
  <c r="G201" i="1" l="1"/>
  <c r="G203" i="1" s="1"/>
  <c r="G194" i="1"/>
  <c r="H191" i="1" s="1"/>
  <c r="G210" i="1" l="1"/>
  <c r="G212" i="1" s="1"/>
  <c r="H226" i="1"/>
  <c r="H193" i="1"/>
  <c r="G227" i="1" l="1"/>
  <c r="H201" i="1"/>
  <c r="H203" i="1" s="1"/>
  <c r="H194" i="1"/>
  <c r="I191" i="1" s="1"/>
  <c r="G228" i="1" l="1"/>
  <c r="G254" i="1" s="1"/>
  <c r="I226" i="1"/>
  <c r="I193" i="1"/>
  <c r="H210" i="1"/>
  <c r="H212" i="1" s="1"/>
  <c r="G229" i="1" l="1"/>
  <c r="H227" i="1"/>
  <c r="H228" i="1" s="1"/>
  <c r="H254" i="1" s="1"/>
  <c r="I201" i="1"/>
  <c r="I203" i="1" s="1"/>
  <c r="I194" i="1"/>
  <c r="J191" i="1" s="1"/>
  <c r="H229" i="1" l="1"/>
  <c r="I210" i="1"/>
  <c r="I212" i="1" s="1"/>
  <c r="J226" i="1"/>
  <c r="J193" i="1"/>
  <c r="J194" i="1" s="1"/>
  <c r="K191" i="1" s="1"/>
  <c r="I227" i="1" l="1"/>
  <c r="I228" i="1" s="1"/>
  <c r="I254" i="1" s="1"/>
  <c r="K226" i="1"/>
  <c r="K193" i="1"/>
  <c r="K194" i="1" s="1"/>
  <c r="J201" i="1"/>
  <c r="J203" i="1" s="1"/>
  <c r="J210" i="1" l="1"/>
  <c r="J212" i="1" s="1"/>
  <c r="K201" i="1"/>
  <c r="K203" i="1" s="1"/>
  <c r="I229" i="1"/>
  <c r="J227" i="1" l="1"/>
  <c r="J228" i="1" s="1"/>
  <c r="J254" i="1" s="1"/>
  <c r="K210" i="1"/>
  <c r="K212" i="1" s="1"/>
  <c r="J229" i="1" l="1"/>
  <c r="K227" i="1"/>
  <c r="K228" i="1" l="1"/>
  <c r="K229" i="1" s="1"/>
  <c r="K261" i="1" l="1"/>
  <c r="K262" i="1" s="1"/>
  <c r="K266" i="1" s="1"/>
  <c r="K267" i="1" s="1"/>
  <c r="K2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 Kasturi</author>
  </authors>
  <commentList>
    <comment ref="R13" authorId="0" shapeId="0" xr:uid="{4AFC349D-D137-4DFB-81D5-F4B8AE608C16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https://www.sec.gov/Archives/edgar/data/1352801/000110465910047156/a10-16844_1ex99d1.htm
</t>
        </r>
      </text>
    </comment>
    <comment ref="H21" authorId="0" shapeId="0" xr:uid="{682181B4-9DC5-40AC-9ACF-08357B222CF9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10k Page 72 - debt
10k Page 101 - current portion of capital leases
</t>
        </r>
      </text>
    </comment>
    <comment ref="H22" authorId="0" shapeId="0" xr:uid="{2ED9DA6E-5699-442D-AB33-7497B7F138CA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10k Page 72</t>
        </r>
      </text>
    </comment>
    <comment ref="H23" authorId="0" shapeId="0" xr:uid="{B828F0E1-D733-4F9D-9C5F-9BDC20934D32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10KT page 87 - cash on hand</t>
        </r>
      </text>
    </comment>
    <comment ref="I28" authorId="0" shapeId="0" xr:uid="{F9AD5839-3137-41E5-B163-BBA40EBCF8A4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kt pg no 105</t>
        </r>
      </text>
    </comment>
    <comment ref="K28" authorId="0" shapeId="0" xr:uid="{1DC41305-DC28-4DCF-B0C0-4DADDB8464B8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kt pg no 106</t>
        </r>
      </text>
    </comment>
    <comment ref="I29" authorId="0" shapeId="0" xr:uid="{8C33229C-0E7B-49C8-8AB8-025337D2101E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N29" authorId="0" shapeId="0" xr:uid="{3E2BB361-21C6-4C60-9A63-B436E32E8F05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I30" authorId="0" shapeId="0" xr:uid="{DFDA3EEF-7243-446C-8BB7-C043AF643D12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2011 - 10k page 87</t>
        </r>
      </text>
    </comment>
    <comment ref="I31" authorId="0" shapeId="0" xr:uid="{35F8775F-7B64-4398-B4BA-7F4CA4F97920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10 kt page 105</t>
        </r>
      </text>
    </comment>
    <comment ref="I32" authorId="0" shapeId="0" xr:uid="{2E5B3DFC-083B-4A37-B68B-E80D9ED4095A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10 kt page 105</t>
        </r>
      </text>
    </comment>
    <comment ref="O43" authorId="0" shapeId="0" xr:uid="{F95C1A39-A0FC-4B18-9E43-D5BC2E953082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to egt to $1.56bn sponsor equity adding extra line item
2011 10k pg 87</t>
        </r>
      </text>
    </comment>
    <comment ref="G76" authorId="0" shapeId="0" xr:uid="{81FE32B3-7DE0-4EEA-A3E0-EDAABFCF1E61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PREM 14A pg 60</t>
        </r>
      </text>
    </comment>
    <comment ref="E93" authorId="0" shapeId="0" xr:uid="{EC39C529-839A-4ADA-A02B-DA32824EE85A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10K FY2010 page 40</t>
        </r>
      </text>
    </comment>
    <comment ref="E94" authorId="0" shapeId="0" xr:uid="{4C2D61D7-39C7-4C5F-AE75-2F9759995C5B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https://www.bamsec.com/filing/115752310005220?cik=1352801</t>
        </r>
      </text>
    </comment>
    <comment ref="G104" authorId="0" shapeId="0" xr:uid="{71FFE341-0B62-4678-A6C8-B60BF9859523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PREM14A pg 60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 Kasturi</author>
  </authors>
  <commentList>
    <comment ref="E12" authorId="0" shapeId="0" xr:uid="{16418EB1-7C06-411D-AC85-B1E04042A919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10kt page 99</t>
        </r>
      </text>
    </comment>
    <comment ref="E14" authorId="0" shapeId="0" xr:uid="{5AB5E687-DB22-4D13-B3B1-D1F696D68CF2}">
      <text>
        <r>
          <rPr>
            <b/>
            <sz val="9"/>
            <color indexed="81"/>
            <rFont val="Tahoma"/>
            <family val="2"/>
          </rPr>
          <t>Love Kasturi: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</commentList>
</comments>
</file>

<file path=xl/sharedStrings.xml><?xml version="1.0" encoding="utf-8"?>
<sst xmlns="http://schemas.openxmlformats.org/spreadsheetml/2006/main" count="331" uniqueCount="162">
  <si>
    <t>LBO</t>
  </si>
  <si>
    <t>Switches</t>
  </si>
  <si>
    <t>Circuit breaker</t>
  </si>
  <si>
    <t>Case</t>
  </si>
  <si>
    <t>Assumptions</t>
  </si>
  <si>
    <t>Transaction Background</t>
  </si>
  <si>
    <t>Valuation at Entry</t>
  </si>
  <si>
    <t>Company name</t>
  </si>
  <si>
    <t>Ticker</t>
  </si>
  <si>
    <t>Latest closing share price</t>
  </si>
  <si>
    <t>Latest closing share price date</t>
  </si>
  <si>
    <t>Burger King</t>
  </si>
  <si>
    <t>BKC</t>
  </si>
  <si>
    <t>Offer value/ share</t>
  </si>
  <si>
    <t>% Premium / discount</t>
  </si>
  <si>
    <t>Offer value (Equity value)</t>
  </si>
  <si>
    <t>Diluted shares outstanding</t>
  </si>
  <si>
    <t>Debt</t>
  </si>
  <si>
    <t>Cash</t>
  </si>
  <si>
    <t>Enterprise Value</t>
  </si>
  <si>
    <t>LTM EBITDA</t>
  </si>
  <si>
    <t>Entry Multiple</t>
  </si>
  <si>
    <t>Transaction Financials and Assumptions</t>
  </si>
  <si>
    <t>Minimum Cash</t>
  </si>
  <si>
    <t>Exit Multiple</t>
  </si>
  <si>
    <t>#</t>
  </si>
  <si>
    <t>Capital Structure</t>
  </si>
  <si>
    <t>Secured term loan - USD tranche</t>
  </si>
  <si>
    <t>Secured term loan -EUR tranche</t>
  </si>
  <si>
    <t>Senior notes</t>
  </si>
  <si>
    <t>Amount</t>
  </si>
  <si>
    <t>xEBITDA</t>
  </si>
  <si>
    <t>Interest(%)</t>
  </si>
  <si>
    <t>Fees(%)</t>
  </si>
  <si>
    <t>Fee($)</t>
  </si>
  <si>
    <t>Term</t>
  </si>
  <si>
    <t>Amortization</t>
  </si>
  <si>
    <t>Diluted Share Count Calculation</t>
  </si>
  <si>
    <t>Full Diluted Shares</t>
  </si>
  <si>
    <t>Offer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</si>
  <si>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</si>
  <si>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</si>
  <si>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</si>
  <si>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</si>
  <si>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</si>
  <si>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</si>
  <si>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Settled stock based comp</t>
  </si>
  <si>
    <t>Net diluted shares outstanding</t>
  </si>
  <si>
    <t>Options outstanding</t>
  </si>
  <si>
    <t>Outstanding</t>
  </si>
  <si>
    <t>Exercise price</t>
  </si>
  <si>
    <t>Dilutive Shares</t>
  </si>
  <si>
    <t>Total</t>
  </si>
  <si>
    <t>Sources and Uses</t>
  </si>
  <si>
    <t>Uses</t>
  </si>
  <si>
    <t>Sources</t>
  </si>
  <si>
    <t>Cash on Hand</t>
  </si>
  <si>
    <t>Sponsor equity</t>
  </si>
  <si>
    <t>% Capital</t>
  </si>
  <si>
    <t>Equity payment</t>
  </si>
  <si>
    <t>Debt refinancing</t>
  </si>
  <si>
    <t>Transaction fees</t>
  </si>
  <si>
    <t>Financing fees</t>
  </si>
  <si>
    <t>Other</t>
  </si>
  <si>
    <t>Financials</t>
  </si>
  <si>
    <t>Step</t>
  </si>
  <si>
    <t>Revenue growth</t>
  </si>
  <si>
    <t>Gross margin</t>
  </si>
  <si>
    <t>OpEx margin</t>
  </si>
  <si>
    <t>Tax rate</t>
  </si>
  <si>
    <t>Operating Model</t>
  </si>
  <si>
    <t>Revenue</t>
  </si>
  <si>
    <t>% growth</t>
  </si>
  <si>
    <t>COGS</t>
  </si>
  <si>
    <t>% of sales</t>
  </si>
  <si>
    <t>Gross Profit</t>
  </si>
  <si>
    <t>OpEx</t>
  </si>
  <si>
    <t>EBIT</t>
  </si>
  <si>
    <t>EBIT - Conservative</t>
  </si>
  <si>
    <t>EBIT - Management</t>
  </si>
  <si>
    <t>Interest Expense</t>
  </si>
  <si>
    <t>Interest Income</t>
  </si>
  <si>
    <t>EBT</t>
  </si>
  <si>
    <t>Taxes</t>
  </si>
  <si>
    <t>% tax rate</t>
  </si>
  <si>
    <t>Net Income</t>
  </si>
  <si>
    <t>EBITDA Reconciliation</t>
  </si>
  <si>
    <t>D&amp;A</t>
  </si>
  <si>
    <t>Adjustments</t>
  </si>
  <si>
    <t>EBITDA</t>
  </si>
  <si>
    <t>EBITDA - Conservative</t>
  </si>
  <si>
    <t>EBITDA - Management</t>
  </si>
  <si>
    <t xml:space="preserve"> </t>
  </si>
  <si>
    <t>-</t>
  </si>
  <si>
    <t>ON</t>
  </si>
  <si>
    <t>Cash Flow Items</t>
  </si>
  <si>
    <t>Current Operating Assets</t>
  </si>
  <si>
    <t>Trade and notes receivable</t>
  </si>
  <si>
    <t>Prepaids and other current assets</t>
  </si>
  <si>
    <t>Curernt Operating Liabilities</t>
  </si>
  <si>
    <t>Accounts and drafts payable</t>
  </si>
  <si>
    <t>Accrued advertising</t>
  </si>
  <si>
    <t>Other accrued liabilities</t>
  </si>
  <si>
    <t>Change in Net Working Capital</t>
  </si>
  <si>
    <t>D&amp;A - Conservative</t>
  </si>
  <si>
    <t>D&amp;A - Management</t>
  </si>
  <si>
    <t>CapEx</t>
  </si>
  <si>
    <t>Levered Free Cash Flow</t>
  </si>
  <si>
    <t>Change in NWC</t>
  </si>
  <si>
    <t>Mandatory Debt Repayments</t>
  </si>
  <si>
    <t>Debt Schedule</t>
  </si>
  <si>
    <t>Debt Paydown</t>
  </si>
  <si>
    <t>Beginning Balance</t>
  </si>
  <si>
    <t>Inflow / (Outflow)</t>
  </si>
  <si>
    <t>Ending Balance</t>
  </si>
  <si>
    <t>Paydown</t>
  </si>
  <si>
    <t>Total Debt</t>
  </si>
  <si>
    <t>CHECK</t>
  </si>
  <si>
    <t>Interest</t>
  </si>
  <si>
    <t>Interest income rate</t>
  </si>
  <si>
    <t>Interest rate</t>
  </si>
  <si>
    <t>Total interest expense</t>
  </si>
  <si>
    <t>Blended interest rate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</si>
  <si>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</si>
  <si>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</si>
  <si>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</si>
  <si>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</si>
  <si>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</si>
  <si>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</si>
  <si>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</si>
  <si>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Note</t>
  </si>
  <si>
    <t>Negative on cfs for assets = outflow of cash</t>
  </si>
  <si>
    <t>Positive on cfs for assets = inflow of cash</t>
  </si>
  <si>
    <t>Negative on cfs for liabilities = inflow of cash</t>
  </si>
  <si>
    <t>Positive on cfs for liabilities = outflow of cash</t>
  </si>
  <si>
    <t>Revolver</t>
  </si>
  <si>
    <t>.</t>
  </si>
  <si>
    <t>Subordinated Notes</t>
  </si>
  <si>
    <t>Changes in Net Working Capital</t>
  </si>
  <si>
    <t>Other Long-Term Assets and Liabilities</t>
  </si>
  <si>
    <t>PIK Interest</t>
  </si>
  <si>
    <t>Cash Flow From Operations</t>
  </si>
  <si>
    <t>Capital Expenditures</t>
  </si>
  <si>
    <t>Purchases of Intangible Assets</t>
  </si>
  <si>
    <t>Cash Flow From Investing</t>
  </si>
  <si>
    <t>Pre-Revolver Cash Flow (Levered Free Cash Flow)</t>
  </si>
  <si>
    <t>Post-Revolver Cash Flow</t>
  </si>
  <si>
    <t>Discretionary Payments</t>
  </si>
  <si>
    <t>Net Change in Cash</t>
  </si>
  <si>
    <t>Beginning Cash Balance</t>
  </si>
  <si>
    <t>Beginning Excess Cash</t>
  </si>
  <si>
    <t>Free Cash Flow Generated</t>
  </si>
  <si>
    <t>Cash Available to Paydown / (Draw From) Revolver</t>
  </si>
  <si>
    <t>Increase / (Decrease)</t>
  </si>
  <si>
    <t>Maximum Availability</t>
  </si>
  <si>
    <t>Mandatory Paydown</t>
  </si>
  <si>
    <t>Paydown From Excess Cash Flows</t>
  </si>
  <si>
    <t>Mandatory Paydown (% of Initial Amount)</t>
  </si>
  <si>
    <t>Cash Sweep</t>
  </si>
  <si>
    <t>Subordinate notes</t>
  </si>
  <si>
    <t>Cash Interest rate</t>
  </si>
  <si>
    <t>PIK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</si>
</sst>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%"/>
    <numFmt numFmtId="166" formatCode="0.0"/>
    <numFmt numFmtId="167" formatCode="0\ &quot;yrs&quot;"/>
    <numFmt numFmtId="168" formatCode="#,##0.0_);\(#,##0.0\)"/>
    <numFmt numFmtId="169" formatCode="#,##0.0_);\(#,##0.0\);@_)"/>
    <numFmt numFmtId="170" formatCode="&quot;Tranche&quot;\ 0"/>
    <numFmt numFmtId="171" formatCode="#,##0.00_);\(#,##0.00\)"/>
    <numFmt numFmtId="172" formatCode="_-[$$-409]* #,##0_ ;_-[$$-409]* \-#,##0\ ;_-[$$-409]* &quot;-&quot;??_ ;_-@_ "/>
    <numFmt numFmtId="173" formatCode="0&quot;A&quot;"/>
    <numFmt numFmtId="174" formatCode="0&quot;E&quot;"/>
    <numFmt numFmtId="175" formatCode="0.0%_);\(0.0%\);@_)"/>
    <numFmt numFmtId="176" formatCode="0.00%_);\(0.00%\);@_)"/>
    <numFmt numFmtId="177" formatCode="0&quot; A&quot;"/>
    <numFmt numFmtId="178" formatCode="0&quot; E&quot;"/>
    <numFmt numFmtId="179" formatCode="0.0&quot;x&quot;"/>
    <numFmt numFmtId="180" formatCode="0.0\x_)"/>
    <numFmt numFmtId="182" formatCode="0&quot; yrs&quot;"/>
  </numFmts>
  <fonts count="4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206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7030AB"/>
      <name val="Calibri"/>
      <family val="2"/>
    </font>
    <font>
      <i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7030AB"/>
      <name val="Calibri"/>
      <family val="2"/>
    </font>
    <font>
      <sz val="11"/>
      <color theme="8" tint="-0.499984740745262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0000FF"/>
      <name val="Calibri"/>
      <family val="2"/>
    </font>
    <font>
      <b/>
      <sz val="11"/>
      <color rgb="FF0000FF"/>
      <name val="Calibri"/>
      <family val="2"/>
    </font>
    <font>
      <b/>
      <i/>
      <sz val="11"/>
      <color theme="1"/>
      <name val="Calibri"/>
      <family val="2"/>
    </font>
    <font>
      <sz val="10"/>
      <color rgb="FF000000"/>
      <name val="Times New Roman"/>
      <family val="1"/>
    </font>
    <font>
      <b/>
      <i/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</font>
    <font>
      <b/>
      <sz val="11"/>
      <color theme="7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3445E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left" indent="1"/>
    </xf>
    <xf numFmtId="0" fontId="3" fillId="0" borderId="0" xfId="0" applyFont="1"/>
    <xf numFmtId="164" fontId="4" fillId="0" borderId="0" xfId="1" applyNumberFormat="1" applyFont="1"/>
    <xf numFmtId="10" fontId="1" fillId="0" borderId="0" xfId="2" applyNumberFormat="1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8" fillId="0" borderId="1" xfId="0" applyFont="1" applyBorder="1"/>
    <xf numFmtId="0" fontId="9" fillId="5" borderId="0" xfId="0" applyFont="1" applyFill="1" applyAlignment="1">
      <alignment horizontal="left"/>
    </xf>
    <xf numFmtId="0" fontId="10" fillId="5" borderId="0" xfId="0" applyFont="1" applyFill="1" applyAlignment="1">
      <alignment horizontal="centerContinuous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0" fillId="0" borderId="0" xfId="0" applyAlignment="1">
      <alignment horizontal="left"/>
    </xf>
    <xf numFmtId="39" fontId="11" fillId="6" borderId="4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8" fontId="13" fillId="6" borderId="4" xfId="0" applyNumberFormat="1" applyFont="1" applyFill="1" applyBorder="1" applyAlignment="1">
      <alignment horizontal="right"/>
    </xf>
    <xf numFmtId="169" fontId="14" fillId="0" borderId="0" xfId="0" applyNumberFormat="1" applyFont="1"/>
    <xf numFmtId="169" fontId="0" fillId="0" borderId="0" xfId="0" applyNumberFormat="1"/>
    <xf numFmtId="169" fontId="15" fillId="0" borderId="0" xfId="0" applyNumberFormat="1" applyFont="1"/>
    <xf numFmtId="0" fontId="16" fillId="0" borderId="0" xfId="0" applyFont="1" applyAlignment="1">
      <alignment horizontal="left"/>
    </xf>
    <xf numFmtId="168" fontId="0" fillId="0" borderId="0" xfId="0" applyNumberFormat="1"/>
    <xf numFmtId="169" fontId="16" fillId="0" borderId="0" xfId="0" applyNumberFormat="1" applyFont="1"/>
    <xf numFmtId="0" fontId="17" fillId="0" borderId="0" xfId="0" applyFont="1" applyAlignment="1">
      <alignment horizontal="right"/>
    </xf>
    <xf numFmtId="170" fontId="0" fillId="0" borderId="0" xfId="0" applyNumberFormat="1" applyAlignment="1">
      <alignment horizontal="left"/>
    </xf>
    <xf numFmtId="39" fontId="13" fillId="6" borderId="4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 indent="1"/>
    </xf>
    <xf numFmtId="170" fontId="0" fillId="0" borderId="1" xfId="0" applyNumberFormat="1" applyBorder="1" applyAlignment="1">
      <alignment horizontal="left"/>
    </xf>
    <xf numFmtId="168" fontId="1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indent="1"/>
    </xf>
    <xf numFmtId="0" fontId="16" fillId="7" borderId="5" xfId="0" applyFont="1" applyFill="1" applyBorder="1"/>
    <xf numFmtId="0" fontId="16" fillId="7" borderId="6" xfId="0" applyFont="1" applyFill="1" applyBorder="1"/>
    <xf numFmtId="2" fontId="16" fillId="7" borderId="7" xfId="0" applyNumberFormat="1" applyFont="1" applyFill="1" applyBorder="1" applyAlignment="1">
      <alignment horizontal="right" indent="1"/>
    </xf>
    <xf numFmtId="171" fontId="13" fillId="6" borderId="4" xfId="0" applyNumberFormat="1" applyFont="1" applyFill="1" applyBorder="1" applyAlignment="1">
      <alignment horizontal="right"/>
    </xf>
    <xf numFmtId="172" fontId="4" fillId="0" borderId="0" xfId="1" applyNumberFormat="1" applyFont="1"/>
    <xf numFmtId="0" fontId="3" fillId="8" borderId="5" xfId="0" applyFont="1" applyFill="1" applyBorder="1"/>
    <xf numFmtId="0" fontId="0" fillId="8" borderId="6" xfId="0" applyFill="1" applyBorder="1"/>
    <xf numFmtId="3" fontId="3" fillId="8" borderId="6" xfId="0" applyNumberFormat="1" applyFont="1" applyFill="1" applyBorder="1"/>
    <xf numFmtId="0" fontId="3" fillId="8" borderId="6" xfId="0" applyFont="1" applyFill="1" applyBorder="1"/>
    <xf numFmtId="1" fontId="3" fillId="8" borderId="6" xfId="0" applyNumberFormat="1" applyFont="1" applyFill="1" applyBorder="1"/>
    <xf numFmtId="1" fontId="3" fillId="8" borderId="7" xfId="0" applyNumberFormat="1" applyFont="1" applyFill="1" applyBorder="1"/>
    <xf numFmtId="3" fontId="0" fillId="0" borderId="0" xfId="0" applyNumberFormat="1"/>
    <xf numFmtId="3" fontId="18" fillId="0" borderId="0" xfId="0" applyNumberFormat="1" applyFont="1"/>
    <xf numFmtId="166" fontId="0" fillId="0" borderId="0" xfId="0" applyNumberFormat="1"/>
    <xf numFmtId="1" fontId="0" fillId="0" borderId="0" xfId="0" applyNumberFormat="1"/>
    <xf numFmtId="1" fontId="18" fillId="0" borderId="0" xfId="0" applyNumberFormat="1" applyFont="1" applyAlignment="1">
      <alignment horizontal="right"/>
    </xf>
    <xf numFmtId="172" fontId="18" fillId="0" borderId="0" xfId="0" applyNumberFormat="1" applyFont="1" applyAlignment="1">
      <alignment horizontal="right"/>
    </xf>
    <xf numFmtId="172" fontId="3" fillId="8" borderId="6" xfId="0" applyNumberFormat="1" applyFont="1" applyFill="1" applyBorder="1" applyAlignment="1">
      <alignment horizontal="right"/>
    </xf>
    <xf numFmtId="175" fontId="0" fillId="0" borderId="0" xfId="0" applyNumberFormat="1"/>
    <xf numFmtId="175" fontId="19" fillId="6" borderId="4" xfId="2" quotePrefix="1" applyNumberFormat="1" applyFont="1" applyFill="1" applyBorder="1" applyAlignment="1">
      <alignment horizontal="right"/>
    </xf>
    <xf numFmtId="175" fontId="19" fillId="6" borderId="4" xfId="2" applyNumberFormat="1" applyFont="1" applyFill="1" applyBorder="1" applyAlignment="1">
      <alignment horizontal="right"/>
    </xf>
    <xf numFmtId="175" fontId="20" fillId="6" borderId="4" xfId="2" applyNumberFormat="1" applyFont="1" applyFill="1" applyBorder="1" applyAlignment="1">
      <alignment horizontal="right"/>
    </xf>
    <xf numFmtId="176" fontId="19" fillId="6" borderId="4" xfId="2" applyNumberFormat="1" applyFont="1" applyFill="1" applyBorder="1" applyAlignment="1">
      <alignment horizontal="center"/>
    </xf>
    <xf numFmtId="177" fontId="2" fillId="3" borderId="0" xfId="0" applyNumberFormat="1" applyFont="1" applyFill="1" applyAlignment="1">
      <alignment horizontal="right"/>
    </xf>
    <xf numFmtId="178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9" fillId="9" borderId="0" xfId="0" applyFont="1" applyFill="1"/>
    <xf numFmtId="173" fontId="9" fillId="9" borderId="0" xfId="0" applyNumberFormat="1" applyFont="1" applyFill="1"/>
    <xf numFmtId="174" fontId="9" fillId="9" borderId="0" xfId="0" applyNumberFormat="1" applyFont="1" applyFill="1"/>
    <xf numFmtId="0" fontId="21" fillId="0" borderId="0" xfId="0" applyFont="1" applyAlignment="1">
      <alignment horizontal="left" indent="1"/>
    </xf>
    <xf numFmtId="0" fontId="17" fillId="0" borderId="0" xfId="0" applyFont="1"/>
    <xf numFmtId="0" fontId="16" fillId="8" borderId="8" xfId="0" applyFont="1" applyFill="1" applyBorder="1"/>
    <xf numFmtId="0" fontId="22" fillId="8" borderId="9" xfId="0" applyFont="1" applyFill="1" applyBorder="1" applyAlignment="1">
      <alignment horizontal="left" indent="1"/>
    </xf>
    <xf numFmtId="0" fontId="0" fillId="8" borderId="10" xfId="0" applyFill="1" applyBorder="1"/>
    <xf numFmtId="0" fontId="0" fillId="8" borderId="1" xfId="0" applyFill="1" applyBorder="1"/>
    <xf numFmtId="0" fontId="16" fillId="0" borderId="10" xfId="0" applyFont="1" applyBorder="1"/>
    <xf numFmtId="0" fontId="0" fillId="0" borderId="10" xfId="0" applyBorder="1"/>
    <xf numFmtId="4" fontId="0" fillId="0" borderId="0" xfId="0" applyNumberFormat="1"/>
    <xf numFmtId="165" fontId="0" fillId="0" borderId="0" xfId="2" applyNumberFormat="1" applyFont="1"/>
    <xf numFmtId="0" fontId="23" fillId="0" borderId="0" xfId="0" quotePrefix="1" applyFont="1" applyAlignment="1">
      <alignment horizontal="right"/>
    </xf>
    <xf numFmtId="165" fontId="23" fillId="0" borderId="0" xfId="2" applyNumberFormat="1" applyFont="1"/>
    <xf numFmtId="37" fontId="15" fillId="0" borderId="0" xfId="0" applyNumberFormat="1" applyFont="1"/>
    <xf numFmtId="0" fontId="24" fillId="10" borderId="3" xfId="0" applyFont="1" applyFill="1" applyBorder="1" applyAlignment="1">
      <alignment horizontal="right"/>
    </xf>
    <xf numFmtId="0" fontId="24" fillId="10" borderId="3" xfId="0" applyFont="1" applyFill="1" applyBorder="1"/>
    <xf numFmtId="0" fontId="25" fillId="0" borderId="0" xfId="0" applyFont="1" applyAlignment="1">
      <alignment horizontal="right"/>
    </xf>
    <xf numFmtId="165" fontId="0" fillId="0" borderId="0" xfId="2" applyNumberFormat="1" applyFont="1" applyAlignment="1">
      <alignment horizontal="right"/>
    </xf>
    <xf numFmtId="0" fontId="27" fillId="0" borderId="0" xfId="0" applyFont="1"/>
    <xf numFmtId="165" fontId="29" fillId="0" borderId="0" xfId="2" applyNumberFormat="1" applyFont="1"/>
    <xf numFmtId="165" fontId="29" fillId="0" borderId="0" xfId="2" applyNumberFormat="1" applyFont="1" applyAlignment="1">
      <alignment horizontal="right"/>
    </xf>
    <xf numFmtId="4" fontId="27" fillId="0" borderId="0" xfId="0" applyNumberFormat="1" applyFont="1"/>
    <xf numFmtId="2" fontId="27" fillId="0" borderId="0" xfId="0" applyNumberFormat="1" applyFont="1"/>
    <xf numFmtId="3" fontId="27" fillId="0" borderId="0" xfId="0" applyNumberFormat="1" applyFont="1"/>
    <xf numFmtId="10" fontId="30" fillId="0" borderId="0" xfId="0" applyNumberFormat="1" applyFont="1" applyAlignment="1">
      <alignment horizontal="right"/>
    </xf>
    <xf numFmtId="10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2" fontId="27" fillId="4" borderId="3" xfId="0" applyNumberFormat="1" applyFont="1" applyFill="1" applyBorder="1"/>
    <xf numFmtId="0" fontId="27" fillId="4" borderId="2" xfId="0" applyFont="1" applyFill="1" applyBorder="1" applyAlignment="1">
      <alignment horizontal="right"/>
    </xf>
    <xf numFmtId="164" fontId="27" fillId="4" borderId="2" xfId="1" applyNumberFormat="1" applyFont="1" applyFill="1" applyBorder="1" applyAlignment="1">
      <alignment horizontal="right"/>
    </xf>
    <xf numFmtId="14" fontId="27" fillId="4" borderId="2" xfId="0" applyNumberFormat="1" applyFont="1" applyFill="1" applyBorder="1" applyAlignment="1">
      <alignment horizontal="right"/>
    </xf>
    <xf numFmtId="164" fontId="27" fillId="4" borderId="3" xfId="1" applyNumberFormat="1" applyFont="1" applyFill="1" applyBorder="1"/>
    <xf numFmtId="3" fontId="31" fillId="8" borderId="10" xfId="0" applyNumberFormat="1" applyFont="1" applyFill="1" applyBorder="1"/>
    <xf numFmtId="1" fontId="3" fillId="8" borderId="10" xfId="0" applyNumberFormat="1" applyFont="1" applyFill="1" applyBorder="1"/>
    <xf numFmtId="1" fontId="3" fillId="8" borderId="11" xfId="0" applyNumberFormat="1" applyFont="1" applyFill="1" applyBorder="1"/>
    <xf numFmtId="165" fontId="32" fillId="8" borderId="1" xfId="2" applyNumberFormat="1" applyFont="1" applyFill="1" applyBorder="1"/>
    <xf numFmtId="165" fontId="32" fillId="8" borderId="12" xfId="2" applyNumberFormat="1" applyFont="1" applyFill="1" applyBorder="1"/>
    <xf numFmtId="165" fontId="25" fillId="0" borderId="0" xfId="2" applyNumberFormat="1" applyFont="1"/>
    <xf numFmtId="3" fontId="3" fillId="8" borderId="10" xfId="0" applyNumberFormat="1" applyFont="1" applyFill="1" applyBorder="1"/>
    <xf numFmtId="3" fontId="3" fillId="8" borderId="11" xfId="0" applyNumberFormat="1" applyFont="1" applyFill="1" applyBorder="1"/>
    <xf numFmtId="3" fontId="28" fillId="0" borderId="0" xfId="0" applyNumberFormat="1" applyFont="1"/>
    <xf numFmtId="1" fontId="28" fillId="0" borderId="0" xfId="0" applyNumberFormat="1" applyFont="1"/>
    <xf numFmtId="0" fontId="28" fillId="0" borderId="0" xfId="0" applyFont="1"/>
    <xf numFmtId="3" fontId="3" fillId="0" borderId="10" xfId="0" applyNumberFormat="1" applyFont="1" applyBorder="1"/>
    <xf numFmtId="165" fontId="0" fillId="0" borderId="0" xfId="0" applyNumberFormat="1"/>
    <xf numFmtId="3" fontId="26" fillId="4" borderId="3" xfId="0" applyNumberFormat="1" applyFont="1" applyFill="1" applyBorder="1"/>
    <xf numFmtId="164" fontId="28" fillId="0" borderId="0" xfId="1" applyNumberFormat="1" applyFont="1"/>
    <xf numFmtId="179" fontId="1" fillId="0" borderId="0" xfId="1" applyNumberFormat="1" applyFont="1"/>
    <xf numFmtId="179" fontId="26" fillId="4" borderId="3" xfId="0" applyNumberFormat="1" applyFont="1" applyFill="1" applyBorder="1"/>
    <xf numFmtId="179" fontId="0" fillId="0" borderId="0" xfId="0" applyNumberFormat="1" applyAlignment="1">
      <alignment horizontal="right"/>
    </xf>
    <xf numFmtId="179" fontId="3" fillId="8" borderId="6" xfId="0" applyNumberFormat="1" applyFont="1" applyFill="1" applyBorder="1" applyAlignment="1">
      <alignment horizontal="right"/>
    </xf>
    <xf numFmtId="179" fontId="0" fillId="0" borderId="0" xfId="0" applyNumberFormat="1"/>
    <xf numFmtId="179" fontId="3" fillId="8" borderId="6" xfId="0" applyNumberFormat="1" applyFont="1" applyFill="1" applyBorder="1"/>
    <xf numFmtId="9" fontId="3" fillId="8" borderId="7" xfId="2" applyFont="1" applyFill="1" applyBorder="1"/>
    <xf numFmtId="9" fontId="3" fillId="8" borderId="7" xfId="2" applyFont="1" applyFill="1" applyBorder="1" applyAlignment="1">
      <alignment horizontal="right"/>
    </xf>
    <xf numFmtId="0" fontId="33" fillId="0" borderId="0" xfId="0" applyFont="1" applyAlignment="1">
      <alignment vertical="center" wrapText="1"/>
    </xf>
    <xf numFmtId="0" fontId="16" fillId="7" borderId="8" xfId="0" applyFont="1" applyFill="1" applyBorder="1"/>
    <xf numFmtId="0" fontId="16" fillId="7" borderId="10" xfId="0" applyFont="1" applyFill="1" applyBorder="1"/>
    <xf numFmtId="37" fontId="16" fillId="7" borderId="10" xfId="0" applyNumberFormat="1" applyFont="1" applyFill="1" applyBorder="1"/>
    <xf numFmtId="37" fontId="16" fillId="7" borderId="11" xfId="0" applyNumberFormat="1" applyFont="1" applyFill="1" applyBorder="1"/>
    <xf numFmtId="0" fontId="22" fillId="7" borderId="9" xfId="0" applyFont="1" applyFill="1" applyBorder="1" applyAlignment="1">
      <alignment horizontal="left" indent="1"/>
    </xf>
    <xf numFmtId="0" fontId="16" fillId="7" borderId="1" xfId="0" applyFont="1" applyFill="1" applyBorder="1"/>
    <xf numFmtId="175" fontId="34" fillId="7" borderId="1" xfId="0" quotePrefix="1" applyNumberFormat="1" applyFont="1" applyFill="1" applyBorder="1" applyAlignment="1">
      <alignment horizontal="right"/>
    </xf>
    <xf numFmtId="175" fontId="22" fillId="7" borderId="1" xfId="0" applyNumberFormat="1" applyFont="1" applyFill="1" applyBorder="1"/>
    <xf numFmtId="175" fontId="35" fillId="7" borderId="1" xfId="0" applyNumberFormat="1" applyFont="1" applyFill="1" applyBorder="1"/>
    <xf numFmtId="175" fontId="35" fillId="7" borderId="12" xfId="0" applyNumberFormat="1" applyFont="1" applyFill="1" applyBorder="1"/>
    <xf numFmtId="37" fontId="36" fillId="7" borderId="10" xfId="0" applyNumberFormat="1" applyFont="1" applyFill="1" applyBorder="1"/>
    <xf numFmtId="37" fontId="0" fillId="0" borderId="0" xfId="0" applyNumberFormat="1"/>
    <xf numFmtId="175" fontId="19" fillId="0" borderId="0" xfId="0" quotePrefix="1" applyNumberFormat="1" applyFont="1" applyAlignment="1">
      <alignment horizontal="right"/>
    </xf>
    <xf numFmtId="175" fontId="37" fillId="0" borderId="0" xfId="0" applyNumberFormat="1" applyFont="1"/>
    <xf numFmtId="175" fontId="38" fillId="7" borderId="1" xfId="0" applyNumberFormat="1" applyFont="1" applyFill="1" applyBorder="1"/>
    <xf numFmtId="37" fontId="14" fillId="0" borderId="0" xfId="0" applyNumberFormat="1" applyFont="1"/>
    <xf numFmtId="37" fontId="15" fillId="0" borderId="1" xfId="0" applyNumberFormat="1" applyFont="1" applyBorder="1"/>
    <xf numFmtId="0" fontId="16" fillId="0" borderId="0" xfId="0" applyFont="1"/>
    <xf numFmtId="37" fontId="16" fillId="0" borderId="0" xfId="0" applyNumberFormat="1" applyFont="1"/>
    <xf numFmtId="0" fontId="9" fillId="5" borderId="0" xfId="0" applyFont="1" applyFill="1"/>
    <xf numFmtId="37" fontId="39" fillId="0" borderId="0" xfId="0" applyNumberFormat="1" applyFont="1"/>
    <xf numFmtId="0" fontId="16" fillId="0" borderId="0" xfId="0" applyFont="1" applyAlignment="1">
      <alignment horizontal="left" indent="1"/>
    </xf>
    <xf numFmtId="37" fontId="40" fillId="0" borderId="0" xfId="0" applyNumberFormat="1" applyFont="1"/>
    <xf numFmtId="0" fontId="17" fillId="7" borderId="8" xfId="0" applyFon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3" xfId="0" applyFill="1" applyBorder="1" applyAlignment="1">
      <alignment horizontal="left" indent="1"/>
    </xf>
    <xf numFmtId="0" fontId="0" fillId="7" borderId="0" xfId="0" applyFill="1"/>
    <xf numFmtId="37" fontId="0" fillId="7" borderId="0" xfId="0" applyNumberFormat="1" applyFill="1"/>
    <xf numFmtId="37" fontId="0" fillId="7" borderId="14" xfId="0" applyNumberFormat="1" applyFill="1" applyBorder="1"/>
    <xf numFmtId="0" fontId="16" fillId="7" borderId="9" xfId="0" applyFont="1" applyFill="1" applyBorder="1" applyAlignment="1">
      <alignment horizontal="left" indent="1"/>
    </xf>
    <xf numFmtId="0" fontId="0" fillId="7" borderId="1" xfId="0" applyFill="1" applyBorder="1"/>
    <xf numFmtId="37" fontId="16" fillId="7" borderId="1" xfId="0" applyNumberFormat="1" applyFont="1" applyFill="1" applyBorder="1"/>
    <xf numFmtId="37" fontId="16" fillId="7" borderId="12" xfId="0" applyNumberFormat="1" applyFont="1" applyFill="1" applyBorder="1"/>
    <xf numFmtId="0" fontId="20" fillId="0" borderId="0" xfId="0" applyFont="1"/>
    <xf numFmtId="0" fontId="20" fillId="0" borderId="0" xfId="0" applyFont="1" applyAlignment="1">
      <alignment horizontal="right"/>
    </xf>
    <xf numFmtId="37" fontId="41" fillId="0" borderId="0" xfId="0" applyNumberFormat="1" applyFont="1"/>
    <xf numFmtId="165" fontId="21" fillId="0" borderId="0" xfId="2" applyNumberFormat="1" applyFont="1"/>
    <xf numFmtId="165" fontId="37" fillId="0" borderId="0" xfId="0" applyNumberFormat="1" applyFont="1"/>
    <xf numFmtId="180" fontId="14" fillId="0" borderId="1" xfId="0" applyNumberFormat="1" applyFont="1" applyBorder="1"/>
    <xf numFmtId="37" fontId="42" fillId="0" borderId="0" xfId="0" applyNumberFormat="1" applyFont="1"/>
    <xf numFmtId="0" fontId="16" fillId="0" borderId="5" xfId="0" applyFont="1" applyBorder="1"/>
    <xf numFmtId="0" fontId="16" fillId="0" borderId="6" xfId="0" applyFont="1" applyBorder="1"/>
    <xf numFmtId="37" fontId="16" fillId="0" borderId="7" xfId="0" applyNumberFormat="1" applyFont="1" applyBorder="1"/>
    <xf numFmtId="180" fontId="42" fillId="7" borderId="11" xfId="0" applyNumberFormat="1" applyFont="1" applyFill="1" applyBorder="1"/>
    <xf numFmtId="0" fontId="16" fillId="7" borderId="9" xfId="0" applyFont="1" applyFill="1" applyBorder="1"/>
    <xf numFmtId="165" fontId="16" fillId="7" borderId="12" xfId="2" applyNumberFormat="1" applyFont="1" applyFill="1" applyBorder="1"/>
    <xf numFmtId="0" fontId="17" fillId="0" borderId="8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2" xfId="0" applyBorder="1"/>
    <xf numFmtId="175" fontId="34" fillId="7" borderId="12" xfId="0" quotePrefix="1" applyNumberFormat="1" applyFont="1" applyFill="1" applyBorder="1" applyAlignment="1">
      <alignment horizontal="right"/>
    </xf>
    <xf numFmtId="3" fontId="43" fillId="8" borderId="10" xfId="0" applyNumberFormat="1" applyFont="1" applyFill="1" applyBorder="1"/>
    <xf numFmtId="165" fontId="43" fillId="8" borderId="1" xfId="2" applyNumberFormat="1" applyFont="1" applyFill="1" applyBorder="1"/>
    <xf numFmtId="165" fontId="3" fillId="8" borderId="1" xfId="0" applyNumberFormat="1" applyFont="1" applyFill="1" applyBorder="1"/>
    <xf numFmtId="165" fontId="3" fillId="8" borderId="12" xfId="0" applyNumberFormat="1" applyFont="1" applyFill="1" applyBorder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79" fontId="0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10" fontId="27" fillId="0" borderId="0" xfId="0" applyNumberFormat="1" applyFont="1"/>
    <xf numFmtId="182" fontId="27" fillId="0" borderId="0" xfId="0" applyNumberFormat="1" applyFont="1"/>
    <xf numFmtId="182" fontId="27" fillId="0" borderId="0" xfId="0" applyNumberFormat="1" applyFont="1" applyAlignment="1">
      <alignment horizontal="right"/>
    </xf>
    <xf numFmtId="0" fontId="9" fillId="0" borderId="0" xfId="0" applyFont="1" applyFill="1"/>
    <xf numFmtId="173" fontId="9" fillId="0" borderId="0" xfId="0" applyNumberFormat="1" applyFont="1" applyFill="1"/>
    <xf numFmtId="174" fontId="9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174" fontId="9" fillId="11" borderId="1" xfId="0" applyNumberFormat="1" applyFont="1" applyFill="1" applyBorder="1"/>
    <xf numFmtId="0" fontId="9" fillId="0" borderId="1" xfId="0" applyFont="1" applyFill="1" applyBorder="1"/>
    <xf numFmtId="173" fontId="9" fillId="0" borderId="1" xfId="0" applyNumberFormat="1" applyFont="1" applyFill="1" applyBorder="1"/>
    <xf numFmtId="174" fontId="9" fillId="0" borderId="1" xfId="0" applyNumberFormat="1" applyFont="1" applyFill="1" applyBorder="1"/>
    <xf numFmtId="174" fontId="44" fillId="0" borderId="0" xfId="0" applyNumberFormat="1" applyFont="1" applyFill="1"/>
    <xf numFmtId="174" fontId="16" fillId="10" borderId="0" xfId="0" applyNumberFormat="1" applyFont="1" applyFill="1"/>
    <xf numFmtId="174" fontId="9" fillId="10" borderId="0" xfId="0" applyNumberFormat="1" applyFont="1" applyFill="1"/>
    <xf numFmtId="174" fontId="9" fillId="10" borderId="1" xfId="0" applyNumberFormat="1" applyFont="1" applyFill="1" applyBorder="1"/>
    <xf numFmtId="0" fontId="16" fillId="12" borderId="5" xfId="0" applyFont="1" applyFill="1" applyBorder="1"/>
    <xf numFmtId="0" fontId="9" fillId="12" borderId="6" xfId="0" applyFont="1" applyFill="1" applyBorder="1"/>
    <xf numFmtId="173" fontId="9" fillId="12" borderId="6" xfId="0" applyNumberFormat="1" applyFont="1" applyFill="1" applyBorder="1"/>
    <xf numFmtId="174" fontId="9" fillId="12" borderId="6" xfId="0" applyNumberFormat="1" applyFont="1" applyFill="1" applyBorder="1"/>
    <xf numFmtId="174" fontId="9" fillId="12" borderId="7" xfId="0" applyNumberFormat="1" applyFont="1" applyFill="1" applyBorder="1"/>
    <xf numFmtId="0" fontId="45" fillId="0" borderId="0" xfId="0" applyFont="1" applyAlignment="1">
      <alignment horizontal="left" indent="1"/>
    </xf>
    <xf numFmtId="0" fontId="46" fillId="0" borderId="0" xfId="0" applyFont="1" applyAlignment="1">
      <alignment horizontal="left" indent="1"/>
    </xf>
    <xf numFmtId="0" fontId="0" fillId="12" borderId="10" xfId="0" applyFill="1" applyBorder="1"/>
    <xf numFmtId="0" fontId="0" fillId="12" borderId="1" xfId="0" applyFill="1" applyBorder="1"/>
    <xf numFmtId="0" fontId="3" fillId="12" borderId="8" xfId="0" applyFont="1" applyFill="1" applyBorder="1"/>
    <xf numFmtId="0" fontId="22" fillId="12" borderId="9" xfId="0" applyFont="1" applyFill="1" applyBorder="1" applyAlignment="1">
      <alignment horizontal="left" indent="1"/>
    </xf>
    <xf numFmtId="37" fontId="3" fillId="12" borderId="10" xfId="0" applyNumberFormat="1" applyFont="1" applyFill="1" applyBorder="1"/>
    <xf numFmtId="37" fontId="3" fillId="12" borderId="11" xfId="0" applyNumberFormat="1" applyFont="1" applyFill="1" applyBorder="1"/>
    <xf numFmtId="165" fontId="22" fillId="12" borderId="1" xfId="2" applyNumberFormat="1" applyFont="1" applyFill="1" applyBorder="1"/>
    <xf numFmtId="165" fontId="22" fillId="12" borderId="12" xfId="2" applyNumberFormat="1" applyFont="1" applyFill="1" applyBorder="1"/>
    <xf numFmtId="175" fontId="47" fillId="6" borderId="4" xfId="2" applyNumberFormat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7030AB"/>
      <color rgb="FFB0FB6B"/>
      <color rgb="FF33445E"/>
      <color rgb="FF333F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D4B3-ADC7-48B1-A3C8-28E7895E6E89}">
  <dimension ref="A2:Y267"/>
  <sheetViews>
    <sheetView showGridLines="0" tabSelected="1" topLeftCell="A93" zoomScale="84" workbookViewId="0">
      <selection activeCell="L220" sqref="L220"/>
    </sheetView>
  </sheetViews>
  <sheetFormatPr defaultRowHeight="14.4" x14ac:dyDescent="0.3"/>
  <cols>
    <col min="1" max="1" width="1.88671875" customWidth="1"/>
    <col min="2" max="2" width="35.6640625" bestFit="1" customWidth="1"/>
    <col min="4" max="4" width="14.21875" customWidth="1"/>
    <col min="5" max="5" width="12.77734375" customWidth="1"/>
    <col min="6" max="6" width="15" customWidth="1"/>
    <col min="7" max="7" width="14.109375" customWidth="1"/>
    <col min="8" max="8" width="18" customWidth="1"/>
    <col min="9" max="9" width="14.33203125" customWidth="1"/>
    <col min="10" max="10" width="16.44140625" customWidth="1"/>
    <col min="11" max="11" width="16" customWidth="1"/>
    <col min="12" max="12" width="12.77734375" customWidth="1"/>
    <col min="13" max="13" width="12.5546875" customWidth="1"/>
    <col min="14" max="14" width="13.44140625" customWidth="1"/>
    <col min="15" max="15" width="20.6640625" customWidth="1"/>
    <col min="16" max="16" width="12.21875" customWidth="1"/>
    <col min="17" max="17" width="14.6640625" customWidth="1"/>
    <col min="18" max="18" width="13.109375" customWidth="1"/>
  </cols>
  <sheetData>
    <row r="2" spans="1:18" s="1" customFormat="1" x14ac:dyDescent="0.3">
      <c r="B2" s="1" t="s">
        <v>0</v>
      </c>
    </row>
    <row r="4" spans="1:18" x14ac:dyDescent="0.3">
      <c r="A4" t="s">
        <v>25</v>
      </c>
      <c r="B4" s="3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5.4" customHeight="1" x14ac:dyDescent="0.3"/>
    <row r="6" spans="1:18" x14ac:dyDescent="0.3">
      <c r="B6" t="s">
        <v>2</v>
      </c>
      <c r="G6" s="76" t="s">
        <v>94</v>
      </c>
    </row>
    <row r="7" spans="1:18" x14ac:dyDescent="0.3">
      <c r="B7" t="s">
        <v>3</v>
      </c>
      <c r="G7" s="77">
        <v>1</v>
      </c>
      <c r="H7" s="78" t="str">
        <f>IF(G7=1,"Conservative","Management")</f>
        <v>Conservative</v>
      </c>
    </row>
    <row r="9" spans="1:18" x14ac:dyDescent="0.3">
      <c r="A9" t="s">
        <v>25</v>
      </c>
      <c r="B9" s="3" t="s">
        <v>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6" customHeight="1" x14ac:dyDescent="0.3"/>
    <row r="11" spans="1:18" x14ac:dyDescent="0.3">
      <c r="B11" s="4" t="s">
        <v>5</v>
      </c>
      <c r="C11" s="4"/>
      <c r="D11" s="4"/>
      <c r="E11" s="4"/>
      <c r="F11" s="4"/>
      <c r="G11" s="4"/>
      <c r="H11" s="4"/>
      <c r="M11" s="4" t="s">
        <v>6</v>
      </c>
      <c r="N11" s="4"/>
      <c r="O11" s="4"/>
      <c r="P11" s="4"/>
      <c r="Q11" s="4"/>
      <c r="R11" s="4"/>
    </row>
    <row r="12" spans="1:18" ht="1.8" customHeight="1" x14ac:dyDescent="0.3"/>
    <row r="13" spans="1:18" x14ac:dyDescent="0.3">
      <c r="B13" t="s">
        <v>7</v>
      </c>
      <c r="H13" s="90" t="s">
        <v>11</v>
      </c>
      <c r="M13" s="6" t="s">
        <v>13</v>
      </c>
      <c r="R13" s="93">
        <v>24</v>
      </c>
    </row>
    <row r="14" spans="1:18" x14ac:dyDescent="0.3">
      <c r="B14" t="s">
        <v>8</v>
      </c>
      <c r="H14" s="90" t="s">
        <v>12</v>
      </c>
      <c r="M14" s="5" t="s">
        <v>14</v>
      </c>
      <c r="R14" s="8">
        <f>R13/H15-1</f>
        <v>0.27253446447507956</v>
      </c>
    </row>
    <row r="15" spans="1:18" x14ac:dyDescent="0.3">
      <c r="B15" t="s">
        <v>9</v>
      </c>
      <c r="H15" s="91">
        <v>18.86</v>
      </c>
      <c r="R15" s="7"/>
    </row>
    <row r="16" spans="1:18" x14ac:dyDescent="0.3">
      <c r="B16" t="s">
        <v>10</v>
      </c>
      <c r="H16" s="92">
        <v>40422</v>
      </c>
      <c r="M16" s="6" t="s">
        <v>15</v>
      </c>
      <c r="R16" s="38">
        <f>R13*R17</f>
        <v>3325.4354080000003</v>
      </c>
    </row>
    <row r="17" spans="1:18" x14ac:dyDescent="0.3">
      <c r="M17" t="s">
        <v>16</v>
      </c>
      <c r="R17" s="38">
        <f>Shares!E16</f>
        <v>138.55980866666667</v>
      </c>
    </row>
    <row r="18" spans="1:18" x14ac:dyDescent="0.3">
      <c r="R18" s="7"/>
    </row>
    <row r="19" spans="1:18" x14ac:dyDescent="0.3">
      <c r="B19" s="4" t="s">
        <v>22</v>
      </c>
      <c r="C19" s="4"/>
      <c r="D19" s="4"/>
      <c r="E19" s="4"/>
      <c r="F19" s="4"/>
      <c r="G19" s="4"/>
      <c r="H19" s="4"/>
      <c r="M19" s="5" t="s">
        <v>17</v>
      </c>
      <c r="R19" s="7">
        <f>H21</f>
        <v>755.4</v>
      </c>
    </row>
    <row r="20" spans="1:18" x14ac:dyDescent="0.3">
      <c r="B20" t="s">
        <v>20</v>
      </c>
      <c r="H20" s="107">
        <f>F95</f>
        <v>444.59999999999962</v>
      </c>
      <c r="M20" s="5" t="s">
        <v>18</v>
      </c>
      <c r="R20" s="7">
        <f>H22</f>
        <v>187.6</v>
      </c>
    </row>
    <row r="21" spans="1:18" x14ac:dyDescent="0.3">
      <c r="B21" t="s">
        <v>17</v>
      </c>
      <c r="H21" s="89">
        <f>93.3+667.7-5.6</f>
        <v>755.4</v>
      </c>
      <c r="R21" s="7"/>
    </row>
    <row r="22" spans="1:18" x14ac:dyDescent="0.3">
      <c r="B22" t="s">
        <v>18</v>
      </c>
      <c r="H22" s="89">
        <v>187.6</v>
      </c>
      <c r="M22" s="6" t="s">
        <v>19</v>
      </c>
      <c r="R22" s="7">
        <f>R16+R19-R20</f>
        <v>3893.2354080000005</v>
      </c>
    </row>
    <row r="23" spans="1:18" x14ac:dyDescent="0.3">
      <c r="B23" t="s">
        <v>23</v>
      </c>
      <c r="H23" s="89">
        <f>H22-69.4</f>
        <v>118.19999999999999</v>
      </c>
      <c r="M23" t="s">
        <v>20</v>
      </c>
      <c r="R23" s="108">
        <f>H20</f>
        <v>444.59999999999962</v>
      </c>
    </row>
    <row r="24" spans="1:18" x14ac:dyDescent="0.3">
      <c r="B24" t="s">
        <v>24</v>
      </c>
      <c r="H24" s="110">
        <f>R24</f>
        <v>8.7567148178137728</v>
      </c>
      <c r="M24" s="6" t="s">
        <v>21</v>
      </c>
      <c r="R24" s="109">
        <f>R22/R23</f>
        <v>8.7567148178137728</v>
      </c>
    </row>
    <row r="26" spans="1:18" x14ac:dyDescent="0.3">
      <c r="B26" s="4" t="s">
        <v>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8" x14ac:dyDescent="0.3">
      <c r="I27" s="9" t="s">
        <v>30</v>
      </c>
      <c r="J27" s="9" t="s">
        <v>31</v>
      </c>
      <c r="K27" s="9" t="s">
        <v>32</v>
      </c>
      <c r="L27" s="9" t="s">
        <v>33</v>
      </c>
      <c r="M27" s="9" t="s">
        <v>34</v>
      </c>
      <c r="N27" s="9" t="s">
        <v>35</v>
      </c>
      <c r="O27" s="9" t="s">
        <v>36</v>
      </c>
    </row>
    <row r="28" spans="1:18" x14ac:dyDescent="0.3">
      <c r="A28" t="s">
        <v>136</v>
      </c>
      <c r="B28" t="s">
        <v>135</v>
      </c>
      <c r="I28" s="80">
        <v>0</v>
      </c>
      <c r="J28" s="113">
        <f>I28/H20</f>
        <v>0</v>
      </c>
      <c r="K28" s="180">
        <v>4.4999999999999998E-2</v>
      </c>
      <c r="L28" s="180">
        <v>2.5000000000000001E-2</v>
      </c>
      <c r="M28" s="48">
        <f>I28*L28</f>
        <v>0</v>
      </c>
      <c r="N28" s="181">
        <v>5</v>
      </c>
      <c r="O28">
        <f>M28/N28</f>
        <v>0</v>
      </c>
    </row>
    <row r="29" spans="1:18" x14ac:dyDescent="0.3">
      <c r="A29" t="s">
        <v>136</v>
      </c>
      <c r="B29" t="s">
        <v>137</v>
      </c>
      <c r="I29" s="179">
        <v>100</v>
      </c>
      <c r="J29" s="178">
        <f>I29/H20</f>
        <v>0.22492127755285668</v>
      </c>
      <c r="K29" s="87">
        <v>0.1</v>
      </c>
      <c r="L29" s="87">
        <v>2.5000000000000001E-2</v>
      </c>
      <c r="M29" s="177">
        <f>I29*L29</f>
        <v>2.5</v>
      </c>
      <c r="N29" s="182">
        <v>5</v>
      </c>
      <c r="O29" s="177">
        <f>M29/N29</f>
        <v>0.5</v>
      </c>
      <c r="P29" s="176"/>
    </row>
    <row r="30" spans="1:18" x14ac:dyDescent="0.3">
      <c r="B30" t="s">
        <v>27</v>
      </c>
      <c r="I30" s="85">
        <v>1510</v>
      </c>
      <c r="J30" s="111">
        <f>I30/$H$20</f>
        <v>3.3963112910481361</v>
      </c>
      <c r="K30" s="86">
        <v>6.8199999999999997E-2</v>
      </c>
      <c r="L30" s="87">
        <v>2.7E-2</v>
      </c>
      <c r="M30" s="11">
        <f>I30*L30</f>
        <v>40.769999999999996</v>
      </c>
      <c r="N30" s="88">
        <v>6</v>
      </c>
      <c r="O30" s="11">
        <f>M30/N30</f>
        <v>6.794999999999999</v>
      </c>
    </row>
    <row r="31" spans="1:18" x14ac:dyDescent="0.3">
      <c r="B31" t="s">
        <v>28</v>
      </c>
      <c r="I31" s="80">
        <v>334.2</v>
      </c>
      <c r="J31" s="111">
        <f t="shared" ref="J31:J32" si="0">I31/$H$20</f>
        <v>0.75168690958164708</v>
      </c>
      <c r="K31" s="86">
        <v>7.1099999999999997E-2</v>
      </c>
      <c r="L31" s="87">
        <v>2.53E-2</v>
      </c>
      <c r="M31" s="11">
        <f>I31*L31</f>
        <v>8.4552599999999991</v>
      </c>
      <c r="N31" s="88">
        <v>6</v>
      </c>
      <c r="O31" s="11">
        <f t="shared" ref="O31:O32" si="1">M31/N31</f>
        <v>1.4092099999999999</v>
      </c>
    </row>
    <row r="32" spans="1:18" x14ac:dyDescent="0.3">
      <c r="B32" t="s">
        <v>29</v>
      </c>
      <c r="I32" s="80">
        <v>800</v>
      </c>
      <c r="J32" s="111">
        <f t="shared" si="0"/>
        <v>1.7993702204228534</v>
      </c>
      <c r="K32" s="86">
        <v>0.1019</v>
      </c>
      <c r="L32" s="87">
        <v>2.5000000000000001E-2</v>
      </c>
      <c r="M32" s="11">
        <f>I32*L32</f>
        <v>20</v>
      </c>
      <c r="N32" s="88">
        <v>8</v>
      </c>
      <c r="O32" s="11">
        <f t="shared" si="1"/>
        <v>2.5</v>
      </c>
    </row>
    <row r="33" spans="1:18" x14ac:dyDescent="0.3">
      <c r="B33" s="39" t="s">
        <v>52</v>
      </c>
      <c r="C33" s="40"/>
      <c r="D33" s="40"/>
      <c r="E33" s="40"/>
      <c r="F33" s="40"/>
      <c r="G33" s="40"/>
      <c r="H33" s="40"/>
      <c r="I33" s="41">
        <f>SUM(I30:I32)</f>
        <v>2644.2</v>
      </c>
      <c r="J33" s="112">
        <f>SUM(J30:J32)</f>
        <v>5.9473684210526372</v>
      </c>
      <c r="K33" s="42"/>
      <c r="L33" s="42"/>
      <c r="M33" s="43">
        <f>SUM(M30:M32)</f>
        <v>69.225259999999992</v>
      </c>
      <c r="N33" s="42"/>
      <c r="O33" s="44">
        <f>SUM(O30:O32)</f>
        <v>10.70421</v>
      </c>
    </row>
    <row r="35" spans="1:18" x14ac:dyDescent="0.3">
      <c r="A35" t="s">
        <v>25</v>
      </c>
      <c r="B35" s="3" t="s">
        <v>53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7" spans="1:18" x14ac:dyDescent="0.3">
      <c r="B37" s="4" t="s">
        <v>55</v>
      </c>
      <c r="C37" s="4"/>
      <c r="D37" s="4"/>
      <c r="E37" s="4"/>
      <c r="F37" s="4"/>
      <c r="G37" s="4"/>
      <c r="H37" s="4"/>
      <c r="M37" s="4" t="s">
        <v>54</v>
      </c>
      <c r="N37" s="4"/>
      <c r="O37" s="4"/>
      <c r="P37" s="4"/>
      <c r="Q37" s="4"/>
    </row>
    <row r="38" spans="1:18" x14ac:dyDescent="0.3">
      <c r="F38" s="27" t="s">
        <v>30</v>
      </c>
      <c r="G38" s="27" t="s">
        <v>31</v>
      </c>
      <c r="H38" s="27" t="s">
        <v>58</v>
      </c>
      <c r="O38" s="27" t="s">
        <v>30</v>
      </c>
      <c r="P38" s="27" t="s">
        <v>31</v>
      </c>
      <c r="Q38" s="27" t="s">
        <v>58</v>
      </c>
    </row>
    <row r="39" spans="1:18" x14ac:dyDescent="0.3">
      <c r="B39" t="str">
        <f>B30</f>
        <v>Secured term loan - USD tranche</v>
      </c>
      <c r="F39" s="46">
        <f>I30</f>
        <v>1510</v>
      </c>
      <c r="G39" s="113">
        <f>F39/$H$20</f>
        <v>3.3963112910481361</v>
      </c>
      <c r="H39" s="72">
        <f>F39/$F$45</f>
        <v>0.35336014283133355</v>
      </c>
      <c r="M39" t="s">
        <v>59</v>
      </c>
      <c r="O39" s="50">
        <f>R16</f>
        <v>3325.4354080000003</v>
      </c>
      <c r="P39" s="111">
        <f>O39/$H$20</f>
        <v>7.4796118038686528</v>
      </c>
      <c r="Q39" s="79">
        <f>O39/$O$45</f>
        <v>0.77819624552798272</v>
      </c>
    </row>
    <row r="40" spans="1:18" x14ac:dyDescent="0.3">
      <c r="B40" t="str">
        <f t="shared" ref="B40:B41" si="2">B31</f>
        <v>Secured term loan -EUR tranche</v>
      </c>
      <c r="F40" s="46">
        <f t="shared" ref="F40:F41" si="3">I31</f>
        <v>334.2</v>
      </c>
      <c r="G40" s="113">
        <f t="shared" ref="G40:G42" si="4">F40/$H$20</f>
        <v>0.75168690958164708</v>
      </c>
      <c r="H40" s="72">
        <f t="shared" ref="H40:H42" si="5">F40/$F$45</f>
        <v>7.8207258102140173E-2</v>
      </c>
      <c r="M40" t="s">
        <v>60</v>
      </c>
      <c r="O40" s="49">
        <f>H21</f>
        <v>755.4</v>
      </c>
      <c r="P40" s="111">
        <f t="shared" ref="P40:P43" si="6">O40/$H$20</f>
        <v>1.6990553306342795</v>
      </c>
      <c r="Q40" s="79">
        <f t="shared" ref="Q40:Q43" si="7">O40/$O$45</f>
        <v>0.17677367675151612</v>
      </c>
    </row>
    <row r="41" spans="1:18" x14ac:dyDescent="0.3">
      <c r="B41" t="str">
        <f t="shared" si="2"/>
        <v>Senior notes</v>
      </c>
      <c r="F41" s="46">
        <f t="shared" si="3"/>
        <v>800</v>
      </c>
      <c r="G41" s="113">
        <f t="shared" si="4"/>
        <v>1.7993702204228534</v>
      </c>
      <c r="H41" s="72">
        <f t="shared" si="5"/>
        <v>0.18721067169871974</v>
      </c>
      <c r="M41" t="s">
        <v>61</v>
      </c>
      <c r="O41" s="11">
        <v>91.2</v>
      </c>
      <c r="P41" s="111">
        <f t="shared" si="6"/>
        <v>0.20512820512820532</v>
      </c>
      <c r="Q41" s="79">
        <f t="shared" si="7"/>
        <v>2.1342016573654053E-2</v>
      </c>
    </row>
    <row r="42" spans="1:18" x14ac:dyDescent="0.3">
      <c r="B42" t="s">
        <v>56</v>
      </c>
      <c r="F42" s="48">
        <f>H22-H23</f>
        <v>69.400000000000006</v>
      </c>
      <c r="G42" s="113">
        <f t="shared" si="4"/>
        <v>0.15609536662168255</v>
      </c>
      <c r="H42" s="72">
        <f t="shared" si="5"/>
        <v>1.6240525769863939E-2</v>
      </c>
      <c r="M42" t="s">
        <v>62</v>
      </c>
      <c r="O42" s="49">
        <f>M33</f>
        <v>69.225259999999992</v>
      </c>
      <c r="P42" s="111">
        <f t="shared" si="6"/>
        <v>0.15570233918128668</v>
      </c>
      <c r="Q42" s="79">
        <f t="shared" si="7"/>
        <v>1.6199634278898145E-2</v>
      </c>
    </row>
    <row r="43" spans="1:18" x14ac:dyDescent="0.3">
      <c r="B43" t="s">
        <v>57</v>
      </c>
      <c r="F43" s="45">
        <f>F45-SUM(F39:F42)</f>
        <v>1559.6606680000009</v>
      </c>
      <c r="G43" s="113">
        <f>F43/$H$20</f>
        <v>3.5080086999550208</v>
      </c>
      <c r="H43" s="72">
        <f>F43/$F$45</f>
        <v>0.36498140159794262</v>
      </c>
      <c r="M43" t="s">
        <v>63</v>
      </c>
      <c r="O43" s="10">
        <v>32</v>
      </c>
      <c r="P43" s="111">
        <f t="shared" si="6"/>
        <v>7.1974808816914135E-2</v>
      </c>
      <c r="Q43" s="79">
        <f t="shared" si="7"/>
        <v>7.4884268679487904E-3</v>
      </c>
    </row>
    <row r="44" spans="1:18" ht="3" customHeight="1" x14ac:dyDescent="0.3">
      <c r="O44" s="10"/>
      <c r="P44" s="10"/>
      <c r="Q44" s="10"/>
    </row>
    <row r="45" spans="1:18" x14ac:dyDescent="0.3">
      <c r="B45" s="39" t="s">
        <v>52</v>
      </c>
      <c r="C45" s="42"/>
      <c r="D45" s="42"/>
      <c r="E45" s="42"/>
      <c r="F45" s="41">
        <f>O45</f>
        <v>4273.2606680000008</v>
      </c>
      <c r="G45" s="114">
        <f>SUM(G39:G43)</f>
        <v>9.6114724876293405</v>
      </c>
      <c r="H45" s="115">
        <f t="shared" ref="H45" si="8">SUM(H39:H43)</f>
        <v>1</v>
      </c>
      <c r="I45" s="6"/>
      <c r="J45" s="6"/>
      <c r="K45" s="6"/>
      <c r="L45" s="6"/>
      <c r="M45" s="39" t="s">
        <v>52</v>
      </c>
      <c r="N45" s="42"/>
      <c r="O45" s="51">
        <f>SUM(O39:O43)</f>
        <v>4273.2606680000008</v>
      </c>
      <c r="P45" s="112">
        <f t="shared" ref="P45:Q45" si="9">SUM(P39:P43)</f>
        <v>9.6114724876293405</v>
      </c>
      <c r="Q45" s="116">
        <f t="shared" si="9"/>
        <v>0.99999999999999989</v>
      </c>
    </row>
    <row r="47" spans="1:18" x14ac:dyDescent="0.3">
      <c r="A47" t="s">
        <v>25</v>
      </c>
      <c r="B47" s="3" t="s">
        <v>64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9" spans="2:25" x14ac:dyDescent="0.3">
      <c r="B49" s="4" t="s">
        <v>4</v>
      </c>
      <c r="C49" s="4"/>
      <c r="D49" s="57">
        <v>2008</v>
      </c>
      <c r="E49" s="57">
        <v>2009</v>
      </c>
      <c r="F49" s="57">
        <v>2010</v>
      </c>
      <c r="G49" s="58">
        <v>2011</v>
      </c>
      <c r="H49" s="58">
        <v>2012</v>
      </c>
      <c r="I49" s="58">
        <v>2013</v>
      </c>
      <c r="J49" s="58">
        <v>2014</v>
      </c>
      <c r="K49" s="58">
        <v>2015</v>
      </c>
      <c r="L49" s="4"/>
      <c r="M49" s="59" t="s">
        <v>65</v>
      </c>
    </row>
    <row r="51" spans="2:25" x14ac:dyDescent="0.3">
      <c r="B51" t="s">
        <v>66</v>
      </c>
      <c r="D51" s="53" t="str">
        <f>D59</f>
        <v>-</v>
      </c>
      <c r="E51" s="53">
        <f t="shared" ref="E51:K51" si="10">E59</f>
        <v>3.3690471340693584E-2</v>
      </c>
      <c r="F51" s="53">
        <f t="shared" si="10"/>
        <v>-1.3872467880507666E-2</v>
      </c>
      <c r="G51" s="53">
        <f t="shared" si="10"/>
        <v>2.8694748621213462E-2</v>
      </c>
      <c r="H51" s="53">
        <f t="shared" si="10"/>
        <v>-0.18337218337218342</v>
      </c>
      <c r="I51" s="53">
        <f t="shared" si="10"/>
        <v>-0.10371075166508092</v>
      </c>
      <c r="J51" s="53">
        <f t="shared" si="10"/>
        <v>1.3800424628450214E-2</v>
      </c>
      <c r="K51" s="53">
        <f t="shared" si="10"/>
        <v>5.9685863874345602E-2</v>
      </c>
      <c r="M51" s="56">
        <v>0</v>
      </c>
    </row>
    <row r="52" spans="2:25" x14ac:dyDescent="0.3">
      <c r="B52" t="s">
        <v>67</v>
      </c>
      <c r="D52" s="54">
        <f>D64/D$58</f>
        <v>0.37344685704974129</v>
      </c>
      <c r="E52" s="54">
        <f t="shared" ref="E52:F52" si="11">E64/E$58</f>
        <v>0.35221092456845593</v>
      </c>
      <c r="F52" s="54">
        <f t="shared" si="11"/>
        <v>0.35464790983934136</v>
      </c>
      <c r="G52" s="55">
        <f>F52</f>
        <v>0.35464790983934136</v>
      </c>
      <c r="H52" s="54">
        <f>G52+$M$52</f>
        <v>0.37214790983934137</v>
      </c>
      <c r="I52" s="54">
        <f t="shared" ref="I52:K52" si="12">H52+$M$52</f>
        <v>0.38964790983934139</v>
      </c>
      <c r="J52" s="54">
        <f t="shared" si="12"/>
        <v>0.4071479098393414</v>
      </c>
      <c r="K52" s="54">
        <f t="shared" si="12"/>
        <v>0.42464790983934142</v>
      </c>
      <c r="M52" s="56">
        <v>1.7500000000000002E-2</v>
      </c>
    </row>
    <row r="53" spans="2:25" x14ac:dyDescent="0.3">
      <c r="B53" t="s">
        <v>68</v>
      </c>
      <c r="D53" s="54">
        <f>D67/D$58</f>
        <v>0.22915223856275718</v>
      </c>
      <c r="E53" s="54">
        <f t="shared" ref="E53:F53" si="13">E67/E$58</f>
        <v>0.2184519586978797</v>
      </c>
      <c r="F53" s="54">
        <f t="shared" si="13"/>
        <v>0.22160498761090253</v>
      </c>
      <c r="G53" s="55">
        <f>F53</f>
        <v>0.22160498761090253</v>
      </c>
      <c r="H53" s="54">
        <f>G53-$M$53</f>
        <v>0.19960498761090253</v>
      </c>
      <c r="I53" s="54">
        <f t="shared" ref="I53:K53" si="14">H53-$M$53</f>
        <v>0.17760498761090254</v>
      </c>
      <c r="J53" s="54">
        <f t="shared" si="14"/>
        <v>0.15560498761090255</v>
      </c>
      <c r="K53" s="54">
        <f t="shared" si="14"/>
        <v>0.13360498761090256</v>
      </c>
      <c r="M53" s="56">
        <v>2.1999999999999999E-2</v>
      </c>
    </row>
    <row r="54" spans="2:25" x14ac:dyDescent="0.3">
      <c r="B54" t="s">
        <v>69</v>
      </c>
      <c r="D54" s="54">
        <f>D85/D82</f>
        <v>0.35290102389078526</v>
      </c>
      <c r="E54" s="54">
        <f t="shared" ref="E54:F54" si="15">E85/E82</f>
        <v>0.29740168539325834</v>
      </c>
      <c r="F54" s="54">
        <f t="shared" si="15"/>
        <v>0.34294759057333851</v>
      </c>
      <c r="G54" s="54">
        <f>F54-$M$54</f>
        <v>0.33794759057333851</v>
      </c>
      <c r="H54" s="54">
        <f t="shared" ref="H54:K54" si="16">G54-$M$54</f>
        <v>0.3329475905733385</v>
      </c>
      <c r="I54" s="54">
        <f t="shared" si="16"/>
        <v>0.3279475905733385</v>
      </c>
      <c r="J54" s="54">
        <f t="shared" si="16"/>
        <v>0.32294759057333849</v>
      </c>
      <c r="K54" s="54">
        <f t="shared" si="16"/>
        <v>0.31794759057333849</v>
      </c>
      <c r="M54" s="56">
        <v>5.0000000000000001E-3</v>
      </c>
    </row>
    <row r="56" spans="2:25" x14ac:dyDescent="0.3">
      <c r="B56" s="60" t="s">
        <v>70</v>
      </c>
      <c r="C56" s="60"/>
      <c r="D56" s="61">
        <v>2008</v>
      </c>
      <c r="E56" s="61">
        <f>D56+1</f>
        <v>2009</v>
      </c>
      <c r="F56" s="61">
        <f t="shared" ref="F56:K56" si="17">E56+1</f>
        <v>2010</v>
      </c>
      <c r="G56" s="62">
        <f t="shared" si="17"/>
        <v>2011</v>
      </c>
      <c r="H56" s="62">
        <f t="shared" si="17"/>
        <v>2012</v>
      </c>
      <c r="I56" s="62">
        <f t="shared" si="17"/>
        <v>2013</v>
      </c>
      <c r="J56" s="62">
        <f t="shared" si="17"/>
        <v>2014</v>
      </c>
      <c r="K56" s="62">
        <f t="shared" si="17"/>
        <v>2015</v>
      </c>
    </row>
    <row r="57" spans="2:25" ht="6" customHeight="1" x14ac:dyDescent="0.3"/>
    <row r="58" spans="2:25" x14ac:dyDescent="0.3">
      <c r="B58" t="s">
        <v>71</v>
      </c>
      <c r="D58" s="83">
        <v>2454.6999999999998</v>
      </c>
      <c r="E58" s="84">
        <v>2537.4</v>
      </c>
      <c r="F58" s="84">
        <v>2502.1999999999998</v>
      </c>
      <c r="G58" s="83">
        <v>2574</v>
      </c>
      <c r="H58" s="83">
        <v>2102</v>
      </c>
      <c r="I58" s="83">
        <v>1884</v>
      </c>
      <c r="J58" s="83">
        <v>1910</v>
      </c>
      <c r="K58" s="83">
        <v>2024</v>
      </c>
      <c r="L58" s="45"/>
      <c r="M58" t="s">
        <v>92</v>
      </c>
      <c r="N58" t="s">
        <v>92</v>
      </c>
      <c r="P58" s="45"/>
      <c r="T58" s="45"/>
      <c r="X58" s="45"/>
      <c r="Y58" t="s">
        <v>92</v>
      </c>
    </row>
    <row r="59" spans="2:25" x14ac:dyDescent="0.3">
      <c r="B59" s="63" t="s">
        <v>72</v>
      </c>
      <c r="D59" s="73" t="s">
        <v>93</v>
      </c>
      <c r="E59" s="74">
        <f>E58/D58-1</f>
        <v>3.3690471340693584E-2</v>
      </c>
      <c r="F59" s="74">
        <f t="shared" ref="F59:K59" si="18">F58/E58-1</f>
        <v>-1.3872467880507666E-2</v>
      </c>
      <c r="G59" s="74">
        <f>G58/F58-1</f>
        <v>2.8694748621213462E-2</v>
      </c>
      <c r="H59" s="74">
        <f t="shared" si="18"/>
        <v>-0.18337218337218342</v>
      </c>
      <c r="I59" s="74">
        <f t="shared" si="18"/>
        <v>-0.10371075166508092</v>
      </c>
      <c r="J59" s="74">
        <f t="shared" si="18"/>
        <v>1.3800424628450214E-2</v>
      </c>
      <c r="K59" s="74">
        <f t="shared" si="18"/>
        <v>5.9685863874345602E-2</v>
      </c>
    </row>
    <row r="61" spans="2:25" x14ac:dyDescent="0.3">
      <c r="B61" t="s">
        <v>73</v>
      </c>
      <c r="D61" s="80">
        <v>1538</v>
      </c>
      <c r="E61" s="80">
        <v>1643.7</v>
      </c>
      <c r="F61" s="80">
        <v>1614.8</v>
      </c>
      <c r="G61" s="47">
        <f>IF(CASE=2,"--",G58-G64)</f>
        <v>1661.1362800735353</v>
      </c>
      <c r="H61" s="47">
        <f>IF(CASE=2,"--",H58-H64)</f>
        <v>1319.7450935177044</v>
      </c>
      <c r="I61" s="47">
        <f>IF(CASE=2,"--",I58-I64)</f>
        <v>1149.9033378626809</v>
      </c>
      <c r="J61" s="47">
        <f>IF(CASE=2,"--",J58-J64)</f>
        <v>1132.3474922068581</v>
      </c>
      <c r="K61" s="47">
        <f>IF(CASE=2,"--",K58-K64)</f>
        <v>1164.5126304851728</v>
      </c>
    </row>
    <row r="62" spans="2:25" x14ac:dyDescent="0.3">
      <c r="B62" s="63" t="s">
        <v>74</v>
      </c>
      <c r="D62" s="99">
        <f>D61/D58</f>
        <v>0.62655314295025877</v>
      </c>
      <c r="E62" s="99">
        <f t="shared" ref="E62:F62" si="19">E61/E58</f>
        <v>0.64778907543154407</v>
      </c>
      <c r="F62" s="99">
        <f t="shared" si="19"/>
        <v>0.64535209016065864</v>
      </c>
      <c r="G62" s="99">
        <f>IF(CASE=2,"--",G61/G$58)</f>
        <v>0.64535209016065864</v>
      </c>
      <c r="H62" s="99">
        <f>IF(CASE=2,"--",H61/H$58)</f>
        <v>0.62785209016065857</v>
      </c>
      <c r="I62" s="99">
        <f>IF(CASE=2,"--",I61/I$58)</f>
        <v>0.61035209016065861</v>
      </c>
      <c r="J62" s="99">
        <f>IF(CASE=2,"--",J61/J$58)</f>
        <v>0.59285209016065865</v>
      </c>
      <c r="K62" s="99">
        <f>IF(CASE=2,"--",K61/K$58)</f>
        <v>0.57535209016065847</v>
      </c>
    </row>
    <row r="64" spans="2:25" x14ac:dyDescent="0.3">
      <c r="B64" t="s">
        <v>75</v>
      </c>
      <c r="D64" s="83">
        <f>D58-D61</f>
        <v>916.69999999999982</v>
      </c>
      <c r="E64" s="83">
        <f t="shared" ref="E64:F64" si="20">E58-E61</f>
        <v>893.7</v>
      </c>
      <c r="F64" s="83">
        <f t="shared" si="20"/>
        <v>887.39999999999986</v>
      </c>
      <c r="G64" s="71">
        <f>IF(CASE=2,"--",G65*G58)</f>
        <v>912.86371992646468</v>
      </c>
      <c r="H64" s="71">
        <f>IF(CASE=2,"--",H65*H58)</f>
        <v>782.25490648229561</v>
      </c>
      <c r="I64" s="71">
        <f>IF(CASE=2,"--",I65*I58)</f>
        <v>734.09666213731919</v>
      </c>
      <c r="J64" s="71">
        <f>IF(CASE=2,"--",J65*J58)</f>
        <v>777.65250779314204</v>
      </c>
      <c r="K64" s="71">
        <f>IF(CASE=2,"--",K65*K58)</f>
        <v>859.48736951482704</v>
      </c>
    </row>
    <row r="65" spans="2:24" x14ac:dyDescent="0.3">
      <c r="B65" s="63" t="s">
        <v>74</v>
      </c>
      <c r="D65" s="81">
        <f>D64/D58</f>
        <v>0.37344685704974129</v>
      </c>
      <c r="E65" s="81">
        <f t="shared" ref="E65:F65" si="21">E64/E58</f>
        <v>0.35221092456845593</v>
      </c>
      <c r="F65" s="81">
        <f t="shared" si="21"/>
        <v>0.35464790983934136</v>
      </c>
      <c r="G65" s="82">
        <f>IF(CASE=2,"--",G52)</f>
        <v>0.35464790983934136</v>
      </c>
      <c r="H65" s="82">
        <f>IF(CASE=2,"--",H52)</f>
        <v>0.37214790983934137</v>
      </c>
      <c r="I65" s="82">
        <f>IF(CASE=2,"--",I52)</f>
        <v>0.38964790983934139</v>
      </c>
      <c r="J65" s="82">
        <f>IF(CASE=2,"--",J52)</f>
        <v>0.4071479098393414</v>
      </c>
      <c r="K65" s="82">
        <f>IF(CASE=2,"--",K52)</f>
        <v>0.42464790983934142</v>
      </c>
    </row>
    <row r="67" spans="2:24" x14ac:dyDescent="0.3">
      <c r="B67" t="s">
        <v>76</v>
      </c>
      <c r="D67" s="75">
        <v>562.5</v>
      </c>
      <c r="E67" s="75">
        <v>554.29999999999995</v>
      </c>
      <c r="F67" s="75">
        <v>554.50000000000023</v>
      </c>
      <c r="G67" s="48">
        <f>IF(CASE=2,"--",G58*G68)</f>
        <v>570.41123811046305</v>
      </c>
      <c r="H67" s="48">
        <f>IF(CASE=2,"--",H58*H68)</f>
        <v>419.56968395811714</v>
      </c>
      <c r="I67" s="48">
        <f>IF(CASE=2,"--",I58*I68)</f>
        <v>334.6077966589404</v>
      </c>
      <c r="J67" s="48">
        <f>IF(CASE=2,"--",J58*J68)</f>
        <v>297.20552633682388</v>
      </c>
      <c r="K67" s="48">
        <f>IF(CASE=2,"--",K58*K68)</f>
        <v>270.4164949244668</v>
      </c>
    </row>
    <row r="68" spans="2:24" x14ac:dyDescent="0.3">
      <c r="B68" s="63" t="s">
        <v>74</v>
      </c>
      <c r="D68" s="81">
        <f>D67/D58</f>
        <v>0.22915223856275718</v>
      </c>
      <c r="E68" s="81">
        <f t="shared" ref="E68:F68" si="22">E67/E58</f>
        <v>0.2184519586978797</v>
      </c>
      <c r="F68" s="81">
        <f t="shared" si="22"/>
        <v>0.22160498761090253</v>
      </c>
      <c r="G68" s="81">
        <f>IF(CASE=2,"--",G53)</f>
        <v>0.22160498761090253</v>
      </c>
      <c r="H68" s="81">
        <f>IF(CASE=2,"--",H53)</f>
        <v>0.19960498761090253</v>
      </c>
      <c r="I68" s="81">
        <f>IF(CASE=2,"--",I53)</f>
        <v>0.17760498761090254</v>
      </c>
      <c r="J68" s="81">
        <f>IF(CASE=2,"--",J53)</f>
        <v>0.15560498761090255</v>
      </c>
      <c r="K68" s="81">
        <f>IF(CASE=2,"--",K53)</f>
        <v>0.13360498761090256</v>
      </c>
    </row>
    <row r="70" spans="2:24" x14ac:dyDescent="0.3">
      <c r="B70" s="65" t="s">
        <v>77</v>
      </c>
      <c r="C70" s="67"/>
      <c r="D70" s="94">
        <f>D64-D67</f>
        <v>354.19999999999982</v>
      </c>
      <c r="E70" s="94">
        <f t="shared" ref="E70:F70" si="23">E64-E67</f>
        <v>339.40000000000009</v>
      </c>
      <c r="F70" s="94">
        <f t="shared" si="23"/>
        <v>332.89999999999964</v>
      </c>
      <c r="G70" s="95">
        <f>CHOOSE(CASE,G73,G76)</f>
        <v>342.45248181600164</v>
      </c>
      <c r="H70" s="95">
        <f>CHOOSE(CASE,H73,H76)</f>
        <v>362.68522252417847</v>
      </c>
      <c r="I70" s="95">
        <f>CHOOSE(CASE,I73,I76)</f>
        <v>399.48886547837878</v>
      </c>
      <c r="J70" s="95">
        <f>CHOOSE(CASE,J73,J76)</f>
        <v>480.44698145631816</v>
      </c>
      <c r="K70" s="96">
        <f>CHOOSE(CASE,K73,K76)</f>
        <v>589.07087459036029</v>
      </c>
    </row>
    <row r="71" spans="2:24" x14ac:dyDescent="0.3">
      <c r="B71" s="66" t="s">
        <v>74</v>
      </c>
      <c r="C71" s="68"/>
      <c r="D71" s="97">
        <f>D70/D58</f>
        <v>0.14429461848698408</v>
      </c>
      <c r="E71" s="97">
        <f t="shared" ref="E71:G71" si="24">E70/E58</f>
        <v>0.1337589658705762</v>
      </c>
      <c r="F71" s="97">
        <f t="shared" si="24"/>
        <v>0.13304292222843883</v>
      </c>
      <c r="G71" s="97">
        <f t="shared" si="24"/>
        <v>0.13304292222843886</v>
      </c>
      <c r="H71" s="97">
        <f t="shared" ref="H71" si="25">H70/H58</f>
        <v>0.17254292222843887</v>
      </c>
      <c r="I71" s="97">
        <f t="shared" ref="I71:J71" si="26">I70/I58</f>
        <v>0.21204292222843885</v>
      </c>
      <c r="J71" s="97">
        <f t="shared" si="26"/>
        <v>0.25154292222843883</v>
      </c>
      <c r="K71" s="98">
        <f t="shared" ref="K71" si="27">K70/K58</f>
        <v>0.29104292222843886</v>
      </c>
    </row>
    <row r="73" spans="2:24" x14ac:dyDescent="0.3">
      <c r="B73" t="s">
        <v>78</v>
      </c>
      <c r="G73" s="48">
        <f>IF(CASE=1,G64-G67,G73)</f>
        <v>342.45248181600164</v>
      </c>
      <c r="H73" s="48">
        <f>IF(CASE=1,H64-H67,H73)</f>
        <v>362.68522252417847</v>
      </c>
      <c r="I73" s="48">
        <f>IF(CASE=1,I64-I67,I73)</f>
        <v>399.48886547837878</v>
      </c>
      <c r="J73" s="48">
        <f>IF(CASE=1,J64-J67,J73)</f>
        <v>480.44698145631816</v>
      </c>
      <c r="K73" s="48">
        <f>IF(CASE=1,K64-K67,K73)</f>
        <v>589.07087459036029</v>
      </c>
    </row>
    <row r="74" spans="2:24" x14ac:dyDescent="0.3">
      <c r="B74" s="63" t="s">
        <v>74</v>
      </c>
      <c r="G74" s="99">
        <f>G73/G$58</f>
        <v>0.13304292222843886</v>
      </c>
      <c r="H74" s="99">
        <f t="shared" ref="H74:K74" si="28">H73/H$58</f>
        <v>0.17254292222843887</v>
      </c>
      <c r="I74" s="99">
        <f t="shared" si="28"/>
        <v>0.21204292222843885</v>
      </c>
      <c r="J74" s="99">
        <f t="shared" si="28"/>
        <v>0.25154292222843883</v>
      </c>
      <c r="K74" s="99">
        <f t="shared" si="28"/>
        <v>0.29104292222843886</v>
      </c>
    </row>
    <row r="75" spans="2:24" x14ac:dyDescent="0.3">
      <c r="L75" t="s">
        <v>92</v>
      </c>
      <c r="M75" t="s">
        <v>92</v>
      </c>
      <c r="N75" t="s">
        <v>92</v>
      </c>
      <c r="X75" t="s">
        <v>92</v>
      </c>
    </row>
    <row r="76" spans="2:24" x14ac:dyDescent="0.3">
      <c r="B76" t="s">
        <v>79</v>
      </c>
      <c r="G76" s="80">
        <v>351</v>
      </c>
      <c r="H76" s="80">
        <v>426</v>
      </c>
      <c r="I76" s="80">
        <v>465</v>
      </c>
      <c r="J76" s="80">
        <v>528</v>
      </c>
      <c r="K76" s="80">
        <v>589</v>
      </c>
    </row>
    <row r="77" spans="2:24" x14ac:dyDescent="0.3">
      <c r="B77" s="63" t="s">
        <v>74</v>
      </c>
      <c r="G77" s="72">
        <f>G76/G58</f>
        <v>0.13636363636363635</v>
      </c>
      <c r="H77" s="72">
        <f t="shared" ref="H77:K77" si="29">H76/H58</f>
        <v>0.20266412940057088</v>
      </c>
      <c r="I77" s="72">
        <f t="shared" si="29"/>
        <v>0.24681528662420382</v>
      </c>
      <c r="J77" s="72">
        <f t="shared" si="29"/>
        <v>0.27643979057591622</v>
      </c>
      <c r="K77" s="72">
        <f t="shared" si="29"/>
        <v>0.29100790513833991</v>
      </c>
    </row>
    <row r="79" spans="2:24" x14ac:dyDescent="0.3">
      <c r="B79" t="s">
        <v>80</v>
      </c>
      <c r="D79" s="48">
        <v>67.099999999999994</v>
      </c>
      <c r="E79" s="48">
        <v>57.3</v>
      </c>
      <c r="F79" s="48">
        <v>49.6</v>
      </c>
    </row>
    <row r="80" spans="2:24" x14ac:dyDescent="0.3">
      <c r="B80" t="s">
        <v>81</v>
      </c>
      <c r="D80" s="48">
        <v>5.9</v>
      </c>
      <c r="E80" s="48">
        <v>2.7</v>
      </c>
      <c r="F80" s="48">
        <v>1</v>
      </c>
    </row>
    <row r="82" spans="2:11" x14ac:dyDescent="0.3">
      <c r="B82" t="s">
        <v>82</v>
      </c>
      <c r="D82" s="45">
        <f>D70-D79+D80</f>
        <v>292.99999999999977</v>
      </c>
      <c r="E82" s="45">
        <f t="shared" ref="E82:F82" si="30">E70-E79+E80</f>
        <v>284.80000000000007</v>
      </c>
      <c r="F82" s="45">
        <f t="shared" si="30"/>
        <v>284.29999999999961</v>
      </c>
      <c r="G82" s="48">
        <f>G70-G79+G80</f>
        <v>342.45248181600164</v>
      </c>
      <c r="H82" s="48">
        <f t="shared" ref="H82:K82" si="31">H70-H79+H80</f>
        <v>362.68522252417847</v>
      </c>
      <c r="I82" s="48">
        <f t="shared" si="31"/>
        <v>399.48886547837878</v>
      </c>
      <c r="J82" s="48">
        <f t="shared" si="31"/>
        <v>480.44698145631816</v>
      </c>
      <c r="K82" s="48">
        <f t="shared" si="31"/>
        <v>589.07087459036029</v>
      </c>
    </row>
    <row r="83" spans="2:11" x14ac:dyDescent="0.3">
      <c r="B83" s="63" t="s">
        <v>74</v>
      </c>
      <c r="D83" s="99">
        <f>D82/D58</f>
        <v>0.11936285493135609</v>
      </c>
      <c r="E83" s="99">
        <f t="shared" ref="E83" si="32">E82/E58</f>
        <v>0.11224087648774338</v>
      </c>
      <c r="F83" s="99">
        <f>F82/F58</f>
        <v>0.113620014387339</v>
      </c>
      <c r="G83" s="99">
        <f t="shared" ref="G83:K83" si="33">G82/G58</f>
        <v>0.13304292222843886</v>
      </c>
      <c r="H83" s="99">
        <f t="shared" si="33"/>
        <v>0.17254292222843887</v>
      </c>
      <c r="I83" s="99">
        <f t="shared" si="33"/>
        <v>0.21204292222843885</v>
      </c>
      <c r="J83" s="99">
        <f t="shared" si="33"/>
        <v>0.25154292222843883</v>
      </c>
      <c r="K83" s="99">
        <f t="shared" si="33"/>
        <v>0.29104292222843886</v>
      </c>
    </row>
    <row r="85" spans="2:11" x14ac:dyDescent="0.3">
      <c r="B85" t="s">
        <v>83</v>
      </c>
      <c r="D85" s="48">
        <v>103.4</v>
      </c>
      <c r="E85" s="48">
        <v>84.7</v>
      </c>
      <c r="F85" s="48">
        <v>97.5</v>
      </c>
      <c r="G85" s="48">
        <f>G82*G86</f>
        <v>115.73099111557777</v>
      </c>
      <c r="H85" s="48">
        <f t="shared" ref="H85:K85" si="34">H82*H86</f>
        <v>120.75517097598033</v>
      </c>
      <c r="I85" s="48">
        <f t="shared" si="34"/>
        <v>131.01141089451087</v>
      </c>
      <c r="J85" s="48">
        <f t="shared" si="34"/>
        <v>155.15919505955139</v>
      </c>
      <c r="K85" s="48">
        <f t="shared" si="34"/>
        <v>187.29366525293429</v>
      </c>
    </row>
    <row r="86" spans="2:11" x14ac:dyDescent="0.3">
      <c r="B86" s="63" t="s">
        <v>84</v>
      </c>
      <c r="D86" s="52">
        <f>D54</f>
        <v>0.35290102389078526</v>
      </c>
      <c r="E86" s="52">
        <f t="shared" ref="E86:F86" si="35">E54</f>
        <v>0.29740168539325834</v>
      </c>
      <c r="F86" s="52">
        <f t="shared" si="35"/>
        <v>0.34294759057333851</v>
      </c>
      <c r="G86" s="52">
        <f>G54</f>
        <v>0.33794759057333851</v>
      </c>
      <c r="H86" s="52">
        <f t="shared" ref="H86:K86" si="36">H54</f>
        <v>0.3329475905733385</v>
      </c>
      <c r="I86" s="52">
        <f t="shared" si="36"/>
        <v>0.3279475905733385</v>
      </c>
      <c r="J86" s="52">
        <f t="shared" si="36"/>
        <v>0.32294759057333849</v>
      </c>
      <c r="K86" s="52">
        <f t="shared" si="36"/>
        <v>0.31794759057333849</v>
      </c>
    </row>
    <row r="88" spans="2:11" x14ac:dyDescent="0.3">
      <c r="B88" s="65" t="s">
        <v>85</v>
      </c>
      <c r="C88" s="67"/>
      <c r="D88" s="100">
        <f>D82-D85</f>
        <v>189.59999999999977</v>
      </c>
      <c r="E88" s="100">
        <f t="shared" ref="E88:K88" si="37">E82-E85</f>
        <v>200.10000000000008</v>
      </c>
      <c r="F88" s="100">
        <f t="shared" si="37"/>
        <v>186.79999999999961</v>
      </c>
      <c r="G88" s="100">
        <f t="shared" si="37"/>
        <v>226.72149070042389</v>
      </c>
      <c r="H88" s="100">
        <f t="shared" si="37"/>
        <v>241.93005154819815</v>
      </c>
      <c r="I88" s="100">
        <f t="shared" si="37"/>
        <v>268.47745458386794</v>
      </c>
      <c r="J88" s="100">
        <f t="shared" si="37"/>
        <v>325.28778639676676</v>
      </c>
      <c r="K88" s="101">
        <f t="shared" si="37"/>
        <v>401.77720933742603</v>
      </c>
    </row>
    <row r="89" spans="2:11" x14ac:dyDescent="0.3">
      <c r="B89" s="66" t="s">
        <v>74</v>
      </c>
      <c r="C89" s="68"/>
      <c r="D89" s="97">
        <f>D88/D58</f>
        <v>7.7239581211553263E-2</v>
      </c>
      <c r="E89" s="97">
        <f t="shared" ref="E89:K89" si="38">E88/E58</f>
        <v>7.8860250650271954E-2</v>
      </c>
      <c r="F89" s="97">
        <f t="shared" si="38"/>
        <v>7.4654304212293035E-2</v>
      </c>
      <c r="G89" s="97">
        <f t="shared" si="38"/>
        <v>8.8081387218501894E-2</v>
      </c>
      <c r="H89" s="97">
        <f t="shared" si="38"/>
        <v>0.11509517200199722</v>
      </c>
      <c r="I89" s="97">
        <f t="shared" si="38"/>
        <v>0.14250395678549255</v>
      </c>
      <c r="J89" s="97">
        <f t="shared" si="38"/>
        <v>0.17030774156898784</v>
      </c>
      <c r="K89" s="98">
        <f t="shared" si="38"/>
        <v>0.19850652635248323</v>
      </c>
    </row>
    <row r="91" spans="2:11" x14ac:dyDescent="0.3">
      <c r="B91" s="64" t="s">
        <v>86</v>
      </c>
    </row>
    <row r="92" spans="2:11" x14ac:dyDescent="0.3">
      <c r="B92" t="s">
        <v>77</v>
      </c>
      <c r="D92" s="102">
        <f>D70</f>
        <v>354.19999999999982</v>
      </c>
      <c r="E92" s="102">
        <f t="shared" ref="E92:F92" si="39">E70</f>
        <v>339.40000000000009</v>
      </c>
      <c r="F92" s="102">
        <f t="shared" si="39"/>
        <v>332.89999999999964</v>
      </c>
    </row>
    <row r="93" spans="2:11" x14ac:dyDescent="0.3">
      <c r="B93" t="s">
        <v>87</v>
      </c>
      <c r="D93" s="103">
        <v>95.6</v>
      </c>
      <c r="E93" s="103">
        <v>98.1</v>
      </c>
      <c r="F93" s="103">
        <v>111.7</v>
      </c>
    </row>
    <row r="94" spans="2:11" x14ac:dyDescent="0.3">
      <c r="B94" t="s">
        <v>88</v>
      </c>
      <c r="D94" s="104">
        <v>0</v>
      </c>
      <c r="E94" s="104">
        <f>1.5+2</f>
        <v>3.5</v>
      </c>
      <c r="F94" s="104">
        <v>0</v>
      </c>
    </row>
    <row r="95" spans="2:11" x14ac:dyDescent="0.3">
      <c r="B95" s="69" t="s">
        <v>89</v>
      </c>
      <c r="C95" s="70"/>
      <c r="D95" s="105">
        <f>SUM(D92:D94)</f>
        <v>449.79999999999984</v>
      </c>
      <c r="E95" s="105">
        <f t="shared" ref="E95:F95" si="40">SUM(E92:E94)</f>
        <v>441.00000000000011</v>
      </c>
      <c r="F95" s="105">
        <f t="shared" si="40"/>
        <v>444.59999999999962</v>
      </c>
      <c r="G95" s="70"/>
      <c r="H95" s="70"/>
      <c r="I95" s="70"/>
      <c r="J95" s="70"/>
      <c r="K95" s="70"/>
    </row>
    <row r="96" spans="2:11" x14ac:dyDescent="0.3">
      <c r="B96" s="63" t="s">
        <v>74</v>
      </c>
      <c r="D96" s="106">
        <f>D99</f>
        <v>0.18324031449871669</v>
      </c>
      <c r="E96" s="106">
        <f t="shared" ref="E96:F96" si="41">E99</f>
        <v>0.1737999527074959</v>
      </c>
      <c r="F96" s="106">
        <f t="shared" si="41"/>
        <v>0.17768363839820944</v>
      </c>
    </row>
    <row r="98" spans="1:24" x14ac:dyDescent="0.3">
      <c r="B98" s="65" t="s">
        <v>89</v>
      </c>
      <c r="C98" s="67"/>
      <c r="D98" s="172">
        <f>D95</f>
        <v>449.79999999999984</v>
      </c>
      <c r="E98" s="172">
        <f t="shared" ref="E98:F98" si="42">E95</f>
        <v>441.00000000000011</v>
      </c>
      <c r="F98" s="172">
        <f t="shared" si="42"/>
        <v>444.59999999999962</v>
      </c>
      <c r="G98" s="95">
        <f>CHOOSE(CASE,G101,G104)</f>
        <v>447.34129525775268</v>
      </c>
      <c r="H98" s="95">
        <f>CHOOSE(CASE,H101,H104)</f>
        <v>448.34034523379796</v>
      </c>
      <c r="I98" s="95">
        <f>CHOOSE(CASE,I101,I104)</f>
        <v>476.26063102781893</v>
      </c>
      <c r="J98" s="95">
        <f>CHOOSE(CASE,J101,J104)</f>
        <v>558.27822996981638</v>
      </c>
      <c r="K98" s="96">
        <f>CHOOSE(CASE,K101,K104)</f>
        <v>671.54754840780549</v>
      </c>
      <c r="L98" t="s">
        <v>92</v>
      </c>
      <c r="M98" t="s">
        <v>92</v>
      </c>
      <c r="N98" t="s">
        <v>92</v>
      </c>
      <c r="X98" t="s">
        <v>92</v>
      </c>
    </row>
    <row r="99" spans="1:24" x14ac:dyDescent="0.3">
      <c r="B99" s="66" t="s">
        <v>74</v>
      </c>
      <c r="C99" s="68"/>
      <c r="D99" s="173">
        <f>D98/D$58</f>
        <v>0.18324031449871669</v>
      </c>
      <c r="E99" s="173">
        <f t="shared" ref="E99:F99" si="43">E98/E$58</f>
        <v>0.1737999527074959</v>
      </c>
      <c r="F99" s="173">
        <f t="shared" si="43"/>
        <v>0.17768363839820944</v>
      </c>
      <c r="G99" s="174">
        <f>G102</f>
        <v>0.17379226699990391</v>
      </c>
      <c r="H99" s="174">
        <f t="shared" ref="H99:K99" si="44">H102</f>
        <v>0.21329226699990389</v>
      </c>
      <c r="I99" s="174">
        <f t="shared" si="44"/>
        <v>0.25279226699990387</v>
      </c>
      <c r="J99" s="174">
        <f t="shared" si="44"/>
        <v>0.29229226699990385</v>
      </c>
      <c r="K99" s="175">
        <f t="shared" si="44"/>
        <v>0.33179226699990388</v>
      </c>
    </row>
    <row r="101" spans="1:24" x14ac:dyDescent="0.3">
      <c r="B101" t="s">
        <v>90</v>
      </c>
      <c r="G101" s="48">
        <f>G73+G148</f>
        <v>447.34129525775268</v>
      </c>
      <c r="H101" s="48">
        <f t="shared" ref="H101:K101" si="45">H73+H148</f>
        <v>448.34034523379796</v>
      </c>
      <c r="I101" s="48">
        <f t="shared" si="45"/>
        <v>476.26063102781893</v>
      </c>
      <c r="J101" s="48">
        <f t="shared" si="45"/>
        <v>558.27822996981638</v>
      </c>
      <c r="K101" s="48">
        <f t="shared" si="45"/>
        <v>671.54754840780549</v>
      </c>
    </row>
    <row r="102" spans="1:24" x14ac:dyDescent="0.3">
      <c r="B102" s="63" t="s">
        <v>74</v>
      </c>
      <c r="G102" s="99">
        <f>G101/G$58</f>
        <v>0.17379226699990391</v>
      </c>
      <c r="H102" s="99">
        <f t="shared" ref="H102:K102" si="46">H101/H$58</f>
        <v>0.21329226699990389</v>
      </c>
      <c r="I102" s="99">
        <f t="shared" si="46"/>
        <v>0.25279226699990387</v>
      </c>
      <c r="J102" s="99">
        <f t="shared" si="46"/>
        <v>0.29229226699990385</v>
      </c>
      <c r="K102" s="99">
        <f t="shared" si="46"/>
        <v>0.33179226699990388</v>
      </c>
    </row>
    <row r="104" spans="1:24" x14ac:dyDescent="0.3">
      <c r="B104" t="s">
        <v>91</v>
      </c>
      <c r="G104" s="80">
        <v>464</v>
      </c>
      <c r="H104" s="80">
        <v>518</v>
      </c>
      <c r="I104" s="80">
        <v>563</v>
      </c>
      <c r="J104" s="80">
        <v>620</v>
      </c>
      <c r="K104" s="80">
        <v>685</v>
      </c>
    </row>
    <row r="105" spans="1:24" x14ac:dyDescent="0.3">
      <c r="B105" s="63" t="s">
        <v>74</v>
      </c>
      <c r="G105" s="72">
        <f>G104/G$58</f>
        <v>0.18026418026418026</v>
      </c>
      <c r="H105" s="72">
        <f t="shared" ref="H105:K105" si="47">H104/H$58</f>
        <v>0.24643196955280686</v>
      </c>
      <c r="I105" s="72">
        <f t="shared" si="47"/>
        <v>0.29883227176220806</v>
      </c>
      <c r="J105" s="72">
        <f t="shared" si="47"/>
        <v>0.32460732984293195</v>
      </c>
      <c r="K105" s="72">
        <f t="shared" si="47"/>
        <v>0.3384387351778656</v>
      </c>
    </row>
    <row r="107" spans="1:24" x14ac:dyDescent="0.3">
      <c r="A107" t="s">
        <v>25</v>
      </c>
      <c r="B107" s="60" t="s">
        <v>95</v>
      </c>
      <c r="C107" s="60"/>
      <c r="D107" s="61">
        <v>2008</v>
      </c>
      <c r="E107" s="61">
        <f>D107+1</f>
        <v>2009</v>
      </c>
      <c r="F107" s="61">
        <f t="shared" ref="F107:K107" si="48">E107+1</f>
        <v>2010</v>
      </c>
      <c r="G107" s="62">
        <f t="shared" si="48"/>
        <v>2011</v>
      </c>
      <c r="H107" s="62">
        <f t="shared" si="48"/>
        <v>2012</v>
      </c>
      <c r="I107" s="62">
        <f t="shared" si="48"/>
        <v>2013</v>
      </c>
      <c r="J107" s="62">
        <f t="shared" si="48"/>
        <v>2014</v>
      </c>
      <c r="K107" s="62">
        <f t="shared" si="48"/>
        <v>2015</v>
      </c>
    </row>
    <row r="108" spans="1:24" x14ac:dyDescent="0.3">
      <c r="B108" s="183"/>
      <c r="C108" s="183"/>
      <c r="D108" s="184"/>
      <c r="E108" s="184"/>
      <c r="F108" s="184"/>
      <c r="G108" s="185"/>
      <c r="H108" s="185"/>
      <c r="I108" s="185"/>
      <c r="J108" s="185"/>
      <c r="K108" s="185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</row>
    <row r="109" spans="1:24" x14ac:dyDescent="0.3">
      <c r="A109" s="187" t="s">
        <v>136</v>
      </c>
      <c r="B109" t="s">
        <v>85</v>
      </c>
      <c r="C109" s="183"/>
      <c r="D109" s="184"/>
      <c r="E109" s="184"/>
      <c r="F109" s="184"/>
      <c r="G109" s="185"/>
      <c r="H109" s="185"/>
      <c r="I109" s="185"/>
      <c r="J109" s="185"/>
      <c r="K109" s="185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</row>
    <row r="110" spans="1:24" x14ac:dyDescent="0.3">
      <c r="A110" s="187" t="s">
        <v>136</v>
      </c>
      <c r="B110" t="s">
        <v>87</v>
      </c>
      <c r="C110" s="183"/>
      <c r="D110" s="184"/>
      <c r="E110" s="184"/>
      <c r="F110" s="184"/>
      <c r="G110" s="185"/>
      <c r="H110" s="185"/>
      <c r="I110" s="185"/>
      <c r="J110" s="185"/>
      <c r="K110" s="185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</row>
    <row r="111" spans="1:24" x14ac:dyDescent="0.3">
      <c r="A111" s="187" t="s">
        <v>136</v>
      </c>
      <c r="B111" t="s">
        <v>138</v>
      </c>
      <c r="C111" s="183"/>
      <c r="D111" s="184"/>
      <c r="E111" s="184"/>
      <c r="F111" s="184"/>
      <c r="G111" s="185"/>
      <c r="H111" s="185"/>
      <c r="I111" s="185"/>
      <c r="J111" s="185"/>
      <c r="K111" s="185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</row>
    <row r="112" spans="1:24" x14ac:dyDescent="0.3">
      <c r="A112" s="187" t="s">
        <v>136</v>
      </c>
      <c r="B112" t="s">
        <v>139</v>
      </c>
      <c r="C112" s="183"/>
      <c r="D112" s="184"/>
      <c r="E112" s="184"/>
      <c r="F112" s="184"/>
      <c r="G112" s="185"/>
      <c r="H112" s="185"/>
      <c r="I112" s="185"/>
      <c r="J112" s="185"/>
      <c r="K112" s="185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</row>
    <row r="113" spans="1:21" x14ac:dyDescent="0.3">
      <c r="A113" s="187" t="s">
        <v>136</v>
      </c>
      <c r="B113" s="1" t="s">
        <v>140</v>
      </c>
      <c r="C113" s="189"/>
      <c r="D113" s="190"/>
      <c r="E113" s="190"/>
      <c r="F113" s="190"/>
      <c r="G113" s="188"/>
      <c r="H113" s="188"/>
      <c r="I113" s="188"/>
      <c r="J113" s="188"/>
      <c r="K113" s="188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</row>
    <row r="114" spans="1:21" x14ac:dyDescent="0.3">
      <c r="A114" s="187" t="s">
        <v>136</v>
      </c>
      <c r="B114" s="135" t="s">
        <v>141</v>
      </c>
      <c r="C114" s="183"/>
      <c r="D114" s="184"/>
      <c r="E114" s="184"/>
      <c r="F114" s="184"/>
      <c r="G114" s="185"/>
      <c r="H114" s="185"/>
      <c r="I114" s="185"/>
      <c r="J114" s="185"/>
      <c r="K114" s="185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</row>
    <row r="115" spans="1:21" x14ac:dyDescent="0.3">
      <c r="A115" s="187" t="s">
        <v>136</v>
      </c>
      <c r="C115" s="183"/>
      <c r="D115" s="184"/>
      <c r="E115" s="184"/>
      <c r="F115" s="184"/>
      <c r="G115" s="185"/>
      <c r="H115" s="185"/>
      <c r="I115" s="185"/>
      <c r="J115" s="185"/>
      <c r="K115" s="185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</row>
    <row r="116" spans="1:21" x14ac:dyDescent="0.3">
      <c r="A116" s="187" t="s">
        <v>136</v>
      </c>
      <c r="B116" t="s">
        <v>142</v>
      </c>
      <c r="C116" s="183"/>
      <c r="D116" s="184"/>
      <c r="E116" s="184"/>
      <c r="F116" s="184"/>
      <c r="G116" s="185"/>
      <c r="H116" s="185"/>
      <c r="I116" s="185"/>
      <c r="J116" s="185"/>
      <c r="K116" s="185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</row>
    <row r="117" spans="1:21" x14ac:dyDescent="0.3">
      <c r="A117" s="187" t="s">
        <v>136</v>
      </c>
      <c r="B117" s="1" t="s">
        <v>143</v>
      </c>
      <c r="C117" s="189"/>
      <c r="D117" s="190"/>
      <c r="E117" s="190"/>
      <c r="F117" s="190"/>
      <c r="G117" s="191"/>
      <c r="H117" s="191"/>
      <c r="I117" s="191"/>
      <c r="J117" s="191"/>
      <c r="K117" s="191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</row>
    <row r="118" spans="1:21" x14ac:dyDescent="0.3">
      <c r="A118" s="187" t="s">
        <v>136</v>
      </c>
      <c r="B118" s="135" t="s">
        <v>144</v>
      </c>
      <c r="C118" s="183"/>
      <c r="D118" s="184"/>
      <c r="E118" s="184"/>
      <c r="F118" s="184"/>
      <c r="G118" s="185"/>
      <c r="H118" s="185"/>
      <c r="I118" s="185"/>
      <c r="J118" s="185"/>
      <c r="K118" s="185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</row>
    <row r="119" spans="1:21" x14ac:dyDescent="0.3">
      <c r="A119" s="187" t="s">
        <v>136</v>
      </c>
      <c r="C119" s="183"/>
      <c r="D119" s="184"/>
      <c r="E119" s="184"/>
      <c r="F119" s="184"/>
      <c r="G119" s="185"/>
      <c r="H119" s="185"/>
      <c r="I119" s="185"/>
      <c r="J119" s="185"/>
      <c r="K119" s="185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</row>
    <row r="120" spans="1:21" x14ac:dyDescent="0.3">
      <c r="A120" s="187" t="s">
        <v>136</v>
      </c>
      <c r="B120" t="s">
        <v>109</v>
      </c>
      <c r="C120" s="183"/>
      <c r="D120" s="184"/>
      <c r="E120" s="184"/>
      <c r="F120" s="184"/>
      <c r="G120" s="193"/>
      <c r="H120" s="193"/>
      <c r="I120" s="193"/>
      <c r="J120" s="193"/>
      <c r="K120" s="193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</row>
    <row r="121" spans="1:21" x14ac:dyDescent="0.3">
      <c r="A121" s="187" t="s">
        <v>136</v>
      </c>
      <c r="B121" s="135" t="s">
        <v>145</v>
      </c>
      <c r="C121" s="183"/>
      <c r="D121" s="184"/>
      <c r="E121" s="184"/>
      <c r="F121" s="184"/>
      <c r="G121" s="192"/>
      <c r="H121" s="192"/>
      <c r="I121" s="192"/>
      <c r="J121" s="192"/>
      <c r="K121" s="192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</row>
    <row r="122" spans="1:21" x14ac:dyDescent="0.3">
      <c r="A122" s="187" t="s">
        <v>136</v>
      </c>
      <c r="C122" s="183"/>
      <c r="D122" s="184"/>
      <c r="E122" s="184"/>
      <c r="F122" s="184"/>
      <c r="G122" s="185"/>
      <c r="H122" s="185"/>
      <c r="I122" s="185"/>
      <c r="J122" s="185"/>
      <c r="K122" s="185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</row>
    <row r="123" spans="1:21" x14ac:dyDescent="0.3">
      <c r="A123" s="187" t="s">
        <v>136</v>
      </c>
      <c r="B123" t="s">
        <v>135</v>
      </c>
      <c r="C123" s="183"/>
      <c r="D123" s="184"/>
      <c r="E123" s="184"/>
      <c r="F123" s="184"/>
      <c r="G123" s="194"/>
      <c r="H123" s="194"/>
      <c r="I123" s="194"/>
      <c r="J123" s="194"/>
      <c r="K123" s="194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</row>
    <row r="124" spans="1:21" x14ac:dyDescent="0.3">
      <c r="A124" s="187" t="s">
        <v>136</v>
      </c>
      <c r="B124" s="135" t="s">
        <v>146</v>
      </c>
      <c r="C124" s="183"/>
      <c r="D124" s="184"/>
      <c r="E124" s="184"/>
      <c r="F124" s="184"/>
      <c r="G124" s="185"/>
      <c r="H124" s="185"/>
      <c r="I124" s="185"/>
      <c r="J124" s="185"/>
      <c r="K124" s="185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</row>
    <row r="125" spans="1:21" x14ac:dyDescent="0.3">
      <c r="A125" s="187" t="s">
        <v>136</v>
      </c>
      <c r="C125" s="183"/>
      <c r="D125" s="184"/>
      <c r="E125" s="184"/>
      <c r="F125" s="184"/>
      <c r="G125" s="185"/>
      <c r="H125" s="185"/>
      <c r="I125" s="185"/>
      <c r="J125" s="185"/>
      <c r="K125" s="185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</row>
    <row r="126" spans="1:21" x14ac:dyDescent="0.3">
      <c r="A126" s="187" t="s">
        <v>136</v>
      </c>
      <c r="B126" s="64" t="s">
        <v>147</v>
      </c>
      <c r="C126" s="183"/>
      <c r="D126" s="184"/>
      <c r="E126" s="184"/>
      <c r="F126" s="184"/>
      <c r="G126" s="185"/>
      <c r="H126" s="185"/>
      <c r="I126" s="185"/>
      <c r="J126" s="185"/>
      <c r="K126" s="185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</row>
    <row r="127" spans="1:21" x14ac:dyDescent="0.3">
      <c r="A127" s="187" t="s">
        <v>136</v>
      </c>
      <c r="B127" t="str">
        <f>B39</f>
        <v>Secured term loan - USD tranche</v>
      </c>
      <c r="C127" s="183"/>
      <c r="D127" s="184"/>
      <c r="E127" s="184"/>
      <c r="F127" s="184"/>
      <c r="G127" s="194"/>
      <c r="H127" s="194"/>
      <c r="I127" s="194"/>
      <c r="J127" s="194"/>
      <c r="K127" s="194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</row>
    <row r="128" spans="1:21" x14ac:dyDescent="0.3">
      <c r="A128" s="187" t="s">
        <v>136</v>
      </c>
      <c r="B128" t="str">
        <f t="shared" ref="B128:B129" si="49">B40</f>
        <v>Secured term loan -EUR tranche</v>
      </c>
      <c r="C128" s="183"/>
      <c r="D128" s="184"/>
      <c r="E128" s="184"/>
      <c r="F128" s="184"/>
      <c r="G128" s="194"/>
      <c r="H128" s="194"/>
      <c r="I128" s="194"/>
      <c r="J128" s="194"/>
      <c r="K128" s="194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</row>
    <row r="129" spans="1:21" x14ac:dyDescent="0.3">
      <c r="A129" s="187" t="s">
        <v>136</v>
      </c>
      <c r="B129" s="1" t="str">
        <f t="shared" si="49"/>
        <v>Senior notes</v>
      </c>
      <c r="C129" s="189"/>
      <c r="D129" s="190"/>
      <c r="E129" s="190"/>
      <c r="F129" s="190"/>
      <c r="G129" s="195"/>
      <c r="H129" s="195"/>
      <c r="I129" s="195"/>
      <c r="J129" s="195"/>
      <c r="K129" s="195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</row>
    <row r="130" spans="1:21" x14ac:dyDescent="0.3">
      <c r="A130" s="187" t="s">
        <v>136</v>
      </c>
      <c r="B130" s="135" t="s">
        <v>52</v>
      </c>
      <c r="C130" s="183"/>
      <c r="D130" s="184"/>
      <c r="E130" s="184"/>
      <c r="F130" s="184"/>
      <c r="G130" s="185"/>
      <c r="H130" s="185"/>
      <c r="I130" s="185"/>
      <c r="J130" s="185"/>
      <c r="K130" s="185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</row>
    <row r="131" spans="1:21" x14ac:dyDescent="0.3">
      <c r="A131" s="187" t="s">
        <v>136</v>
      </c>
      <c r="C131" s="183"/>
      <c r="D131" s="184"/>
      <c r="E131" s="184"/>
      <c r="F131" s="184"/>
      <c r="G131" s="185"/>
      <c r="H131" s="185"/>
      <c r="I131" s="185"/>
      <c r="J131" s="185"/>
      <c r="K131" s="185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</row>
    <row r="132" spans="1:21" x14ac:dyDescent="0.3">
      <c r="A132" s="187" t="s">
        <v>136</v>
      </c>
      <c r="B132" s="196" t="s">
        <v>148</v>
      </c>
      <c r="C132" s="197"/>
      <c r="D132" s="198"/>
      <c r="E132" s="198"/>
      <c r="F132" s="198"/>
      <c r="G132" s="199"/>
      <c r="H132" s="199"/>
      <c r="I132" s="199"/>
      <c r="J132" s="199"/>
      <c r="K132" s="200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</row>
    <row r="133" spans="1:21" x14ac:dyDescent="0.3">
      <c r="B133" s="183"/>
      <c r="C133" s="183"/>
      <c r="D133" s="184"/>
      <c r="E133" s="184"/>
      <c r="F133" s="184"/>
      <c r="G133" s="185"/>
      <c r="H133" s="185"/>
      <c r="I133" s="185"/>
      <c r="J133" s="185"/>
      <c r="K133" s="185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</row>
    <row r="134" spans="1:21" x14ac:dyDescent="0.3">
      <c r="B134" s="183"/>
      <c r="C134" s="183"/>
      <c r="D134" s="184"/>
      <c r="E134" s="184"/>
      <c r="F134" s="184"/>
      <c r="G134" s="185"/>
      <c r="H134" s="185"/>
      <c r="I134" s="185"/>
      <c r="J134" s="185"/>
      <c r="K134" s="185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</row>
    <row r="136" spans="1:21" x14ac:dyDescent="0.3">
      <c r="B136" s="64" t="s">
        <v>96</v>
      </c>
    </row>
    <row r="137" spans="1:21" x14ac:dyDescent="0.3">
      <c r="B137" t="s">
        <v>97</v>
      </c>
      <c r="C137" s="117"/>
      <c r="D137" s="75">
        <v>8.6</v>
      </c>
      <c r="E137" s="75">
        <v>-2.1</v>
      </c>
      <c r="F137" s="75">
        <v>15.9</v>
      </c>
    </row>
    <row r="138" spans="1:21" x14ac:dyDescent="0.3">
      <c r="B138" t="s">
        <v>98</v>
      </c>
      <c r="C138" s="117"/>
      <c r="D138" s="75">
        <v>-14.9</v>
      </c>
      <c r="E138" s="75">
        <v>35.4</v>
      </c>
      <c r="F138" s="75">
        <v>1.4</v>
      </c>
    </row>
    <row r="139" spans="1:21" x14ac:dyDescent="0.3">
      <c r="D139" s="80"/>
      <c r="E139" s="80"/>
      <c r="F139" s="80"/>
      <c r="N139" s="165" t="s">
        <v>130</v>
      </c>
      <c r="O139" s="70"/>
      <c r="P139" s="166"/>
    </row>
    <row r="140" spans="1:21" x14ac:dyDescent="0.3">
      <c r="B140" s="64" t="s">
        <v>99</v>
      </c>
      <c r="D140" s="80"/>
      <c r="E140" s="80"/>
      <c r="F140" s="80"/>
      <c r="N140" s="167" t="s">
        <v>131</v>
      </c>
      <c r="P140" s="168"/>
    </row>
    <row r="141" spans="1:21" x14ac:dyDescent="0.3">
      <c r="B141" t="s">
        <v>100</v>
      </c>
      <c r="C141" s="117"/>
      <c r="D141" s="75">
        <v>20.8</v>
      </c>
      <c r="E141" s="75">
        <v>3.3</v>
      </c>
      <c r="F141" s="75">
        <v>-20.8</v>
      </c>
      <c r="N141" s="167" t="s">
        <v>132</v>
      </c>
      <c r="P141" s="168"/>
    </row>
    <row r="142" spans="1:21" x14ac:dyDescent="0.3">
      <c r="B142" t="s">
        <v>101</v>
      </c>
      <c r="C142" s="117"/>
      <c r="D142" s="75">
        <v>11.1</v>
      </c>
      <c r="E142" s="75">
        <v>-7.7</v>
      </c>
      <c r="F142" s="75">
        <v>6.4</v>
      </c>
      <c r="N142" s="167" t="s">
        <v>133</v>
      </c>
      <c r="P142" s="168"/>
    </row>
    <row r="143" spans="1:21" x14ac:dyDescent="0.3">
      <c r="B143" t="s">
        <v>102</v>
      </c>
      <c r="C143" s="117"/>
      <c r="D143" s="75">
        <v>-6.2</v>
      </c>
      <c r="E143" s="75">
        <v>-20.8</v>
      </c>
      <c r="F143" s="75">
        <v>-22.3</v>
      </c>
      <c r="N143" s="169" t="s">
        <v>134</v>
      </c>
      <c r="O143" s="1"/>
      <c r="P143" s="170"/>
    </row>
    <row r="145" spans="1:11" x14ac:dyDescent="0.3">
      <c r="B145" s="118" t="s">
        <v>103</v>
      </c>
      <c r="C145" s="119"/>
      <c r="D145" s="120">
        <f>SUM(D137:D138)-SUM(D141:D143)</f>
        <v>-32</v>
      </c>
      <c r="E145" s="120">
        <f t="shared" ref="E145:F145" si="50">SUM(E137:E138)-SUM(E141:E143)</f>
        <v>58.5</v>
      </c>
      <c r="F145" s="120">
        <f t="shared" si="50"/>
        <v>54</v>
      </c>
      <c r="G145" s="120">
        <f>G146*G$58</f>
        <v>27.112704111135937</v>
      </c>
      <c r="H145" s="120">
        <f t="shared" ref="H145:K145" si="51">H146*H$58</f>
        <v>22.140988361152967</v>
      </c>
      <c r="I145" s="120">
        <f t="shared" si="51"/>
        <v>19.844729815609988</v>
      </c>
      <c r="J145" s="120">
        <f t="shared" si="51"/>
        <v>20.118595513702267</v>
      </c>
      <c r="K145" s="121">
        <f t="shared" si="51"/>
        <v>21.319391266876121</v>
      </c>
    </row>
    <row r="146" spans="1:11" x14ac:dyDescent="0.3">
      <c r="B146" s="122" t="s">
        <v>74</v>
      </c>
      <c r="C146" s="123"/>
      <c r="D146" s="124">
        <f>D145/D$58</f>
        <v>-1.3036216238236852E-2</v>
      </c>
      <c r="E146" s="124">
        <f t="shared" ref="E146:F146" si="52">E145/E$58</f>
        <v>2.3055095767320878E-2</v>
      </c>
      <c r="F146" s="124">
        <f t="shared" si="52"/>
        <v>2.158100871233315E-2</v>
      </c>
      <c r="G146" s="125">
        <f>AVERAGE(D146:F146)</f>
        <v>1.0533296080472392E-2</v>
      </c>
      <c r="H146" s="126">
        <f>G146</f>
        <v>1.0533296080472392E-2</v>
      </c>
      <c r="I146" s="126">
        <f t="shared" ref="I146:K146" si="53">H146</f>
        <v>1.0533296080472392E-2</v>
      </c>
      <c r="J146" s="126">
        <f t="shared" si="53"/>
        <v>1.0533296080472392E-2</v>
      </c>
      <c r="K146" s="127">
        <f t="shared" si="53"/>
        <v>1.0533296080472392E-2</v>
      </c>
    </row>
    <row r="148" spans="1:11" x14ac:dyDescent="0.3">
      <c r="B148" s="118" t="s">
        <v>87</v>
      </c>
      <c r="C148" s="119"/>
      <c r="D148" s="128">
        <f>D93</f>
        <v>95.6</v>
      </c>
      <c r="E148" s="128">
        <f t="shared" ref="E148:F148" si="54">E93</f>
        <v>98.1</v>
      </c>
      <c r="F148" s="128">
        <f t="shared" si="54"/>
        <v>111.7</v>
      </c>
      <c r="G148" s="120">
        <f>CHOOSE(CASE,G151,G154)</f>
        <v>104.88881344175103</v>
      </c>
      <c r="H148" s="120">
        <f>CHOOSE(CASE,H151,H154)</f>
        <v>85.655122709619519</v>
      </c>
      <c r="I148" s="120">
        <f>CHOOSE(CASE,I151,I154)</f>
        <v>76.771765549440147</v>
      </c>
      <c r="J148" s="120">
        <f>CHOOSE(CASE,J151,J154)</f>
        <v>77.831248513498238</v>
      </c>
      <c r="K148" s="121">
        <f>CHOOSE(CASE,K151,K154)</f>
        <v>82.476673817445246</v>
      </c>
    </row>
    <row r="149" spans="1:11" x14ac:dyDescent="0.3">
      <c r="B149" s="122" t="s">
        <v>74</v>
      </c>
      <c r="C149" s="123"/>
      <c r="D149" s="124">
        <f>D148/D$58</f>
        <v>3.8945696011732596E-2</v>
      </c>
      <c r="E149" s="124">
        <f t="shared" ref="E149:F149" si="55">E148/E$58</f>
        <v>3.8661622132891933E-2</v>
      </c>
      <c r="F149" s="124">
        <f t="shared" si="55"/>
        <v>4.4640716169770604E-2</v>
      </c>
      <c r="G149" s="124">
        <f>G148/G$58</f>
        <v>4.0749344771465044E-2</v>
      </c>
      <c r="H149" s="124">
        <f t="shared" ref="H149:K149" si="56">H148/H$58</f>
        <v>4.0749344771465044E-2</v>
      </c>
      <c r="I149" s="124">
        <f t="shared" si="56"/>
        <v>4.0749344771465044E-2</v>
      </c>
      <c r="J149" s="124">
        <f t="shared" si="56"/>
        <v>4.0749344771465044E-2</v>
      </c>
      <c r="K149" s="171">
        <f t="shared" si="56"/>
        <v>4.0749344771465044E-2</v>
      </c>
    </row>
    <row r="151" spans="1:11" x14ac:dyDescent="0.3">
      <c r="B151" t="s">
        <v>104</v>
      </c>
      <c r="D151" s="75"/>
      <c r="E151" s="75"/>
      <c r="F151" s="75"/>
      <c r="G151" s="129">
        <f>G152*G$58</f>
        <v>104.88881344175103</v>
      </c>
      <c r="H151" s="129">
        <f t="shared" ref="H151:K151" si="57">H152*H$58</f>
        <v>85.655122709619519</v>
      </c>
      <c r="I151" s="129">
        <f t="shared" si="57"/>
        <v>76.771765549440147</v>
      </c>
      <c r="J151" s="129">
        <f t="shared" si="57"/>
        <v>77.831248513498238</v>
      </c>
      <c r="K151" s="129">
        <f t="shared" si="57"/>
        <v>82.476673817445246</v>
      </c>
    </row>
    <row r="152" spans="1:11" x14ac:dyDescent="0.3">
      <c r="B152" s="63" t="s">
        <v>74</v>
      </c>
      <c r="D152" s="130"/>
      <c r="E152" s="130"/>
      <c r="F152" s="130"/>
      <c r="G152" s="131">
        <f>AVERAGE(D149:F149)</f>
        <v>4.0749344771465044E-2</v>
      </c>
      <c r="H152" s="131">
        <f>G152</f>
        <v>4.0749344771465044E-2</v>
      </c>
      <c r="I152" s="131">
        <f t="shared" ref="I152:K152" si="58">H152</f>
        <v>4.0749344771465044E-2</v>
      </c>
      <c r="J152" s="131">
        <f t="shared" si="58"/>
        <v>4.0749344771465044E-2</v>
      </c>
      <c r="K152" s="131">
        <f t="shared" si="58"/>
        <v>4.0749344771465044E-2</v>
      </c>
    </row>
    <row r="154" spans="1:11" x14ac:dyDescent="0.3">
      <c r="B154" t="s">
        <v>105</v>
      </c>
      <c r="G154" s="129">
        <f>G104-G76</f>
        <v>113</v>
      </c>
      <c r="H154" s="129">
        <f t="shared" ref="H154:K154" si="59">H104-H76</f>
        <v>92</v>
      </c>
      <c r="I154" s="129">
        <f t="shared" si="59"/>
        <v>98</v>
      </c>
      <c r="J154" s="129">
        <f t="shared" si="59"/>
        <v>92</v>
      </c>
      <c r="K154" s="129">
        <f t="shared" si="59"/>
        <v>96</v>
      </c>
    </row>
    <row r="155" spans="1:11" x14ac:dyDescent="0.3">
      <c r="B155" s="63" t="s">
        <v>74</v>
      </c>
      <c r="D155" s="130"/>
      <c r="E155" s="130"/>
      <c r="F155" s="130"/>
      <c r="G155" s="130">
        <f>G154/G$58</f>
        <v>4.3900543900543904E-2</v>
      </c>
      <c r="H155" s="130">
        <f t="shared" ref="H155:K155" si="60">H154/H$58</f>
        <v>4.3767840152235969E-2</v>
      </c>
      <c r="I155" s="130">
        <f t="shared" si="60"/>
        <v>5.2016985138004249E-2</v>
      </c>
      <c r="J155" s="130">
        <f t="shared" si="60"/>
        <v>4.8167539267015703E-2</v>
      </c>
      <c r="K155" s="130">
        <f t="shared" si="60"/>
        <v>4.7430830039525688E-2</v>
      </c>
    </row>
    <row r="157" spans="1:11" x14ac:dyDescent="0.3">
      <c r="B157" s="118" t="s">
        <v>106</v>
      </c>
      <c r="C157" s="119"/>
      <c r="D157" s="128">
        <v>178.2</v>
      </c>
      <c r="E157" s="128">
        <v>204</v>
      </c>
      <c r="F157" s="128">
        <v>150.30000000000001</v>
      </c>
      <c r="G157" s="120">
        <f>G158*G$58</f>
        <v>182.80533167533957</v>
      </c>
      <c r="H157" s="120">
        <f t="shared" ref="H157:K157" si="61">H158*H$58</f>
        <v>149.2839188739564</v>
      </c>
      <c r="I157" s="120">
        <f t="shared" si="61"/>
        <v>133.80157143602943</v>
      </c>
      <c r="J157" s="120">
        <f t="shared" si="61"/>
        <v>135.64808993780053</v>
      </c>
      <c r="K157" s="121">
        <f t="shared" si="61"/>
        <v>143.74436336864309</v>
      </c>
    </row>
    <row r="158" spans="1:11" x14ac:dyDescent="0.3">
      <c r="B158" s="122" t="s">
        <v>74</v>
      </c>
      <c r="C158" s="123"/>
      <c r="D158" s="124">
        <f>D157/D$58</f>
        <v>7.2595429176681464E-2</v>
      </c>
      <c r="E158" s="124">
        <f t="shared" ref="E158:F158" si="62">E157/E$58</f>
        <v>8.0397257034759986E-2</v>
      </c>
      <c r="F158" s="124">
        <f t="shared" si="62"/>
        <v>6.0067140915993932E-2</v>
      </c>
      <c r="G158" s="132">
        <f>AVERAGE(D158:F158)</f>
        <v>7.1019942375811801E-2</v>
      </c>
      <c r="H158" s="126">
        <f>G158</f>
        <v>7.1019942375811801E-2</v>
      </c>
      <c r="I158" s="126">
        <f t="shared" ref="I158:K158" si="63">H158</f>
        <v>7.1019942375811801E-2</v>
      </c>
      <c r="J158" s="126">
        <f t="shared" si="63"/>
        <v>7.1019942375811801E-2</v>
      </c>
      <c r="K158" s="127">
        <f t="shared" si="63"/>
        <v>7.1019942375811801E-2</v>
      </c>
    </row>
    <row r="160" spans="1:11" x14ac:dyDescent="0.3">
      <c r="A160" t="s">
        <v>25</v>
      </c>
      <c r="B160" s="60" t="s">
        <v>107</v>
      </c>
      <c r="C160" s="60"/>
      <c r="D160" s="61">
        <v>2008</v>
      </c>
      <c r="E160" s="61">
        <f>D160+1</f>
        <v>2009</v>
      </c>
      <c r="F160" s="61">
        <f t="shared" ref="F160:K160" si="64">E160+1</f>
        <v>2010</v>
      </c>
      <c r="G160" s="62">
        <f t="shared" si="64"/>
        <v>2011</v>
      </c>
      <c r="H160" s="62">
        <f t="shared" si="64"/>
        <v>2012</v>
      </c>
      <c r="I160" s="62">
        <f t="shared" si="64"/>
        <v>2013</v>
      </c>
      <c r="J160" s="62">
        <f t="shared" si="64"/>
        <v>2014</v>
      </c>
      <c r="K160" s="62">
        <f t="shared" si="64"/>
        <v>2015</v>
      </c>
    </row>
    <row r="162" spans="1:11" x14ac:dyDescent="0.3">
      <c r="B162" t="s">
        <v>85</v>
      </c>
      <c r="G162" s="133">
        <f>G88</f>
        <v>226.72149070042389</v>
      </c>
      <c r="H162" s="133">
        <f t="shared" ref="H162:K162" si="65">H88</f>
        <v>241.93005154819815</v>
      </c>
      <c r="I162" s="133">
        <f t="shared" si="65"/>
        <v>268.47745458386794</v>
      </c>
      <c r="J162" s="133">
        <f t="shared" si="65"/>
        <v>325.28778639676676</v>
      </c>
      <c r="K162" s="133">
        <f t="shared" si="65"/>
        <v>401.77720933742603</v>
      </c>
    </row>
    <row r="163" spans="1:11" x14ac:dyDescent="0.3">
      <c r="B163" t="s">
        <v>87</v>
      </c>
      <c r="G163" s="133">
        <f>G148</f>
        <v>104.88881344175103</v>
      </c>
      <c r="H163" s="133">
        <f t="shared" ref="H163:K163" si="66">H148</f>
        <v>85.655122709619519</v>
      </c>
      <c r="I163" s="133">
        <f t="shared" si="66"/>
        <v>76.771765549440147</v>
      </c>
      <c r="J163" s="133">
        <f t="shared" si="66"/>
        <v>77.831248513498238</v>
      </c>
      <c r="K163" s="133">
        <f t="shared" si="66"/>
        <v>82.476673817445246</v>
      </c>
    </row>
    <row r="164" spans="1:11" x14ac:dyDescent="0.3">
      <c r="B164" t="s">
        <v>106</v>
      </c>
      <c r="G164" s="133">
        <f>G157</f>
        <v>182.80533167533957</v>
      </c>
      <c r="H164" s="133">
        <f t="shared" ref="H164:K164" si="67">H157</f>
        <v>149.2839188739564</v>
      </c>
      <c r="I164" s="133">
        <f t="shared" si="67"/>
        <v>133.80157143602943</v>
      </c>
      <c r="J164" s="133">
        <f t="shared" si="67"/>
        <v>135.64808993780053</v>
      </c>
      <c r="K164" s="133">
        <f t="shared" si="67"/>
        <v>143.74436336864309</v>
      </c>
    </row>
    <row r="165" spans="1:11" x14ac:dyDescent="0.3">
      <c r="B165" t="s">
        <v>108</v>
      </c>
      <c r="G165" s="133">
        <f>G145</f>
        <v>27.112704111135937</v>
      </c>
      <c r="H165" s="133">
        <f t="shared" ref="H165:K165" si="68">H145</f>
        <v>22.140988361152967</v>
      </c>
      <c r="I165" s="133">
        <f t="shared" si="68"/>
        <v>19.844729815609988</v>
      </c>
      <c r="J165" s="133">
        <f t="shared" si="68"/>
        <v>20.118595513702267</v>
      </c>
      <c r="K165" s="133">
        <f t="shared" si="68"/>
        <v>21.319391266876121</v>
      </c>
    </row>
    <row r="166" spans="1:11" x14ac:dyDescent="0.3">
      <c r="B166" s="1" t="s">
        <v>109</v>
      </c>
      <c r="C166" s="1"/>
      <c r="D166" s="1"/>
      <c r="E166" s="1"/>
      <c r="F166" s="1"/>
      <c r="G166" s="134">
        <v>0</v>
      </c>
      <c r="H166" s="134">
        <v>0</v>
      </c>
      <c r="I166" s="134">
        <v>0</v>
      </c>
      <c r="J166" s="134">
        <v>0</v>
      </c>
      <c r="K166" s="134">
        <v>0</v>
      </c>
    </row>
    <row r="167" spans="1:11" x14ac:dyDescent="0.3">
      <c r="B167" s="135" t="s">
        <v>107</v>
      </c>
      <c r="C167" s="135"/>
      <c r="D167" s="135"/>
      <c r="E167" s="135"/>
      <c r="F167" s="135"/>
      <c r="G167" s="136">
        <f>G162+G163-G164-G165-G166</f>
        <v>121.69226835569941</v>
      </c>
      <c r="H167" s="136">
        <f t="shared" ref="H167:K167" si="69">H162+H163-H164-H165-H166</f>
        <v>156.16026702270833</v>
      </c>
      <c r="I167" s="136">
        <f t="shared" si="69"/>
        <v>191.60291888166867</v>
      </c>
      <c r="J167" s="136">
        <f t="shared" si="69"/>
        <v>247.35234945876218</v>
      </c>
      <c r="K167" s="136">
        <f t="shared" si="69"/>
        <v>319.19012851935213</v>
      </c>
    </row>
    <row r="169" spans="1:11" x14ac:dyDescent="0.3">
      <c r="A169" t="s">
        <v>25</v>
      </c>
      <c r="B169" s="137" t="s">
        <v>110</v>
      </c>
      <c r="C169" s="137"/>
      <c r="D169" s="137"/>
      <c r="E169" s="137"/>
      <c r="F169" s="137"/>
      <c r="G169" s="137"/>
      <c r="H169" s="137"/>
      <c r="I169" s="137"/>
      <c r="J169" s="137"/>
      <c r="K169" s="137"/>
    </row>
    <row r="171" spans="1:11" x14ac:dyDescent="0.3">
      <c r="B171" s="60" t="s">
        <v>111</v>
      </c>
      <c r="C171" s="60"/>
      <c r="D171" s="61">
        <v>2008</v>
      </c>
      <c r="E171" s="61">
        <f>D171+1</f>
        <v>2009</v>
      </c>
      <c r="F171" s="61">
        <f t="shared" ref="F171" si="70">E171+1</f>
        <v>2010</v>
      </c>
      <c r="G171" s="62">
        <f t="shared" ref="G171" si="71">F171+1</f>
        <v>2011</v>
      </c>
      <c r="H171" s="62">
        <f t="shared" ref="H171" si="72">G171+1</f>
        <v>2012</v>
      </c>
      <c r="I171" s="62">
        <f t="shared" ref="I171" si="73">H171+1</f>
        <v>2013</v>
      </c>
      <c r="J171" s="62">
        <f t="shared" ref="J171" si="74">I171+1</f>
        <v>2014</v>
      </c>
      <c r="K171" s="62">
        <f t="shared" ref="K171" si="75">J171+1</f>
        <v>2015</v>
      </c>
    </row>
    <row r="172" spans="1:11" x14ac:dyDescent="0.3">
      <c r="B172" s="64" t="s">
        <v>18</v>
      </c>
    </row>
    <row r="173" spans="1:11" x14ac:dyDescent="0.3">
      <c r="B173" s="5" t="s">
        <v>112</v>
      </c>
      <c r="G173" s="138">
        <f>H23</f>
        <v>118.19999999999999</v>
      </c>
      <c r="H173" s="133">
        <f>G173</f>
        <v>118.19999999999999</v>
      </c>
      <c r="I173" s="133">
        <f t="shared" ref="I173:K173" si="76">H173</f>
        <v>118.19999999999999</v>
      </c>
      <c r="J173" s="133">
        <f t="shared" si="76"/>
        <v>118.19999999999999</v>
      </c>
      <c r="K173" s="133">
        <f t="shared" si="76"/>
        <v>118.19999999999999</v>
      </c>
    </row>
    <row r="174" spans="1:11" x14ac:dyDescent="0.3">
      <c r="B174" s="5" t="s">
        <v>113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</row>
    <row r="175" spans="1:11" x14ac:dyDescent="0.3">
      <c r="B175" s="139" t="s">
        <v>114</v>
      </c>
      <c r="F175" s="140">
        <f>H22</f>
        <v>187.6</v>
      </c>
      <c r="G175" s="136">
        <f>G173+G174</f>
        <v>118.19999999999999</v>
      </c>
      <c r="H175" s="136">
        <f t="shared" ref="H175:K175" si="77">H173+H174</f>
        <v>118.19999999999999</v>
      </c>
      <c r="I175" s="136">
        <f t="shared" si="77"/>
        <v>118.19999999999999</v>
      </c>
      <c r="J175" s="136">
        <f t="shared" si="77"/>
        <v>118.19999999999999</v>
      </c>
      <c r="K175" s="136">
        <f t="shared" si="77"/>
        <v>118.19999999999999</v>
      </c>
    </row>
    <row r="176" spans="1:11" x14ac:dyDescent="0.3">
      <c r="B176" s="139"/>
      <c r="F176" s="140"/>
      <c r="G176" s="136"/>
      <c r="H176" s="136"/>
      <c r="I176" s="136"/>
      <c r="J176" s="136"/>
      <c r="K176" s="136"/>
    </row>
    <row r="177" spans="1:11" x14ac:dyDescent="0.3">
      <c r="A177" s="187" t="s">
        <v>136</v>
      </c>
      <c r="B177" s="64" t="str">
        <f>B28</f>
        <v>Revolver</v>
      </c>
      <c r="F177" s="140"/>
      <c r="G177" s="136"/>
      <c r="H177" s="136"/>
      <c r="I177" s="136"/>
      <c r="J177" s="136"/>
      <c r="K177" s="136"/>
    </row>
    <row r="178" spans="1:11" x14ac:dyDescent="0.3">
      <c r="A178" s="187" t="s">
        <v>136</v>
      </c>
      <c r="B178" s="5" t="s">
        <v>149</v>
      </c>
      <c r="F178" s="140"/>
      <c r="G178" s="136"/>
      <c r="H178" s="136"/>
      <c r="I178" s="136"/>
      <c r="J178" s="136"/>
      <c r="K178" s="136"/>
    </row>
    <row r="179" spans="1:11" x14ac:dyDescent="0.3">
      <c r="A179" s="187" t="s">
        <v>136</v>
      </c>
      <c r="B179" s="5" t="s">
        <v>23</v>
      </c>
      <c r="F179" s="140"/>
      <c r="G179" s="136"/>
      <c r="H179" s="136"/>
      <c r="I179" s="136"/>
      <c r="J179" s="136"/>
      <c r="K179" s="136"/>
    </row>
    <row r="180" spans="1:11" x14ac:dyDescent="0.3">
      <c r="A180" s="187" t="s">
        <v>136</v>
      </c>
      <c r="B180" s="5" t="s">
        <v>150</v>
      </c>
      <c r="F180" s="140"/>
      <c r="G180" s="136"/>
      <c r="H180" s="136"/>
      <c r="I180" s="136"/>
      <c r="J180" s="136"/>
      <c r="K180" s="136"/>
    </row>
    <row r="181" spans="1:11" x14ac:dyDescent="0.3">
      <c r="A181" s="187" t="s">
        <v>136</v>
      </c>
      <c r="B181" s="5" t="s">
        <v>151</v>
      </c>
      <c r="F181" s="140"/>
      <c r="G181" s="136"/>
      <c r="H181" s="136"/>
      <c r="I181" s="136"/>
      <c r="J181" s="136"/>
      <c r="K181" s="136"/>
    </row>
    <row r="182" spans="1:11" x14ac:dyDescent="0.3">
      <c r="A182" s="187" t="s">
        <v>136</v>
      </c>
      <c r="B182" s="139" t="s">
        <v>152</v>
      </c>
      <c r="F182" s="140"/>
      <c r="G182" s="136"/>
      <c r="H182" s="136"/>
      <c r="I182" s="136"/>
      <c r="J182" s="136"/>
      <c r="K182" s="136"/>
    </row>
    <row r="183" spans="1:11" x14ac:dyDescent="0.3">
      <c r="A183" s="187" t="s">
        <v>136</v>
      </c>
      <c r="B183" s="64"/>
      <c r="F183" s="140"/>
      <c r="G183" s="136"/>
      <c r="H183" s="136"/>
      <c r="I183" s="136"/>
      <c r="J183" s="136"/>
      <c r="K183" s="136"/>
    </row>
    <row r="184" spans="1:11" x14ac:dyDescent="0.3">
      <c r="A184" s="187" t="s">
        <v>136</v>
      </c>
      <c r="B184" s="5" t="s">
        <v>112</v>
      </c>
      <c r="F184" s="140"/>
      <c r="G184" s="136"/>
      <c r="H184" s="136"/>
      <c r="I184" s="136"/>
      <c r="J184" s="136"/>
      <c r="K184" s="136"/>
    </row>
    <row r="185" spans="1:11" x14ac:dyDescent="0.3">
      <c r="A185" s="187" t="s">
        <v>136</v>
      </c>
      <c r="B185" s="5" t="s">
        <v>153</v>
      </c>
      <c r="F185" s="140"/>
      <c r="G185" s="136"/>
      <c r="H185" s="136"/>
      <c r="I185" s="136"/>
      <c r="J185" s="136"/>
      <c r="K185" s="136"/>
    </row>
    <row r="186" spans="1:11" x14ac:dyDescent="0.3">
      <c r="A186" s="187" t="s">
        <v>136</v>
      </c>
      <c r="B186" s="139" t="s">
        <v>114</v>
      </c>
      <c r="F186" s="140"/>
      <c r="G186" s="136"/>
      <c r="H186" s="136"/>
      <c r="I186" s="136"/>
      <c r="J186" s="136"/>
      <c r="K186" s="136"/>
    </row>
    <row r="187" spans="1:11" x14ac:dyDescent="0.3">
      <c r="A187" s="187" t="s">
        <v>136</v>
      </c>
      <c r="B187" s="5" t="s">
        <v>154</v>
      </c>
      <c r="F187" s="140"/>
      <c r="G187" s="136"/>
      <c r="H187" s="136"/>
      <c r="I187" s="136"/>
      <c r="J187" s="136"/>
      <c r="K187" s="136"/>
    </row>
    <row r="188" spans="1:11" x14ac:dyDescent="0.3">
      <c r="A188" s="187" t="s">
        <v>136</v>
      </c>
      <c r="B188" s="201" t="s">
        <v>117</v>
      </c>
      <c r="F188" s="140"/>
      <c r="G188" s="136"/>
      <c r="H188" s="136"/>
      <c r="I188" s="136"/>
      <c r="J188" s="136"/>
      <c r="K188" s="136"/>
    </row>
    <row r="189" spans="1:11" x14ac:dyDescent="0.3">
      <c r="A189" s="187" t="s">
        <v>136</v>
      </c>
    </row>
    <row r="190" spans="1:11" x14ac:dyDescent="0.3">
      <c r="A190" s="187" t="s">
        <v>136</v>
      </c>
      <c r="B190" s="64" t="str">
        <f>B39</f>
        <v>Secured term loan - USD tranche</v>
      </c>
    </row>
    <row r="191" spans="1:11" x14ac:dyDescent="0.3">
      <c r="A191" s="187" t="s">
        <v>136</v>
      </c>
      <c r="B191" s="5" t="s">
        <v>112</v>
      </c>
      <c r="G191" s="133">
        <f>F194</f>
        <v>1510</v>
      </c>
      <c r="H191" s="133">
        <f>G194</f>
        <v>1388.3077316443005</v>
      </c>
      <c r="I191" s="133">
        <f>H194</f>
        <v>1232.1474646215922</v>
      </c>
      <c r="J191" s="133">
        <f>I194</f>
        <v>1040.5445457399235</v>
      </c>
      <c r="K191" s="133">
        <f>J194</f>
        <v>793.19219628116127</v>
      </c>
    </row>
    <row r="192" spans="1:11" x14ac:dyDescent="0.3">
      <c r="A192" s="187" t="s">
        <v>136</v>
      </c>
      <c r="B192" s="5" t="s">
        <v>156</v>
      </c>
      <c r="G192" s="133"/>
      <c r="H192" s="133"/>
      <c r="I192" s="133"/>
      <c r="J192" s="133"/>
      <c r="K192" s="133"/>
    </row>
    <row r="193" spans="1:11" x14ac:dyDescent="0.3">
      <c r="A193" s="187" t="s">
        <v>136</v>
      </c>
      <c r="B193" s="5" t="s">
        <v>155</v>
      </c>
      <c r="G193" s="129">
        <f>IF(G167&lt;0,0,MIN(G167,G191))</f>
        <v>121.69226835569941</v>
      </c>
      <c r="H193" s="129">
        <f>IF(H167&lt;0,0,MIN(H167,H191))</f>
        <v>156.16026702270833</v>
      </c>
      <c r="I193" s="129">
        <f>IF(I167&lt;0,0,MIN(I167,I191))</f>
        <v>191.60291888166867</v>
      </c>
      <c r="J193" s="129">
        <f>IF(J167&lt;0,0,MIN(J167,J191))</f>
        <v>247.35234945876218</v>
      </c>
      <c r="K193" s="129">
        <f>IF(K167&lt;0,0,MIN(K167,K191))</f>
        <v>319.19012851935213</v>
      </c>
    </row>
    <row r="194" spans="1:11" x14ac:dyDescent="0.3">
      <c r="A194" s="187" t="s">
        <v>136</v>
      </c>
      <c r="B194" s="139" t="s">
        <v>114</v>
      </c>
      <c r="F194" s="140">
        <f>I30</f>
        <v>1510</v>
      </c>
      <c r="G194" s="136">
        <f>G191-G193</f>
        <v>1388.3077316443005</v>
      </c>
      <c r="H194" s="136">
        <f>H191-H193</f>
        <v>1232.1474646215922</v>
      </c>
      <c r="I194" s="136">
        <f>I191-I193</f>
        <v>1040.5445457399235</v>
      </c>
      <c r="J194" s="136">
        <f>J191-J193</f>
        <v>793.19219628116127</v>
      </c>
      <c r="K194" s="136">
        <f>K191-K193</f>
        <v>474.00206776180914</v>
      </c>
    </row>
    <row r="195" spans="1:11" x14ac:dyDescent="0.3">
      <c r="A195" s="187" t="s">
        <v>136</v>
      </c>
      <c r="B195" s="139"/>
      <c r="F195" s="140"/>
      <c r="G195" s="136"/>
      <c r="H195" s="136"/>
      <c r="I195" s="136"/>
      <c r="J195" s="136"/>
      <c r="K195" s="136"/>
    </row>
    <row r="196" spans="1:11" x14ac:dyDescent="0.3">
      <c r="A196" s="187" t="s">
        <v>136</v>
      </c>
      <c r="B196" s="63" t="s">
        <v>157</v>
      </c>
      <c r="F196" s="140"/>
      <c r="G196" s="211"/>
      <c r="H196" s="211"/>
      <c r="I196" s="211"/>
      <c r="J196" s="211"/>
      <c r="K196" s="211"/>
    </row>
    <row r="197" spans="1:11" x14ac:dyDescent="0.3">
      <c r="A197" s="187" t="s">
        <v>136</v>
      </c>
      <c r="B197" s="63" t="s">
        <v>158</v>
      </c>
      <c r="F197" s="211"/>
      <c r="G197" s="136"/>
      <c r="H197" s="136"/>
      <c r="I197" s="136"/>
      <c r="J197" s="136"/>
      <c r="K197" s="136"/>
    </row>
    <row r="198" spans="1:11" x14ac:dyDescent="0.3">
      <c r="A198" s="187" t="s">
        <v>136</v>
      </c>
      <c r="B198" s="135"/>
    </row>
    <row r="199" spans="1:11" x14ac:dyDescent="0.3">
      <c r="A199" s="187" t="s">
        <v>136</v>
      </c>
      <c r="B199" s="64" t="str">
        <f>B40</f>
        <v>Secured term loan -EUR tranche</v>
      </c>
    </row>
    <row r="200" spans="1:11" x14ac:dyDescent="0.3">
      <c r="A200" s="187" t="s">
        <v>136</v>
      </c>
      <c r="B200" s="5" t="s">
        <v>112</v>
      </c>
      <c r="G200" s="133">
        <f>F203</f>
        <v>334.2</v>
      </c>
      <c r="H200" s="133">
        <f>G200</f>
        <v>334.2</v>
      </c>
      <c r="I200" s="133">
        <f t="shared" ref="I200:K200" si="78">H200</f>
        <v>334.2</v>
      </c>
      <c r="J200" s="133">
        <f t="shared" si="78"/>
        <v>334.2</v>
      </c>
      <c r="K200" s="133">
        <f t="shared" si="78"/>
        <v>334.2</v>
      </c>
    </row>
    <row r="201" spans="1:11" x14ac:dyDescent="0.3">
      <c r="A201" s="187" t="s">
        <v>136</v>
      </c>
      <c r="B201" s="5" t="s">
        <v>155</v>
      </c>
      <c r="G201" s="129">
        <f>IF(G167&lt;0,0,MIN(G200,G167-G193))</f>
        <v>0</v>
      </c>
      <c r="H201" s="129">
        <f>IF(H167&lt;0,0,MIN(H200,H167-H193))</f>
        <v>0</v>
      </c>
      <c r="I201" s="129">
        <f>IF(I167&lt;0,0,MIN(I200,I167-I193))</f>
        <v>0</v>
      </c>
      <c r="J201" s="129">
        <f>IF(J167&lt;0,0,MIN(J200,J167-J193))</f>
        <v>0</v>
      </c>
      <c r="K201" s="129">
        <f>IF(K167&lt;0,0,MIN(K200,K167-K193))</f>
        <v>0</v>
      </c>
    </row>
    <row r="202" spans="1:11" x14ac:dyDescent="0.3">
      <c r="A202" s="187" t="s">
        <v>136</v>
      </c>
      <c r="B202" s="5" t="s">
        <v>156</v>
      </c>
      <c r="G202" s="129"/>
      <c r="H202" s="129"/>
      <c r="I202" s="129"/>
      <c r="J202" s="129"/>
      <c r="K202" s="129"/>
    </row>
    <row r="203" spans="1:11" x14ac:dyDescent="0.3">
      <c r="A203" s="187" t="s">
        <v>136</v>
      </c>
      <c r="B203" s="139" t="s">
        <v>114</v>
      </c>
      <c r="F203" s="140">
        <f>I31</f>
        <v>334.2</v>
      </c>
      <c r="G203" s="136">
        <f>G200-G201</f>
        <v>334.2</v>
      </c>
      <c r="H203" s="136">
        <f>H200-H201</f>
        <v>334.2</v>
      </c>
      <c r="I203" s="136">
        <f>I200-I201</f>
        <v>334.2</v>
      </c>
      <c r="J203" s="136">
        <f>J200-J201</f>
        <v>334.2</v>
      </c>
      <c r="K203" s="136">
        <f>K200-K201</f>
        <v>334.2</v>
      </c>
    </row>
    <row r="204" spans="1:11" x14ac:dyDescent="0.3">
      <c r="A204" s="187" t="s">
        <v>136</v>
      </c>
      <c r="B204" s="139"/>
      <c r="F204" s="140"/>
      <c r="G204" s="136"/>
      <c r="H204" s="136"/>
      <c r="I204" s="136"/>
      <c r="J204" s="136"/>
      <c r="K204" s="136"/>
    </row>
    <row r="205" spans="1:11" x14ac:dyDescent="0.3">
      <c r="A205" s="187" t="s">
        <v>136</v>
      </c>
      <c r="B205" s="202" t="str">
        <f>B196</f>
        <v>Mandatory Paydown (% of Initial Amount)</v>
      </c>
      <c r="F205" s="140"/>
      <c r="G205" s="211"/>
      <c r="H205" s="211"/>
      <c r="I205" s="211"/>
      <c r="J205" s="211"/>
      <c r="K205" s="211"/>
    </row>
    <row r="206" spans="1:11" x14ac:dyDescent="0.3">
      <c r="A206" s="187" t="s">
        <v>136</v>
      </c>
      <c r="B206" s="202" t="str">
        <f>B197</f>
        <v>Cash Sweep</v>
      </c>
      <c r="F206" s="211"/>
      <c r="G206" s="136"/>
      <c r="H206" s="136"/>
      <c r="I206" s="136"/>
      <c r="J206" s="136"/>
      <c r="K206" s="136"/>
    </row>
    <row r="207" spans="1:11" x14ac:dyDescent="0.3">
      <c r="A207" s="187" t="s">
        <v>136</v>
      </c>
    </row>
    <row r="208" spans="1:11" x14ac:dyDescent="0.3">
      <c r="A208" s="187" t="s">
        <v>136</v>
      </c>
      <c r="B208" s="64" t="str">
        <f>B41</f>
        <v>Senior notes</v>
      </c>
    </row>
    <row r="209" spans="1:11" x14ac:dyDescent="0.3">
      <c r="A209" s="187" t="s">
        <v>136</v>
      </c>
      <c r="B209" s="5" t="s">
        <v>112</v>
      </c>
      <c r="G209" s="133">
        <f>F212</f>
        <v>800</v>
      </c>
      <c r="H209" s="133">
        <f>G209</f>
        <v>800</v>
      </c>
      <c r="I209" s="133">
        <f t="shared" ref="I209:K209" si="79">H209</f>
        <v>800</v>
      </c>
      <c r="J209" s="133">
        <f t="shared" si="79"/>
        <v>800</v>
      </c>
      <c r="K209" s="133">
        <f t="shared" si="79"/>
        <v>800</v>
      </c>
    </row>
    <row r="210" spans="1:11" x14ac:dyDescent="0.3">
      <c r="A210" s="187" t="s">
        <v>136</v>
      </c>
      <c r="B210" s="5" t="s">
        <v>155</v>
      </c>
      <c r="G210" s="129">
        <f>IF(G167&lt;0,0,MIN(G209,G167-G193-G201))</f>
        <v>0</v>
      </c>
      <c r="H210" s="129">
        <f>IF(H167&lt;0,0,MIN(H209,H167-H193-H201))</f>
        <v>0</v>
      </c>
      <c r="I210" s="129">
        <f>IF(I167&lt;0,0,MIN(I209,I167-I193-I201))</f>
        <v>0</v>
      </c>
      <c r="J210" s="129">
        <f>IF(J167&lt;0,0,MIN(J209,J167-J193-J201))</f>
        <v>0</v>
      </c>
      <c r="K210" s="129">
        <f>IF(K167&lt;0,0,MIN(K209,K167-K193-K201))</f>
        <v>0</v>
      </c>
    </row>
    <row r="211" spans="1:11" x14ac:dyDescent="0.3">
      <c r="A211" s="187" t="s">
        <v>136</v>
      </c>
      <c r="B211" s="5" t="s">
        <v>156</v>
      </c>
      <c r="G211" s="129"/>
      <c r="H211" s="129"/>
      <c r="I211" s="129"/>
      <c r="J211" s="129"/>
      <c r="K211" s="129"/>
    </row>
    <row r="212" spans="1:11" x14ac:dyDescent="0.3">
      <c r="A212" s="187" t="s">
        <v>136</v>
      </c>
      <c r="B212" s="139" t="s">
        <v>114</v>
      </c>
      <c r="F212" s="140">
        <f>I32</f>
        <v>800</v>
      </c>
      <c r="G212" s="136">
        <f>G209-G210</f>
        <v>800</v>
      </c>
      <c r="H212" s="136">
        <f>H209-H210</f>
        <v>800</v>
      </c>
      <c r="I212" s="136">
        <f>I209-I210</f>
        <v>800</v>
      </c>
      <c r="J212" s="136">
        <f>J209-J210</f>
        <v>800</v>
      </c>
      <c r="K212" s="136">
        <f>K209-K210</f>
        <v>800</v>
      </c>
    </row>
    <row r="213" spans="1:11" x14ac:dyDescent="0.3">
      <c r="A213" s="187" t="s">
        <v>136</v>
      </c>
      <c r="B213" s="139"/>
      <c r="F213" s="140"/>
      <c r="G213" s="136"/>
      <c r="H213" s="136"/>
      <c r="I213" s="136"/>
      <c r="J213" s="136"/>
      <c r="K213" s="136"/>
    </row>
    <row r="214" spans="1:11" x14ac:dyDescent="0.3">
      <c r="A214" s="187" t="s">
        <v>136</v>
      </c>
      <c r="B214" s="202" t="str">
        <f>B205</f>
        <v>Mandatory Paydown (% of Initial Amount)</v>
      </c>
      <c r="F214" s="140"/>
      <c r="G214" s="211"/>
      <c r="H214" s="211"/>
      <c r="I214" s="211"/>
      <c r="J214" s="211"/>
      <c r="K214" s="211"/>
    </row>
    <row r="215" spans="1:11" x14ac:dyDescent="0.3">
      <c r="A215" s="187" t="s">
        <v>136</v>
      </c>
      <c r="B215" s="202" t="str">
        <f>B206</f>
        <v>Cash Sweep</v>
      </c>
      <c r="F215" s="211"/>
      <c r="G215" s="136"/>
      <c r="H215" s="136"/>
      <c r="I215" s="136"/>
      <c r="J215" s="136"/>
      <c r="K215" s="136"/>
    </row>
    <row r="216" spans="1:11" x14ac:dyDescent="0.3">
      <c r="A216" s="187"/>
      <c r="B216" s="202"/>
      <c r="F216" s="140"/>
      <c r="G216" s="136"/>
      <c r="H216" s="136"/>
      <c r="I216" s="136"/>
      <c r="J216" s="136"/>
      <c r="K216" s="136"/>
    </row>
    <row r="217" spans="1:11" x14ac:dyDescent="0.3">
      <c r="A217" s="187" t="s">
        <v>136</v>
      </c>
      <c r="B217" s="64" t="str">
        <f>B29</f>
        <v>Subordinated Notes</v>
      </c>
      <c r="F217" s="140"/>
      <c r="G217" s="136"/>
      <c r="H217" s="136"/>
      <c r="I217" s="136"/>
      <c r="J217" s="136"/>
      <c r="K217" s="136"/>
    </row>
    <row r="218" spans="1:11" x14ac:dyDescent="0.3">
      <c r="A218" s="187" t="s">
        <v>136</v>
      </c>
      <c r="B218" s="5" t="s">
        <v>112</v>
      </c>
      <c r="F218" s="140"/>
      <c r="G218" s="136"/>
      <c r="H218" s="136"/>
      <c r="I218" s="136"/>
      <c r="J218" s="136"/>
      <c r="K218" s="136"/>
    </row>
    <row r="219" spans="1:11" x14ac:dyDescent="0.3">
      <c r="A219" s="187" t="s">
        <v>136</v>
      </c>
      <c r="B219" s="5" t="s">
        <v>155</v>
      </c>
      <c r="F219" s="140"/>
      <c r="G219" s="136"/>
      <c r="H219" s="136"/>
      <c r="I219" s="136"/>
      <c r="J219" s="136"/>
      <c r="K219" s="136"/>
    </row>
    <row r="220" spans="1:11" x14ac:dyDescent="0.3">
      <c r="A220" s="187" t="s">
        <v>136</v>
      </c>
      <c r="B220" s="5" t="s">
        <v>140</v>
      </c>
      <c r="F220" s="140"/>
      <c r="G220" s="136"/>
      <c r="H220" s="136"/>
      <c r="I220" s="136"/>
      <c r="J220" s="136"/>
      <c r="K220" s="136"/>
    </row>
    <row r="221" spans="1:11" x14ac:dyDescent="0.3">
      <c r="A221" s="187" t="s">
        <v>136</v>
      </c>
      <c r="B221" s="139" t="s">
        <v>114</v>
      </c>
      <c r="F221" s="140"/>
      <c r="G221" s="136"/>
      <c r="H221" s="136"/>
      <c r="I221" s="136"/>
      <c r="J221" s="136"/>
      <c r="K221" s="136"/>
    </row>
    <row r="222" spans="1:11" x14ac:dyDescent="0.3">
      <c r="A222" s="187" t="s">
        <v>136</v>
      </c>
      <c r="B222" s="139"/>
      <c r="F222" s="140"/>
      <c r="G222" s="136"/>
      <c r="H222" s="136"/>
      <c r="I222" s="136"/>
      <c r="J222" s="136"/>
      <c r="K222" s="136"/>
    </row>
    <row r="223" spans="1:11" x14ac:dyDescent="0.3">
      <c r="A223" s="187" t="s">
        <v>136</v>
      </c>
      <c r="B223" s="63" t="s">
        <v>157</v>
      </c>
      <c r="F223" s="140"/>
      <c r="G223" s="211"/>
      <c r="H223" s="211"/>
      <c r="I223" s="211"/>
      <c r="J223" s="211"/>
      <c r="K223" s="211"/>
    </row>
    <row r="224" spans="1:11" x14ac:dyDescent="0.3">
      <c r="A224" s="187" t="s">
        <v>136</v>
      </c>
      <c r="F224" s="140"/>
      <c r="G224" s="136"/>
      <c r="H224" s="136"/>
      <c r="I224" s="136"/>
      <c r="J224" s="136"/>
      <c r="K224" s="136"/>
    </row>
    <row r="225" spans="1:11" x14ac:dyDescent="0.3">
      <c r="B225" s="141" t="s">
        <v>116</v>
      </c>
      <c r="C225" s="142"/>
      <c r="D225" s="142"/>
      <c r="E225" s="142"/>
      <c r="F225" s="142"/>
      <c r="G225" s="142"/>
      <c r="H225" s="142"/>
      <c r="I225" s="142"/>
      <c r="J225" s="142"/>
      <c r="K225" s="143"/>
    </row>
    <row r="226" spans="1:11" x14ac:dyDescent="0.3">
      <c r="B226" s="144" t="s">
        <v>112</v>
      </c>
      <c r="C226" s="145"/>
      <c r="D226" s="145"/>
      <c r="E226" s="145"/>
      <c r="F226" s="145"/>
      <c r="G226" s="146">
        <f>G191+G209+G200</f>
        <v>2644.2</v>
      </c>
      <c r="H226" s="146">
        <f>H191+H209+H200</f>
        <v>2522.5077316443003</v>
      </c>
      <c r="I226" s="146">
        <f>I191+I209+I200</f>
        <v>2366.3474646215923</v>
      </c>
      <c r="J226" s="146">
        <f>J191+J209+J200</f>
        <v>2174.7445457399235</v>
      </c>
      <c r="K226" s="147">
        <f>K191+K209+K200</f>
        <v>1927.3921962811612</v>
      </c>
    </row>
    <row r="227" spans="1:11" x14ac:dyDescent="0.3">
      <c r="B227" s="144" t="s">
        <v>115</v>
      </c>
      <c r="C227" s="145"/>
      <c r="D227" s="145"/>
      <c r="E227" s="145"/>
      <c r="F227" s="145"/>
      <c r="G227" s="146">
        <f>G193+G201+G210</f>
        <v>121.69226835569941</v>
      </c>
      <c r="H227" s="146">
        <f>H193+H201+H210</f>
        <v>156.16026702270833</v>
      </c>
      <c r="I227" s="146">
        <f>I193+I201+I210</f>
        <v>191.60291888166867</v>
      </c>
      <c r="J227" s="146">
        <f>J193+J201+J210</f>
        <v>247.35234945876218</v>
      </c>
      <c r="K227" s="147">
        <f>K193+K201+K210</f>
        <v>319.19012851935213</v>
      </c>
    </row>
    <row r="228" spans="1:11" x14ac:dyDescent="0.3">
      <c r="B228" s="148" t="s">
        <v>114</v>
      </c>
      <c r="C228" s="149"/>
      <c r="D228" s="149"/>
      <c r="E228" s="149"/>
      <c r="F228" s="150"/>
      <c r="G228" s="150">
        <f>G226-G227</f>
        <v>2522.5077316443003</v>
      </c>
      <c r="H228" s="150">
        <f t="shared" ref="H228:K228" si="80">H226-H227</f>
        <v>2366.3474646215918</v>
      </c>
      <c r="I228" s="150">
        <f t="shared" si="80"/>
        <v>2174.7445457399235</v>
      </c>
      <c r="J228" s="150">
        <f t="shared" si="80"/>
        <v>1927.3921962811614</v>
      </c>
      <c r="K228" s="151">
        <f t="shared" si="80"/>
        <v>1608.2020677618091</v>
      </c>
    </row>
    <row r="229" spans="1:11" x14ac:dyDescent="0.3">
      <c r="B229" s="152" t="s">
        <v>117</v>
      </c>
      <c r="C229" s="152"/>
      <c r="D229" s="152"/>
      <c r="E229" s="152"/>
      <c r="F229" s="152"/>
      <c r="G229" s="153" t="b">
        <f>G226-G227=G228</f>
        <v>1</v>
      </c>
      <c r="H229" s="153" t="b">
        <f t="shared" ref="H229:K229" si="81">H226-H227=H228</f>
        <v>1</v>
      </c>
      <c r="I229" s="153" t="b">
        <f t="shared" si="81"/>
        <v>1</v>
      </c>
      <c r="J229" s="153" t="b">
        <f t="shared" si="81"/>
        <v>1</v>
      </c>
      <c r="K229" s="153" t="b">
        <f t="shared" si="81"/>
        <v>1</v>
      </c>
    </row>
    <row r="231" spans="1:11" x14ac:dyDescent="0.3">
      <c r="A231" t="s">
        <v>25</v>
      </c>
      <c r="B231" s="60" t="s">
        <v>118</v>
      </c>
      <c r="C231" s="60"/>
      <c r="D231" s="61">
        <v>2008</v>
      </c>
      <c r="E231" s="61">
        <f>D231+1</f>
        <v>2009</v>
      </c>
      <c r="F231" s="61">
        <f t="shared" ref="F231:K231" si="82">E231+1</f>
        <v>2010</v>
      </c>
      <c r="G231" s="62">
        <f t="shared" si="82"/>
        <v>2011</v>
      </c>
      <c r="H231" s="62">
        <f t="shared" si="82"/>
        <v>2012</v>
      </c>
      <c r="I231" s="62">
        <f t="shared" si="82"/>
        <v>2013</v>
      </c>
      <c r="J231" s="62">
        <f t="shared" si="82"/>
        <v>2014</v>
      </c>
      <c r="K231" s="62">
        <f t="shared" si="82"/>
        <v>2015</v>
      </c>
    </row>
    <row r="232" spans="1:11" x14ac:dyDescent="0.3">
      <c r="B232" t="s">
        <v>18</v>
      </c>
      <c r="F232" s="133">
        <f>F80</f>
        <v>1</v>
      </c>
      <c r="G232" s="154">
        <f>IF(CIRC="OFF",AVERAGE(G173,G175)*G233,0)</f>
        <v>0</v>
      </c>
      <c r="H232" s="154">
        <f>IF(CIRC="OFF",AVERAGE(H173,H175)*H233,0)</f>
        <v>0</v>
      </c>
      <c r="I232" s="154">
        <f>IF(CIRC="OFF",AVERAGE(I173,I175)*I233,0)</f>
        <v>0</v>
      </c>
      <c r="J232" s="154">
        <f>IF(CIRC="OFF",AVERAGE(J173,J175)*J233,0)</f>
        <v>0</v>
      </c>
      <c r="K232" s="154">
        <f>IF(CIRC="OFF",AVERAGE(K173,K175)*K233,0)</f>
        <v>0</v>
      </c>
    </row>
    <row r="233" spans="1:11" x14ac:dyDescent="0.3">
      <c r="B233" s="63" t="s">
        <v>119</v>
      </c>
      <c r="F233" s="155">
        <f>F232/F175</f>
        <v>5.3304904051172707E-3</v>
      </c>
      <c r="G233" s="156">
        <f>F233</f>
        <v>5.3304904051172707E-3</v>
      </c>
      <c r="H233" s="156">
        <f t="shared" ref="H233:K233" si="83">G233</f>
        <v>5.3304904051172707E-3</v>
      </c>
      <c r="I233" s="156">
        <f t="shared" si="83"/>
        <v>5.3304904051172707E-3</v>
      </c>
      <c r="J233" s="156">
        <f t="shared" si="83"/>
        <v>5.3304904051172707E-3</v>
      </c>
      <c r="K233" s="156">
        <f t="shared" si="83"/>
        <v>5.3304904051172707E-3</v>
      </c>
    </row>
    <row r="235" spans="1:11" x14ac:dyDescent="0.3">
      <c r="B235" t="s">
        <v>29</v>
      </c>
      <c r="G235" s="154">
        <f>IF(CIRC="OFF",G236*AVERAGE(G209,G212),0)</f>
        <v>0</v>
      </c>
      <c r="H235" s="154">
        <f>IF(CIRC="OFF",H236*AVERAGE(H209,H212),0)</f>
        <v>0</v>
      </c>
      <c r="I235" s="154">
        <f>IF(CIRC="OFF",I236*AVERAGE(I209,I212),0)</f>
        <v>0</v>
      </c>
      <c r="J235" s="154">
        <f>IF(CIRC="OFF",J236*AVERAGE(J209,J212),0)</f>
        <v>0</v>
      </c>
      <c r="K235" s="154">
        <f>IF(CIRC="OFF",K236*AVERAGE(K209,K212),0)</f>
        <v>0</v>
      </c>
    </row>
    <row r="236" spans="1:11" x14ac:dyDescent="0.3">
      <c r="B236" s="63" t="s">
        <v>120</v>
      </c>
      <c r="F236" s="156"/>
      <c r="G236" s="156">
        <f>K32</f>
        <v>0.1019</v>
      </c>
      <c r="H236" s="156">
        <f>G236</f>
        <v>0.1019</v>
      </c>
      <c r="I236" s="156">
        <f t="shared" ref="I236:K236" si="84">H236</f>
        <v>0.1019</v>
      </c>
      <c r="J236" s="156">
        <f t="shared" si="84"/>
        <v>0.1019</v>
      </c>
      <c r="K236" s="156">
        <f t="shared" si="84"/>
        <v>0.1019</v>
      </c>
    </row>
    <row r="237" spans="1:11" x14ac:dyDescent="0.3">
      <c r="B237" s="63"/>
      <c r="F237" s="156"/>
      <c r="G237" s="156"/>
      <c r="H237" s="156"/>
      <c r="I237" s="156"/>
      <c r="J237" s="156"/>
      <c r="K237" s="156"/>
    </row>
    <row r="238" spans="1:11" x14ac:dyDescent="0.3">
      <c r="A238" s="187" t="s">
        <v>136</v>
      </c>
      <c r="B238" t="s">
        <v>135</v>
      </c>
      <c r="F238" s="156"/>
      <c r="G238" s="156"/>
      <c r="H238" s="156"/>
      <c r="I238" s="156"/>
      <c r="J238" s="156"/>
      <c r="K238" s="156"/>
    </row>
    <row r="239" spans="1:11" x14ac:dyDescent="0.3">
      <c r="A239" s="187" t="s">
        <v>136</v>
      </c>
      <c r="B239" s="63" t="s">
        <v>120</v>
      </c>
      <c r="F239" s="156"/>
      <c r="G239" s="156"/>
      <c r="H239" s="156"/>
      <c r="I239" s="156"/>
      <c r="J239" s="156"/>
      <c r="K239" s="156"/>
    </row>
    <row r="240" spans="1:11" x14ac:dyDescent="0.3">
      <c r="A240" s="187"/>
      <c r="B240" s="63"/>
      <c r="F240" s="156"/>
      <c r="G240" s="156"/>
      <c r="H240" s="156"/>
      <c r="I240" s="156"/>
      <c r="J240" s="156"/>
      <c r="K240" s="156"/>
    </row>
    <row r="241" spans="1:11" x14ac:dyDescent="0.3">
      <c r="A241" s="187" t="s">
        <v>136</v>
      </c>
      <c r="B241" t="s">
        <v>159</v>
      </c>
      <c r="F241" s="156"/>
      <c r="G241" s="156"/>
      <c r="H241" s="156"/>
      <c r="I241" s="156"/>
      <c r="J241" s="156"/>
      <c r="K241" s="156"/>
    </row>
    <row r="242" spans="1:11" x14ac:dyDescent="0.3">
      <c r="A242" s="187" t="s">
        <v>136</v>
      </c>
      <c r="B242" s="63" t="s">
        <v>160</v>
      </c>
      <c r="F242" s="156"/>
      <c r="G242" s="156"/>
      <c r="H242" s="156"/>
      <c r="I242" s="156"/>
      <c r="J242" s="156"/>
      <c r="K242" s="156"/>
    </row>
    <row r="243" spans="1:11" x14ac:dyDescent="0.3">
      <c r="A243" s="187" t="s">
        <v>136</v>
      </c>
      <c r="B243" s="63"/>
      <c r="F243" s="156"/>
      <c r="G243" s="156"/>
      <c r="H243" s="156"/>
      <c r="I243" s="156"/>
      <c r="J243" s="156"/>
      <c r="K243" s="156"/>
    </row>
    <row r="244" spans="1:11" x14ac:dyDescent="0.3">
      <c r="A244" s="187" t="s">
        <v>136</v>
      </c>
      <c r="B244" t="s">
        <v>159</v>
      </c>
      <c r="F244" s="156"/>
      <c r="G244" s="156"/>
      <c r="H244" s="156"/>
      <c r="I244" s="156"/>
      <c r="J244" s="156"/>
      <c r="K244" s="156"/>
    </row>
    <row r="245" spans="1:11" x14ac:dyDescent="0.3">
      <c r="A245" s="187" t="s">
        <v>136</v>
      </c>
      <c r="B245" s="63" t="s">
        <v>161</v>
      </c>
      <c r="F245" s="156"/>
      <c r="G245" s="156"/>
      <c r="H245" s="156"/>
      <c r="I245" s="156"/>
      <c r="J245" s="156"/>
      <c r="K245" s="156"/>
    </row>
    <row r="247" spans="1:11" x14ac:dyDescent="0.3">
      <c r="B247" t="str">
        <f>B30</f>
        <v>Secured term loan - USD tranche</v>
      </c>
      <c r="G247" s="154">
        <f>IF(CIRC="OFF",G248*AVERAGE(G191,G194),0)</f>
        <v>0</v>
      </c>
      <c r="H247" s="154">
        <f>IF(CIRC="OFF",H248*AVERAGE(H191,H194),0)</f>
        <v>0</v>
      </c>
      <c r="I247" s="154">
        <f>IF(CIRC="OFF",I248*AVERAGE(I191,I194),0)</f>
        <v>0</v>
      </c>
      <c r="J247" s="154">
        <f>IF(CIRC="OFF",J248*AVERAGE(J191,J194),0)</f>
        <v>0</v>
      </c>
      <c r="K247" s="154">
        <f>IF(CIRC="OFF",K248*AVERAGE(K191,K194),0)</f>
        <v>0</v>
      </c>
    </row>
    <row r="248" spans="1:11" x14ac:dyDescent="0.3">
      <c r="B248" s="63" t="s">
        <v>120</v>
      </c>
      <c r="F248" s="156"/>
      <c r="G248" s="156">
        <f>K30</f>
        <v>6.8199999999999997E-2</v>
      </c>
      <c r="H248" s="156">
        <f>G248</f>
        <v>6.8199999999999997E-2</v>
      </c>
      <c r="I248" s="156">
        <f t="shared" ref="I248:K248" si="85">H248</f>
        <v>6.8199999999999997E-2</v>
      </c>
      <c r="J248" s="156">
        <f t="shared" si="85"/>
        <v>6.8199999999999997E-2</v>
      </c>
      <c r="K248" s="156">
        <f t="shared" si="85"/>
        <v>6.8199999999999997E-2</v>
      </c>
    </row>
    <row r="250" spans="1:11" x14ac:dyDescent="0.3">
      <c r="B250" t="str">
        <f>B31</f>
        <v>Secured term loan -EUR tranche</v>
      </c>
      <c r="G250" s="154">
        <f>IF(CIRC="OFF",G251*AVERAGE(G200,G203),0)</f>
        <v>0</v>
      </c>
      <c r="H250" s="154">
        <f>IF(CIRC="OFF",H251*AVERAGE(H200,H203),0)</f>
        <v>0</v>
      </c>
      <c r="I250" s="154">
        <f>IF(CIRC="OFF",I251*AVERAGE(I200,I203),0)</f>
        <v>0</v>
      </c>
      <c r="J250" s="154">
        <f>IF(CIRC="OFF",J251*AVERAGE(J200,J203),0)</f>
        <v>0</v>
      </c>
      <c r="K250" s="154">
        <f>IF(CIRC="OFF",K251*AVERAGE(K200,K203),0)</f>
        <v>0</v>
      </c>
    </row>
    <row r="251" spans="1:11" x14ac:dyDescent="0.3">
      <c r="B251" s="63" t="s">
        <v>120</v>
      </c>
      <c r="F251" s="156"/>
      <c r="G251" s="156">
        <f>K31</f>
        <v>7.1099999999999997E-2</v>
      </c>
      <c r="H251" s="156">
        <f>G251</f>
        <v>7.1099999999999997E-2</v>
      </c>
      <c r="I251" s="156">
        <f t="shared" ref="I251:K251" si="86">H251</f>
        <v>7.1099999999999997E-2</v>
      </c>
      <c r="J251" s="156">
        <f t="shared" si="86"/>
        <v>7.1099999999999997E-2</v>
      </c>
      <c r="K251" s="156">
        <f t="shared" si="86"/>
        <v>7.1099999999999997E-2</v>
      </c>
    </row>
    <row r="253" spans="1:11" x14ac:dyDescent="0.3">
      <c r="B253" s="205" t="s">
        <v>121</v>
      </c>
      <c r="C253" s="203"/>
      <c r="D253" s="203"/>
      <c r="E253" s="203"/>
      <c r="F253" s="203"/>
      <c r="G253" s="207">
        <f>G235+G247+G250</f>
        <v>0</v>
      </c>
      <c r="H253" s="207">
        <f>H235+H247+H250</f>
        <v>0</v>
      </c>
      <c r="I253" s="207">
        <f>I235+I247+I250</f>
        <v>0</v>
      </c>
      <c r="J253" s="207">
        <f>J235+J247+J250</f>
        <v>0</v>
      </c>
      <c r="K253" s="208">
        <f>K235+K247+K250</f>
        <v>0</v>
      </c>
    </row>
    <row r="254" spans="1:11" x14ac:dyDescent="0.3">
      <c r="B254" s="206" t="s">
        <v>122</v>
      </c>
      <c r="C254" s="204"/>
      <c r="D254" s="204"/>
      <c r="E254" s="204"/>
      <c r="F254" s="204"/>
      <c r="G254" s="209">
        <f>G253/AVERAGE(G226,G228)</f>
        <v>0</v>
      </c>
      <c r="H254" s="209">
        <f>H253/AVERAGE(H226,H228)</f>
        <v>0</v>
      </c>
      <c r="I254" s="209">
        <f>I253/AVERAGE(I226,I228)</f>
        <v>0</v>
      </c>
      <c r="J254" s="209">
        <f>J253/AVERAGE(J226,J228)</f>
        <v>0</v>
      </c>
      <c r="K254" s="210">
        <f>K253/AVERAGE(K226,K228)</f>
        <v>0</v>
      </c>
    </row>
    <row r="256" spans="1:11" x14ac:dyDescent="0.3">
      <c r="A256" t="s">
        <v>25</v>
      </c>
      <c r="B256" s="137" t="s">
        <v>123</v>
      </c>
      <c r="C256" s="137"/>
      <c r="D256" s="137"/>
      <c r="E256" s="137"/>
      <c r="F256" s="137"/>
      <c r="G256" s="137"/>
      <c r="H256" s="137"/>
      <c r="I256" s="137"/>
      <c r="J256" s="137"/>
      <c r="K256" s="137"/>
    </row>
    <row r="258" spans="1:11" x14ac:dyDescent="0.3">
      <c r="B258" t="s">
        <v>124</v>
      </c>
      <c r="K258" s="133">
        <f>K98</f>
        <v>671.54754840780549</v>
      </c>
    </row>
    <row r="259" spans="1:11" x14ac:dyDescent="0.3">
      <c r="B259" s="1" t="s">
        <v>24</v>
      </c>
      <c r="C259" s="1"/>
      <c r="D259" s="1"/>
      <c r="E259" s="1"/>
      <c r="F259" s="1"/>
      <c r="G259" s="1"/>
      <c r="H259" s="1"/>
      <c r="I259" s="1"/>
      <c r="J259" s="1"/>
      <c r="K259" s="157">
        <f>H24</f>
        <v>8.7567148178137728</v>
      </c>
    </row>
    <row r="260" spans="1:11" x14ac:dyDescent="0.3">
      <c r="B260" s="135" t="s">
        <v>19</v>
      </c>
      <c r="C260" s="135"/>
      <c r="D260" s="135"/>
      <c r="E260" s="135"/>
      <c r="F260" s="135"/>
      <c r="G260" s="135"/>
      <c r="H260" s="135"/>
      <c r="I260" s="135"/>
      <c r="J260" s="135"/>
      <c r="K260" s="158">
        <f>K258*K259</f>
        <v>5880.5503680091424</v>
      </c>
    </row>
    <row r="261" spans="1:11" x14ac:dyDescent="0.3">
      <c r="B261" t="s">
        <v>125</v>
      </c>
      <c r="K261" s="129">
        <f>K228-K175</f>
        <v>1490.002067761809</v>
      </c>
    </row>
    <row r="262" spans="1:11" x14ac:dyDescent="0.3">
      <c r="B262" s="159" t="s">
        <v>126</v>
      </c>
      <c r="C262" s="160"/>
      <c r="D262" s="160"/>
      <c r="E262" s="160"/>
      <c r="F262" s="160"/>
      <c r="G262" s="160"/>
      <c r="H262" s="160"/>
      <c r="I262" s="160"/>
      <c r="J262" s="160"/>
      <c r="K262" s="161">
        <f>K260-K261</f>
        <v>4390.5483002473338</v>
      </c>
    </row>
    <row r="264" spans="1:11" x14ac:dyDescent="0.3">
      <c r="B264" t="s">
        <v>127</v>
      </c>
      <c r="K264" s="133">
        <f>F43</f>
        <v>1559.6606680000009</v>
      </c>
    </row>
    <row r="266" spans="1:11" x14ac:dyDescent="0.3">
      <c r="A266" t="s">
        <v>25</v>
      </c>
      <c r="B266" s="118" t="s">
        <v>128</v>
      </c>
      <c r="C266" s="119"/>
      <c r="D266" s="119"/>
      <c r="E266" s="119"/>
      <c r="F266" s="119"/>
      <c r="G266" s="119"/>
      <c r="H266" s="119"/>
      <c r="I266" s="119"/>
      <c r="J266" s="119"/>
      <c r="K266" s="162">
        <f>K262/K264</f>
        <v>2.8150663733012284</v>
      </c>
    </row>
    <row r="267" spans="1:11" x14ac:dyDescent="0.3">
      <c r="B267" s="163" t="s">
        <v>129</v>
      </c>
      <c r="C267" s="123"/>
      <c r="D267" s="123"/>
      <c r="E267" s="123"/>
      <c r="F267" s="123"/>
      <c r="G267" s="123"/>
      <c r="H267" s="123"/>
      <c r="I267" s="123"/>
      <c r="J267" s="123"/>
      <c r="K267" s="164">
        <f>K266^(1/5)-1</f>
        <v>0.22997908841380554</v>
      </c>
    </row>
  </sheetData>
  <dataValidations count="2">
    <dataValidation type="list" allowBlank="1" showInputMessage="1" showErrorMessage="1" sqref="G6" xr:uid="{B9F93912-6AEA-4EE8-B2A2-96194B24F42C}">
      <formula1>"ON,OFF"</formula1>
    </dataValidation>
    <dataValidation type="list" allowBlank="1" showInputMessage="1" showErrorMessage="1" sqref="G7" xr:uid="{061EA8A8-EB60-4914-B7C0-6193ECCAF2AE}">
      <formula1>"1,2"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828C-BEB0-4A82-841B-C191CCC24A6B}">
  <dimension ref="B2:E32"/>
  <sheetViews>
    <sheetView showGridLines="0" topLeftCell="A8" workbookViewId="0">
      <selection activeCell="J15" sqref="J15"/>
    </sheetView>
  </sheetViews>
  <sheetFormatPr defaultRowHeight="14.4" x14ac:dyDescent="0.3"/>
  <cols>
    <col min="1" max="1" width="1.88671875" customWidth="1"/>
    <col min="2" max="2" width="39.6640625" bestFit="1" customWidth="1"/>
    <col min="3" max="3" width="11.33203125" bestFit="1" customWidth="1"/>
    <col min="4" max="4" width="12.21875" bestFit="1" customWidth="1"/>
    <col min="5" max="5" width="13.44140625" bestFit="1" customWidth="1"/>
  </cols>
  <sheetData>
    <row r="2" spans="2:5" ht="21" x14ac:dyDescent="0.4">
      <c r="B2" s="12" t="s">
        <v>37</v>
      </c>
      <c r="C2" s="1"/>
      <c r="D2" s="1"/>
      <c r="E2" s="1"/>
    </row>
    <row r="3" spans="2:5" x14ac:dyDescent="0.3">
      <c r="B3" s="5"/>
    </row>
    <row r="4" spans="2:5" x14ac:dyDescent="0.3">
      <c r="B4" s="13" t="s">
        <v>38</v>
      </c>
      <c r="C4" s="14"/>
      <c r="D4" s="14"/>
      <c r="E4" s="14"/>
    </row>
    <row r="5" spans="2:5" x14ac:dyDescent="0.3">
      <c r="B5" s="15"/>
      <c r="C5" s="16"/>
      <c r="D5" s="16"/>
      <c r="E5" s="16"/>
    </row>
    <row r="6" spans="2:5" x14ac:dyDescent="0.3">
      <c r="B6" s="17" t="s">
        <v>39</v>
      </c>
      <c r="E6" s="18">
        <f>LBO!R13</f>
        <v>24</v>
      </c>
    </row>
    <row r="7" spans="2:5" x14ac:dyDescent="0.3">
      <c r="B7" s="19" t="s">
        <v>40</v>
      </c>
      <c r="E7" s="37">
        <v>136.55564200000001</v>
      </c>
    </row>
    <row r="8" spans="2:5" x14ac:dyDescent="0.3">
      <c r="B8" s="17" t="s">
        <v>41</v>
      </c>
      <c r="E8" s="21">
        <f>E21</f>
        <v>7.4211999999999998</v>
      </c>
    </row>
    <row r="9" spans="2:5" x14ac:dyDescent="0.3">
      <c r="B9" s="17" t="s">
        <v>42</v>
      </c>
      <c r="E9" s="21">
        <f>SUMPRODUCT(D21:D30,E21:E30)</f>
        <v>129.351516</v>
      </c>
    </row>
    <row r="10" spans="2:5" x14ac:dyDescent="0.3">
      <c r="B10" s="17" t="s">
        <v>43</v>
      </c>
      <c r="E10" s="21">
        <f>E9/E6</f>
        <v>5.3896465000000005</v>
      </c>
    </row>
    <row r="11" spans="2:5" x14ac:dyDescent="0.3">
      <c r="B11" s="17" t="s">
        <v>44</v>
      </c>
      <c r="E11" s="21">
        <f>E8-E10</f>
        <v>2.0315534999999993</v>
      </c>
    </row>
    <row r="12" spans="2:5" x14ac:dyDescent="0.3">
      <c r="B12" s="17" t="s">
        <v>45</v>
      </c>
      <c r="E12" s="20">
        <v>1.7296</v>
      </c>
    </row>
    <row r="13" spans="2:5" x14ac:dyDescent="0.3">
      <c r="B13" s="17"/>
      <c r="E13" s="23"/>
    </row>
    <row r="14" spans="2:5" x14ac:dyDescent="0.3">
      <c r="B14" s="17" t="s">
        <v>46</v>
      </c>
      <c r="E14" s="20">
        <f>48.1/E6</f>
        <v>2.0041666666666669</v>
      </c>
    </row>
    <row r="15" spans="2:5" x14ac:dyDescent="0.3">
      <c r="B15" s="5"/>
      <c r="E15" s="23"/>
    </row>
    <row r="16" spans="2:5" x14ac:dyDescent="0.3">
      <c r="B16" s="24" t="s">
        <v>47</v>
      </c>
      <c r="D16" s="25"/>
      <c r="E16" s="26">
        <f>E7+E14</f>
        <v>138.55980866666667</v>
      </c>
    </row>
    <row r="17" spans="2:5" x14ac:dyDescent="0.3">
      <c r="B17" s="24"/>
      <c r="D17" s="25"/>
      <c r="E17" s="22"/>
    </row>
    <row r="18" spans="2:5" x14ac:dyDescent="0.3">
      <c r="B18" s="13" t="s">
        <v>48</v>
      </c>
      <c r="C18" s="14"/>
      <c r="D18" s="14"/>
      <c r="E18" s="14"/>
    </row>
    <row r="19" spans="2:5" x14ac:dyDescent="0.3">
      <c r="B19" s="15"/>
      <c r="C19" s="16"/>
      <c r="D19" s="16"/>
      <c r="E19" s="16"/>
    </row>
    <row r="20" spans="2:5" x14ac:dyDescent="0.3">
      <c r="C20" s="27" t="s">
        <v>49</v>
      </c>
      <c r="D20" s="27" t="s">
        <v>50</v>
      </c>
      <c r="E20" s="27" t="s">
        <v>51</v>
      </c>
    </row>
    <row r="21" spans="2:5" x14ac:dyDescent="0.3">
      <c r="B21" s="28">
        <v>1</v>
      </c>
      <c r="C21" s="20">
        <v>7.4211999999999998</v>
      </c>
      <c r="D21" s="29">
        <v>17.43</v>
      </c>
      <c r="E21" s="30">
        <f>IF(D21&lt;$E$6,C21)</f>
        <v>7.4211999999999998</v>
      </c>
    </row>
    <row r="22" spans="2:5" x14ac:dyDescent="0.3">
      <c r="B22" s="28">
        <f t="shared" ref="B22:B30" si="0">B21+1</f>
        <v>2</v>
      </c>
      <c r="C22" s="20"/>
      <c r="D22" s="20"/>
      <c r="E22" s="30">
        <f t="shared" ref="E22:E30" si="1">IF(D22&lt;$E$6,C22)</f>
        <v>0</v>
      </c>
    </row>
    <row r="23" spans="2:5" x14ac:dyDescent="0.3">
      <c r="B23" s="28">
        <f t="shared" si="0"/>
        <v>3</v>
      </c>
      <c r="C23" s="20"/>
      <c r="D23" s="20"/>
      <c r="E23" s="30">
        <f t="shared" si="1"/>
        <v>0</v>
      </c>
    </row>
    <row r="24" spans="2:5" x14ac:dyDescent="0.3">
      <c r="B24" s="28">
        <f t="shared" si="0"/>
        <v>4</v>
      </c>
      <c r="C24" s="20"/>
      <c r="D24" s="20"/>
      <c r="E24" s="30">
        <f t="shared" si="1"/>
        <v>0</v>
      </c>
    </row>
    <row r="25" spans="2:5" x14ac:dyDescent="0.3">
      <c r="B25" s="28">
        <f t="shared" si="0"/>
        <v>5</v>
      </c>
      <c r="C25" s="20"/>
      <c r="D25" s="20"/>
      <c r="E25" s="30">
        <f t="shared" si="1"/>
        <v>0</v>
      </c>
    </row>
    <row r="26" spans="2:5" x14ac:dyDescent="0.3">
      <c r="B26" s="28">
        <f t="shared" si="0"/>
        <v>6</v>
      </c>
      <c r="C26" s="20"/>
      <c r="D26" s="20"/>
      <c r="E26" s="30">
        <f t="shared" si="1"/>
        <v>0</v>
      </c>
    </row>
    <row r="27" spans="2:5" x14ac:dyDescent="0.3">
      <c r="B27" s="28">
        <f t="shared" si="0"/>
        <v>7</v>
      </c>
      <c r="C27" s="20"/>
      <c r="D27" s="20"/>
      <c r="E27" s="30">
        <f t="shared" si="1"/>
        <v>0</v>
      </c>
    </row>
    <row r="28" spans="2:5" x14ac:dyDescent="0.3">
      <c r="B28" s="28">
        <f t="shared" si="0"/>
        <v>8</v>
      </c>
      <c r="C28" s="20"/>
      <c r="D28" s="20"/>
      <c r="E28" s="30">
        <f t="shared" si="1"/>
        <v>0</v>
      </c>
    </row>
    <row r="29" spans="2:5" x14ac:dyDescent="0.3">
      <c r="B29" s="28">
        <f t="shared" si="0"/>
        <v>9</v>
      </c>
      <c r="C29" s="20"/>
      <c r="D29" s="20"/>
      <c r="E29" s="30">
        <f t="shared" si="1"/>
        <v>0</v>
      </c>
    </row>
    <row r="30" spans="2:5" x14ac:dyDescent="0.3">
      <c r="B30" s="28">
        <f t="shared" si="0"/>
        <v>10</v>
      </c>
      <c r="C30" s="20"/>
      <c r="D30" s="20"/>
      <c r="E30" s="30">
        <f t="shared" si="1"/>
        <v>0</v>
      </c>
    </row>
    <row r="31" spans="2:5" x14ac:dyDescent="0.3">
      <c r="B31" s="31"/>
      <c r="C31" s="32"/>
      <c r="D31" s="32"/>
      <c r="E31" s="33"/>
    </row>
    <row r="32" spans="2:5" x14ac:dyDescent="0.3">
      <c r="B32" s="34" t="s">
        <v>52</v>
      </c>
      <c r="C32" s="35"/>
      <c r="D32" s="35"/>
      <c r="E32" s="36">
        <f>SUM(E21:E30)</f>
        <v>7.4211999999999998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LBO</vt:lpstr>
      <vt:lpstr>Shares</vt:lpstr>
      <vt:lpstr>CASE</vt:lpstr>
      <vt:lpstr>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Kasturi</dc:creator>
  <cp:lastModifiedBy>Love Kasturi</cp:lastModifiedBy>
  <cp:lastPrinted>2025-03-10T13:30:14Z</cp:lastPrinted>
  <dcterms:created xsi:type="dcterms:W3CDTF">2025-03-07T06:52:49Z</dcterms:created>
  <dcterms:modified xsi:type="dcterms:W3CDTF">2025-03-11T10:58:14Z</dcterms:modified>
</cp:coreProperties>
</file>